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ChangeLog  ToDo" sheetId="1" r:id="rId4"/>
    <sheet state="visible" name="Debrief" sheetId="2" r:id="rId5"/>
    <sheet state="visible" name="How-To" sheetId="3" r:id="rId6"/>
    <sheet state="visible" name="TeamDPS" sheetId="4" r:id="rId7"/>
    <sheet state="hidden" name="TemplateStats" sheetId="5" r:id="rId8"/>
    <sheet state="hidden" name="CharacterStats" sheetId="6" r:id="rId9"/>
    <sheet state="hidden" name="CharacterConversions" sheetId="7" r:id="rId10"/>
    <sheet state="hidden" name="CharacterAddedMvs" sheetId="8" r:id="rId11"/>
    <sheet state="hidden" name="CharacterBuffs" sheetId="9" r:id="rId12"/>
    <sheet state="hidden" name="CharacterAttacks" sheetId="10" r:id="rId13"/>
    <sheet state="hidden" name="CharacterProtec" sheetId="11" r:id="rId14"/>
    <sheet state="hidden" name="WeaponStats" sheetId="12" r:id="rId15"/>
    <sheet state="hidden" name="WeaponConversions" sheetId="13" r:id="rId16"/>
    <sheet state="hidden" name="WeaponAddedMvs" sheetId="14" r:id="rId17"/>
    <sheet state="hidden" name="WeaponBuffs" sheetId="15" r:id="rId18"/>
    <sheet state="hidden" name="WeaponAttacks" sheetId="16" r:id="rId19"/>
    <sheet state="hidden" name="WeaponProtec" sheetId="17" r:id="rId20"/>
    <sheet state="hidden" name="ArtifactStats" sheetId="18" r:id="rId21"/>
    <sheet state="hidden" name="ArtifactConversions" sheetId="19" r:id="rId22"/>
    <sheet state="hidden" name="ArtifactAddedMvs" sheetId="20" r:id="rId23"/>
    <sheet state="hidden" name="ArtifactBuffs" sheetId="21" r:id="rId24"/>
    <sheet state="hidden" name="ArtifactAttacks" sheetId="22" r:id="rId25"/>
    <sheet state="hidden" name="ArtifactProtec" sheetId="23" r:id="rId26"/>
    <sheet state="hidden" name="ConstellationBuffs" sheetId="24" r:id="rId27"/>
    <sheet state="hidden" name="ConstellationAttacks" sheetId="25" r:id="rId28"/>
    <sheet state="hidden" name="ConstellationProtec" sheetId="26" r:id="rId29"/>
    <sheet state="hidden" name="ResonanceBuffs" sheetId="27" r:id="rId30"/>
  </sheets>
  <definedNames>
    <definedName name="Character1">TeamDPS!$A$59:$A$233</definedName>
  </definedNames>
  <calcPr/>
</workbook>
</file>

<file path=xl/sharedStrings.xml><?xml version="1.0" encoding="utf-8"?>
<sst xmlns="http://schemas.openxmlformats.org/spreadsheetml/2006/main" count="4348" uniqueCount="1006">
  <si>
    <t>ChangeLog</t>
  </si>
  <si>
    <t>ToDo</t>
  </si>
  <si>
    <t>Version</t>
  </si>
  <si>
    <t>Date</t>
  </si>
  <si>
    <t>Reason</t>
  </si>
  <si>
    <t>Validate data</t>
  </si>
  <si>
    <t>1.1</t>
  </si>
  <si>
    <t>3.2 Beta changes</t>
  </si>
  <si>
    <t>Add all 3* weapons</t>
  </si>
  <si>
    <t>1.2</t>
  </si>
  <si>
    <t>3.3 Beta update</t>
  </si>
  <si>
    <t>Add solver for artifact substats</t>
  </si>
  <si>
    <t>1.2.1</t>
  </si>
  <si>
    <t>3.3 Beta updates - Scara NA and E mult changes, Faru A4 nerf, DPC set buff</t>
  </si>
  <si>
    <t>Update attack names to be more understandable</t>
  </si>
  <si>
    <t>1.3.0</t>
  </si>
  <si>
    <t>3.4 Beta</t>
  </si>
  <si>
    <t>Move buff rows to above statline</t>
  </si>
  <si>
    <t>1.3.1</t>
  </si>
  <si>
    <t>3.4 first beta update, Alhaitham C2 change, Yaoyao N1</t>
  </si>
  <si>
    <t>Make percentage buffs consistent</t>
  </si>
  <si>
    <t>1.4.0</t>
  </si>
  <si>
    <t>Adding slots for characters and weapons for 3.5</t>
  </si>
  <si>
    <t>1.4.1</t>
  </si>
  <si>
    <t>Updating Dehya and Mika stats and multipliers</t>
  </si>
  <si>
    <t>1.5.0</t>
  </si>
  <si>
    <t>Adding Fontaine characters and weapons</t>
  </si>
  <si>
    <t>1.6.0</t>
  </si>
  <si>
    <t>Adding 4.1 characters and weapons</t>
  </si>
  <si>
    <t>1.7.0</t>
  </si>
  <si>
    <t>Adding 4.2 characters and weapons</t>
  </si>
  <si>
    <t>1.7.1</t>
  </si>
  <si>
    <t>Updating 4.2 Characters</t>
  </si>
  <si>
    <t>Template by _Maxi#1776, jamberry#7142 ( _maxi now)</t>
  </si>
  <si>
    <t>Team Debrief</t>
  </si>
  <si>
    <t>Team Q&amp;A</t>
  </si>
  <si>
    <t>Please message the above with any errors you find.</t>
  </si>
  <si>
    <t>Description of the team, the intended synergy and playstyle, strengths, weaknesses</t>
  </si>
  <si>
    <t>Question</t>
  </si>
  <si>
    <t>Answer</t>
  </si>
  <si>
    <t>Special Thanks</t>
  </si>
  <si>
    <t>Project Ambr</t>
  </si>
  <si>
    <t>Data API</t>
  </si>
  <si>
    <t>https://ambr.top/en</t>
  </si>
  <si>
    <t>KQM TCL</t>
  </si>
  <si>
    <t>Character Findings</t>
  </si>
  <si>
    <t>https://library.keqingmains.com/</t>
  </si>
  <si>
    <t>KSM TC Team</t>
  </si>
  <si>
    <t>Validation</t>
  </si>
  <si>
    <t>https://discord.gg/Kusanali</t>
  </si>
  <si>
    <t>Calculations like these, especially when dealing with characters in pre-release state, are prone to change, corrections, or oversights.</t>
  </si>
  <si>
    <t>Please message the sheet's owner to go over any discrepancy.</t>
  </si>
  <si>
    <t>Calculations By:</t>
  </si>
  <si>
    <t>Verified By:</t>
  </si>
  <si>
    <t>Last Revised:</t>
  </si>
  <si>
    <t>Recordings:</t>
  </si>
  <si>
    <t>Cross Tab Comparison</t>
  </si>
  <si>
    <t>Team Tab</t>
  </si>
  <si>
    <t>DPS</t>
  </si>
  <si>
    <t>Data Analysis</t>
  </si>
  <si>
    <t>TeamDPS</t>
  </si>
  <si>
    <t>Explain how different investments affect the power of the team</t>
  </si>
  <si>
    <t>Other sheet name</t>
  </si>
  <si>
    <t>another sheet name</t>
  </si>
  <si>
    <t>Maybe be like "man getting cons on Albedo does nothing!"</t>
  </si>
  <si>
    <t>Complain about the weather</t>
  </si>
  <si>
    <t>Can make different boxes to compare across different metrics, doesn't all need to be one matrix. Get creative.</t>
  </si>
  <si>
    <t>Rotation:</t>
  </si>
  <si>
    <t>Character</t>
  </si>
  <si>
    <t>Weapon</t>
  </si>
  <si>
    <t>Artifacts</t>
  </si>
  <si>
    <t>Damage</t>
  </si>
  <si>
    <t>%</t>
  </si>
  <si>
    <t>Total</t>
  </si>
  <si>
    <t>Discussion of this team investment level and how it changes the percentage of damage contribution or the gameplay</t>
  </si>
  <si>
    <t>next team etc</t>
  </si>
  <si>
    <t>Step 1: Make a Copy of the sheet</t>
  </si>
  <si>
    <t>Step 2: Enable App Script</t>
  </si>
  <si>
    <t>Navigate to Apps Script</t>
  </si>
  <si>
    <t>All of the code which will run is available for you to read. It makes no external calls and only accesses values within the sheet itself.</t>
  </si>
  <si>
    <t>Navigate to "Triggers" tab</t>
  </si>
  <si>
    <t>Click the big blue button to Add a Trigger</t>
  </si>
  <si>
    <t>Change only the event type in the bottom left - from On open to On edit</t>
  </si>
  <si>
    <t>Click save and app script is ready</t>
  </si>
  <si>
    <t>Step 3: Input Character Data</t>
  </si>
  <si>
    <t>Rename the sheet to include your character and team names</t>
  </si>
  <si>
    <t>Rename TeamDPS sheet to include information for constellations and weapons being used for calculation</t>
  </si>
  <si>
    <t>Fill in Character Data for Characters 1-4 in these cells</t>
  </si>
  <si>
    <t>Stats and available buffs will auto-populate. To apply buffs which have 100% uptime, pull values from these boxes and place them in this column in the appropriate row</t>
  </si>
  <si>
    <t>Attacks are populated below. To handle partial uptime buffs, edit the "Bonus" stat rows on the relevant hits. If a certain attack has some hits which benefit from different buffs from others (for example, VV falling off partway through Pyronado), copy the cells of the desired attack, paste cells in an empty column to the right, and rename the attack something understandable (for example, Pyronado No VV).</t>
  </si>
  <si>
    <t>Apply artifact stats. Choose rarity and mainstat here.</t>
  </si>
  <si>
    <t>Assign substats here in the "Liquid" row. The value in the "Allowed Liquid" is the maximum you can allot to any substat.</t>
  </si>
  <si>
    <t>The far right cell of the "Liquid" row will change colors once the correct number of substats have been allocated.</t>
  </si>
  <si>
    <t>Step 4: Calculate damage</t>
  </si>
  <si>
    <t>Write out the rotation being followed in the cells to the right of this</t>
  </si>
  <si>
    <t>Below, in the dropdown, select the damage instances which will be included in the damage calculation</t>
  </si>
  <si>
    <t>Input the Amp type - None, Vaporize, Melt, and Quicken (meaning Spread or Aggravate)</t>
  </si>
  <si>
    <t>Input the Hit Type - for most calculations, use the Average</t>
  </si>
  <si>
    <t>Assign the count for the number of times that specific damage instance will occur</t>
  </si>
  <si>
    <t>To add more damage instances, select the 7 calculation rows and drag along the blue square in the bottom right</t>
  </si>
  <si>
    <t>Edit the necessary information for all damage instances.</t>
  </si>
  <si>
    <t>Repeat for all characters - calculations will occur automatically.</t>
  </si>
  <si>
    <t>Step 5: Display results</t>
  </si>
  <si>
    <t>Edit the debrief page to display results how you like. The template is a suggestion.</t>
  </si>
  <si>
    <t>Step 6: Calculate permutations</t>
  </si>
  <si>
    <t>Artifact</t>
  </si>
  <si>
    <t>Zakharov#5645 ER Calc from KQM Discord - some beta edits from KSM</t>
  </si>
  <si>
    <t>Misc Team Info</t>
  </si>
  <si>
    <t>Value</t>
  </si>
  <si>
    <t>Total Team Energy</t>
  </si>
  <si>
    <t># Of Liyue Teammates</t>
  </si>
  <si>
    <t># Of Elements in Party</t>
  </si>
  <si>
    <t>Nahida C2 Present</t>
  </si>
  <si>
    <t>Highest EM</t>
  </si>
  <si>
    <t>Enemy</t>
  </si>
  <si>
    <t>Base</t>
  </si>
  <si>
    <t>Change</t>
  </si>
  <si>
    <t># Of Fontaine Teammates</t>
  </si>
  <si>
    <t>Level</t>
  </si>
  <si>
    <t>Affected by Element</t>
  </si>
  <si>
    <t>DEF</t>
  </si>
  <si>
    <t>Geo Res%</t>
  </si>
  <si>
    <t>Anemo Res%</t>
  </si>
  <si>
    <t>Cryo Res%</t>
  </si>
  <si>
    <t>Hydro Res%</t>
  </si>
  <si>
    <t>Pyro Res%</t>
  </si>
  <si>
    <t>Electro Res%</t>
  </si>
  <si>
    <t>Dendro Res%</t>
  </si>
  <si>
    <t>Physical Res%</t>
  </si>
  <si>
    <t>Rotation</t>
  </si>
  <si>
    <t>Write in Actions</t>
  </si>
  <si>
    <t>Time in seconds</t>
  </si>
  <si>
    <t>Amp Type</t>
  </si>
  <si>
    <t>None</t>
  </si>
  <si>
    <t>Hit Type</t>
  </si>
  <si>
    <t>Average</t>
  </si>
  <si>
    <t>Count</t>
  </si>
  <si>
    <t>Total Damage</t>
  </si>
  <si>
    <t>Liquid Sub Allowance:</t>
  </si>
  <si>
    <t>Level:</t>
  </si>
  <si>
    <t>Feather</t>
  </si>
  <si>
    <t>Flower</t>
  </si>
  <si>
    <t>Sands</t>
  </si>
  <si>
    <t>Goblet</t>
  </si>
  <si>
    <t>Circlet</t>
  </si>
  <si>
    <t>Maximum Specific Stat Allowance:</t>
  </si>
  <si>
    <t>Normal Talent Level:</t>
  </si>
  <si>
    <t>Rarity</t>
  </si>
  <si>
    <t>5*</t>
  </si>
  <si>
    <t>Substat Multiplier:</t>
  </si>
  <si>
    <t>Skill Talent Level:</t>
  </si>
  <si>
    <t>Main Stat</t>
  </si>
  <si>
    <t>ATK</t>
  </si>
  <si>
    <t>HP</t>
  </si>
  <si>
    <t>HP%</t>
  </si>
  <si>
    <t>Artifact Stat Standard</t>
  </si>
  <si>
    <t>KQM</t>
  </si>
  <si>
    <t>Burst Talent Level:</t>
  </si>
  <si>
    <t>Main Stat Value</t>
  </si>
  <si>
    <t>Substat</t>
  </si>
  <si>
    <t>ATK%</t>
  </si>
  <si>
    <t>DEF%</t>
  </si>
  <si>
    <t>CR%</t>
  </si>
  <si>
    <t>CD%</t>
  </si>
  <si>
    <t>ER%</t>
  </si>
  <si>
    <t>EM</t>
  </si>
  <si>
    <t>Roll Value</t>
  </si>
  <si>
    <t>Fixed</t>
  </si>
  <si>
    <t>Allowed Liquid</t>
  </si>
  <si>
    <t>Liquid</t>
  </si>
  <si>
    <t>Artifact Substats</t>
  </si>
  <si>
    <t>Stats</t>
  </si>
  <si>
    <t>Artifact Set</t>
  </si>
  <si>
    <t>Artifact Stats</t>
  </si>
  <si>
    <t>Buffs</t>
  </si>
  <si>
    <t>Subtotal</t>
  </si>
  <si>
    <t>Conversions</t>
  </si>
  <si>
    <t>Added MVs</t>
  </si>
  <si>
    <t>Show Typically Unused Hits</t>
  </si>
  <si>
    <t>Above</t>
  </si>
  <si>
    <t>Normal</t>
  </si>
  <si>
    <t>C0</t>
  </si>
  <si>
    <t>R1</t>
  </si>
  <si>
    <t>Charged</t>
  </si>
  <si>
    <t>Plunging</t>
  </si>
  <si>
    <t>Skill</t>
  </si>
  <si>
    <t>Burst</t>
  </si>
  <si>
    <t>Effect</t>
  </si>
  <si>
    <t>Edit this box to collapse unused rows &lt;3</t>
  </si>
  <si>
    <t>Geo DMG%</t>
  </si>
  <si>
    <t>Cryo DMG%</t>
  </si>
  <si>
    <t>Anemo DMG%</t>
  </si>
  <si>
    <t>Hydro DMG%</t>
  </si>
  <si>
    <t>Pyro DMG%</t>
  </si>
  <si>
    <t>Electro DMG%</t>
  </si>
  <si>
    <t>Dendro DMG%</t>
  </si>
  <si>
    <t>Physical DMG%</t>
  </si>
  <si>
    <t>Healing Bonus%</t>
  </si>
  <si>
    <t>Shield Strength%</t>
  </si>
  <si>
    <t>DMG%</t>
  </si>
  <si>
    <t>Elemental Skill DMG%</t>
  </si>
  <si>
    <t>Elemental Burst DMG%</t>
  </si>
  <si>
    <t>Normal Attack%</t>
  </si>
  <si>
    <t>Charged Attack%</t>
  </si>
  <si>
    <t>Plunging Attack%</t>
  </si>
  <si>
    <t>Elemental DMG%</t>
  </si>
  <si>
    <t>Geo CD%</t>
  </si>
  <si>
    <t>Cryo CD%</t>
  </si>
  <si>
    <t>Anemo CD%</t>
  </si>
  <si>
    <t>Hydro CD%</t>
  </si>
  <si>
    <t>Pyro CD%</t>
  </si>
  <si>
    <t>Dendro CD%</t>
  </si>
  <si>
    <t>Electro CD%</t>
  </si>
  <si>
    <t>Physical CD%</t>
  </si>
  <si>
    <t>Normal Attack CR%</t>
  </si>
  <si>
    <t>Normal Attack CD%</t>
  </si>
  <si>
    <t>Charged Attack CR%</t>
  </si>
  <si>
    <t>Charged Attack CD%</t>
  </si>
  <si>
    <t>Plunging Attack CR%</t>
  </si>
  <si>
    <t>Plunging Attack CD%</t>
  </si>
  <si>
    <t>Elemental Skill CR%</t>
  </si>
  <si>
    <t>Elemental Skill CD%</t>
  </si>
  <si>
    <t>Elemental Burst CR%</t>
  </si>
  <si>
    <t>Elemental Burst CD%</t>
  </si>
  <si>
    <t>DMG% to Cryo Affected</t>
  </si>
  <si>
    <t>CR% to Cryo Affected</t>
  </si>
  <si>
    <t>DMG% to Hydro Affected</t>
  </si>
  <si>
    <t>CR% to Hydro Affected</t>
  </si>
  <si>
    <t>DMG% to Electro Affected</t>
  </si>
  <si>
    <t>CR% to Electro Affected</t>
  </si>
  <si>
    <t>DMG% to Dendro Affected</t>
  </si>
  <si>
    <t>CR% to Dendro Affected</t>
  </si>
  <si>
    <t>DMG% to Pyro Affected</t>
  </si>
  <si>
    <t>CR% to Pyro Affected</t>
  </si>
  <si>
    <t>CR% to Frozen</t>
  </si>
  <si>
    <t>DMG% to Swirl</t>
  </si>
  <si>
    <t>DMG% to Overload</t>
  </si>
  <si>
    <t>DMG% to Superconduct</t>
  </si>
  <si>
    <t>DMG% to Electro-Charged</t>
  </si>
  <si>
    <t>DMG% to Burning</t>
  </si>
  <si>
    <t>DMG% to Bloom</t>
  </si>
  <si>
    <t>DMG% to Burgeon</t>
  </si>
  <si>
    <t>DMG% to Hyperbloom</t>
  </si>
  <si>
    <t>DMG% to Vaporize</t>
  </si>
  <si>
    <t>DMG% to Melt</t>
  </si>
  <si>
    <t>Bonus% to Quicken</t>
  </si>
  <si>
    <t>NA/CA CR% against Cryo</t>
  </si>
  <si>
    <t>NA/CA DMG% against Cryo</t>
  </si>
  <si>
    <t>Incoming Healing Bonus%</t>
  </si>
  <si>
    <t>Ability Damage Calculation</t>
  </si>
  <si>
    <t>Attack Type</t>
  </si>
  <si>
    <t>Talent Level</t>
  </si>
  <si>
    <t>DMG Type</t>
  </si>
  <si>
    <t>Base ATK MV</t>
  </si>
  <si>
    <t>Base DEF MV</t>
  </si>
  <si>
    <t>Base HP MV</t>
  </si>
  <si>
    <t>Base EM MV</t>
  </si>
  <si>
    <t>Added ATK MV</t>
  </si>
  <si>
    <t>Added DEF MV</t>
  </si>
  <si>
    <t>Added HP MV</t>
  </si>
  <si>
    <t>Added EM MV</t>
  </si>
  <si>
    <t>Added Raw DMG</t>
  </si>
  <si>
    <t>True Multiplier</t>
  </si>
  <si>
    <t>DEF Ignore%</t>
  </si>
  <si>
    <t>Bonus ATK</t>
  </si>
  <si>
    <t>Bonus ATK%</t>
  </si>
  <si>
    <t>Bonus DEF</t>
  </si>
  <si>
    <t>Bonus DEF%</t>
  </si>
  <si>
    <t>Bonus HP</t>
  </si>
  <si>
    <t>Bonus HP%</t>
  </si>
  <si>
    <t>Bonus EM</t>
  </si>
  <si>
    <t>Bonus DMG%</t>
  </si>
  <si>
    <t>Bonus Crit Rate</t>
  </si>
  <si>
    <t>Bonus Crit Damage</t>
  </si>
  <si>
    <t>Bonus Resistance Shred</t>
  </si>
  <si>
    <t>Bonus DEF Shred</t>
  </si>
  <si>
    <t>Bonus DEF Ignore%</t>
  </si>
  <si>
    <t>Bonus Reaction DMG%</t>
  </si>
  <si>
    <t>Total Enemy DEF</t>
  </si>
  <si>
    <t>Enemy DEF DMG Multiplier</t>
  </si>
  <si>
    <t>Enemy Resistance Multiplier</t>
  </si>
  <si>
    <t>Total Crit Rate</t>
  </si>
  <si>
    <t>Total Crit Multiplier</t>
  </si>
  <si>
    <t>Total Damage Multiplier</t>
  </si>
  <si>
    <t>Non-Crit Hit Damage</t>
  </si>
  <si>
    <t>Average Damage</t>
  </si>
  <si>
    <t>Crit Hit Damage</t>
  </si>
  <si>
    <t>Melt Multiplier</t>
  </si>
  <si>
    <t>Melt Non-Crit Damage</t>
  </si>
  <si>
    <t>Melt Average Damage</t>
  </si>
  <si>
    <t>Melt Crit Damage</t>
  </si>
  <si>
    <t>Vape Multiplier</t>
  </si>
  <si>
    <t>Vape Non-Crit Damage</t>
  </si>
  <si>
    <t>Vape Average Damage</t>
  </si>
  <si>
    <t>Vape Crit Damage</t>
  </si>
  <si>
    <t>Quicken Bonus</t>
  </si>
  <si>
    <t>Quicken Flat Added Damage</t>
  </si>
  <si>
    <t>Non-Crit Quickened Damage</t>
  </si>
  <si>
    <t>Average Quickened Damage</t>
  </si>
  <si>
    <t>Crit Quickened Damage</t>
  </si>
  <si>
    <t>Healing / Shielding Calculation</t>
  </si>
  <si>
    <t>Type</t>
  </si>
  <si>
    <t># of Targets</t>
  </si>
  <si>
    <t>Multiplier</t>
  </si>
  <si>
    <t>Protection per Target</t>
  </si>
  <si>
    <t>Total Protection</t>
  </si>
  <si>
    <t>Reaction Damage Calculation</t>
  </si>
  <si>
    <t>Reaction Type</t>
  </si>
  <si>
    <t>Raw MV</t>
  </si>
  <si>
    <t>Damage Multiplier</t>
  </si>
  <si>
    <t>Crit Rate</t>
  </si>
  <si>
    <t>Crit Multiplier</t>
  </si>
  <si>
    <t>Non-Crit Damage</t>
  </si>
  <si>
    <t>Crit Damage</t>
  </si>
  <si>
    <t>Melt Damage</t>
  </si>
  <si>
    <t>Vape Damage</t>
  </si>
  <si>
    <t>Quickened Damage</t>
  </si>
  <si>
    <t>Number of Stats Tracked</t>
  </si>
  <si>
    <t>Number of DMG Calculation Rows</t>
  </si>
  <si>
    <t>Ayaka</t>
  </si>
  <si>
    <t>Jean</t>
  </si>
  <si>
    <t>Traveler (Anemo)</t>
  </si>
  <si>
    <t>Traveler (Geo)</t>
  </si>
  <si>
    <t>Traveler (Electro)</t>
  </si>
  <si>
    <t>Traveler (Dendro)</t>
  </si>
  <si>
    <t>Traveler (Hydro)</t>
  </si>
  <si>
    <t>Lisa</t>
  </si>
  <si>
    <t>Barbara</t>
  </si>
  <si>
    <t>Kaeya</t>
  </si>
  <si>
    <t>Diluc</t>
  </si>
  <si>
    <t>Razor</t>
  </si>
  <si>
    <t>Amber</t>
  </si>
  <si>
    <t>Venti</t>
  </si>
  <si>
    <t>Xiangling</t>
  </si>
  <si>
    <t>Beidou</t>
  </si>
  <si>
    <t>Xingqiu</t>
  </si>
  <si>
    <t>Xiao</t>
  </si>
  <si>
    <t>Ningguang</t>
  </si>
  <si>
    <t>Klee</t>
  </si>
  <si>
    <t>Dori</t>
  </si>
  <si>
    <t>Collei</t>
  </si>
  <si>
    <t>Tighnari</t>
  </si>
  <si>
    <t>Heizou</t>
  </si>
  <si>
    <t>Kuki</t>
  </si>
  <si>
    <t>Yelan</t>
  </si>
  <si>
    <t>Ayato</t>
  </si>
  <si>
    <t>Yae</t>
  </si>
  <si>
    <t>Shenhe</t>
  </si>
  <si>
    <t>Yunjin</t>
  </si>
  <si>
    <t>Gorou</t>
  </si>
  <si>
    <t>Itto</t>
  </si>
  <si>
    <t>Thoma</t>
  </si>
  <si>
    <t>Kokomi</t>
  </si>
  <si>
    <t>Raiden</t>
  </si>
  <si>
    <t>Sara</t>
  </si>
  <si>
    <t>Aloy</t>
  </si>
  <si>
    <t>Yoimiya</t>
  </si>
  <si>
    <t>Sayu</t>
  </si>
  <si>
    <t>Kazuha</t>
  </si>
  <si>
    <t>Eula</t>
  </si>
  <si>
    <t>Yanfei</t>
  </si>
  <si>
    <t>Rosaria</t>
  </si>
  <si>
    <t>Hu Tao</t>
  </si>
  <si>
    <t>Ganyu</t>
  </si>
  <si>
    <t>Albedo</t>
  </si>
  <si>
    <t>Zhongli</t>
  </si>
  <si>
    <t>Xinyan</t>
  </si>
  <si>
    <t>Childe</t>
  </si>
  <si>
    <t>Diona</t>
  </si>
  <si>
    <t>Fischl</t>
  </si>
  <si>
    <t>Bennett</t>
  </si>
  <si>
    <t>Noelle</t>
  </si>
  <si>
    <t>Qiqi</t>
  </si>
  <si>
    <t>Chongyun</t>
  </si>
  <si>
    <t>Mona</t>
  </si>
  <si>
    <t>Keqing</t>
  </si>
  <si>
    <t>Sucrose</t>
  </si>
  <si>
    <t>Cyno</t>
  </si>
  <si>
    <t>Nilou</t>
  </si>
  <si>
    <t>Candace</t>
  </si>
  <si>
    <t>Layla</t>
  </si>
  <si>
    <t>Nahida</t>
  </si>
  <si>
    <t>Wanderer</t>
  </si>
  <si>
    <t>Faruzan</t>
  </si>
  <si>
    <t>Yaoyao</t>
  </si>
  <si>
    <t>Alhaitham</t>
  </si>
  <si>
    <t>Mika</t>
  </si>
  <si>
    <t>Dehya</t>
  </si>
  <si>
    <t>Kaveh</t>
  </si>
  <si>
    <t>Baizhu</t>
  </si>
  <si>
    <t>Kirara</t>
  </si>
  <si>
    <t>Freminet</t>
  </si>
  <si>
    <t>Lyney</t>
  </si>
  <si>
    <t>Lynette</t>
  </si>
  <si>
    <t>Wriothesley</t>
  </si>
  <si>
    <t>Neuvillette</t>
  </si>
  <si>
    <t>Furina</t>
  </si>
  <si>
    <t>Charlotte</t>
  </si>
  <si>
    <t>Base ATK</t>
  </si>
  <si>
    <t>ATK% Ascension</t>
  </si>
  <si>
    <t>Base Crit Rate</t>
  </si>
  <si>
    <t>Base Crit Damage</t>
  </si>
  <si>
    <t>Base DEF</t>
  </si>
  <si>
    <t>DEF% Ascension</t>
  </si>
  <si>
    <t>Base ER%</t>
  </si>
  <si>
    <t>Base EM</t>
  </si>
  <si>
    <t>Base HP</t>
  </si>
  <si>
    <t>HP% Ascension</t>
  </si>
  <si>
    <t>Bonus% to Aggravate</t>
  </si>
  <si>
    <t>Normal/Charged CR% against Cryo</t>
  </si>
  <si>
    <t>Normal/Charged DMG% against Cryo</t>
  </si>
  <si>
    <t>Conversion Name</t>
  </si>
  <si>
    <t>Enlightened One</t>
  </si>
  <si>
    <t>Sweeping Time</t>
  </si>
  <si>
    <t>Behold, Itto the Evil!</t>
  </si>
  <si>
    <t>Waterborne Destiny</t>
  </si>
  <si>
    <t>Enlightened Blessing</t>
  </si>
  <si>
    <t>Frostbreaker's Melody</t>
  </si>
  <si>
    <t>Verdant Luxury</t>
  </si>
  <si>
    <t>Scholarly Blade</t>
  </si>
  <si>
    <t>Mysteries Laid Bare</t>
  </si>
  <si>
    <t>Pupillary Variance</t>
  </si>
  <si>
    <t>Flat ATK</t>
  </si>
  <si>
    <t>Crit Rate%</t>
  </si>
  <si>
    <t>Crit Damage%</t>
  </si>
  <si>
    <t>Flat DEF</t>
  </si>
  <si>
    <t>Flat HP</t>
  </si>
  <si>
    <t>MV Buffs</t>
  </si>
  <si>
    <t>Name</t>
  </si>
  <si>
    <t>A4 Pyro DMG</t>
  </si>
  <si>
    <t>A1 Ally Crit Rate</t>
  </si>
  <si>
    <t>A1 NA/CA DMG%</t>
  </si>
  <si>
    <t>A4 Cryo DMG%</t>
  </si>
  <si>
    <t>ER Share</t>
  </si>
  <si>
    <t>A1 EM Stack</t>
  </si>
  <si>
    <t>A4 Def Shred</t>
  </si>
  <si>
    <t>A4 Pyro DMG%</t>
  </si>
  <si>
    <t>A4 ATK%</t>
  </si>
  <si>
    <t>A4 Chili ATK%</t>
  </si>
  <si>
    <t>A4 NA/CA DMG%</t>
  </si>
  <si>
    <t>A1 DMG% Stack</t>
  </si>
  <si>
    <t>A4 Skill DMG% Stack</t>
  </si>
  <si>
    <t>A4 Geo DMG%</t>
  </si>
  <si>
    <t>A1 CA DMG%</t>
  </si>
  <si>
    <t>Omni Res Shred</t>
  </si>
  <si>
    <t>A1 Shield Strength Stack</t>
  </si>
  <si>
    <t>Burst ATK Buff</t>
  </si>
  <si>
    <t>A1 IHB% Buff</t>
  </si>
  <si>
    <t>A1 CA Crit Rate%</t>
  </si>
  <si>
    <t>A4 EM buff</t>
  </si>
  <si>
    <t>A1 Skill DMG% to low</t>
  </si>
  <si>
    <t>Omen DMG%</t>
  </si>
  <si>
    <t>A4 Crit Rate / ER Buff</t>
  </si>
  <si>
    <t>A1 EM Buff</t>
  </si>
  <si>
    <t>A4 EM Buff</t>
  </si>
  <si>
    <t>A4 Phys DMG%</t>
  </si>
  <si>
    <t>A1 Self Crit</t>
  </si>
  <si>
    <t>A4 Team Crit</t>
  </si>
  <si>
    <t>A4 Elem DMG% Buff</t>
  </si>
  <si>
    <t>A1 Pyro DMG% Stack</t>
  </si>
  <si>
    <t>Burst CA DMG%</t>
  </si>
  <si>
    <t>A4 Base ATK% Buff</t>
  </si>
  <si>
    <t>A4 ATK% Stack</t>
  </si>
  <si>
    <t>Lightfall Stacks</t>
  </si>
  <si>
    <t>Skill Res Shred</t>
  </si>
  <si>
    <t>Resolve Stacks</t>
  </si>
  <si>
    <t>Team Energy Regen</t>
  </si>
  <si>
    <t>Burst DMG% per energy</t>
  </si>
  <si>
    <t>A1 DEF% Buff</t>
  </si>
  <si>
    <t>Flat DEF Buff</t>
  </si>
  <si>
    <t>Skill Geo DMG%</t>
  </si>
  <si>
    <t>Skill ATK Buff</t>
  </si>
  <si>
    <t>A4 Energy Regen</t>
  </si>
  <si>
    <t>A4 DMG% Base</t>
  </si>
  <si>
    <t>A4 DMG% Stack</t>
  </si>
  <si>
    <t>A1 HP%</t>
  </si>
  <si>
    <t>A1 Self ATK%</t>
  </si>
  <si>
    <t>A1 Team ATK%</t>
  </si>
  <si>
    <t>A4 Cryo DMG% Stack</t>
  </si>
  <si>
    <t>Icy Quill Damage</t>
  </si>
  <si>
    <t>A1 Cryo DMG%</t>
  </si>
  <si>
    <t>A4 NA/CA/Plunge DMG%</t>
  </si>
  <si>
    <t>A4 Skill/Burst DMG%</t>
  </si>
  <si>
    <t>Burst Res Shred</t>
  </si>
  <si>
    <t>Cliffbreaker's Banner Damage</t>
  </si>
  <si>
    <t>A1 HB% when low</t>
  </si>
  <si>
    <t>Burst NA DMG%</t>
  </si>
  <si>
    <t>A4 Bloom DMG%</t>
  </si>
  <si>
    <t>Burst EM Buff</t>
  </si>
  <si>
    <t>Endseer Skill DMG%</t>
  </si>
  <si>
    <t>Xiao Burst DMG%</t>
  </si>
  <si>
    <t>A4 Purification CR</t>
  </si>
  <si>
    <t>A4 Purification DMG%</t>
  </si>
  <si>
    <t>1 Pyro Character Skill DMG</t>
  </si>
  <si>
    <t>2 Pyro Characters Skill DMG</t>
  </si>
  <si>
    <t>A4 Res Shred</t>
  </si>
  <si>
    <t>Anemo Res Shred</t>
  </si>
  <si>
    <t>A4 Added Damage</t>
  </si>
  <si>
    <t>Pyro Infusion ATK%</t>
  </si>
  <si>
    <t>Cryo Infusion CR</t>
  </si>
  <si>
    <t>Projection Attack DMG%</t>
  </si>
  <si>
    <t>Team Phys DMG% Stack</t>
  </si>
  <si>
    <t>A4 EM Stack</t>
  </si>
  <si>
    <t>Burst Bloom DMG%</t>
  </si>
  <si>
    <t>A1 Healing Bonus</t>
  </si>
  <si>
    <t>A1 Dendro DMG%</t>
  </si>
  <si>
    <t>A4 Transformative Reaction%</t>
  </si>
  <si>
    <t>A4 Quicken DMG%</t>
  </si>
  <si>
    <t>A4 Pyro Party Member Increase</t>
  </si>
  <si>
    <t>Team ATK% Buff</t>
  </si>
  <si>
    <t>A4 Burst DMG%</t>
  </si>
  <si>
    <t>Shatter Skill DMG%</t>
  </si>
  <si>
    <t>A4 Maximum DMG%</t>
  </si>
  <si>
    <t xml:space="preserve"> </t>
  </si>
  <si>
    <t>Common</t>
  </si>
  <si>
    <t># Of Targets</t>
  </si>
  <si>
    <t>Staff of Homa (&lt;50%)</t>
  </si>
  <si>
    <t>Staff of Homa  (&gt;50%)</t>
  </si>
  <si>
    <t>Dragon's Bane</t>
  </si>
  <si>
    <t>Black Tassel</t>
  </si>
  <si>
    <t>White Tassel</t>
  </si>
  <si>
    <t>Wavebreaker's Fin</t>
  </si>
  <si>
    <t>Blackcliff Pole</t>
  </si>
  <si>
    <t>Crescent Pike</t>
  </si>
  <si>
    <t>Deathmatch</t>
  </si>
  <si>
    <t>Lithic Spear</t>
  </si>
  <si>
    <t>Prototype Starglitter</t>
  </si>
  <si>
    <t>Favonius Lance</t>
  </si>
  <si>
    <t>Royal Spear</t>
  </si>
  <si>
    <t>Dragonspine Spear</t>
  </si>
  <si>
    <t>Kitain Cross Spear</t>
  </si>
  <si>
    <t>The Catch</t>
  </si>
  <si>
    <t>Moonpiercer</t>
  </si>
  <si>
    <t>Vortex Vanquisher</t>
  </si>
  <si>
    <t>Primordial Jade-Winged Spear</t>
  </si>
  <si>
    <t>Skyward Spine</t>
  </si>
  <si>
    <t>Engulfing Lightning</t>
  </si>
  <si>
    <t>Calamity Queller</t>
  </si>
  <si>
    <t>Recurve Bow</t>
  </si>
  <si>
    <t>Raven Bow</t>
  </si>
  <si>
    <t>Sharpshooter's Oath</t>
  </si>
  <si>
    <t>Slingshot</t>
  </si>
  <si>
    <t>Mouun's Moon</t>
  </si>
  <si>
    <t>Royal Bow</t>
  </si>
  <si>
    <t>Rust</t>
  </si>
  <si>
    <t>The Stringless</t>
  </si>
  <si>
    <t>Sacrificial Bow</t>
  </si>
  <si>
    <t>Favonius Warbow</t>
  </si>
  <si>
    <t>Blackcliff Warbow</t>
  </si>
  <si>
    <t>Alley Hunter</t>
  </si>
  <si>
    <t>Windblume Ode</t>
  </si>
  <si>
    <t>Mitternachts Waltz</t>
  </si>
  <si>
    <t>Hamayumi</t>
  </si>
  <si>
    <t>Prototype Crescent</t>
  </si>
  <si>
    <t>Predator</t>
  </si>
  <si>
    <t>The Viridescent Hunt</t>
  </si>
  <si>
    <t>Compound Bow</t>
  </si>
  <si>
    <t>King's Squire</t>
  </si>
  <si>
    <t>Fading Twilight</t>
  </si>
  <si>
    <t>End of the Line</t>
  </si>
  <si>
    <t>Polar Star</t>
  </si>
  <si>
    <t>Skyward Harp</t>
  </si>
  <si>
    <t>Elegy for the End</t>
  </si>
  <si>
    <t>Aqua Simulacra</t>
  </si>
  <si>
    <t>Amos' Bow</t>
  </si>
  <si>
    <t>Thundering Pulse</t>
  </si>
  <si>
    <t>Hunter's Path</t>
  </si>
  <si>
    <t>Skyrider Sword</t>
  </si>
  <si>
    <t>Cool Steel</t>
  </si>
  <si>
    <t>Harbinger of Dawn</t>
  </si>
  <si>
    <t>Iron Sting</t>
  </si>
  <si>
    <t>Lion's Roar</t>
  </si>
  <si>
    <t>Prototype Rancour</t>
  </si>
  <si>
    <t>Royal Longsword</t>
  </si>
  <si>
    <t>Sacrificial Sword</t>
  </si>
  <si>
    <t>The Flute</t>
  </si>
  <si>
    <t>Blackcliff Longsword</t>
  </si>
  <si>
    <t>The Black Sword</t>
  </si>
  <si>
    <t>Favonius Sword</t>
  </si>
  <si>
    <t>The Alley Flash</t>
  </si>
  <si>
    <t>Festering Desire</t>
  </si>
  <si>
    <t>Amenoma Kageuchi</t>
  </si>
  <si>
    <t>Cinnabar Spindle</t>
  </si>
  <si>
    <t>Cursed Blade</t>
  </si>
  <si>
    <t>Sapwood Blade</t>
  </si>
  <si>
    <t>Aquila Favonia</t>
  </si>
  <si>
    <t>Summit Shaper</t>
  </si>
  <si>
    <t>Primordial Jade Cutter</t>
  </si>
  <si>
    <t>Freedom-Sworn</t>
  </si>
  <si>
    <t>Skyward Blade</t>
  </si>
  <si>
    <t>Mistsplitter Reforged</t>
  </si>
  <si>
    <t>Bloodtainted Greatsword</t>
  </si>
  <si>
    <t>Akuoumaru</t>
  </si>
  <si>
    <t>Favonius Greatsword</t>
  </si>
  <si>
    <t>Prototype Archaic</t>
  </si>
  <si>
    <t>Rainslasher</t>
  </si>
  <si>
    <t>Royal Greatsword</t>
  </si>
  <si>
    <t>The Bell</t>
  </si>
  <si>
    <t>Whiteblind</t>
  </si>
  <si>
    <t>Serpent Spine</t>
  </si>
  <si>
    <t>Lithic Blade</t>
  </si>
  <si>
    <t>Sacrificial Greatsword</t>
  </si>
  <si>
    <t>Snow-Tombed Starsilver</t>
  </si>
  <si>
    <t>Blackcliff Slasher</t>
  </si>
  <si>
    <t>Katsuragikiri Nagamasa</t>
  </si>
  <si>
    <t>Luxurious Sea-Lord</t>
  </si>
  <si>
    <t>Forest Regalia</t>
  </si>
  <si>
    <t>The Unforged</t>
  </si>
  <si>
    <t>Song of Broken Pines</t>
  </si>
  <si>
    <t>Skyward Pride</t>
  </si>
  <si>
    <t>Wolf's Gravestone</t>
  </si>
  <si>
    <t>Redhorn Stonethresher</t>
  </si>
  <si>
    <t>Thrilling Tales of Dragon Slayers</t>
  </si>
  <si>
    <t>Magic Guide</t>
  </si>
  <si>
    <t>Oathsworn Eye</t>
  </si>
  <si>
    <t>Eye of Perception</t>
  </si>
  <si>
    <t>Frostbearer</t>
  </si>
  <si>
    <t>Prototype Amber</t>
  </si>
  <si>
    <t>Wine and Song</t>
  </si>
  <si>
    <t>Favonius Codex</t>
  </si>
  <si>
    <t>Dodoco Tales</t>
  </si>
  <si>
    <t>Hakushin Ring</t>
  </si>
  <si>
    <t>The Widsith</t>
  </si>
  <si>
    <t>Solar Pearl</t>
  </si>
  <si>
    <t>Sacrificial Fragments</t>
  </si>
  <si>
    <t>Royal Grimoire</t>
  </si>
  <si>
    <t>Blackcliff Agate</t>
  </si>
  <si>
    <t>Mappa Mare</t>
  </si>
  <si>
    <t>Fruit of Fulfillment</t>
  </si>
  <si>
    <t>Kagura's Verity</t>
  </si>
  <si>
    <t>Everlasting Moonglow</t>
  </si>
  <si>
    <t>Memory of Dust</t>
  </si>
  <si>
    <t>Skyward Atlas</t>
  </si>
  <si>
    <t>Lost Prayer to the Sacred Winds</t>
  </si>
  <si>
    <t>Key of Khaj-Nisut</t>
  </si>
  <si>
    <t>Staff of the Scarlet Sands</t>
  </si>
  <si>
    <t>Xiphos' Moonlight</t>
  </si>
  <si>
    <t>Makhaira Aquamarine</t>
  </si>
  <si>
    <t>Wandering Evenstar</t>
  </si>
  <si>
    <t>Missive Windspear</t>
  </si>
  <si>
    <t>A Thousand Floating Dreams</t>
  </si>
  <si>
    <t>Tullaytullah's Remembrance</t>
  </si>
  <si>
    <t>Toukabou Shigure</t>
  </si>
  <si>
    <t>Light of Foliar Incision</t>
  </si>
  <si>
    <t>Haran Geppaku Futsu</t>
  </si>
  <si>
    <t>Beacon of the Reed Sea</t>
  </si>
  <si>
    <t>Mailed Flower</t>
  </si>
  <si>
    <t>Jadefall's Splendor</t>
  </si>
  <si>
    <t>Ibis Piercer</t>
  </si>
  <si>
    <t>Wolf-Fang</t>
  </si>
  <si>
    <t>Finale of the Deep</t>
  </si>
  <si>
    <t>Crossing of Fleuve Cendre</t>
  </si>
  <si>
    <t>Talking Stick</t>
  </si>
  <si>
    <t>Tidal Shadow</t>
  </si>
  <si>
    <t>Ballad of the Fjords</t>
  </si>
  <si>
    <t>Rightful Reward</t>
  </si>
  <si>
    <t>Sacrificial Jade</t>
  </si>
  <si>
    <t>Flowing Purity</t>
  </si>
  <si>
    <t>Scion of the Blazing Sun</t>
  </si>
  <si>
    <t>Song of Stillness</t>
  </si>
  <si>
    <t>The First Great Magic</t>
  </si>
  <si>
    <t>Cashflow Supervision</t>
  </si>
  <si>
    <t>Tome of the Eternal Flow</t>
  </si>
  <si>
    <t>Prospector's Drill</t>
  </si>
  <si>
    <t>Portable Power Saw</t>
  </si>
  <si>
    <t>Range Gauge</t>
  </si>
  <si>
    <t>The Dock</t>
  </si>
  <si>
    <t>Ballad of the Boundless Blue</t>
  </si>
  <si>
    <t>Splendor of Still Waters</t>
  </si>
  <si>
    <t>Sword of Narzissenkreuz</t>
  </si>
  <si>
    <t>Staff of Homa (&gt;50%)</t>
  </si>
  <si>
    <t>Reckless Cinnabar</t>
  </si>
  <si>
    <t>Heat Haze at Horizon's End</t>
  </si>
  <si>
    <t>Timeless Dream: Eternal Stove</t>
  </si>
  <si>
    <t>Protector's Virtue</t>
  </si>
  <si>
    <t>Whisper of the Jinn</t>
  </si>
  <si>
    <t>Desert Pavillion</t>
  </si>
  <si>
    <t>Wildling Nightstar</t>
  </si>
  <si>
    <t>Mitternacths Waltz</t>
  </si>
  <si>
    <t>Kagotsurube Isshin</t>
  </si>
  <si>
    <t>Dark Iron Sword</t>
  </si>
  <si>
    <t>TPulse 1 Stack NA DMG%</t>
  </si>
  <si>
    <t>TPulse 2 Stacks NA DMG%</t>
  </si>
  <si>
    <t>TPulse 3 Stacks NA DMG%</t>
  </si>
  <si>
    <t>Polar Star 1 Stack ATK%</t>
  </si>
  <si>
    <t>Polar Star 2 Stacks ATK%</t>
  </si>
  <si>
    <t>Polar Star 3 Stacks ATK%</t>
  </si>
  <si>
    <t>Polar Star 4 Stacks ATK%</t>
  </si>
  <si>
    <t>Elegy EM</t>
  </si>
  <si>
    <t>Elegy ATK%</t>
  </si>
  <si>
    <t>Amos NA/CA DMG% Stack</t>
  </si>
  <si>
    <t>Squire EM</t>
  </si>
  <si>
    <t>Hamayumi Full Energy NA DMG%</t>
  </si>
  <si>
    <t>Hamayumi Full Energy CA DMG%</t>
  </si>
  <si>
    <t>Windblume ATK%</t>
  </si>
  <si>
    <t>Mitternacths DMG%</t>
  </si>
  <si>
    <t>Alley Hunter DMG% Stack</t>
  </si>
  <si>
    <t>Blackcliff ATK%</t>
  </si>
  <si>
    <t>Compound ATK%</t>
  </si>
  <si>
    <t>Prototype ATK%</t>
  </si>
  <si>
    <t>Kagura Skill DMG Stack</t>
  </si>
  <si>
    <t>Kagura Elem DMG%</t>
  </si>
  <si>
    <t>MoD ATK% Stack</t>
  </si>
  <si>
    <t>LP Elem DMG%</t>
  </si>
  <si>
    <t>Fruit EM Stack</t>
  </si>
  <si>
    <t>Fruit -ATK% Stack</t>
  </si>
  <si>
    <t>Evenstar team ATK buff</t>
  </si>
  <si>
    <t>Oathsworn ER%</t>
  </si>
  <si>
    <t>Hakushin DMG%</t>
  </si>
  <si>
    <t>Dodoco ATK%</t>
  </si>
  <si>
    <t>Dodoco CA DMG%</t>
  </si>
  <si>
    <t>W&amp;S ATK%</t>
  </si>
  <si>
    <t>Mappa Mare Elem DMG% Stack</t>
  </si>
  <si>
    <t>Solar Pearl NA/Skill/Burst DMG%</t>
  </si>
  <si>
    <t>Widsith DMG%</t>
  </si>
  <si>
    <t>Widsith ATK%</t>
  </si>
  <si>
    <t>Widsith EM</t>
  </si>
  <si>
    <t>TTDS ATK%</t>
  </si>
  <si>
    <t>SoSS ATK Stack</t>
  </si>
  <si>
    <t>EL ER%</t>
  </si>
  <si>
    <t>CQ ATK% Stack</t>
  </si>
  <si>
    <t>PJWS ATK% Stack</t>
  </si>
  <si>
    <t>PJWS DMG%</t>
  </si>
  <si>
    <t>VV ATK%</t>
  </si>
  <si>
    <t>Windspear ATK%</t>
  </si>
  <si>
    <t>Windspear EM</t>
  </si>
  <si>
    <t>Moonpiercer ATK%</t>
  </si>
  <si>
    <t>Deathmatch ATK%</t>
  </si>
  <si>
    <t>Deathmatch ATK+DEF%</t>
  </si>
  <si>
    <t>Starglitter NA/CA DMG%</t>
  </si>
  <si>
    <t>Unforged ATK%</t>
  </si>
  <si>
    <t>SoBP ATK%</t>
  </si>
  <si>
    <t>WGS ATK%</t>
  </si>
  <si>
    <t>Regalia EM</t>
  </si>
  <si>
    <t>Aquamarine team ATK buff</t>
  </si>
  <si>
    <t>Spine DMG%</t>
  </si>
  <si>
    <t>Whiteblind ATK/DEF%</t>
  </si>
  <si>
    <t>Key EM Stack</t>
  </si>
  <si>
    <t>Key team EM Buff</t>
  </si>
  <si>
    <t>Haran NA DMG% Stack</t>
  </si>
  <si>
    <t>MS 1 Stack DMG%</t>
  </si>
  <si>
    <t>MS 2 Stack DMG%</t>
  </si>
  <si>
    <t>MS 3 Stack DMG%</t>
  </si>
  <si>
    <t>Summit Shaper ATK%</t>
  </si>
  <si>
    <t>Xiphos team ER% buff</t>
  </si>
  <si>
    <t>Sapwood EM</t>
  </si>
  <si>
    <t>Isshin ATK%</t>
  </si>
  <si>
    <t>Aqua DMG%</t>
  </si>
  <si>
    <t>Alley Flash DMG%</t>
  </si>
  <si>
    <t>Iron Sting DMG% Stack</t>
  </si>
  <si>
    <t>Dark Iron Sword ATK%</t>
  </si>
  <si>
    <t>HoD Crit Rate%</t>
  </si>
  <si>
    <t>The Bell DMG%</t>
  </si>
  <si>
    <t>TFD EM Share</t>
  </si>
  <si>
    <t>TFD Self EM Buff Stack</t>
  </si>
  <si>
    <t>TFD DMG% Buff</t>
  </si>
  <si>
    <t>Alaya Passive DMG% Stack</t>
  </si>
  <si>
    <t>Alaya Active DMG% Stack</t>
  </si>
  <si>
    <t>Umbrella DMG%</t>
  </si>
  <si>
    <t>Beacon ATK% Buff Stack</t>
  </si>
  <si>
    <t>Beacon HP% Buff</t>
  </si>
  <si>
    <t>Mailed Flower ATK%</t>
  </si>
  <si>
    <t>Mailed Flower EM</t>
  </si>
  <si>
    <t>Jadefall Splendor DMG%</t>
  </si>
  <si>
    <t>Ibis Piercer EM Stack</t>
  </si>
  <si>
    <t>FGM 1 Stack ATK%</t>
  </si>
  <si>
    <t>FGM 2 Stack ATK%</t>
  </si>
  <si>
    <t>FGM 3 Stack ATK%</t>
  </si>
  <si>
    <t>Wolf-Fang Skill/Burst CR Stack</t>
  </si>
  <si>
    <t>Finale ATK%</t>
  </si>
  <si>
    <t>Finale Flat ATK</t>
  </si>
  <si>
    <t>Crossing ER%</t>
  </si>
  <si>
    <t>Talking Stick Pyro ATK%</t>
  </si>
  <si>
    <t>Talking Stick Other DMG%</t>
  </si>
  <si>
    <t>Tidal Shadow ATK%</t>
  </si>
  <si>
    <t>Ballad EM</t>
  </si>
  <si>
    <t>Jade HP%</t>
  </si>
  <si>
    <t>Jade EM</t>
  </si>
  <si>
    <t>FP Initial DMG%</t>
  </si>
  <si>
    <t>FP Cleared DMG%</t>
  </si>
  <si>
    <t>Scion CA DMG%</t>
  </si>
  <si>
    <t>Song DMG%</t>
  </si>
  <si>
    <t>Cashflow NA DMG% Stack</t>
  </si>
  <si>
    <t>Cashflow CA DMG% Stack</t>
  </si>
  <si>
    <t>Rite CA DMG% Stack</t>
  </si>
  <si>
    <t>Drill ATK% Stack</t>
  </si>
  <si>
    <t>Drill DMG% Stack</t>
  </si>
  <si>
    <t>Saw EM Stack</t>
  </si>
  <si>
    <t>Gauge ATK% Stack</t>
  </si>
  <si>
    <t>Gauge DMG% Stack</t>
  </si>
  <si>
    <t>Dock EM Stack</t>
  </si>
  <si>
    <t>Ballad CA DMG% Stack</t>
  </si>
  <si>
    <t>Ballad NA DMG% Stack</t>
  </si>
  <si>
    <t>Artifact Set (1)</t>
  </si>
  <si>
    <t>2pc Exile</t>
  </si>
  <si>
    <t>2pc Instructor's</t>
  </si>
  <si>
    <t>2pc Glad</t>
  </si>
  <si>
    <t>2pc WT</t>
  </si>
  <si>
    <t>2pc NO</t>
  </si>
  <si>
    <t>2pc BsC</t>
  </si>
  <si>
    <t>2pc Maiden's</t>
  </si>
  <si>
    <t>2pc VV</t>
  </si>
  <si>
    <t>2pc AP</t>
  </si>
  <si>
    <t>2pc Bolide</t>
  </si>
  <si>
    <t>2pc TS</t>
  </si>
  <si>
    <t>2pc TF</t>
  </si>
  <si>
    <t>2pc LW</t>
  </si>
  <si>
    <t>2pc CW</t>
  </si>
  <si>
    <t>2pc BS</t>
  </si>
  <si>
    <t>2pc HoD</t>
  </si>
  <si>
    <t>2pc TotM</t>
  </si>
  <si>
    <t>2pc PF</t>
  </si>
  <si>
    <t>2pc SR</t>
  </si>
  <si>
    <t>2pc EOSF</t>
  </si>
  <si>
    <t>2pc Husk</t>
  </si>
  <si>
    <t>2pc OHC</t>
  </si>
  <si>
    <t>2pc Verm</t>
  </si>
  <si>
    <t>2pc Echoes</t>
  </si>
  <si>
    <t>2pc Deepwood</t>
  </si>
  <si>
    <t>2pc GD</t>
  </si>
  <si>
    <t>2pc FLoP</t>
  </si>
  <si>
    <t>2pc DPC</t>
  </si>
  <si>
    <t>2pc Nymph</t>
  </si>
  <si>
    <t>2pc Glow</t>
  </si>
  <si>
    <t>2pc Hunter</t>
  </si>
  <si>
    <t>2pc Golden Troupe</t>
  </si>
  <si>
    <t>Artifact Set (2)</t>
  </si>
  <si>
    <t>4pc Exile</t>
  </si>
  <si>
    <t>4pc Instructor's</t>
  </si>
  <si>
    <t>4pc Glad</t>
  </si>
  <si>
    <t>4pc WT</t>
  </si>
  <si>
    <t>4pc NO</t>
  </si>
  <si>
    <t>4pc BsC</t>
  </si>
  <si>
    <t>4pc Maiden's</t>
  </si>
  <si>
    <t>4pc VV</t>
  </si>
  <si>
    <t>4pc AP</t>
  </si>
  <si>
    <t>4pc Bolide</t>
  </si>
  <si>
    <t>4pc TS</t>
  </si>
  <si>
    <t>4pc TF</t>
  </si>
  <si>
    <t>4pc LW</t>
  </si>
  <si>
    <t>4pc CW</t>
  </si>
  <si>
    <t>4pc BS</t>
  </si>
  <si>
    <t>4pc HoD</t>
  </si>
  <si>
    <t>4pc TotM</t>
  </si>
  <si>
    <t>4pc PF</t>
  </si>
  <si>
    <t>4pc SR</t>
  </si>
  <si>
    <t>4pc EOSF</t>
  </si>
  <si>
    <t>4pc Husk</t>
  </si>
  <si>
    <t>4pc OHC</t>
  </si>
  <si>
    <t>4pc Verm</t>
  </si>
  <si>
    <t>4pc Echoes</t>
  </si>
  <si>
    <t>4pc Deepwood</t>
  </si>
  <si>
    <t>4pc GD</t>
  </si>
  <si>
    <t>4pc FLoP</t>
  </si>
  <si>
    <t>4pc DPC</t>
  </si>
  <si>
    <t>4pc Nymph</t>
  </si>
  <si>
    <t>4pc Glow</t>
  </si>
  <si>
    <t>4pc Hunter</t>
  </si>
  <si>
    <t>4pc Golden Troupe</t>
  </si>
  <si>
    <t>CW Pyro DMG Stack</t>
  </si>
  <si>
    <t>Maiden's IHB</t>
  </si>
  <si>
    <t>VV Res Shred</t>
  </si>
  <si>
    <t>Noblesse ATK%</t>
  </si>
  <si>
    <t>BsC CA DMG</t>
  </si>
  <si>
    <t>AP DMG%</t>
  </si>
  <si>
    <t>Bolide NA/CA DMG%</t>
  </si>
  <si>
    <t>HoD CA/NA DMG%</t>
  </si>
  <si>
    <t>TotM Shield Strength</t>
  </si>
  <si>
    <t>TotM ATK%</t>
  </si>
  <si>
    <t>PF ATK% Stack</t>
  </si>
  <si>
    <t>PF PHYS DMG</t>
  </si>
  <si>
    <t>SR NA/CA/Plunge DMG%</t>
  </si>
  <si>
    <t>Husk DEF/Geo DMG% Stack</t>
  </si>
  <si>
    <t>Verm ATK% On Cast</t>
  </si>
  <si>
    <t>Verm ATK% From Damage stack</t>
  </si>
  <si>
    <t>Deepwood Dendro Shred</t>
  </si>
  <si>
    <t>GD ATK% Stack</t>
  </si>
  <si>
    <t>GD EM Stack</t>
  </si>
  <si>
    <t>Instructor's EM Bonus</t>
  </si>
  <si>
    <t>Bloom DMG% Stack</t>
  </si>
  <si>
    <t>DPC NA/CA/P DMG%</t>
  </si>
  <si>
    <t>Nymph 1 Stack ATK%</t>
  </si>
  <si>
    <t>Nymph 1 Stack DMG%</t>
  </si>
  <si>
    <t>Nymph 2 Stack ATK%</t>
  </si>
  <si>
    <t>Nymph 2 Stack DMG%</t>
  </si>
  <si>
    <t>Nymph 3 Stack ATK%</t>
  </si>
  <si>
    <t>Nymph 3 Stack DMG%</t>
  </si>
  <si>
    <t>Glow DMG% Stack</t>
  </si>
  <si>
    <t>Hunter CR% Stack</t>
  </si>
  <si>
    <t>Golden Troupe Skill DMG%</t>
  </si>
  <si>
    <t>Constellations</t>
  </si>
  <si>
    <t>C4,C5,C6</t>
  </si>
  <si>
    <t>C6</t>
  </si>
  <si>
    <t>C1,C2,C3,C4,C5,C6</t>
  </si>
  <si>
    <t>C2,C3,C4,C5,C6</t>
  </si>
  <si>
    <t>C4 Def Shred</t>
  </si>
  <si>
    <t>C6 CA DMG%</t>
  </si>
  <si>
    <t>C1 Skill DMG%</t>
  </si>
  <si>
    <t>C4 Anemo Shred</t>
  </si>
  <si>
    <t>C6 Res Shred</t>
  </si>
  <si>
    <t>C1 Crit Rate</t>
  </si>
  <si>
    <t>C2 Electro Shred</t>
  </si>
  <si>
    <t>C6 DMG%</t>
  </si>
  <si>
    <t>C2 Hydro DMG%</t>
  </si>
  <si>
    <t>C2 ATK% Stack</t>
  </si>
  <si>
    <t>C4 Skill DMG%</t>
  </si>
  <si>
    <t>C6 NA DMG%</t>
  </si>
  <si>
    <t>C1 DMG%</t>
  </si>
  <si>
    <t>C2 CR to low HP</t>
  </si>
  <si>
    <t>C2 Pyro DMG on BB Boom</t>
  </si>
  <si>
    <t>C6 ATK% Buff</t>
  </si>
  <si>
    <t>C2 Res Shred Stack</t>
  </si>
  <si>
    <t>C4 Anemo DMG%</t>
  </si>
  <si>
    <t>C1 Pyro Shred</t>
  </si>
  <si>
    <t>C6 Pyro DMG</t>
  </si>
  <si>
    <t>C6 Electro Shred</t>
  </si>
  <si>
    <t>C2 Res Shred</t>
  </si>
  <si>
    <t>C2 Def Shred</t>
  </si>
  <si>
    <t>C6 Pyro DMG%</t>
  </si>
  <si>
    <t>C4 DMG% Stack</t>
  </si>
  <si>
    <t>C4 Plunging DMG%</t>
  </si>
  <si>
    <t>C6 EM</t>
  </si>
  <si>
    <t>C1 DMG% to Hydro Reactions</t>
  </si>
  <si>
    <t>C4 Crit Rate</t>
  </si>
  <si>
    <t>C6 CA DMG% Stack</t>
  </si>
  <si>
    <t>C4 ATK%</t>
  </si>
  <si>
    <t>C6 Electro DMG% Stack</t>
  </si>
  <si>
    <t>C2 Burst Crit Rate</t>
  </si>
  <si>
    <t>C4 Phys Shred</t>
  </si>
  <si>
    <t>C6 ATK while spin</t>
  </si>
  <si>
    <t>C1 NA DMG%</t>
  </si>
  <si>
    <t>C6 Phys Shred</t>
  </si>
  <si>
    <t>C4 Crit Rate Buff</t>
  </si>
  <si>
    <t>C6 Crit Rate</t>
  </si>
  <si>
    <t>C2 EM Buff</t>
  </si>
  <si>
    <t>C6 DMG% Buff</t>
  </si>
  <si>
    <t>C4 CA Crit Rate to low</t>
  </si>
  <si>
    <t>C1 ATK%</t>
  </si>
  <si>
    <t>C2 Pyro DMG%</t>
  </si>
  <si>
    <t>C1 Phys DMG%</t>
  </si>
  <si>
    <t>C4 Burst DMG to low</t>
  </si>
  <si>
    <t>C2 DMG% Stack</t>
  </si>
  <si>
    <t>C6 Hydro DMG%</t>
  </si>
  <si>
    <t>C6 1 Stack Geo CD</t>
  </si>
  <si>
    <t>C6 2 Stack Geo CD</t>
  </si>
  <si>
    <t>C6 3 Stack Geo CD</t>
  </si>
  <si>
    <t>C6 Electro CD</t>
  </si>
  <si>
    <t>C4 ATK%/DEF%</t>
  </si>
  <si>
    <t>C6 CA Crit Damage</t>
  </si>
  <si>
    <t>C4 Electro DMG%</t>
  </si>
  <si>
    <t>C6 Skill CR Stack</t>
  </si>
  <si>
    <t>C6 4 Stack Skill CD</t>
  </si>
  <si>
    <t>C4 HP% Stack</t>
  </si>
  <si>
    <t>C2 Cryo CD</t>
  </si>
  <si>
    <t>C4 Skill DMG% Stack</t>
  </si>
  <si>
    <t>C2 NA DMG%</t>
  </si>
  <si>
    <t>C4 DEF%</t>
  </si>
  <si>
    <t>C1 NA DMG% to low</t>
  </si>
  <si>
    <t>C2 HP%</t>
  </si>
  <si>
    <t>C4 EM buff</t>
  </si>
  <si>
    <t>C2 Dendro DMG%</t>
  </si>
  <si>
    <t>C4 EM Buff Stack</t>
  </si>
  <si>
    <t>C1 Watery Moon DMG%</t>
  </si>
  <si>
    <t>C4 Burst DMG%</t>
  </si>
  <si>
    <t>C4 Flat DMG</t>
  </si>
  <si>
    <t>C6 Star DMG%</t>
  </si>
  <si>
    <t>C2 DEF Shred</t>
  </si>
  <si>
    <t>C4 Base EM Buff</t>
  </si>
  <si>
    <t>C4 EM Stack</t>
  </si>
  <si>
    <t>C6 Anemo CDmg</t>
  </si>
  <si>
    <t>C2 Burst DMG% Stack</t>
  </si>
  <si>
    <t>C1 Dendro DMG%</t>
  </si>
  <si>
    <t>C4 EM Self Buff</t>
  </si>
  <si>
    <t>C2 EM Stack</t>
  </si>
  <si>
    <t>C4 Team EM Stack</t>
  </si>
  <si>
    <t>C4 Self Dendro DMG% Stack</t>
  </si>
  <si>
    <t>C6 Crit Damage</t>
  </si>
  <si>
    <t>C6 Phys Crit Damage</t>
  </si>
  <si>
    <t>C2 Skill DMG%</t>
  </si>
  <si>
    <t>C6 Burst Crit DMG Stack</t>
  </si>
  <si>
    <t>C4 team EM buff</t>
  </si>
  <si>
    <t>C1 IHB</t>
  </si>
  <si>
    <t>C4 Dendro Core DMG%</t>
  </si>
  <si>
    <t>C6 Elemental DMG%</t>
  </si>
  <si>
    <t>C6 Anemo DMG%</t>
  </si>
  <si>
    <t>C2 CDMG% Stack</t>
  </si>
  <si>
    <t>C4 Pyro Shred</t>
  </si>
  <si>
    <t>C1 Shattering Pressure CR%</t>
  </si>
  <si>
    <t>C4 ATK% Stack</t>
  </si>
  <si>
    <t>C6 CDMG% Stack</t>
  </si>
  <si>
    <t>C1 Coordinated Attack</t>
  </si>
  <si>
    <t>Resonance</t>
  </si>
  <si>
    <t>Hydro</t>
  </si>
  <si>
    <t>Pyro</t>
  </si>
  <si>
    <t>Dendro</t>
  </si>
  <si>
    <t>Geo</t>
  </si>
  <si>
    <t>Cryo</t>
  </si>
  <si>
    <t>Hydro Reso HP%</t>
  </si>
  <si>
    <t>Pyro Reso ATK%</t>
  </si>
  <si>
    <t>Dendro Reso Lvl1 EM</t>
  </si>
  <si>
    <t>Dendro Reso Lvl2 EM</t>
  </si>
  <si>
    <t>Dendro Reso Lvl3 EM</t>
  </si>
  <si>
    <t>Geo Reso DMG%</t>
  </si>
  <si>
    <t>Geo Reso Shield Strength</t>
  </si>
  <si>
    <t>Geo Reso Res Shred</t>
  </si>
  <si>
    <t>Cryo Reso Crit Rate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</si>
</sst>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4">
    <font>
      <sz val="10.0"/>
      <color rgb="FF000000"/>
      <name val="Verdana"/>
      <scheme val="minor"/>
    </font>
    <font>
      <color theme="1"/>
      <name val="Verdana"/>
      <scheme val="minor"/>
    </font>
    <font/>
    <font>
      <u/>
      <color rgb="FF0000FF"/>
    </font>
    <font>
      <u/>
      <color rgb="FF1F3E78"/>
    </font>
    <font>
      <u/>
      <color rgb="FF1F3E78"/>
    </font>
    <font>
      <sz val="18.0"/>
      <color theme="1"/>
      <name val="Verdana"/>
      <scheme val="minor"/>
    </font>
    <font>
      <sz val="10.0"/>
      <color theme="1"/>
      <name val="Verdana"/>
      <scheme val="minor"/>
    </font>
    <font>
      <color rgb="FFFFFFFF"/>
      <name val="Verdana"/>
      <scheme val="minor"/>
    </font>
    <font>
      <sz val="11.0"/>
      <color rgb="FFFFFFFF"/>
      <name val="Inconsolata"/>
    </font>
    <font>
      <color theme="1"/>
      <name val="Verdana"/>
    </font>
    <font>
      <color theme="1"/>
      <name val="Arial"/>
    </font>
    <font>
      <sz val="11.0"/>
      <color rgb="FF000000"/>
      <name val="Inconsolata"/>
    </font>
    <font>
      <sz val="9.0"/>
      <color rgb="FF000000"/>
      <name val="&quot;Google Sans Mono&quot;"/>
    </font>
  </fonts>
  <fills count="19">
    <fill>
      <patternFill patternType="none"/>
    </fill>
    <fill>
      <patternFill patternType="lightGray"/>
    </fill>
    <fill>
      <patternFill patternType="solid">
        <fgColor rgb="FFF4CCCC"/>
        <bgColor rgb="FFF4CCCC"/>
      </patternFill>
    </fill>
    <fill>
      <patternFill patternType="solid">
        <fgColor rgb="FFCCCCCC"/>
        <bgColor rgb="FFCCCCCC"/>
      </patternFill>
    </fill>
    <fill>
      <patternFill patternType="solid">
        <fgColor rgb="FF000000"/>
        <bgColor rgb="FF000000"/>
      </patternFill>
    </fill>
    <fill>
      <patternFill patternType="solid">
        <fgColor rgb="FFD9EAD3"/>
        <bgColor rgb="FFD9EAD3"/>
      </patternFill>
    </fill>
    <fill>
      <patternFill patternType="solid">
        <fgColor rgb="FFD9D9D9"/>
        <bgColor rgb="FFD9D9D9"/>
      </patternFill>
    </fill>
    <fill>
      <patternFill patternType="solid">
        <fgColor rgb="FFEFEFEF"/>
        <bgColor rgb="FFEFEFEF"/>
      </patternFill>
    </fill>
    <fill>
      <patternFill patternType="solid">
        <fgColor rgb="FFD9D2E9"/>
        <bgColor rgb="FFD9D2E9"/>
      </patternFill>
    </fill>
    <fill>
      <patternFill patternType="solid">
        <fgColor rgb="FFFFFFFF"/>
        <bgColor rgb="FFFFFFFF"/>
      </patternFill>
    </fill>
    <fill>
      <patternFill patternType="solid">
        <fgColor rgb="FF9FC5E8"/>
        <bgColor rgb="FF9FC5E8"/>
      </patternFill>
    </fill>
    <fill>
      <patternFill patternType="solid">
        <fgColor rgb="FFB7B7B7"/>
        <bgColor rgb="FFB7B7B7"/>
      </patternFill>
    </fill>
    <fill>
      <patternFill patternType="solid">
        <fgColor theme="0"/>
        <bgColor theme="0"/>
      </patternFill>
    </fill>
    <fill>
      <patternFill patternType="solid">
        <fgColor rgb="FFCFE2F3"/>
        <bgColor rgb="FFCFE2F3"/>
      </patternFill>
    </fill>
    <fill>
      <patternFill patternType="solid">
        <fgColor rgb="FFB7E1CD"/>
        <bgColor rgb="FFB7E1CD"/>
      </patternFill>
    </fill>
    <fill>
      <patternFill patternType="solid">
        <fgColor rgb="FFFFF2CC"/>
        <bgColor rgb="FFFFF2CC"/>
      </patternFill>
    </fill>
    <fill>
      <patternFill patternType="solid">
        <fgColor rgb="FFEAD1DC"/>
        <bgColor rgb="FFEAD1DC"/>
      </patternFill>
    </fill>
    <fill>
      <patternFill patternType="solid">
        <fgColor rgb="FFF3F3F3"/>
        <bgColor rgb="FFF3F3F3"/>
      </patternFill>
    </fill>
    <fill>
      <patternFill patternType="solid">
        <fgColor rgb="FFD5A6BD"/>
        <bgColor rgb="FFD5A6BD"/>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4" fillId="0" fontId="1" numFmtId="0" xfId="0" applyAlignment="1" applyBorder="1" applyFont="1">
      <alignment readingOrder="0"/>
    </xf>
    <xf borderId="1" fillId="0" fontId="1" numFmtId="0" xfId="0" applyAlignment="1" applyBorder="1" applyFont="1">
      <alignment readingOrder="0"/>
    </xf>
    <xf borderId="0" fillId="2" fontId="1" numFmtId="0" xfId="0" applyAlignment="1" applyFill="1" applyFont="1">
      <alignment readingOrder="0" shrinkToFit="0" wrapText="1"/>
    </xf>
    <xf borderId="4" fillId="0" fontId="1" numFmtId="49" xfId="0" applyAlignment="1" applyBorder="1" applyFont="1" applyNumberFormat="1">
      <alignment readingOrder="0"/>
    </xf>
    <xf borderId="4" fillId="0" fontId="1" numFmtId="164" xfId="0" applyAlignment="1" applyBorder="1" applyFont="1" applyNumberFormat="1">
      <alignment readingOrder="0"/>
    </xf>
    <xf borderId="0" fillId="0" fontId="1" numFmtId="0" xfId="0" applyAlignment="1" applyFont="1">
      <alignment readingOrder="0" shrinkToFit="0" wrapText="1"/>
    </xf>
    <xf borderId="0" fillId="0" fontId="1" numFmtId="0" xfId="0" applyAlignment="1" applyFont="1">
      <alignment readingOrder="0"/>
    </xf>
    <xf borderId="0" fillId="2" fontId="1" numFmtId="0" xfId="0" applyAlignment="1" applyFont="1">
      <alignment readingOrder="0"/>
    </xf>
    <xf borderId="5" fillId="0" fontId="1" numFmtId="0" xfId="0" applyAlignment="1" applyBorder="1" applyFont="1">
      <alignment horizontal="left" readingOrder="0"/>
    </xf>
    <xf borderId="6" fillId="0" fontId="2" numFmtId="0" xfId="0" applyBorder="1" applyFont="1"/>
    <xf borderId="7" fillId="0" fontId="2" numFmtId="0" xfId="0" applyBorder="1" applyFont="1"/>
    <xf borderId="8" fillId="0" fontId="1" numFmtId="0" xfId="0" applyAlignment="1" applyBorder="1" applyFont="1">
      <alignment readingOrder="0" shrinkToFit="0" wrapText="1"/>
    </xf>
    <xf borderId="9" fillId="0" fontId="2" numFmtId="0" xfId="0" applyBorder="1" applyFont="1"/>
    <xf borderId="10" fillId="0" fontId="2" numFmtId="0" xfId="0" applyBorder="1" applyFont="1"/>
    <xf borderId="5" fillId="0" fontId="1" numFmtId="0" xfId="0" applyAlignment="1" applyBorder="1" applyFont="1">
      <alignment horizontal="center" readingOrder="0"/>
    </xf>
    <xf borderId="11" fillId="0" fontId="2" numFmtId="0" xfId="0" applyBorder="1" applyFont="1"/>
    <xf borderId="12" fillId="0" fontId="2" numFmtId="0" xfId="0" applyBorder="1" applyFont="1"/>
    <xf borderId="4" fillId="0" fontId="1" numFmtId="0" xfId="0" applyBorder="1" applyFont="1"/>
    <xf borderId="1" fillId="0" fontId="1" numFmtId="0" xfId="0" applyBorder="1" applyFont="1"/>
    <xf borderId="4" fillId="0" fontId="3" numFmtId="0" xfId="0" applyAlignment="1" applyBorder="1" applyFont="1">
      <alignment readingOrder="0"/>
    </xf>
    <xf borderId="1" fillId="0" fontId="1" numFmtId="0" xfId="0" applyAlignment="1" applyBorder="1" applyFont="1">
      <alignment readingOrder="0" shrinkToFit="0" wrapText="1"/>
    </xf>
    <xf borderId="1" fillId="0" fontId="1" numFmtId="0" xfId="0" applyAlignment="1" applyBorder="1" applyFont="1">
      <alignment shrinkToFit="0" wrapText="1"/>
    </xf>
    <xf borderId="4" fillId="0" fontId="4" numFmtId="0" xfId="0" applyAlignment="1" applyBorder="1" applyFont="1">
      <alignment readingOrder="0"/>
    </xf>
    <xf borderId="8" fillId="0" fontId="1" numFmtId="0" xfId="0" applyAlignment="1" applyBorder="1" applyFont="1">
      <alignment horizontal="left" readingOrder="0" shrinkToFit="0" wrapText="1"/>
    </xf>
    <xf borderId="5" fillId="0" fontId="2" numFmtId="0" xfId="0" applyBorder="1" applyFont="1"/>
    <xf borderId="0" fillId="0" fontId="1" numFmtId="0" xfId="0" applyAlignment="1" applyFont="1">
      <alignment horizontal="left" readingOrder="0" shrinkToFit="0" wrapText="1"/>
    </xf>
    <xf borderId="1" fillId="0" fontId="1" numFmtId="0" xfId="0" applyAlignment="1" applyBorder="1" applyFont="1">
      <alignment horizontal="left" readingOrder="0"/>
    </xf>
    <xf borderId="0" fillId="0" fontId="1" numFmtId="0" xfId="0" applyAlignment="1" applyFont="1">
      <alignment horizontal="left" readingOrder="0"/>
    </xf>
    <xf borderId="4" fillId="0" fontId="1" numFmtId="1" xfId="0" applyBorder="1" applyFont="1" applyNumberFormat="1"/>
    <xf borderId="4" fillId="0" fontId="1" numFmtId="10" xfId="0" applyAlignment="1" applyBorder="1" applyFont="1" applyNumberFormat="1">
      <alignment readingOrder="0"/>
    </xf>
    <xf borderId="1" fillId="0" fontId="5" numFmtId="0" xfId="0" applyAlignment="1" applyBorder="1" applyFont="1">
      <alignment horizontal="center" readingOrder="0"/>
    </xf>
    <xf borderId="13" fillId="0" fontId="1" numFmtId="0" xfId="0" applyAlignment="1" applyBorder="1" applyFont="1">
      <alignment readingOrder="0" vertical="center"/>
    </xf>
    <xf borderId="8" fillId="0" fontId="1" numFmtId="0" xfId="0" applyAlignment="1" applyBorder="1" applyFont="1">
      <alignment shrinkToFit="0" vertical="top" wrapText="1"/>
    </xf>
    <xf borderId="14" fillId="0" fontId="2" numFmtId="0" xfId="0" applyBorder="1" applyFont="1"/>
    <xf borderId="4" fillId="0" fontId="1" numFmtId="1" xfId="0" applyBorder="1" applyFont="1" applyNumberFormat="1"/>
    <xf borderId="4" fillId="0" fontId="1" numFmtId="10" xfId="0" applyBorder="1" applyFont="1" applyNumberFormat="1"/>
    <xf borderId="1" fillId="3" fontId="1" numFmtId="0" xfId="0" applyAlignment="1" applyBorder="1" applyFill="1" applyFont="1">
      <alignment horizontal="center" readingOrder="0"/>
    </xf>
    <xf borderId="4" fillId="4" fontId="1" numFmtId="0" xfId="0" applyBorder="1" applyFill="1" applyFont="1"/>
    <xf borderId="1" fillId="0" fontId="1" numFmtId="0" xfId="0" applyAlignment="1" applyBorder="1" applyFont="1">
      <alignment horizontal="center"/>
    </xf>
    <xf borderId="0" fillId="0" fontId="6" numFmtId="0" xfId="0" applyAlignment="1" applyFont="1">
      <alignment readingOrder="0"/>
    </xf>
    <xf borderId="0" fillId="0" fontId="7" numFmtId="0" xfId="0" applyAlignment="1" applyFont="1">
      <alignment readingOrder="0"/>
    </xf>
    <xf borderId="4" fillId="3" fontId="1" numFmtId="0" xfId="0" applyAlignment="1" applyBorder="1" applyFont="1">
      <alignment readingOrder="0"/>
    </xf>
    <xf borderId="0" fillId="0" fontId="1" numFmtId="0" xfId="0" applyAlignment="1" applyFont="1">
      <alignment horizontal="left" readingOrder="0" shrinkToFit="0" wrapText="0"/>
    </xf>
    <xf borderId="8" fillId="5" fontId="1" numFmtId="0" xfId="0" applyAlignment="1" applyBorder="1" applyFill="1" applyFont="1">
      <alignment readingOrder="0"/>
    </xf>
    <xf borderId="9" fillId="5" fontId="1" numFmtId="0" xfId="0" applyAlignment="1" applyBorder="1" applyFont="1">
      <alignment readingOrder="0"/>
    </xf>
    <xf borderId="10" fillId="5" fontId="1" numFmtId="0" xfId="0" applyAlignment="1" applyBorder="1" applyFont="1">
      <alignment readingOrder="0"/>
    </xf>
    <xf borderId="8" fillId="6" fontId="1" numFmtId="0" xfId="0" applyBorder="1" applyFill="1" applyFont="1"/>
    <xf borderId="4" fillId="5" fontId="1" numFmtId="0" xfId="0" applyAlignment="1" applyBorder="1" applyFont="1">
      <alignment readingOrder="0"/>
    </xf>
    <xf borderId="11" fillId="5" fontId="1" numFmtId="0" xfId="0" applyAlignment="1" applyBorder="1" applyFont="1">
      <alignment readingOrder="0"/>
    </xf>
    <xf borderId="0" fillId="5" fontId="1" numFmtId="0" xfId="0" applyAlignment="1" applyFont="1">
      <alignment readingOrder="0"/>
    </xf>
    <xf borderId="12" fillId="5" fontId="1" numFmtId="0" xfId="0" applyAlignment="1" applyBorder="1" applyFont="1">
      <alignment readingOrder="0"/>
    </xf>
    <xf borderId="5" fillId="5" fontId="1" numFmtId="0" xfId="0" applyAlignment="1" applyBorder="1" applyFont="1">
      <alignment readingOrder="0"/>
    </xf>
    <xf borderId="6" fillId="5" fontId="1" numFmtId="0" xfId="0" applyAlignment="1" applyBorder="1" applyFont="1">
      <alignment readingOrder="0"/>
    </xf>
    <xf borderId="7" fillId="5" fontId="1" numFmtId="0" xfId="0" applyAlignment="1" applyBorder="1" applyFont="1">
      <alignment readingOrder="0"/>
    </xf>
    <xf borderId="0" fillId="7" fontId="1" numFmtId="0" xfId="0" applyAlignment="1" applyFill="1" applyFont="1">
      <alignment horizontal="left" readingOrder="0" shrinkToFit="0" wrapText="0"/>
    </xf>
    <xf borderId="0" fillId="0" fontId="1" numFmtId="0" xfId="0" applyAlignment="1" applyFont="1">
      <alignment horizontal="left" shrinkToFit="0" wrapText="0"/>
    </xf>
    <xf borderId="12" fillId="5" fontId="1" numFmtId="0" xfId="0" applyAlignment="1" applyBorder="1" applyFont="1">
      <alignment horizontal="left" shrinkToFit="0" wrapText="0"/>
    </xf>
    <xf borderId="12" fillId="8" fontId="1" numFmtId="0" xfId="0" applyAlignment="1" applyBorder="1" applyFill="1" applyFont="1">
      <alignment horizontal="left" readingOrder="0" shrinkToFit="0" wrapText="0"/>
    </xf>
    <xf borderId="8" fillId="8" fontId="1" numFmtId="0" xfId="0" applyBorder="1" applyFont="1"/>
    <xf borderId="9" fillId="8" fontId="1" numFmtId="0" xfId="0" applyBorder="1" applyFont="1"/>
    <xf borderId="10" fillId="8" fontId="1" numFmtId="0" xfId="0" applyBorder="1" applyFont="1"/>
    <xf borderId="0" fillId="7" fontId="1" numFmtId="0" xfId="0" applyAlignment="1" applyFont="1">
      <alignment horizontal="left" shrinkToFit="0" wrapText="0"/>
    </xf>
    <xf borderId="0" fillId="8" fontId="1" numFmtId="9" xfId="0" applyAlignment="1" applyFont="1" applyNumberFormat="1">
      <alignment horizontal="left" readingOrder="0" shrinkToFit="0" wrapText="0"/>
    </xf>
    <xf borderId="11" fillId="8" fontId="1" numFmtId="0" xfId="0" applyBorder="1" applyFont="1"/>
    <xf borderId="0" fillId="8" fontId="1" numFmtId="0" xfId="0" applyFont="1"/>
    <xf borderId="12" fillId="8" fontId="1" numFmtId="0" xfId="0" applyBorder="1" applyFont="1"/>
    <xf borderId="0" fillId="8" fontId="1" numFmtId="0" xfId="0" applyAlignment="1" applyFont="1">
      <alignment horizontal="left" shrinkToFit="0" wrapText="0"/>
    </xf>
    <xf borderId="0" fillId="8" fontId="1" numFmtId="0" xfId="0" applyAlignment="1" applyFont="1">
      <alignment horizontal="left" readingOrder="0" shrinkToFit="0" wrapText="0"/>
    </xf>
    <xf borderId="6" fillId="7" fontId="1" numFmtId="0" xfId="0" applyAlignment="1" applyBorder="1" applyFont="1">
      <alignment horizontal="left" readingOrder="0" shrinkToFit="0" wrapText="0"/>
    </xf>
    <xf borderId="6" fillId="8" fontId="1" numFmtId="0" xfId="0" applyAlignment="1" applyBorder="1" applyFont="1">
      <alignment horizontal="left" shrinkToFit="0" wrapText="0"/>
    </xf>
    <xf borderId="7" fillId="5" fontId="1" numFmtId="0" xfId="0" applyAlignment="1" applyBorder="1" applyFont="1">
      <alignment horizontal="left" shrinkToFit="0" wrapText="0"/>
    </xf>
    <xf borderId="5" fillId="8" fontId="1" numFmtId="0" xfId="0" applyBorder="1" applyFont="1"/>
    <xf borderId="6" fillId="8" fontId="1" numFmtId="0" xfId="0" applyBorder="1" applyFont="1"/>
    <xf borderId="7" fillId="8" fontId="1" numFmtId="0" xfId="0" applyBorder="1" applyFont="1"/>
    <xf borderId="4" fillId="7" fontId="1" numFmtId="0" xfId="0" applyAlignment="1" applyBorder="1" applyFont="1">
      <alignment readingOrder="0"/>
    </xf>
    <xf borderId="4" fillId="5" fontId="1" numFmtId="0" xfId="0" applyBorder="1" applyFont="1"/>
    <xf borderId="0" fillId="0" fontId="8" numFmtId="0" xfId="0" applyFont="1"/>
    <xf borderId="0" fillId="9" fontId="9" numFmtId="0" xfId="0" applyFill="1" applyFont="1"/>
    <xf borderId="4" fillId="3" fontId="1" numFmtId="0" xfId="0" applyBorder="1" applyFont="1"/>
    <xf borderId="13" fillId="3" fontId="1" numFmtId="0" xfId="0" applyAlignment="1" applyBorder="1" applyFont="1">
      <alignment readingOrder="0"/>
    </xf>
    <xf borderId="1" fillId="3" fontId="1" numFmtId="0" xfId="0" applyAlignment="1" applyBorder="1" applyFont="1">
      <alignment readingOrder="0"/>
    </xf>
    <xf borderId="13" fillId="9" fontId="1" numFmtId="0" xfId="0" applyBorder="1" applyFont="1"/>
    <xf borderId="15" fillId="9" fontId="1" numFmtId="0" xfId="0" applyBorder="1" applyFont="1"/>
    <xf borderId="14" fillId="9" fontId="1" numFmtId="0" xfId="0" applyBorder="1" applyFont="1"/>
    <xf borderId="0" fillId="0" fontId="1" numFmtId="0" xfId="0" applyFont="1"/>
    <xf borderId="14" fillId="5" fontId="1" numFmtId="1" xfId="0" applyBorder="1" applyFont="1" applyNumberFormat="1"/>
    <xf borderId="0" fillId="5" fontId="10" numFmtId="1" xfId="0" applyAlignment="1" applyFont="1" applyNumberFormat="1">
      <alignment vertical="bottom"/>
    </xf>
    <xf borderId="0" fillId="0" fontId="1" numFmtId="1" xfId="0" applyFont="1" applyNumberFormat="1"/>
    <xf borderId="4" fillId="5" fontId="1" numFmtId="1" xfId="0" applyBorder="1" applyFont="1" applyNumberFormat="1"/>
    <xf borderId="4" fillId="5" fontId="1" numFmtId="10" xfId="0" applyBorder="1" applyFont="1" applyNumberFormat="1"/>
    <xf borderId="0" fillId="5" fontId="10" numFmtId="10" xfId="0" applyAlignment="1" applyFont="1" applyNumberFormat="1">
      <alignment vertical="bottom"/>
    </xf>
    <xf borderId="0" fillId="0" fontId="1" numFmtId="10" xfId="0" applyFont="1" applyNumberFormat="1"/>
    <xf borderId="4" fillId="3" fontId="10" numFmtId="0" xfId="0" applyAlignment="1" applyBorder="1" applyFont="1">
      <alignment vertical="bottom"/>
    </xf>
    <xf borderId="10" fillId="3" fontId="10" numFmtId="0" xfId="0" applyAlignment="1" applyBorder="1" applyFont="1">
      <alignment vertical="bottom"/>
    </xf>
    <xf borderId="5" fillId="3" fontId="10" numFmtId="0" xfId="0" applyAlignment="1" applyBorder="1" applyFont="1">
      <alignment vertical="bottom"/>
    </xf>
    <xf borderId="13" fillId="0" fontId="10" numFmtId="0" xfId="0" applyAlignment="1" applyBorder="1" applyFont="1">
      <alignment vertical="bottom"/>
    </xf>
    <xf borderId="15" fillId="0" fontId="10" numFmtId="0" xfId="0" applyAlignment="1" applyBorder="1" applyFont="1">
      <alignment vertical="bottom"/>
    </xf>
    <xf borderId="14" fillId="0" fontId="10" numFmtId="0" xfId="0" applyAlignment="1" applyBorder="1" applyFont="1">
      <alignment vertical="bottom"/>
    </xf>
    <xf borderId="14" fillId="3" fontId="10" numFmtId="0" xfId="0" applyAlignment="1" applyBorder="1" applyFont="1">
      <alignment vertical="bottom"/>
    </xf>
    <xf borderId="7" fillId="5" fontId="10" numFmtId="10" xfId="0" applyAlignment="1" applyBorder="1" applyFont="1" applyNumberFormat="1">
      <alignment horizontal="center" vertical="bottom"/>
    </xf>
    <xf borderId="4" fillId="5" fontId="1" numFmtId="1" xfId="0" applyBorder="1" applyFont="1" applyNumberFormat="1"/>
    <xf borderId="0" fillId="10" fontId="1" numFmtId="0" xfId="0" applyFill="1" applyFont="1"/>
    <xf borderId="0" fillId="10" fontId="1" numFmtId="0" xfId="0" applyAlignment="1" applyFont="1">
      <alignment horizontal="center"/>
    </xf>
    <xf borderId="1" fillId="3" fontId="11" numFmtId="0" xfId="0" applyAlignment="1" applyBorder="1" applyFont="1">
      <alignment vertical="bottom"/>
    </xf>
    <xf borderId="4" fillId="6" fontId="11" numFmtId="0" xfId="0" applyAlignment="1" applyBorder="1" applyFont="1">
      <alignment horizontal="right" vertical="bottom"/>
    </xf>
    <xf borderId="1" fillId="3" fontId="11" numFmtId="0" xfId="0" applyAlignment="1" applyBorder="1" applyFont="1">
      <alignment readingOrder="0" vertical="bottom"/>
    </xf>
    <xf borderId="4" fillId="3" fontId="11" numFmtId="0" xfId="0" applyAlignment="1" applyBorder="1" applyFont="1">
      <alignment vertical="bottom"/>
    </xf>
    <xf borderId="4" fillId="8" fontId="1" numFmtId="0" xfId="0" applyAlignment="1" applyBorder="1" applyFont="1">
      <alignment horizontal="right" readingOrder="0"/>
    </xf>
    <xf borderId="8" fillId="8" fontId="1" numFmtId="0" xfId="0" applyAlignment="1" applyBorder="1" applyFont="1">
      <alignment readingOrder="0"/>
    </xf>
    <xf borderId="9" fillId="8" fontId="1" numFmtId="0" xfId="0" applyAlignment="1" applyBorder="1" applyFont="1">
      <alignment readingOrder="0"/>
    </xf>
    <xf borderId="10" fillId="8" fontId="1" numFmtId="0" xfId="0" applyAlignment="1" applyBorder="1" applyFont="1">
      <alignment readingOrder="0"/>
    </xf>
    <xf borderId="11" fillId="7" fontId="1" numFmtId="0" xfId="0" applyAlignment="1" applyBorder="1" applyFont="1">
      <alignment readingOrder="0"/>
    </xf>
    <xf borderId="0" fillId="7" fontId="1" numFmtId="0" xfId="0" applyAlignment="1" applyFont="1">
      <alignment readingOrder="0"/>
    </xf>
    <xf borderId="0" fillId="8" fontId="1" numFmtId="0" xfId="0" applyAlignment="1" applyFont="1">
      <alignment readingOrder="0"/>
    </xf>
    <xf borderId="12" fillId="8" fontId="1" numFmtId="0" xfId="0" applyAlignment="1" applyBorder="1" applyFont="1">
      <alignment readingOrder="0"/>
    </xf>
    <xf borderId="5" fillId="7" fontId="11" numFmtId="0" xfId="0" applyAlignment="1" applyBorder="1" applyFont="1">
      <alignment horizontal="right" vertical="bottom"/>
    </xf>
    <xf borderId="6" fillId="7" fontId="11" numFmtId="0" xfId="0" applyAlignment="1" applyBorder="1" applyFont="1">
      <alignment horizontal="right" vertical="bottom"/>
    </xf>
    <xf borderId="6" fillId="5" fontId="11" numFmtId="0" xfId="0" applyAlignment="1" applyBorder="1" applyFont="1">
      <alignment horizontal="right" vertical="bottom"/>
    </xf>
    <xf borderId="7" fillId="5" fontId="11" numFmtId="0" xfId="0" applyAlignment="1" applyBorder="1" applyFont="1">
      <alignment horizontal="right" vertical="bottom"/>
    </xf>
    <xf borderId="0" fillId="0" fontId="11" numFmtId="0" xfId="0" applyAlignment="1" applyFont="1">
      <alignment vertical="bottom"/>
    </xf>
    <xf borderId="13" fillId="3" fontId="11" numFmtId="0" xfId="0" applyAlignment="1" applyBorder="1" applyFont="1">
      <alignment vertical="bottom"/>
    </xf>
    <xf borderId="0" fillId="7" fontId="11" numFmtId="0" xfId="0" applyAlignment="1" applyFont="1">
      <alignment horizontal="right" vertical="bottom"/>
    </xf>
    <xf borderId="1" fillId="0" fontId="11" numFmtId="0" xfId="0" applyAlignment="1" applyBorder="1" applyFont="1">
      <alignment vertical="bottom"/>
    </xf>
    <xf borderId="14" fillId="6" fontId="11" numFmtId="0" xfId="0" applyAlignment="1" applyBorder="1" applyFont="1">
      <alignment horizontal="right" vertical="bottom"/>
    </xf>
    <xf borderId="0" fillId="5" fontId="11" numFmtId="0" xfId="0" applyAlignment="1" applyFont="1">
      <alignment horizontal="right" vertical="bottom"/>
    </xf>
    <xf borderId="0" fillId="8" fontId="11" numFmtId="0" xfId="0" applyAlignment="1" applyFont="1">
      <alignment horizontal="right" vertical="bottom"/>
    </xf>
    <xf borderId="0" fillId="8" fontId="11" numFmtId="0" xfId="0" applyAlignment="1" applyFont="1">
      <alignment horizontal="right" readingOrder="0" vertical="bottom"/>
    </xf>
    <xf borderId="4" fillId="5" fontId="11" numFmtId="0" xfId="0" applyAlignment="1" applyBorder="1" applyFont="1">
      <alignment horizontal="right" vertical="bottom"/>
    </xf>
    <xf borderId="13" fillId="5" fontId="11" numFmtId="0" xfId="0" applyAlignment="1" applyBorder="1" applyFont="1">
      <alignment horizontal="right" vertical="bottom"/>
    </xf>
    <xf borderId="1" fillId="5" fontId="11" numFmtId="0" xfId="0" applyAlignment="1" applyBorder="1" applyFont="1">
      <alignment horizontal="right" vertical="bottom"/>
    </xf>
    <xf borderId="8" fillId="0" fontId="11" numFmtId="0" xfId="0" applyAlignment="1" applyBorder="1" applyFont="1">
      <alignment vertical="bottom"/>
    </xf>
    <xf borderId="4" fillId="11" fontId="1" numFmtId="0" xfId="0" applyAlignment="1" applyBorder="1" applyFill="1" applyFont="1">
      <alignment horizontal="left" readingOrder="0" shrinkToFit="0" wrapText="0"/>
    </xf>
    <xf borderId="13" fillId="8" fontId="1" numFmtId="0" xfId="0" applyAlignment="1" applyBorder="1" applyFont="1">
      <alignment horizontal="center" readingOrder="0" shrinkToFit="0" vertical="center" wrapText="0"/>
    </xf>
    <xf borderId="4" fillId="8" fontId="1" numFmtId="0" xfId="0" applyAlignment="1" applyBorder="1" applyFont="1">
      <alignment horizontal="left" readingOrder="0" shrinkToFit="0" wrapText="0"/>
    </xf>
    <xf borderId="13" fillId="7" fontId="1" numFmtId="0" xfId="0" applyAlignment="1" applyBorder="1" applyFont="1">
      <alignment horizontal="left" readingOrder="0" shrinkToFit="0" vertical="center" wrapText="0"/>
    </xf>
    <xf borderId="13" fillId="12" fontId="1" numFmtId="0" xfId="0" applyAlignment="1" applyBorder="1" applyFill="1" applyFont="1">
      <alignment horizontal="left" shrinkToFit="0" wrapText="0"/>
    </xf>
    <xf borderId="4" fillId="6" fontId="1" numFmtId="0" xfId="0" applyAlignment="1" applyBorder="1" applyFont="1">
      <alignment horizontal="left" readingOrder="0" shrinkToFit="0" wrapText="0"/>
    </xf>
    <xf borderId="8" fillId="7" fontId="1" numFmtId="0" xfId="0" applyAlignment="1" applyBorder="1" applyFont="1">
      <alignment horizontal="left" shrinkToFit="0" wrapText="0"/>
    </xf>
    <xf borderId="9" fillId="7" fontId="1" numFmtId="0" xfId="0" applyAlignment="1" applyBorder="1" applyFont="1">
      <alignment horizontal="left" shrinkToFit="0" wrapText="0"/>
    </xf>
    <xf borderId="10" fillId="7" fontId="1" numFmtId="0" xfId="0" applyAlignment="1" applyBorder="1" applyFont="1">
      <alignment horizontal="left" shrinkToFit="0" wrapText="0"/>
    </xf>
    <xf borderId="14" fillId="8" fontId="1" numFmtId="0" xfId="0" applyAlignment="1" applyBorder="1" applyFont="1">
      <alignment horizontal="center" readingOrder="0" shrinkToFit="0" vertical="center" wrapText="0"/>
    </xf>
    <xf borderId="11" fillId="7" fontId="1" numFmtId="0" xfId="0" applyAlignment="1" applyBorder="1" applyFont="1">
      <alignment horizontal="left" shrinkToFit="0" wrapText="0"/>
    </xf>
    <xf borderId="12" fillId="7" fontId="1" numFmtId="0" xfId="0" applyAlignment="1" applyBorder="1" applyFont="1">
      <alignment horizontal="left" shrinkToFit="0" wrapText="0"/>
    </xf>
    <xf borderId="0" fillId="7" fontId="12" numFmtId="0" xfId="0" applyFont="1"/>
    <xf borderId="4" fillId="5" fontId="1" numFmtId="0" xfId="0" applyAlignment="1" applyBorder="1" applyFont="1">
      <alignment horizontal="left" shrinkToFit="0" wrapText="0"/>
    </xf>
    <xf borderId="11" fillId="7" fontId="1" numFmtId="0" xfId="0" applyAlignment="1" applyBorder="1" applyFont="1">
      <alignment horizontal="left" readingOrder="0" shrinkToFit="0" wrapText="0"/>
    </xf>
    <xf borderId="5" fillId="7" fontId="1" numFmtId="0" xfId="0" applyAlignment="1" applyBorder="1" applyFont="1">
      <alignment horizontal="left" shrinkToFit="0" wrapText="0"/>
    </xf>
    <xf borderId="6" fillId="7" fontId="1" numFmtId="0" xfId="0" applyAlignment="1" applyBorder="1" applyFont="1">
      <alignment horizontal="left" shrinkToFit="0" wrapText="0"/>
    </xf>
    <xf borderId="7" fillId="7" fontId="1" numFmtId="0" xfId="0" applyAlignment="1" applyBorder="1" applyFont="1">
      <alignment horizontal="left" shrinkToFit="0" wrapText="0"/>
    </xf>
    <xf borderId="0" fillId="5" fontId="1" numFmtId="0" xfId="0" applyFont="1"/>
    <xf borderId="8" fillId="8" fontId="1" numFmtId="0" xfId="0" applyAlignment="1" applyBorder="1" applyFont="1">
      <alignment horizontal="center" readingOrder="0" shrinkToFit="0" vertical="center" wrapText="1"/>
    </xf>
    <xf borderId="0" fillId="7" fontId="1" numFmtId="0" xfId="0" applyFont="1"/>
    <xf borderId="6" fillId="7" fontId="1" numFmtId="0" xfId="0" applyBorder="1" applyFont="1"/>
    <xf borderId="0" fillId="8" fontId="12" numFmtId="0" xfId="0" applyAlignment="1" applyFont="1">
      <alignment readingOrder="0"/>
    </xf>
    <xf borderId="0" fillId="8" fontId="12" numFmtId="0" xfId="0" applyFont="1"/>
    <xf borderId="0" fillId="5" fontId="1" numFmtId="0" xfId="0" applyAlignment="1" applyFont="1">
      <alignment horizontal="left" shrinkToFit="0" wrapText="0"/>
    </xf>
    <xf borderId="0" fillId="13" fontId="1" numFmtId="0" xfId="0" applyFill="1" applyFont="1"/>
    <xf borderId="0" fillId="13" fontId="1" numFmtId="0" xfId="0" applyAlignment="1" applyFont="1">
      <alignment horizontal="center"/>
    </xf>
    <xf borderId="0" fillId="14" fontId="11" numFmtId="0" xfId="0" applyAlignment="1" applyFill="1" applyFont="1">
      <alignment horizontal="right" vertical="bottom"/>
    </xf>
    <xf borderId="0" fillId="14" fontId="11" numFmtId="0" xfId="0" applyAlignment="1" applyFont="1">
      <alignment horizontal="right" readingOrder="0" vertical="bottom"/>
    </xf>
    <xf borderId="4" fillId="15" fontId="11" numFmtId="0" xfId="0" applyAlignment="1" applyBorder="1" applyFill="1" applyFont="1">
      <alignment horizontal="right" vertical="bottom"/>
    </xf>
    <xf borderId="13" fillId="6" fontId="11" numFmtId="0" xfId="0" applyAlignment="1" applyBorder="1" applyFont="1">
      <alignment horizontal="right" vertical="bottom"/>
    </xf>
    <xf borderId="13" fillId="7" fontId="1" numFmtId="0" xfId="0" applyAlignment="1" applyBorder="1" applyFont="1">
      <alignment horizontal="left" readingOrder="0" shrinkToFit="0" wrapText="0"/>
    </xf>
    <xf borderId="13" fillId="7" fontId="1" numFmtId="0" xfId="0" applyAlignment="1" applyBorder="1" applyFont="1">
      <alignment horizontal="left" shrinkToFit="0" wrapText="0"/>
    </xf>
    <xf borderId="0" fillId="5" fontId="12" numFmtId="0" xfId="0" applyAlignment="1" applyFont="1">
      <alignment readingOrder="0"/>
    </xf>
    <xf borderId="0" fillId="16" fontId="1" numFmtId="0" xfId="0" applyFill="1" applyFont="1"/>
    <xf borderId="0" fillId="16" fontId="1" numFmtId="0" xfId="0" applyAlignment="1" applyFont="1">
      <alignment horizontal="center"/>
    </xf>
    <xf borderId="0" fillId="17" fontId="11" numFmtId="0" xfId="0" applyAlignment="1" applyFill="1" applyFont="1">
      <alignment horizontal="right" vertical="bottom"/>
    </xf>
    <xf borderId="4" fillId="9" fontId="11" numFmtId="0" xfId="0" applyAlignment="1" applyBorder="1" applyFont="1">
      <alignment horizontal="right" vertical="bottom"/>
    </xf>
    <xf borderId="1" fillId="9" fontId="11" numFmtId="0" xfId="0" applyAlignment="1" applyBorder="1" applyFont="1">
      <alignment horizontal="right" vertical="bottom"/>
    </xf>
    <xf borderId="0" fillId="18" fontId="1" numFmtId="0" xfId="0" applyFill="1" applyFont="1"/>
    <xf borderId="0" fillId="18" fontId="1" numFmtId="0" xfId="0" applyAlignment="1" applyFont="1">
      <alignment horizontal="center"/>
    </xf>
    <xf borderId="4" fillId="7" fontId="11" numFmtId="0" xfId="0" applyAlignment="1" applyBorder="1" applyFont="1">
      <alignment horizontal="right" vertical="bottom"/>
    </xf>
    <xf borderId="1" fillId="7" fontId="11" numFmtId="0" xfId="0" applyAlignment="1" applyBorder="1" applyFont="1">
      <alignment horizontal="right" vertical="bottom"/>
    </xf>
    <xf borderId="4" fillId="0" fontId="10" numFmtId="0" xfId="0" applyAlignment="1" applyBorder="1" applyFont="1">
      <alignment readingOrder="0" vertical="bottom"/>
    </xf>
    <xf borderId="0" fillId="0" fontId="10" numFmtId="0" xfId="0" applyAlignment="1" applyFont="1">
      <alignment vertical="bottom"/>
    </xf>
    <xf borderId="0" fillId="0" fontId="1" numFmtId="0" xfId="0" applyAlignment="1" applyFont="1">
      <alignment readingOrder="0"/>
    </xf>
    <xf borderId="4" fillId="0" fontId="1" numFmtId="0" xfId="0" applyAlignment="1" applyBorder="1" applyFont="1">
      <alignment horizontal="left" readingOrder="0" shrinkToFit="0" wrapText="0"/>
    </xf>
    <xf borderId="0" fillId="0" fontId="1" numFmtId="0" xfId="0" applyAlignment="1" applyFont="1">
      <alignment horizontal="center" readingOrder="0"/>
    </xf>
    <xf borderId="12" fillId="0" fontId="1" numFmtId="0" xfId="0" applyBorder="1" applyFont="1"/>
    <xf borderId="6" fillId="0" fontId="1" numFmtId="0" xfId="0" applyBorder="1" applyFont="1"/>
    <xf borderId="7" fillId="0" fontId="1" numFmtId="0" xfId="0" applyBorder="1" applyFont="1"/>
    <xf borderId="4" fillId="0" fontId="10" numFmtId="0" xfId="0" applyAlignment="1" applyBorder="1" applyFont="1">
      <alignment vertical="bottom"/>
    </xf>
    <xf borderId="14" fillId="0" fontId="10" numFmtId="0" xfId="0" applyBorder="1" applyFont="1"/>
    <xf borderId="14" fillId="0" fontId="10" numFmtId="0" xfId="0" applyAlignment="1" applyBorder="1" applyFont="1">
      <alignment readingOrder="0"/>
    </xf>
    <xf borderId="7" fillId="0" fontId="10" numFmtId="0" xfId="0" applyAlignment="1" applyBorder="1" applyFont="1">
      <alignment readingOrder="0"/>
    </xf>
    <xf borderId="4" fillId="0" fontId="11" numFmtId="0" xfId="0" applyAlignment="1" applyBorder="1" applyFont="1">
      <alignment shrinkToFit="0" vertical="bottom" wrapText="0"/>
    </xf>
    <xf borderId="14" fillId="0" fontId="11" numFmtId="0" xfId="0" applyAlignment="1" applyBorder="1" applyFont="1">
      <alignment vertical="bottom"/>
    </xf>
    <xf borderId="4" fillId="0" fontId="11" numFmtId="0" xfId="0" applyAlignment="1" applyBorder="1" applyFont="1">
      <alignment readingOrder="0" shrinkToFit="0" vertical="bottom" wrapText="0"/>
    </xf>
    <xf borderId="14" fillId="0" fontId="10" numFmtId="0" xfId="0" applyAlignment="1" applyBorder="1" applyFont="1">
      <alignment vertical="bottom"/>
    </xf>
    <xf borderId="7" fillId="0" fontId="10" numFmtId="0" xfId="0" applyAlignment="1" applyBorder="1" applyFont="1">
      <alignment vertical="bottom"/>
    </xf>
    <xf borderId="0" fillId="0" fontId="10" numFmtId="0" xfId="0" applyAlignment="1" applyFont="1">
      <alignment vertical="bottom"/>
    </xf>
    <xf borderId="0" fillId="0" fontId="10" numFmtId="0" xfId="0" applyAlignment="1" applyFont="1">
      <alignment horizontal="center" vertical="bottom"/>
    </xf>
    <xf borderId="0" fillId="0" fontId="1" numFmtId="0" xfId="0" applyFont="1"/>
    <xf borderId="0" fillId="0" fontId="10" numFmtId="0" xfId="0" applyAlignment="1" applyFont="1">
      <alignment horizontal="right" readingOrder="0" vertical="bottom"/>
    </xf>
    <xf borderId="0" fillId="0" fontId="10" numFmtId="0" xfId="0" applyAlignment="1" applyFont="1">
      <alignment horizontal="right" vertical="bottom"/>
    </xf>
    <xf borderId="6" fillId="0" fontId="10" numFmtId="0" xfId="0" applyAlignment="1" applyBorder="1" applyFont="1">
      <alignment vertical="bottom"/>
    </xf>
    <xf borderId="0" fillId="9" fontId="12" numFmtId="0" xfId="0" applyFont="1"/>
    <xf borderId="0" fillId="9" fontId="13" numFmtId="0" xfId="0" applyFont="1"/>
    <xf borderId="0" fillId="0" fontId="11" numFmtId="0" xfId="0" applyAlignment="1" applyFont="1">
      <alignment horizontal="right" readingOrder="0" vertical="bottom"/>
    </xf>
    <xf borderId="0" fillId="0" fontId="11" numFmtId="0" xfId="0" applyAlignment="1" applyFont="1">
      <alignment readingOrder="0" vertical="bottom"/>
    </xf>
    <xf borderId="0" fillId="0" fontId="11" numFmtId="0" xfId="0" applyAlignment="1" applyFont="1">
      <alignment horizontal="right" vertical="bottom"/>
    </xf>
    <xf borderId="0" fillId="0" fontId="10" numFmtId="0" xfId="0" applyAlignment="1" applyFont="1">
      <alignment horizontal="center" vertical="bottom"/>
    </xf>
    <xf borderId="0" fillId="0" fontId="11" numFmtId="0" xfId="0" applyAlignment="1" applyFont="1">
      <alignment vertical="bottom"/>
    </xf>
  </cellXfs>
  <cellStyles count="1">
    <cellStyle xfId="0" name="Normal" builtinId="0"/>
  </cellStyles>
  <dxfs count="6">
    <dxf>
      <font/>
      <fill>
        <patternFill patternType="solid">
          <fgColor rgb="FFB7E1CD"/>
          <bgColor rgb="FFB7E1CD"/>
        </patternFill>
      </fill>
      <border/>
    </dxf>
    <dxf>
      <font>
        <color rgb="FF000000"/>
      </font>
      <fill>
        <patternFill patternType="solid">
          <fgColor rgb="FFD9D2E9"/>
          <bgColor rgb="FFD9D2E9"/>
        </patternFill>
      </fill>
      <border/>
    </dxf>
    <dxf>
      <font/>
      <fill>
        <patternFill patternType="solid">
          <fgColor rgb="FFFFF2CC"/>
          <bgColor rgb="FFFFF2CC"/>
        </patternFill>
      </fill>
      <border/>
    </dxf>
    <dxf>
      <font/>
      <fill>
        <patternFill patternType="solid">
          <fgColor rgb="FFD9D2E9"/>
          <bgColor rgb="FFD9D2E9"/>
        </patternFill>
      </fill>
      <border/>
    </dxf>
    <dxf>
      <font/>
      <fill>
        <patternFill patternType="solid">
          <fgColor rgb="FFD9EAD3"/>
          <bgColor rgb="FFD9EAD3"/>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1A9988"/>
              </a:solidFill>
            </c:spPr>
          </c:dPt>
          <c:dPt>
            <c:idx val="1"/>
            <c:spPr>
              <a:solidFill>
                <a:srgbClr val="2D729D"/>
              </a:solidFill>
            </c:spPr>
          </c:dPt>
          <c:dPt>
            <c:idx val="2"/>
            <c:spPr>
              <a:solidFill>
                <a:srgbClr val="1F3E78"/>
              </a:solidFill>
            </c:spPr>
          </c:dPt>
          <c:dPt>
            <c:idx val="3"/>
            <c:spPr>
              <a:solidFill>
                <a:srgbClr val="EB5600"/>
              </a:solidFill>
            </c:spPr>
          </c:dPt>
          <c:dLbls>
            <c:showLegendKey val="0"/>
            <c:showVal val="0"/>
            <c:showCatName val="0"/>
            <c:showSerName val="0"/>
            <c:showPercent val="0"/>
            <c:showBubbleSize val="0"/>
            <c:showLeaderLines val="1"/>
          </c:dLbls>
          <c:cat>
            <c:strRef>
              <c:f>Debrief!$B$41:$B$44</c:f>
            </c:strRef>
          </c:cat>
          <c:val>
            <c:numRef>
              <c:f>Debrief!$G$41:$G$44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313131"/>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1" Type="http://schemas.openxmlformats.org/officeDocument/2006/relationships/image" Target="../media/image9.png"/><Relationship Id="rId10" Type="http://schemas.openxmlformats.org/officeDocument/2006/relationships/image" Target="../media/image6.png"/><Relationship Id="rId13" Type="http://schemas.openxmlformats.org/officeDocument/2006/relationships/image" Target="../media/image2.png"/><Relationship Id="rId12" Type="http://schemas.openxmlformats.org/officeDocument/2006/relationships/image" Target="../media/image5.png"/><Relationship Id="rId1" Type="http://schemas.openxmlformats.org/officeDocument/2006/relationships/image" Target="../media/image12.pn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1.png"/><Relationship Id="rId9" Type="http://schemas.openxmlformats.org/officeDocument/2006/relationships/image" Target="../media/image8.png"/><Relationship Id="rId15" Type="http://schemas.openxmlformats.org/officeDocument/2006/relationships/image" Target="../media/image4.png"/><Relationship Id="rId14" Type="http://schemas.openxmlformats.org/officeDocument/2006/relationships/image" Target="../media/image10.png"/><Relationship Id="rId17" Type="http://schemas.openxmlformats.org/officeDocument/2006/relationships/image" Target="../media/image7.png"/><Relationship Id="rId16" Type="http://schemas.openxmlformats.org/officeDocument/2006/relationships/image" Target="../media/image15.png"/><Relationship Id="rId5" Type="http://schemas.openxmlformats.org/officeDocument/2006/relationships/image" Target="../media/image16.png"/><Relationship Id="rId6" Type="http://schemas.openxmlformats.org/officeDocument/2006/relationships/image" Target="../media/image14.png"/><Relationship Id="rId7" Type="http://schemas.openxmlformats.org/officeDocument/2006/relationships/image" Target="../media/image13.png"/><Relationship Id="rId8"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35</xdr:row>
      <xdr:rowOff>114300</xdr:rowOff>
    </xdr:from>
    <xdr:ext cx="6115050" cy="37814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952500</xdr:colOff>
      <xdr:row>3</xdr:row>
      <xdr:rowOff>133350</xdr:rowOff>
    </xdr:from>
    <xdr:ext cx="4572000" cy="2676525"/>
    <xdr:pic>
      <xdr:nvPicPr>
        <xdr:cNvPr id="0" name="image1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952500</xdr:colOff>
      <xdr:row>22</xdr:row>
      <xdr:rowOff>57150</xdr:rowOff>
    </xdr:from>
    <xdr:ext cx="5076825" cy="303847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952500</xdr:colOff>
      <xdr:row>42</xdr:row>
      <xdr:rowOff>28575</xdr:rowOff>
    </xdr:from>
    <xdr:ext cx="3343275" cy="301942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952500</xdr:colOff>
      <xdr:row>60</xdr:row>
      <xdr:rowOff>95250</xdr:rowOff>
    </xdr:from>
    <xdr:ext cx="2886075" cy="1304925"/>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952500</xdr:colOff>
      <xdr:row>70</xdr:row>
      <xdr:rowOff>76200</xdr:rowOff>
    </xdr:from>
    <xdr:ext cx="7439025" cy="7096125"/>
    <xdr:pic>
      <xdr:nvPicPr>
        <xdr:cNvPr id="0" name="image16.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952500</xdr:colOff>
      <xdr:row>115</xdr:row>
      <xdr:rowOff>152400</xdr:rowOff>
    </xdr:from>
    <xdr:ext cx="7962900" cy="628650"/>
    <xdr:pic>
      <xdr:nvPicPr>
        <xdr:cNvPr id="0" name="image14.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152400</xdr:colOff>
      <xdr:row>121</xdr:row>
      <xdr:rowOff>57150</xdr:rowOff>
    </xdr:from>
    <xdr:ext cx="7924800" cy="838200"/>
    <xdr:pic>
      <xdr:nvPicPr>
        <xdr:cNvPr id="0" name="image13.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9</xdr:col>
      <xdr:colOff>828675</xdr:colOff>
      <xdr:row>121</xdr:row>
      <xdr:rowOff>57150</xdr:rowOff>
    </xdr:from>
    <xdr:ext cx="1657350" cy="1000125"/>
    <xdr:pic>
      <xdr:nvPicPr>
        <xdr:cNvPr id="0" name="image17.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895350</xdr:colOff>
      <xdr:row>128</xdr:row>
      <xdr:rowOff>142875</xdr:rowOff>
    </xdr:from>
    <xdr:ext cx="6248400" cy="4267200"/>
    <xdr:pic>
      <xdr:nvPicPr>
        <xdr:cNvPr id="0" name="image8.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895350</xdr:colOff>
      <xdr:row>152</xdr:row>
      <xdr:rowOff>142875</xdr:rowOff>
    </xdr:from>
    <xdr:ext cx="10020300" cy="1381125"/>
    <xdr:pic>
      <xdr:nvPicPr>
        <xdr:cNvPr id="0" name="image6.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152400</xdr:colOff>
      <xdr:row>162</xdr:row>
      <xdr:rowOff>9525</xdr:rowOff>
    </xdr:from>
    <xdr:ext cx="13735050" cy="352425"/>
    <xdr:pic>
      <xdr:nvPicPr>
        <xdr:cNvPr id="0" name="image9.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390525</xdr:colOff>
      <xdr:row>171</xdr:row>
      <xdr:rowOff>142875</xdr:rowOff>
    </xdr:from>
    <xdr:ext cx="7848600" cy="657225"/>
    <xdr:pic>
      <xdr:nvPicPr>
        <xdr:cNvPr id="0" name="image5.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400050</xdr:colOff>
      <xdr:row>177</xdr:row>
      <xdr:rowOff>123825</xdr:rowOff>
    </xdr:from>
    <xdr:ext cx="7829550" cy="2314575"/>
    <xdr:pic>
      <xdr:nvPicPr>
        <xdr:cNvPr id="0" name="image2.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457200</xdr:colOff>
      <xdr:row>191</xdr:row>
      <xdr:rowOff>180975</xdr:rowOff>
    </xdr:from>
    <xdr:ext cx="7781925" cy="1819275"/>
    <xdr:pic>
      <xdr:nvPicPr>
        <xdr:cNvPr id="0" name="image10.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123825</xdr:colOff>
      <xdr:row>204</xdr:row>
      <xdr:rowOff>76200</xdr:rowOff>
    </xdr:from>
    <xdr:ext cx="7781925" cy="342900"/>
    <xdr:pic>
      <xdr:nvPicPr>
        <xdr:cNvPr id="0" name="image4.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304800</xdr:colOff>
      <xdr:row>208</xdr:row>
      <xdr:rowOff>47625</xdr:rowOff>
    </xdr:from>
    <xdr:ext cx="3190875" cy="2371725"/>
    <xdr:pic>
      <xdr:nvPicPr>
        <xdr:cNvPr id="0" name="image15.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4</xdr:col>
      <xdr:colOff>819150</xdr:colOff>
      <xdr:row>208</xdr:row>
      <xdr:rowOff>104775</xdr:rowOff>
    </xdr:from>
    <xdr:ext cx="5143500" cy="2181225"/>
    <xdr:pic>
      <xdr:nvPicPr>
        <xdr:cNvPr id="0" name="image7.png" title="Image"/>
        <xdr:cNvPicPr preferRelativeResize="0"/>
      </xdr:nvPicPr>
      <xdr:blipFill>
        <a:blip cstate="print" r:embed="rId17"/>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ambr.top/en" TargetMode="External"/><Relationship Id="rId2" Type="http://schemas.openxmlformats.org/officeDocument/2006/relationships/hyperlink" Target="https://library.keqingmains.com/" TargetMode="External"/><Relationship Id="rId3" Type="http://schemas.openxmlformats.org/officeDocument/2006/relationships/hyperlink" Target="https://discord.com/channels/849762277041504286/976235164189470770"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9" max="9" width="25.56"/>
  </cols>
  <sheetData>
    <row r="2">
      <c r="B2" s="1" t="s">
        <v>0</v>
      </c>
      <c r="C2" s="2"/>
      <c r="D2" s="2"/>
      <c r="E2" s="2"/>
      <c r="F2" s="2"/>
      <c r="G2" s="3"/>
      <c r="I2" s="4" t="s">
        <v>1</v>
      </c>
    </row>
    <row r="3">
      <c r="B3" s="4" t="s">
        <v>2</v>
      </c>
      <c r="C3" s="4" t="s">
        <v>3</v>
      </c>
      <c r="D3" s="5" t="s">
        <v>4</v>
      </c>
      <c r="E3" s="2"/>
      <c r="F3" s="2"/>
      <c r="G3" s="3"/>
      <c r="I3" s="6" t="s">
        <v>5</v>
      </c>
    </row>
    <row r="4">
      <c r="B4" s="7" t="s">
        <v>6</v>
      </c>
      <c r="C4" s="8">
        <v>44832.0</v>
      </c>
      <c r="D4" s="5" t="s">
        <v>7</v>
      </c>
      <c r="E4" s="2"/>
      <c r="F4" s="2"/>
      <c r="G4" s="3"/>
      <c r="I4" s="6" t="s">
        <v>8</v>
      </c>
    </row>
    <row r="5">
      <c r="B5" s="7" t="s">
        <v>9</v>
      </c>
      <c r="C5" s="8">
        <v>44867.0</v>
      </c>
      <c r="D5" s="5" t="s">
        <v>10</v>
      </c>
      <c r="E5" s="2"/>
      <c r="F5" s="2"/>
      <c r="G5" s="3"/>
      <c r="I5" s="6" t="s">
        <v>11</v>
      </c>
    </row>
    <row r="6">
      <c r="B6" s="4" t="s">
        <v>12</v>
      </c>
      <c r="C6" s="8">
        <v>44879.0</v>
      </c>
      <c r="D6" s="5" t="s">
        <v>13</v>
      </c>
      <c r="E6" s="2"/>
      <c r="F6" s="2"/>
      <c r="G6" s="3"/>
      <c r="I6" s="9" t="s">
        <v>14</v>
      </c>
    </row>
    <row r="7">
      <c r="B7" s="4" t="s">
        <v>15</v>
      </c>
      <c r="C7" s="8">
        <v>44904.0</v>
      </c>
      <c r="D7" s="5" t="s">
        <v>16</v>
      </c>
      <c r="E7" s="2"/>
      <c r="F7" s="2"/>
      <c r="G7" s="3"/>
      <c r="I7" s="10" t="s">
        <v>17</v>
      </c>
    </row>
    <row r="8">
      <c r="B8" s="4" t="s">
        <v>18</v>
      </c>
      <c r="C8" s="8">
        <v>44907.0</v>
      </c>
      <c r="D8" s="5" t="s">
        <v>19</v>
      </c>
      <c r="E8" s="2"/>
      <c r="F8" s="2"/>
      <c r="G8" s="3"/>
      <c r="I8" s="11" t="s">
        <v>20</v>
      </c>
    </row>
    <row r="9">
      <c r="B9" s="4" t="s">
        <v>21</v>
      </c>
      <c r="C9" s="8">
        <v>44941.0</v>
      </c>
      <c r="D9" s="5" t="s">
        <v>22</v>
      </c>
      <c r="E9" s="2"/>
      <c r="F9" s="2"/>
      <c r="G9" s="3"/>
    </row>
    <row r="10">
      <c r="B10" s="4" t="s">
        <v>23</v>
      </c>
      <c r="C10" s="8">
        <v>44963.0</v>
      </c>
      <c r="D10" s="5" t="s">
        <v>24</v>
      </c>
      <c r="E10" s="2"/>
      <c r="F10" s="2"/>
      <c r="G10" s="3"/>
    </row>
    <row r="11">
      <c r="B11" s="4" t="s">
        <v>25</v>
      </c>
      <c r="C11" s="8">
        <v>45112.0</v>
      </c>
      <c r="D11" s="5" t="s">
        <v>26</v>
      </c>
      <c r="E11" s="2"/>
      <c r="F11" s="2"/>
      <c r="G11" s="3"/>
    </row>
    <row r="12">
      <c r="B12" s="4" t="s">
        <v>27</v>
      </c>
      <c r="C12" s="8">
        <v>45154.0</v>
      </c>
      <c r="D12" s="5" t="s">
        <v>28</v>
      </c>
      <c r="E12" s="2"/>
      <c r="F12" s="2"/>
      <c r="G12" s="3"/>
    </row>
    <row r="13">
      <c r="B13" s="4" t="s">
        <v>29</v>
      </c>
      <c r="C13" s="8">
        <v>45154.0</v>
      </c>
      <c r="D13" s="5" t="s">
        <v>30</v>
      </c>
      <c r="E13" s="2"/>
      <c r="F13" s="2"/>
      <c r="G13" s="3"/>
    </row>
    <row r="14">
      <c r="B14" s="4" t="s">
        <v>31</v>
      </c>
      <c r="C14" s="8">
        <v>45210.0</v>
      </c>
      <c r="D14" s="5" t="s">
        <v>32</v>
      </c>
      <c r="E14" s="2"/>
      <c r="F14" s="2"/>
      <c r="G14" s="3"/>
    </row>
  </sheetData>
  <mergeCells count="13">
    <mergeCell ref="D9:G9"/>
    <mergeCell ref="D10:G10"/>
    <mergeCell ref="D11:G11"/>
    <mergeCell ref="D12:G12"/>
    <mergeCell ref="D13:G13"/>
    <mergeCell ref="D14:G14"/>
    <mergeCell ref="B2:G2"/>
    <mergeCell ref="D3:G3"/>
    <mergeCell ref="D4:G4"/>
    <mergeCell ref="D5:G5"/>
    <mergeCell ref="D6:G6"/>
    <mergeCell ref="D7:G7"/>
    <mergeCell ref="D8:G8"/>
  </mergeCells>
  <conditionalFormatting sqref="I3:I16">
    <cfRule type="notContainsBlanks" dxfId="0" priority="1">
      <formula>LEN(TRIM(I3))&gt;0</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0.56"/>
    <col customWidth="1" min="10" max="10" width="13.33"/>
    <col customWidth="1" min="13" max="13" width="11.78"/>
    <col customWidth="1" min="14" max="14" width="13.11"/>
    <col customWidth="1" min="15" max="15" width="13.67"/>
    <col customWidth="1" min="23" max="23" width="12.67"/>
    <col customWidth="1" min="27" max="27" width="17.0"/>
    <col customWidth="1" min="68" max="68" width="13.67"/>
    <col customWidth="1" min="69" max="69" width="17.0"/>
    <col customWidth="1" min="221" max="221" width="19.78"/>
    <col customWidth="1" min="222" max="222" width="20.11"/>
    <col customWidth="1" min="727" max="727" width="12.78"/>
  </cols>
  <sheetData>
    <row r="1">
      <c r="A1" s="4" t="s">
        <v>68</v>
      </c>
      <c r="B1" s="4" t="s">
        <v>362</v>
      </c>
      <c r="C1" s="4" t="s">
        <v>362</v>
      </c>
      <c r="D1" s="4" t="s">
        <v>362</v>
      </c>
      <c r="E1" s="4" t="s">
        <v>362</v>
      </c>
      <c r="F1" s="4" t="s">
        <v>362</v>
      </c>
      <c r="G1" s="4" t="s">
        <v>362</v>
      </c>
      <c r="H1" s="4" t="s">
        <v>362</v>
      </c>
      <c r="I1" s="4" t="s">
        <v>362</v>
      </c>
      <c r="J1" s="4" t="s">
        <v>362</v>
      </c>
      <c r="K1" s="4" t="s">
        <v>362</v>
      </c>
      <c r="L1" s="4" t="s">
        <v>362</v>
      </c>
      <c r="M1" s="4" t="s">
        <v>362</v>
      </c>
      <c r="N1" s="4" t="s">
        <v>362</v>
      </c>
      <c r="O1" s="4" t="s">
        <v>362</v>
      </c>
      <c r="P1" s="4" t="s">
        <v>364</v>
      </c>
      <c r="Q1" s="4" t="s">
        <v>364</v>
      </c>
      <c r="R1" s="4" t="s">
        <v>364</v>
      </c>
      <c r="S1" s="4" t="s">
        <v>364</v>
      </c>
      <c r="T1" s="4" t="s">
        <v>364</v>
      </c>
      <c r="U1" s="4" t="s">
        <v>364</v>
      </c>
      <c r="V1" s="4" t="s">
        <v>364</v>
      </c>
      <c r="W1" s="4" t="s">
        <v>364</v>
      </c>
      <c r="X1" s="4" t="s">
        <v>364</v>
      </c>
      <c r="Y1" s="4" t="s">
        <v>364</v>
      </c>
      <c r="Z1" s="4" t="s">
        <v>364</v>
      </c>
      <c r="AA1" s="4" t="s">
        <v>364</v>
      </c>
      <c r="AB1" s="4" t="s">
        <v>364</v>
      </c>
      <c r="AC1" s="4" t="s">
        <v>364</v>
      </c>
      <c r="AD1" s="4" t="s">
        <v>355</v>
      </c>
      <c r="AE1" s="4" t="s">
        <v>355</v>
      </c>
      <c r="AF1" s="4" t="s">
        <v>355</v>
      </c>
      <c r="AG1" s="4" t="s">
        <v>355</v>
      </c>
      <c r="AH1" s="4" t="s">
        <v>355</v>
      </c>
      <c r="AI1" s="4" t="s">
        <v>355</v>
      </c>
      <c r="AJ1" s="4" t="s">
        <v>355</v>
      </c>
      <c r="AK1" s="4" t="s">
        <v>355</v>
      </c>
      <c r="AL1" s="4" t="s">
        <v>355</v>
      </c>
      <c r="AM1" s="4" t="s">
        <v>355</v>
      </c>
      <c r="AN1" s="4" t="s">
        <v>355</v>
      </c>
      <c r="AO1" s="4" t="s">
        <v>355</v>
      </c>
      <c r="AP1" s="4" t="s">
        <v>355</v>
      </c>
      <c r="AQ1" s="4" t="s">
        <v>331</v>
      </c>
      <c r="AR1" s="4" t="s">
        <v>331</v>
      </c>
      <c r="AS1" s="4" t="s">
        <v>331</v>
      </c>
      <c r="AT1" s="4" t="s">
        <v>331</v>
      </c>
      <c r="AU1" s="4" t="s">
        <v>331</v>
      </c>
      <c r="AV1" s="4" t="s">
        <v>331</v>
      </c>
      <c r="AW1" s="4" t="s">
        <v>331</v>
      </c>
      <c r="AX1" s="4" t="s">
        <v>331</v>
      </c>
      <c r="AY1" s="4" t="s">
        <v>331</v>
      </c>
      <c r="AZ1" s="4" t="s">
        <v>331</v>
      </c>
      <c r="BA1" s="4" t="s">
        <v>331</v>
      </c>
      <c r="BB1" s="4" t="s">
        <v>331</v>
      </c>
      <c r="BC1" s="4" t="s">
        <v>321</v>
      </c>
      <c r="BD1" s="4" t="s">
        <v>321</v>
      </c>
      <c r="BE1" s="4" t="s">
        <v>321</v>
      </c>
      <c r="BF1" s="4" t="s">
        <v>321</v>
      </c>
      <c r="BG1" s="4" t="s">
        <v>321</v>
      </c>
      <c r="BH1" s="4" t="s">
        <v>321</v>
      </c>
      <c r="BI1" s="4" t="s">
        <v>321</v>
      </c>
      <c r="BJ1" s="4" t="s">
        <v>321</v>
      </c>
      <c r="BK1" s="4" t="s">
        <v>321</v>
      </c>
      <c r="BL1" s="4" t="s">
        <v>321</v>
      </c>
      <c r="BM1" s="4" t="s">
        <v>321</v>
      </c>
      <c r="BN1" s="4" t="s">
        <v>321</v>
      </c>
      <c r="BO1" s="4" t="s">
        <v>321</v>
      </c>
      <c r="BP1" s="4" t="s">
        <v>321</v>
      </c>
      <c r="BQ1" s="4" t="s">
        <v>321</v>
      </c>
      <c r="BR1" s="4" t="s">
        <v>321</v>
      </c>
      <c r="BS1" s="4" t="s">
        <v>321</v>
      </c>
      <c r="BT1" s="4" t="s">
        <v>321</v>
      </c>
      <c r="BU1" s="4" t="s">
        <v>321</v>
      </c>
      <c r="BV1" s="4" t="s">
        <v>321</v>
      </c>
      <c r="BW1" s="4" t="s">
        <v>321</v>
      </c>
      <c r="BX1" s="4" t="s">
        <v>321</v>
      </c>
      <c r="BY1" s="4" t="s">
        <v>321</v>
      </c>
      <c r="BZ1" s="4" t="s">
        <v>319</v>
      </c>
      <c r="CA1" s="4" t="s">
        <v>319</v>
      </c>
      <c r="CB1" s="4" t="s">
        <v>319</v>
      </c>
      <c r="CC1" s="4" t="s">
        <v>319</v>
      </c>
      <c r="CD1" s="4" t="s">
        <v>319</v>
      </c>
      <c r="CE1" s="4" t="s">
        <v>319</v>
      </c>
      <c r="CF1" s="4" t="s">
        <v>319</v>
      </c>
      <c r="CG1" s="4" t="s">
        <v>319</v>
      </c>
      <c r="CH1" s="4" t="s">
        <v>319</v>
      </c>
      <c r="CI1" s="4" t="s">
        <v>319</v>
      </c>
      <c r="CJ1" s="4" t="s">
        <v>319</v>
      </c>
      <c r="CK1" s="4" t="s">
        <v>319</v>
      </c>
      <c r="CL1" s="4" t="s">
        <v>345</v>
      </c>
      <c r="CM1" s="4" t="s">
        <v>345</v>
      </c>
      <c r="CN1" s="4" t="s">
        <v>345</v>
      </c>
      <c r="CO1" s="4" t="s">
        <v>345</v>
      </c>
      <c r="CP1" s="4" t="s">
        <v>345</v>
      </c>
      <c r="CQ1" s="4" t="s">
        <v>345</v>
      </c>
      <c r="CR1" s="4" t="s">
        <v>345</v>
      </c>
      <c r="CS1" s="4" t="s">
        <v>345</v>
      </c>
      <c r="CT1" s="4" t="s">
        <v>345</v>
      </c>
      <c r="CU1" s="4" t="s">
        <v>345</v>
      </c>
      <c r="CV1" s="4" t="s">
        <v>345</v>
      </c>
      <c r="CW1" s="4" t="s">
        <v>345</v>
      </c>
      <c r="CX1" s="4" t="s">
        <v>345</v>
      </c>
      <c r="CY1" s="4" t="s">
        <v>345</v>
      </c>
      <c r="CZ1" s="4" t="s">
        <v>327</v>
      </c>
      <c r="DA1" s="4" t="s">
        <v>327</v>
      </c>
      <c r="DB1" s="4" t="s">
        <v>327</v>
      </c>
      <c r="DC1" s="4" t="s">
        <v>327</v>
      </c>
      <c r="DD1" s="4" t="s">
        <v>327</v>
      </c>
      <c r="DE1" s="4" t="s">
        <v>327</v>
      </c>
      <c r="DF1" s="4" t="s">
        <v>327</v>
      </c>
      <c r="DG1" s="4" t="s">
        <v>327</v>
      </c>
      <c r="DH1" s="4" t="s">
        <v>327</v>
      </c>
      <c r="DI1" s="4" t="s">
        <v>334</v>
      </c>
      <c r="DJ1" s="4" t="s">
        <v>334</v>
      </c>
      <c r="DK1" s="4" t="s">
        <v>334</v>
      </c>
      <c r="DL1" s="4" t="s">
        <v>334</v>
      </c>
      <c r="DM1" s="4" t="s">
        <v>334</v>
      </c>
      <c r="DN1" s="4" t="s">
        <v>334</v>
      </c>
      <c r="DO1" s="4" t="s">
        <v>334</v>
      </c>
      <c r="DP1" s="4" t="s">
        <v>334</v>
      </c>
      <c r="DQ1" s="4" t="s">
        <v>334</v>
      </c>
      <c r="DR1" s="4" t="s">
        <v>334</v>
      </c>
      <c r="DS1" s="4" t="s">
        <v>334</v>
      </c>
      <c r="DT1" s="4" t="s">
        <v>334</v>
      </c>
      <c r="DU1" s="4" t="s">
        <v>334</v>
      </c>
      <c r="DV1" s="4" t="s">
        <v>334</v>
      </c>
      <c r="DW1" s="4" t="s">
        <v>334</v>
      </c>
      <c r="DX1" s="4" t="s">
        <v>370</v>
      </c>
      <c r="DY1" s="4" t="s">
        <v>370</v>
      </c>
      <c r="DZ1" s="4" t="s">
        <v>370</v>
      </c>
      <c r="EA1" s="4" t="s">
        <v>370</v>
      </c>
      <c r="EB1" s="4" t="s">
        <v>370</v>
      </c>
      <c r="EC1" s="4" t="s">
        <v>370</v>
      </c>
      <c r="ED1" s="4" t="s">
        <v>370</v>
      </c>
      <c r="EE1" s="4" t="s">
        <v>370</v>
      </c>
      <c r="EF1" s="4" t="s">
        <v>370</v>
      </c>
      <c r="EG1" s="4" t="s">
        <v>370</v>
      </c>
      <c r="EH1" s="4" t="s">
        <v>370</v>
      </c>
      <c r="EI1" s="4" t="s">
        <v>370</v>
      </c>
      <c r="EJ1" s="4" t="s">
        <v>370</v>
      </c>
      <c r="EK1" s="4" t="s">
        <v>370</v>
      </c>
      <c r="EL1" s="4" t="s">
        <v>370</v>
      </c>
      <c r="EM1" s="4" t="s">
        <v>370</v>
      </c>
      <c r="EN1" s="4" t="s">
        <v>370</v>
      </c>
      <c r="EO1" s="4" t="s">
        <v>373</v>
      </c>
      <c r="EP1" s="4" t="s">
        <v>373</v>
      </c>
      <c r="EQ1" s="4" t="s">
        <v>373</v>
      </c>
      <c r="ER1" s="4" t="s">
        <v>373</v>
      </c>
      <c r="ES1" s="4" t="s">
        <v>373</v>
      </c>
      <c r="ET1" s="4" t="s">
        <v>373</v>
      </c>
      <c r="EU1" s="4" t="s">
        <v>373</v>
      </c>
      <c r="EV1" s="4" t="s">
        <v>373</v>
      </c>
      <c r="EW1" s="4" t="s">
        <v>373</v>
      </c>
      <c r="EX1" s="4" t="s">
        <v>373</v>
      </c>
      <c r="EY1" s="4" t="s">
        <v>373</v>
      </c>
      <c r="EZ1" s="4" t="s">
        <v>340</v>
      </c>
      <c r="FA1" s="4" t="s">
        <v>340</v>
      </c>
      <c r="FB1" s="4" t="s">
        <v>340</v>
      </c>
      <c r="FC1" s="4" t="s">
        <v>340</v>
      </c>
      <c r="FD1" s="4" t="s">
        <v>340</v>
      </c>
      <c r="FE1" s="4" t="s">
        <v>340</v>
      </c>
      <c r="FF1" s="4" t="s">
        <v>340</v>
      </c>
      <c r="FG1" s="4" t="s">
        <v>340</v>
      </c>
      <c r="FH1" s="4" t="s">
        <v>340</v>
      </c>
      <c r="FI1" s="4" t="s">
        <v>340</v>
      </c>
      <c r="FJ1" s="4" t="s">
        <v>340</v>
      </c>
      <c r="FK1" s="4" t="s">
        <v>340</v>
      </c>
      <c r="FL1" s="4" t="s">
        <v>340</v>
      </c>
      <c r="FM1" s="4" t="s">
        <v>329</v>
      </c>
      <c r="FN1" s="4" t="s">
        <v>329</v>
      </c>
      <c r="FO1" s="4" t="s">
        <v>329</v>
      </c>
      <c r="FP1" s="4" t="s">
        <v>329</v>
      </c>
      <c r="FQ1" s="4" t="s">
        <v>329</v>
      </c>
      <c r="FR1" s="4" t="s">
        <v>329</v>
      </c>
      <c r="FS1" s="4" t="s">
        <v>329</v>
      </c>
      <c r="FT1" s="4" t="s">
        <v>329</v>
      </c>
      <c r="FU1" s="4" t="s">
        <v>329</v>
      </c>
      <c r="FV1" s="4" t="s">
        <v>329</v>
      </c>
      <c r="FW1" s="4" t="s">
        <v>329</v>
      </c>
      <c r="FX1" s="4" t="s">
        <v>329</v>
      </c>
      <c r="FY1" s="4" t="s">
        <v>329</v>
      </c>
      <c r="FZ1" s="4" t="s">
        <v>329</v>
      </c>
      <c r="GA1" s="4" t="s">
        <v>329</v>
      </c>
      <c r="GB1" s="4" t="s">
        <v>368</v>
      </c>
      <c r="GC1" s="4" t="s">
        <v>368</v>
      </c>
      <c r="GD1" s="4" t="s">
        <v>368</v>
      </c>
      <c r="GE1" s="4" t="s">
        <v>368</v>
      </c>
      <c r="GF1" s="4" t="s">
        <v>368</v>
      </c>
      <c r="GG1" s="4" t="s">
        <v>368</v>
      </c>
      <c r="GH1" s="4" t="s">
        <v>368</v>
      </c>
      <c r="GI1" s="4" t="s">
        <v>368</v>
      </c>
      <c r="GJ1" s="4" t="s">
        <v>368</v>
      </c>
      <c r="GK1" s="4" t="s">
        <v>368</v>
      </c>
      <c r="GL1" s="4" t="s">
        <v>368</v>
      </c>
      <c r="GM1" s="4" t="s">
        <v>368</v>
      </c>
      <c r="GN1" s="4" t="s">
        <v>368</v>
      </c>
      <c r="GO1" s="4" t="s">
        <v>324</v>
      </c>
      <c r="GP1" s="4" t="s">
        <v>324</v>
      </c>
      <c r="GQ1" s="4" t="s">
        <v>324</v>
      </c>
      <c r="GR1" s="4" t="s">
        <v>324</v>
      </c>
      <c r="GS1" s="4" t="s">
        <v>324</v>
      </c>
      <c r="GT1" s="4" t="s">
        <v>324</v>
      </c>
      <c r="GU1" s="4" t="s">
        <v>324</v>
      </c>
      <c r="GV1" s="4" t="s">
        <v>324</v>
      </c>
      <c r="GW1" s="4" t="s">
        <v>324</v>
      </c>
      <c r="GX1" s="4" t="s">
        <v>324</v>
      </c>
      <c r="GY1" s="4" t="s">
        <v>324</v>
      </c>
      <c r="GZ1" s="4" t="s">
        <v>324</v>
      </c>
      <c r="HA1" s="4" t="s">
        <v>324</v>
      </c>
      <c r="HB1" s="4" t="s">
        <v>324</v>
      </c>
      <c r="HC1" s="4" t="s">
        <v>324</v>
      </c>
      <c r="HD1" s="4" t="s">
        <v>339</v>
      </c>
      <c r="HE1" s="4" t="s">
        <v>339</v>
      </c>
      <c r="HF1" s="4" t="s">
        <v>339</v>
      </c>
      <c r="HG1" s="4" t="s">
        <v>339</v>
      </c>
      <c r="HH1" s="4" t="s">
        <v>339</v>
      </c>
      <c r="HI1" s="4" t="s">
        <v>339</v>
      </c>
      <c r="HJ1" s="4" t="s">
        <v>339</v>
      </c>
      <c r="HK1" s="4" t="s">
        <v>339</v>
      </c>
      <c r="HL1" s="4" t="s">
        <v>339</v>
      </c>
      <c r="HM1" s="4" t="s">
        <v>339</v>
      </c>
      <c r="HN1" s="4" t="s">
        <v>339</v>
      </c>
      <c r="HO1" s="4" t="s">
        <v>339</v>
      </c>
      <c r="HP1" s="4" t="s">
        <v>323</v>
      </c>
      <c r="HQ1" s="4" t="s">
        <v>323</v>
      </c>
      <c r="HR1" s="4" t="s">
        <v>323</v>
      </c>
      <c r="HS1" s="4" t="s">
        <v>323</v>
      </c>
      <c r="HT1" s="4" t="s">
        <v>323</v>
      </c>
      <c r="HU1" s="4" t="s">
        <v>323</v>
      </c>
      <c r="HV1" s="4" t="s">
        <v>323</v>
      </c>
      <c r="HW1" s="4" t="s">
        <v>323</v>
      </c>
      <c r="HX1" s="4" t="s">
        <v>323</v>
      </c>
      <c r="HY1" s="4" t="s">
        <v>323</v>
      </c>
      <c r="HZ1" s="4" t="s">
        <v>323</v>
      </c>
      <c r="IA1" s="4" t="s">
        <v>323</v>
      </c>
      <c r="IB1" s="4" t="s">
        <v>323</v>
      </c>
      <c r="IC1" s="4" t="s">
        <v>323</v>
      </c>
      <c r="ID1" s="4" t="s">
        <v>323</v>
      </c>
      <c r="IE1" s="4" t="s">
        <v>359</v>
      </c>
      <c r="IF1" s="4" t="s">
        <v>359</v>
      </c>
      <c r="IG1" s="4" t="s">
        <v>359</v>
      </c>
      <c r="IH1" s="4" t="s">
        <v>359</v>
      </c>
      <c r="II1" s="4" t="s">
        <v>359</v>
      </c>
      <c r="IJ1" s="4" t="s">
        <v>359</v>
      </c>
      <c r="IK1" s="4" t="s">
        <v>359</v>
      </c>
      <c r="IL1" s="4" t="s">
        <v>359</v>
      </c>
      <c r="IM1" s="4" t="s">
        <v>359</v>
      </c>
      <c r="IN1" s="4" t="s">
        <v>359</v>
      </c>
      <c r="IO1" s="4" t="s">
        <v>359</v>
      </c>
      <c r="IP1" s="4" t="s">
        <v>359</v>
      </c>
      <c r="IQ1" s="4" t="s">
        <v>359</v>
      </c>
      <c r="IR1" s="4" t="s">
        <v>359</v>
      </c>
      <c r="IS1" s="4" t="s">
        <v>359</v>
      </c>
      <c r="IT1" s="186" t="s">
        <v>359</v>
      </c>
      <c r="IU1" s="4" t="s">
        <v>369</v>
      </c>
      <c r="IV1" s="4" t="s">
        <v>369</v>
      </c>
      <c r="IW1" s="4" t="s">
        <v>369</v>
      </c>
      <c r="IX1" s="4" t="s">
        <v>369</v>
      </c>
      <c r="IY1" s="4" t="s">
        <v>369</v>
      </c>
      <c r="IZ1" s="4" t="s">
        <v>369</v>
      </c>
      <c r="JA1" s="4" t="s">
        <v>369</v>
      </c>
      <c r="JB1" s="4" t="s">
        <v>369</v>
      </c>
      <c r="JC1" s="4" t="s">
        <v>369</v>
      </c>
      <c r="JD1" s="4" t="s">
        <v>369</v>
      </c>
      <c r="JE1" s="4" t="s">
        <v>369</v>
      </c>
      <c r="JF1" s="4" t="s">
        <v>369</v>
      </c>
      <c r="JG1" s="4" t="s">
        <v>369</v>
      </c>
      <c r="JH1" s="4" t="s">
        <v>369</v>
      </c>
      <c r="JI1" s="4" t="s">
        <v>363</v>
      </c>
      <c r="JJ1" s="4" t="s">
        <v>363</v>
      </c>
      <c r="JK1" s="4" t="s">
        <v>363</v>
      </c>
      <c r="JL1" s="4" t="s">
        <v>363</v>
      </c>
      <c r="JM1" s="4" t="s">
        <v>363</v>
      </c>
      <c r="JN1" s="4" t="s">
        <v>363</v>
      </c>
      <c r="JO1" s="4" t="s">
        <v>363</v>
      </c>
      <c r="JP1" s="4" t="s">
        <v>363</v>
      </c>
      <c r="JQ1" s="4" t="s">
        <v>363</v>
      </c>
      <c r="JR1" s="4" t="s">
        <v>363</v>
      </c>
      <c r="JS1" s="4" t="s">
        <v>363</v>
      </c>
      <c r="JT1" s="4" t="s">
        <v>363</v>
      </c>
      <c r="JU1" s="4" t="s">
        <v>363</v>
      </c>
      <c r="JV1" s="4" t="s">
        <v>363</v>
      </c>
      <c r="JW1" s="4" t="s">
        <v>363</v>
      </c>
      <c r="JX1" s="4" t="s">
        <v>322</v>
      </c>
      <c r="JY1" s="4" t="s">
        <v>322</v>
      </c>
      <c r="JZ1" s="4" t="s">
        <v>322</v>
      </c>
      <c r="KA1" s="4" t="s">
        <v>322</v>
      </c>
      <c r="KB1" s="4" t="s">
        <v>322</v>
      </c>
      <c r="KC1" s="4" t="s">
        <v>322</v>
      </c>
      <c r="KD1" s="4" t="s">
        <v>322</v>
      </c>
      <c r="KE1" s="4" t="s">
        <v>322</v>
      </c>
      <c r="KF1" s="4" t="s">
        <v>322</v>
      </c>
      <c r="KG1" s="4" t="s">
        <v>322</v>
      </c>
      <c r="KH1" s="4" t="s">
        <v>322</v>
      </c>
      <c r="KI1" s="4" t="s">
        <v>322</v>
      </c>
      <c r="KJ1" s="4" t="s">
        <v>322</v>
      </c>
      <c r="KK1" s="4" t="s">
        <v>322</v>
      </c>
      <c r="KL1" s="4" t="s">
        <v>322</v>
      </c>
      <c r="KM1" s="4" t="s">
        <v>349</v>
      </c>
      <c r="KN1" s="4" t="s">
        <v>349</v>
      </c>
      <c r="KO1" s="4" t="s">
        <v>349</v>
      </c>
      <c r="KP1" s="4" t="s">
        <v>349</v>
      </c>
      <c r="KQ1" s="4" t="s">
        <v>349</v>
      </c>
      <c r="KR1" s="4" t="s">
        <v>349</v>
      </c>
      <c r="KS1" s="4" t="s">
        <v>349</v>
      </c>
      <c r="KT1" s="4" t="s">
        <v>349</v>
      </c>
      <c r="KU1" s="4" t="s">
        <v>349</v>
      </c>
      <c r="KV1" s="4" t="s">
        <v>349</v>
      </c>
      <c r="KW1" s="4" t="s">
        <v>349</v>
      </c>
      <c r="KX1" s="4" t="s">
        <v>349</v>
      </c>
      <c r="KY1" s="4" t="s">
        <v>342</v>
      </c>
      <c r="KZ1" s="4" t="s">
        <v>342</v>
      </c>
      <c r="LA1" s="4" t="s">
        <v>342</v>
      </c>
      <c r="LB1" s="4" t="s">
        <v>342</v>
      </c>
      <c r="LC1" s="4" t="s">
        <v>342</v>
      </c>
      <c r="LD1" s="4" t="s">
        <v>342</v>
      </c>
      <c r="LE1" s="4" t="s">
        <v>342</v>
      </c>
      <c r="LF1" s="4" t="s">
        <v>342</v>
      </c>
      <c r="LG1" s="4" t="s">
        <v>342</v>
      </c>
      <c r="LH1" s="4" t="s">
        <v>342</v>
      </c>
      <c r="LI1" s="4" t="s">
        <v>342</v>
      </c>
      <c r="LJ1" s="4" t="s">
        <v>342</v>
      </c>
      <c r="LK1" s="4" t="s">
        <v>342</v>
      </c>
      <c r="LL1" s="4" t="s">
        <v>342</v>
      </c>
      <c r="LM1" s="4" t="s">
        <v>342</v>
      </c>
      <c r="LN1" s="4" t="s">
        <v>342</v>
      </c>
      <c r="LO1" s="4" t="s">
        <v>342</v>
      </c>
      <c r="LP1" s="4" t="s">
        <v>342</v>
      </c>
      <c r="LQ1" s="4" t="s">
        <v>350</v>
      </c>
      <c r="LR1" s="4" t="s">
        <v>350</v>
      </c>
      <c r="LS1" s="4" t="s">
        <v>350</v>
      </c>
      <c r="LT1" s="4" t="s">
        <v>350</v>
      </c>
      <c r="LU1" s="4" t="s">
        <v>350</v>
      </c>
      <c r="LV1" s="4" t="s">
        <v>350</v>
      </c>
      <c r="LW1" s="4" t="s">
        <v>350</v>
      </c>
      <c r="LX1" s="4" t="s">
        <v>350</v>
      </c>
      <c r="LY1" s="4" t="s">
        <v>350</v>
      </c>
      <c r="LZ1" s="4" t="s">
        <v>350</v>
      </c>
      <c r="MA1" s="4" t="s">
        <v>350</v>
      </c>
      <c r="MB1" s="4" t="s">
        <v>320</v>
      </c>
      <c r="MC1" s="4" t="s">
        <v>320</v>
      </c>
      <c r="MD1" s="4" t="s">
        <v>320</v>
      </c>
      <c r="ME1" s="4" t="s">
        <v>320</v>
      </c>
      <c r="MF1" s="4" t="s">
        <v>320</v>
      </c>
      <c r="MG1" s="4" t="s">
        <v>320</v>
      </c>
      <c r="MH1" s="4" t="s">
        <v>320</v>
      </c>
      <c r="MI1" s="4" t="s">
        <v>320</v>
      </c>
      <c r="MJ1" s="4" t="s">
        <v>320</v>
      </c>
      <c r="MK1" s="4" t="s">
        <v>320</v>
      </c>
      <c r="ML1" s="4" t="s">
        <v>320</v>
      </c>
      <c r="MM1" s="4" t="s">
        <v>320</v>
      </c>
      <c r="MN1" s="4" t="s">
        <v>328</v>
      </c>
      <c r="MO1" s="4" t="s">
        <v>328</v>
      </c>
      <c r="MP1" s="4" t="s">
        <v>328</v>
      </c>
      <c r="MQ1" s="4" t="s">
        <v>328</v>
      </c>
      <c r="MR1" s="4" t="s">
        <v>328</v>
      </c>
      <c r="MS1" s="4" t="s">
        <v>328</v>
      </c>
      <c r="MT1" s="4" t="s">
        <v>328</v>
      </c>
      <c r="MU1" s="4" t="s">
        <v>328</v>
      </c>
      <c r="MV1" s="4" t="s">
        <v>328</v>
      </c>
      <c r="MW1" s="4" t="s">
        <v>328</v>
      </c>
      <c r="MX1" s="4" t="s">
        <v>328</v>
      </c>
      <c r="MY1" s="4" t="s">
        <v>328</v>
      </c>
      <c r="MZ1" s="4" t="s">
        <v>358</v>
      </c>
      <c r="NA1" s="4" t="s">
        <v>358</v>
      </c>
      <c r="NB1" s="4" t="s">
        <v>358</v>
      </c>
      <c r="NC1" s="4" t="s">
        <v>358</v>
      </c>
      <c r="ND1" s="4" t="s">
        <v>358</v>
      </c>
      <c r="NE1" s="4" t="s">
        <v>358</v>
      </c>
      <c r="NF1" s="4" t="s">
        <v>358</v>
      </c>
      <c r="NG1" s="4" t="s">
        <v>358</v>
      </c>
      <c r="NH1" s="4" t="s">
        <v>358</v>
      </c>
      <c r="NI1" s="4" t="s">
        <v>358</v>
      </c>
      <c r="NJ1" s="4" t="s">
        <v>358</v>
      </c>
      <c r="NK1" s="4" t="s">
        <v>358</v>
      </c>
      <c r="NL1" s="4" t="s">
        <v>358</v>
      </c>
      <c r="NM1" s="4" t="s">
        <v>358</v>
      </c>
      <c r="NN1" s="4" t="s">
        <v>358</v>
      </c>
      <c r="NO1" s="4" t="s">
        <v>358</v>
      </c>
      <c r="NP1" s="4" t="s">
        <v>358</v>
      </c>
      <c r="NQ1" s="4" t="s">
        <v>375</v>
      </c>
      <c r="NR1" s="4" t="s">
        <v>375</v>
      </c>
      <c r="NS1" s="4" t="s">
        <v>375</v>
      </c>
      <c r="NT1" s="4" t="s">
        <v>375</v>
      </c>
      <c r="NU1" s="4" t="s">
        <v>375</v>
      </c>
      <c r="NV1" s="4" t="s">
        <v>375</v>
      </c>
      <c r="NW1" s="4" t="s">
        <v>375</v>
      </c>
      <c r="NX1" s="4" t="s">
        <v>375</v>
      </c>
      <c r="NY1" s="4" t="s">
        <v>375</v>
      </c>
      <c r="NZ1" s="4" t="s">
        <v>375</v>
      </c>
      <c r="OA1" s="4" t="s">
        <v>375</v>
      </c>
      <c r="OB1" s="4" t="s">
        <v>375</v>
      </c>
      <c r="OC1" s="4" t="s">
        <v>375</v>
      </c>
      <c r="OD1" s="4" t="s">
        <v>375</v>
      </c>
      <c r="OE1" s="4" t="s">
        <v>375</v>
      </c>
      <c r="OF1" s="4" t="s">
        <v>375</v>
      </c>
      <c r="OG1" s="4" t="s">
        <v>375</v>
      </c>
      <c r="OH1" s="4" t="s">
        <v>338</v>
      </c>
      <c r="OI1" s="4" t="s">
        <v>338</v>
      </c>
      <c r="OJ1" s="4" t="s">
        <v>338</v>
      </c>
      <c r="OK1" s="4" t="s">
        <v>338</v>
      </c>
      <c r="OL1" s="4" t="s">
        <v>338</v>
      </c>
      <c r="OM1" s="4" t="s">
        <v>338</v>
      </c>
      <c r="ON1" s="4" t="s">
        <v>338</v>
      </c>
      <c r="OO1" s="4" t="s">
        <v>338</v>
      </c>
      <c r="OP1" s="4" t="s">
        <v>338</v>
      </c>
      <c r="OQ1" s="4" t="s">
        <v>338</v>
      </c>
      <c r="OR1" s="4" t="s">
        <v>352</v>
      </c>
      <c r="OS1" s="4" t="s">
        <v>352</v>
      </c>
      <c r="OT1" s="4" t="s">
        <v>352</v>
      </c>
      <c r="OU1" s="4" t="s">
        <v>352</v>
      </c>
      <c r="OV1" s="4" t="s">
        <v>352</v>
      </c>
      <c r="OW1" s="4" t="s">
        <v>352</v>
      </c>
      <c r="OX1" s="4" t="s">
        <v>352</v>
      </c>
      <c r="OY1" s="4" t="s">
        <v>352</v>
      </c>
      <c r="OZ1" s="4" t="s">
        <v>352</v>
      </c>
      <c r="PA1" s="4" t="s">
        <v>352</v>
      </c>
      <c r="PB1" s="4" t="s">
        <v>352</v>
      </c>
      <c r="PC1" s="4" t="s">
        <v>352</v>
      </c>
      <c r="PD1" s="4" t="s">
        <v>352</v>
      </c>
      <c r="PE1" s="4" t="s">
        <v>352</v>
      </c>
      <c r="PF1" s="4" t="s">
        <v>326</v>
      </c>
      <c r="PG1" s="4" t="s">
        <v>326</v>
      </c>
      <c r="PH1" s="4" t="s">
        <v>326</v>
      </c>
      <c r="PI1" s="4" t="s">
        <v>326</v>
      </c>
      <c r="PJ1" s="4" t="s">
        <v>326</v>
      </c>
      <c r="PK1" s="4" t="s">
        <v>326</v>
      </c>
      <c r="PL1" s="4" t="s">
        <v>326</v>
      </c>
      <c r="PM1" s="4" t="s">
        <v>326</v>
      </c>
      <c r="PN1" s="4" t="s">
        <v>326</v>
      </c>
      <c r="PO1" s="4" t="s">
        <v>326</v>
      </c>
      <c r="PP1" s="4" t="s">
        <v>326</v>
      </c>
      <c r="PQ1" s="4" t="s">
        <v>326</v>
      </c>
      <c r="PR1" s="4" t="s">
        <v>326</v>
      </c>
      <c r="PS1" s="4" t="s">
        <v>326</v>
      </c>
      <c r="PT1" s="4" t="s">
        <v>326</v>
      </c>
      <c r="PU1" s="4" t="s">
        <v>374</v>
      </c>
      <c r="PV1" s="4" t="s">
        <v>374</v>
      </c>
      <c r="PW1" s="4" t="s">
        <v>374</v>
      </c>
      <c r="PX1" s="4" t="s">
        <v>374</v>
      </c>
      <c r="PY1" s="4" t="s">
        <v>374</v>
      </c>
      <c r="PZ1" s="4" t="s">
        <v>374</v>
      </c>
      <c r="QA1" s="4" t="s">
        <v>374</v>
      </c>
      <c r="QB1" s="4" t="s">
        <v>374</v>
      </c>
      <c r="QC1" s="4" t="s">
        <v>374</v>
      </c>
      <c r="QD1" s="4" t="s">
        <v>374</v>
      </c>
      <c r="QE1" s="4" t="s">
        <v>374</v>
      </c>
      <c r="QF1" s="4" t="s">
        <v>337</v>
      </c>
      <c r="QG1" s="4" t="s">
        <v>337</v>
      </c>
      <c r="QH1" s="4" t="s">
        <v>337</v>
      </c>
      <c r="QI1" s="4" t="s">
        <v>337</v>
      </c>
      <c r="QJ1" s="4" t="s">
        <v>337</v>
      </c>
      <c r="QK1" s="4" t="s">
        <v>337</v>
      </c>
      <c r="QL1" s="4" t="s">
        <v>337</v>
      </c>
      <c r="QM1" s="4" t="s">
        <v>337</v>
      </c>
      <c r="QN1" s="4" t="s">
        <v>371</v>
      </c>
      <c r="QO1" s="4" t="s">
        <v>371</v>
      </c>
      <c r="QP1" s="4" t="s">
        <v>371</v>
      </c>
      <c r="QQ1" s="4" t="s">
        <v>371</v>
      </c>
      <c r="QR1" s="4" t="s">
        <v>371</v>
      </c>
      <c r="QS1" s="4" t="s">
        <v>371</v>
      </c>
      <c r="QT1" s="4" t="s">
        <v>371</v>
      </c>
      <c r="QU1" s="4" t="s">
        <v>371</v>
      </c>
      <c r="QV1" s="4" t="s">
        <v>371</v>
      </c>
      <c r="QW1" s="4" t="s">
        <v>371</v>
      </c>
      <c r="QX1" s="4" t="s">
        <v>371</v>
      </c>
      <c r="QY1" s="4" t="s">
        <v>371</v>
      </c>
      <c r="QZ1" s="4" t="s">
        <v>372</v>
      </c>
      <c r="RA1" s="4" t="s">
        <v>372</v>
      </c>
      <c r="RB1" s="4" t="s">
        <v>372</v>
      </c>
      <c r="RC1" s="4" t="s">
        <v>372</v>
      </c>
      <c r="RD1" s="4" t="s">
        <v>372</v>
      </c>
      <c r="RE1" s="4" t="s">
        <v>372</v>
      </c>
      <c r="RF1" s="4" t="s">
        <v>372</v>
      </c>
      <c r="RG1" s="4" t="s">
        <v>372</v>
      </c>
      <c r="RH1" s="4" t="s">
        <v>372</v>
      </c>
      <c r="RI1" s="4" t="s">
        <v>372</v>
      </c>
      <c r="RJ1" s="4" t="s">
        <v>372</v>
      </c>
      <c r="RK1" s="4" t="s">
        <v>372</v>
      </c>
      <c r="RL1" s="4" t="s">
        <v>353</v>
      </c>
      <c r="RM1" s="4" t="s">
        <v>353</v>
      </c>
      <c r="RN1" s="4" t="s">
        <v>353</v>
      </c>
      <c r="RO1" s="4" t="s">
        <v>353</v>
      </c>
      <c r="RP1" s="4" t="s">
        <v>353</v>
      </c>
      <c r="RQ1" s="4" t="s">
        <v>353</v>
      </c>
      <c r="RR1" s="4" t="s">
        <v>353</v>
      </c>
      <c r="RS1" s="4" t="s">
        <v>353</v>
      </c>
      <c r="RT1" s="4" t="s">
        <v>353</v>
      </c>
      <c r="RU1" s="4" t="s">
        <v>353</v>
      </c>
      <c r="RV1" s="4" t="s">
        <v>353</v>
      </c>
      <c r="RW1" s="4" t="s">
        <v>353</v>
      </c>
      <c r="RX1" s="4" t="s">
        <v>353</v>
      </c>
      <c r="RY1" s="4" t="s">
        <v>353</v>
      </c>
      <c r="RZ1" s="4" t="s">
        <v>353</v>
      </c>
      <c r="SA1" s="4" t="s">
        <v>353</v>
      </c>
      <c r="SB1" s="4" t="s">
        <v>353</v>
      </c>
      <c r="SC1" s="4" t="s">
        <v>353</v>
      </c>
      <c r="SD1" s="4" t="s">
        <v>353</v>
      </c>
      <c r="SE1" s="4" t="s">
        <v>353</v>
      </c>
      <c r="SF1" s="4" t="s">
        <v>353</v>
      </c>
      <c r="SG1" s="4" t="s">
        <v>353</v>
      </c>
      <c r="SH1" s="4" t="s">
        <v>353</v>
      </c>
      <c r="SI1" s="4" t="s">
        <v>330</v>
      </c>
      <c r="SJ1" s="4" t="s">
        <v>330</v>
      </c>
      <c r="SK1" s="4" t="s">
        <v>330</v>
      </c>
      <c r="SL1" s="4" t="s">
        <v>330</v>
      </c>
      <c r="SM1" s="4" t="s">
        <v>330</v>
      </c>
      <c r="SN1" s="4" t="s">
        <v>330</v>
      </c>
      <c r="SO1" s="4" t="s">
        <v>330</v>
      </c>
      <c r="SP1" s="4" t="s">
        <v>330</v>
      </c>
      <c r="SQ1" s="4" t="s">
        <v>330</v>
      </c>
      <c r="SR1" s="4" t="s">
        <v>330</v>
      </c>
      <c r="SS1" s="4" t="s">
        <v>330</v>
      </c>
      <c r="ST1" s="4" t="s">
        <v>330</v>
      </c>
      <c r="SU1" s="4" t="s">
        <v>330</v>
      </c>
      <c r="SV1" s="4" t="s">
        <v>330</v>
      </c>
      <c r="SW1" s="4" t="s">
        <v>330</v>
      </c>
      <c r="SX1" s="4" t="s">
        <v>330</v>
      </c>
      <c r="SY1" s="4" t="s">
        <v>361</v>
      </c>
      <c r="SZ1" s="4" t="s">
        <v>361</v>
      </c>
      <c r="TA1" s="4" t="s">
        <v>361</v>
      </c>
      <c r="TB1" s="4" t="s">
        <v>361</v>
      </c>
      <c r="TC1" s="4" t="s">
        <v>361</v>
      </c>
      <c r="TD1" s="4" t="s">
        <v>361</v>
      </c>
      <c r="TE1" s="4" t="s">
        <v>361</v>
      </c>
      <c r="TF1" s="4" t="s">
        <v>361</v>
      </c>
      <c r="TG1" s="4" t="s">
        <v>361</v>
      </c>
      <c r="TH1" s="4" t="s">
        <v>361</v>
      </c>
      <c r="TI1" s="4" t="s">
        <v>361</v>
      </c>
      <c r="TJ1" s="4" t="s">
        <v>361</v>
      </c>
      <c r="TK1" s="4" t="s">
        <v>361</v>
      </c>
      <c r="TL1" s="4" t="s">
        <v>361</v>
      </c>
      <c r="TM1" s="4" t="s">
        <v>361</v>
      </c>
      <c r="TN1" s="4" t="s">
        <v>354</v>
      </c>
      <c r="TO1" s="4" t="s">
        <v>354</v>
      </c>
      <c r="TP1" s="4" t="s">
        <v>354</v>
      </c>
      <c r="TQ1" s="4" t="s">
        <v>354</v>
      </c>
      <c r="TR1" s="4" t="s">
        <v>354</v>
      </c>
      <c r="TS1" s="4" t="s">
        <v>354</v>
      </c>
      <c r="TT1" s="4" t="s">
        <v>354</v>
      </c>
      <c r="TU1" s="4" t="s">
        <v>354</v>
      </c>
      <c r="TV1" s="4" t="s">
        <v>354</v>
      </c>
      <c r="TW1" s="4" t="s">
        <v>354</v>
      </c>
      <c r="TX1" s="4" t="s">
        <v>354</v>
      </c>
      <c r="TY1" s="4" t="s">
        <v>354</v>
      </c>
      <c r="TZ1" s="4" t="s">
        <v>354</v>
      </c>
      <c r="UA1" s="4" t="s">
        <v>357</v>
      </c>
      <c r="UB1" s="4" t="s">
        <v>357</v>
      </c>
      <c r="UC1" s="4" t="s">
        <v>357</v>
      </c>
      <c r="UD1" s="4" t="s">
        <v>357</v>
      </c>
      <c r="UE1" s="4" t="s">
        <v>357</v>
      </c>
      <c r="UF1" s="4" t="s">
        <v>357</v>
      </c>
      <c r="UG1" s="4" t="s">
        <v>357</v>
      </c>
      <c r="UH1" s="4" t="s">
        <v>357</v>
      </c>
      <c r="UI1" s="4" t="s">
        <v>357</v>
      </c>
      <c r="UJ1" s="4" t="s">
        <v>357</v>
      </c>
      <c r="UK1" s="4" t="s">
        <v>357</v>
      </c>
      <c r="UL1" s="4" t="s">
        <v>357</v>
      </c>
      <c r="UM1" s="4" t="s">
        <v>357</v>
      </c>
      <c r="UN1" s="4" t="s">
        <v>357</v>
      </c>
      <c r="UO1" s="4" t="s">
        <v>357</v>
      </c>
      <c r="UP1" s="4" t="s">
        <v>357</v>
      </c>
      <c r="UQ1" s="4" t="s">
        <v>347</v>
      </c>
      <c r="UR1" s="4" t="s">
        <v>347</v>
      </c>
      <c r="US1" s="4" t="s">
        <v>347</v>
      </c>
      <c r="UT1" s="4" t="s">
        <v>347</v>
      </c>
      <c r="UU1" s="4" t="s">
        <v>347</v>
      </c>
      <c r="UV1" s="4" t="s">
        <v>347</v>
      </c>
      <c r="UW1" s="4" t="s">
        <v>347</v>
      </c>
      <c r="UX1" s="4" t="s">
        <v>347</v>
      </c>
      <c r="UY1" s="4" t="s">
        <v>347</v>
      </c>
      <c r="UZ1" s="4" t="s">
        <v>347</v>
      </c>
      <c r="VA1" s="4" t="s">
        <v>347</v>
      </c>
      <c r="VB1" s="4" t="s">
        <v>347</v>
      </c>
      <c r="VC1" s="4" t="s">
        <v>347</v>
      </c>
      <c r="VD1" s="4" t="s">
        <v>343</v>
      </c>
      <c r="VE1" s="4" t="s">
        <v>343</v>
      </c>
      <c r="VF1" s="4" t="s">
        <v>343</v>
      </c>
      <c r="VG1" s="4" t="s">
        <v>343</v>
      </c>
      <c r="VH1" s="4" t="s">
        <v>343</v>
      </c>
      <c r="VI1" s="4" t="s">
        <v>343</v>
      </c>
      <c r="VJ1" s="4" t="s">
        <v>343</v>
      </c>
      <c r="VK1" s="4" t="s">
        <v>343</v>
      </c>
      <c r="VL1" s="4" t="s">
        <v>343</v>
      </c>
      <c r="VM1" s="4" t="s">
        <v>343</v>
      </c>
      <c r="VN1" s="4" t="s">
        <v>343</v>
      </c>
      <c r="VO1" s="4" t="s">
        <v>343</v>
      </c>
      <c r="VP1" s="4" t="s">
        <v>376</v>
      </c>
      <c r="VQ1" s="4" t="s">
        <v>376</v>
      </c>
      <c r="VR1" s="4" t="s">
        <v>376</v>
      </c>
      <c r="VS1" s="4" t="s">
        <v>376</v>
      </c>
      <c r="VT1" s="4" t="s">
        <v>376</v>
      </c>
      <c r="VU1" s="4" t="s">
        <v>376</v>
      </c>
      <c r="VV1" s="4" t="s">
        <v>376</v>
      </c>
      <c r="VW1" s="4" t="s">
        <v>376</v>
      </c>
      <c r="VX1" s="4" t="s">
        <v>376</v>
      </c>
      <c r="VY1" s="4" t="s">
        <v>376</v>
      </c>
      <c r="VZ1" s="4" t="s">
        <v>376</v>
      </c>
      <c r="WA1" s="4" t="s">
        <v>367</v>
      </c>
      <c r="WB1" s="4" t="s">
        <v>367</v>
      </c>
      <c r="WC1" s="4" t="s">
        <v>367</v>
      </c>
      <c r="WD1" s="4" t="s">
        <v>367</v>
      </c>
      <c r="WE1" s="4" t="s">
        <v>367</v>
      </c>
      <c r="WF1" s="4" t="s">
        <v>367</v>
      </c>
      <c r="WG1" s="4" t="s">
        <v>367</v>
      </c>
      <c r="WH1" s="4" t="s">
        <v>367</v>
      </c>
      <c r="WI1" s="4" t="s">
        <v>367</v>
      </c>
      <c r="WJ1" s="4" t="s">
        <v>367</v>
      </c>
      <c r="WK1" s="4" t="s">
        <v>367</v>
      </c>
      <c r="WL1" s="4" t="s">
        <v>367</v>
      </c>
      <c r="WM1" s="4" t="s">
        <v>367</v>
      </c>
      <c r="WN1" s="4" t="s">
        <v>367</v>
      </c>
      <c r="WO1" s="4" t="s">
        <v>367</v>
      </c>
      <c r="WP1" s="4" t="s">
        <v>367</v>
      </c>
      <c r="WQ1" s="4" t="s">
        <v>367</v>
      </c>
      <c r="WR1" s="4" t="s">
        <v>367</v>
      </c>
      <c r="WS1" s="4" t="s">
        <v>367</v>
      </c>
      <c r="WT1" s="4" t="s">
        <v>367</v>
      </c>
      <c r="WU1" s="4" t="s">
        <v>367</v>
      </c>
      <c r="WV1" s="4" t="s">
        <v>367</v>
      </c>
      <c r="WW1" s="4" t="s">
        <v>367</v>
      </c>
      <c r="WX1" s="4" t="s">
        <v>367</v>
      </c>
      <c r="WY1" s="4" t="s">
        <v>367</v>
      </c>
      <c r="WZ1" s="4" t="s">
        <v>367</v>
      </c>
      <c r="XA1" s="4" t="s">
        <v>367</v>
      </c>
      <c r="XB1" s="4" t="s">
        <v>351</v>
      </c>
      <c r="XC1" s="4" t="s">
        <v>351</v>
      </c>
      <c r="XD1" s="4" t="s">
        <v>351</v>
      </c>
      <c r="XE1" s="4" t="s">
        <v>351</v>
      </c>
      <c r="XF1" s="4" t="s">
        <v>351</v>
      </c>
      <c r="XG1" s="4" t="s">
        <v>351</v>
      </c>
      <c r="XH1" s="4" t="s">
        <v>351</v>
      </c>
      <c r="XI1" s="4" t="s">
        <v>351</v>
      </c>
      <c r="XJ1" s="4" t="s">
        <v>351</v>
      </c>
      <c r="XK1" s="4" t="s">
        <v>351</v>
      </c>
      <c r="XL1" s="4" t="s">
        <v>351</v>
      </c>
      <c r="XM1" s="4" t="s">
        <v>341</v>
      </c>
      <c r="XN1" s="4" t="s">
        <v>341</v>
      </c>
      <c r="XO1" s="4" t="s">
        <v>341</v>
      </c>
      <c r="XP1" s="4" t="s">
        <v>341</v>
      </c>
      <c r="XQ1" s="4" t="s">
        <v>341</v>
      </c>
      <c r="XR1" s="4" t="s">
        <v>341</v>
      </c>
      <c r="XS1" s="4" t="s">
        <v>341</v>
      </c>
      <c r="XT1" s="4" t="s">
        <v>341</v>
      </c>
      <c r="XU1" s="4" t="s">
        <v>341</v>
      </c>
      <c r="XV1" s="4" t="s">
        <v>341</v>
      </c>
      <c r="XW1" s="4" t="s">
        <v>341</v>
      </c>
      <c r="XX1" s="4" t="s">
        <v>341</v>
      </c>
      <c r="XY1" s="4" t="s">
        <v>341</v>
      </c>
      <c r="XZ1" s="4" t="s">
        <v>341</v>
      </c>
      <c r="YA1" s="4" t="s">
        <v>332</v>
      </c>
      <c r="YB1" s="4" t="s">
        <v>332</v>
      </c>
      <c r="YC1" s="4" t="s">
        <v>332</v>
      </c>
      <c r="YD1" s="4" t="s">
        <v>332</v>
      </c>
      <c r="YE1" s="4" t="s">
        <v>332</v>
      </c>
      <c r="YF1" s="4" t="s">
        <v>332</v>
      </c>
      <c r="YG1" s="4" t="s">
        <v>332</v>
      </c>
      <c r="YH1" s="4" t="s">
        <v>332</v>
      </c>
      <c r="YI1" s="4" t="s">
        <v>332</v>
      </c>
      <c r="YJ1" s="4" t="s">
        <v>332</v>
      </c>
      <c r="YK1" s="4" t="s">
        <v>332</v>
      </c>
      <c r="YL1" s="4" t="s">
        <v>332</v>
      </c>
      <c r="YM1" s="4" t="s">
        <v>332</v>
      </c>
      <c r="YN1" s="4" t="s">
        <v>332</v>
      </c>
      <c r="YO1" s="4" t="s">
        <v>332</v>
      </c>
      <c r="YP1" s="4" t="s">
        <v>333</v>
      </c>
      <c r="YQ1" s="4" t="s">
        <v>333</v>
      </c>
      <c r="YR1" s="4" t="s">
        <v>333</v>
      </c>
      <c r="YS1" s="4" t="s">
        <v>333</v>
      </c>
      <c r="YT1" s="4" t="s">
        <v>333</v>
      </c>
      <c r="YU1" s="4" t="s">
        <v>333</v>
      </c>
      <c r="YV1" s="4" t="s">
        <v>333</v>
      </c>
      <c r="YW1" s="4" t="s">
        <v>333</v>
      </c>
      <c r="YX1" s="4" t="s">
        <v>333</v>
      </c>
      <c r="YY1" s="4" t="s">
        <v>333</v>
      </c>
      <c r="YZ1" s="4" t="s">
        <v>333</v>
      </c>
      <c r="ZA1" s="4" t="s">
        <v>333</v>
      </c>
      <c r="ZB1" s="4" t="s">
        <v>333</v>
      </c>
      <c r="ZC1" s="4" t="s">
        <v>333</v>
      </c>
      <c r="ZD1" s="4" t="s">
        <v>336</v>
      </c>
      <c r="ZE1" s="4" t="s">
        <v>336</v>
      </c>
      <c r="ZF1" s="4" t="s">
        <v>336</v>
      </c>
      <c r="ZG1" s="4" t="s">
        <v>336</v>
      </c>
      <c r="ZH1" s="4" t="s">
        <v>336</v>
      </c>
      <c r="ZI1" s="4" t="s">
        <v>336</v>
      </c>
      <c r="ZJ1" s="4" t="s">
        <v>336</v>
      </c>
      <c r="ZK1" s="4" t="s">
        <v>336</v>
      </c>
      <c r="ZL1" s="4" t="s">
        <v>336</v>
      </c>
      <c r="ZM1" s="4" t="s">
        <v>336</v>
      </c>
      <c r="ZN1" s="4" t="s">
        <v>336</v>
      </c>
      <c r="ZO1" s="4" t="s">
        <v>335</v>
      </c>
      <c r="ZP1" s="4" t="s">
        <v>335</v>
      </c>
      <c r="ZQ1" s="4" t="s">
        <v>335</v>
      </c>
      <c r="ZR1" s="4" t="s">
        <v>335</v>
      </c>
      <c r="ZS1" s="4" t="s">
        <v>335</v>
      </c>
      <c r="ZT1" s="4" t="s">
        <v>335</v>
      </c>
      <c r="ZU1" s="4" t="s">
        <v>335</v>
      </c>
      <c r="ZV1" s="4" t="s">
        <v>335</v>
      </c>
      <c r="ZW1" s="4" t="s">
        <v>335</v>
      </c>
      <c r="ZX1" s="4" t="s">
        <v>335</v>
      </c>
      <c r="ZY1" s="4" t="s">
        <v>335</v>
      </c>
      <c r="ZZ1" s="4" t="s">
        <v>335</v>
      </c>
      <c r="AAA1" s="4" t="s">
        <v>335</v>
      </c>
      <c r="AAB1" s="4" t="s">
        <v>366</v>
      </c>
      <c r="AAC1" s="4" t="s">
        <v>366</v>
      </c>
      <c r="AAD1" s="4" t="s">
        <v>366</v>
      </c>
      <c r="AAE1" s="4" t="s">
        <v>366</v>
      </c>
      <c r="AAF1" s="4" t="s">
        <v>366</v>
      </c>
      <c r="AAG1" s="4" t="s">
        <v>366</v>
      </c>
      <c r="AAH1" s="4" t="s">
        <v>366</v>
      </c>
      <c r="AAI1" s="4" t="s">
        <v>366</v>
      </c>
      <c r="AAJ1" s="4" t="s">
        <v>366</v>
      </c>
      <c r="AAK1" s="4" t="s">
        <v>366</v>
      </c>
      <c r="AAL1" s="4" t="s">
        <v>366</v>
      </c>
      <c r="AAM1" s="4" t="s">
        <v>366</v>
      </c>
      <c r="AAN1" s="4" t="s">
        <v>366</v>
      </c>
      <c r="AAO1" s="4" t="s">
        <v>346</v>
      </c>
      <c r="AAP1" s="4" t="s">
        <v>346</v>
      </c>
      <c r="AAQ1" s="4" t="s">
        <v>346</v>
      </c>
      <c r="AAR1" s="4" t="s">
        <v>346</v>
      </c>
      <c r="AAS1" s="4" t="s">
        <v>346</v>
      </c>
      <c r="AAT1" s="4" t="s">
        <v>346</v>
      </c>
      <c r="AAU1" s="4" t="s">
        <v>346</v>
      </c>
      <c r="AAV1" s="4" t="s">
        <v>346</v>
      </c>
      <c r="AAW1" s="4" t="s">
        <v>346</v>
      </c>
      <c r="AAX1" s="4" t="s">
        <v>346</v>
      </c>
      <c r="AAY1" s="4" t="s">
        <v>346</v>
      </c>
      <c r="AAZ1" s="4" t="s">
        <v>346</v>
      </c>
      <c r="ABA1" s="4" t="s">
        <v>360</v>
      </c>
      <c r="ABB1" s="4" t="s">
        <v>360</v>
      </c>
      <c r="ABC1" s="4" t="s">
        <v>360</v>
      </c>
      <c r="ABD1" s="4" t="s">
        <v>360</v>
      </c>
      <c r="ABE1" s="4" t="s">
        <v>360</v>
      </c>
      <c r="ABF1" s="4" t="s">
        <v>360</v>
      </c>
      <c r="ABG1" s="4" t="s">
        <v>360</v>
      </c>
      <c r="ABH1" s="4" t="s">
        <v>360</v>
      </c>
      <c r="ABI1" s="4" t="s">
        <v>360</v>
      </c>
      <c r="ABJ1" s="4" t="s">
        <v>360</v>
      </c>
      <c r="ABK1" s="4" t="s">
        <v>360</v>
      </c>
      <c r="ABL1" s="4" t="s">
        <v>360</v>
      </c>
      <c r="ABM1" s="4" t="s">
        <v>360</v>
      </c>
      <c r="ABN1" s="4" t="s">
        <v>344</v>
      </c>
      <c r="ABO1" s="4" t="s">
        <v>344</v>
      </c>
      <c r="ABP1" s="4" t="s">
        <v>344</v>
      </c>
      <c r="ABQ1" s="4" t="s">
        <v>344</v>
      </c>
      <c r="ABR1" s="4" t="s">
        <v>344</v>
      </c>
      <c r="ABS1" s="4" t="s">
        <v>344</v>
      </c>
      <c r="ABT1" s="4" t="s">
        <v>344</v>
      </c>
      <c r="ABU1" s="4" t="s">
        <v>344</v>
      </c>
      <c r="ABV1" s="4" t="s">
        <v>344</v>
      </c>
      <c r="ABW1" s="4" t="s">
        <v>344</v>
      </c>
      <c r="ABX1" s="4" t="s">
        <v>344</v>
      </c>
      <c r="ABY1" s="4" t="s">
        <v>344</v>
      </c>
      <c r="ABZ1" s="4" t="s">
        <v>344</v>
      </c>
      <c r="ACA1" s="4" t="s">
        <v>356</v>
      </c>
      <c r="ACB1" s="4" t="s">
        <v>356</v>
      </c>
      <c r="ACC1" s="4" t="s">
        <v>356</v>
      </c>
      <c r="ACD1" s="4" t="s">
        <v>356</v>
      </c>
      <c r="ACE1" s="4" t="s">
        <v>356</v>
      </c>
      <c r="ACF1" s="4" t="s">
        <v>356</v>
      </c>
      <c r="ACG1" s="4" t="s">
        <v>356</v>
      </c>
      <c r="ACH1" s="4" t="s">
        <v>356</v>
      </c>
      <c r="ACI1" s="4" t="s">
        <v>356</v>
      </c>
      <c r="ACJ1" s="4" t="s">
        <v>356</v>
      </c>
      <c r="ACK1" s="4" t="s">
        <v>356</v>
      </c>
      <c r="ACL1" s="4" t="s">
        <v>356</v>
      </c>
      <c r="ACM1" s="4" t="s">
        <v>356</v>
      </c>
      <c r="ACN1" s="4" t="s">
        <v>348</v>
      </c>
      <c r="ACO1" s="4" t="s">
        <v>348</v>
      </c>
      <c r="ACP1" s="4" t="s">
        <v>348</v>
      </c>
      <c r="ACQ1" s="4" t="s">
        <v>348</v>
      </c>
      <c r="ACR1" s="4" t="s">
        <v>348</v>
      </c>
      <c r="ACS1" s="4" t="s">
        <v>348</v>
      </c>
      <c r="ACT1" s="4" t="s">
        <v>348</v>
      </c>
      <c r="ACU1" s="4" t="s">
        <v>348</v>
      </c>
      <c r="ACV1" s="4" t="s">
        <v>348</v>
      </c>
      <c r="ACW1" s="4" t="s">
        <v>348</v>
      </c>
      <c r="ACX1" s="4" t="s">
        <v>348</v>
      </c>
      <c r="ACY1" s="4" t="s">
        <v>348</v>
      </c>
      <c r="ACZ1" s="4" t="s">
        <v>348</v>
      </c>
      <c r="ADA1" s="4" t="s">
        <v>348</v>
      </c>
      <c r="ADB1" s="4" t="s">
        <v>348</v>
      </c>
      <c r="ADC1" s="4" t="s">
        <v>365</v>
      </c>
      <c r="ADD1" s="4" t="s">
        <v>365</v>
      </c>
      <c r="ADE1" s="4" t="s">
        <v>365</v>
      </c>
      <c r="ADF1" s="4" t="s">
        <v>365</v>
      </c>
      <c r="ADG1" s="4" t="s">
        <v>365</v>
      </c>
      <c r="ADH1" s="4" t="s">
        <v>365</v>
      </c>
      <c r="ADI1" s="4" t="s">
        <v>365</v>
      </c>
      <c r="ADJ1" s="4" t="s">
        <v>365</v>
      </c>
      <c r="ADK1" s="4" t="s">
        <v>365</v>
      </c>
      <c r="ADL1" s="4" t="s">
        <v>365</v>
      </c>
      <c r="ADM1" s="4" t="s">
        <v>365</v>
      </c>
      <c r="ADN1" s="4" t="s">
        <v>365</v>
      </c>
      <c r="ADO1" s="4" t="s">
        <v>365</v>
      </c>
      <c r="ADP1" s="4" t="s">
        <v>365</v>
      </c>
      <c r="ADQ1" s="4" t="s">
        <v>377</v>
      </c>
      <c r="ADR1" s="4" t="s">
        <v>377</v>
      </c>
      <c r="ADS1" s="4" t="s">
        <v>377</v>
      </c>
      <c r="ADT1" s="4" t="s">
        <v>377</v>
      </c>
      <c r="ADU1" s="4" t="s">
        <v>377</v>
      </c>
      <c r="ADV1" s="4" t="s">
        <v>377</v>
      </c>
      <c r="ADW1" s="4" t="s">
        <v>377</v>
      </c>
      <c r="ADX1" s="4" t="s">
        <v>377</v>
      </c>
      <c r="ADY1" s="4" t="s">
        <v>377</v>
      </c>
      <c r="ADZ1" s="4" t="s">
        <v>377</v>
      </c>
      <c r="AEA1" s="4" t="s">
        <v>377</v>
      </c>
      <c r="AEB1" s="4" t="s">
        <v>377</v>
      </c>
      <c r="AEC1" s="4" t="s">
        <v>377</v>
      </c>
      <c r="AED1" s="4" t="s">
        <v>377</v>
      </c>
      <c r="AEE1" s="4" t="s">
        <v>377</v>
      </c>
      <c r="AEF1" s="4" t="s">
        <v>377</v>
      </c>
      <c r="AEG1" s="4" t="s">
        <v>377</v>
      </c>
      <c r="AEH1" s="4" t="s">
        <v>377</v>
      </c>
      <c r="AEI1" s="4" t="s">
        <v>377</v>
      </c>
      <c r="AEJ1" s="4" t="s">
        <v>377</v>
      </c>
      <c r="AEK1" s="4" t="s">
        <v>378</v>
      </c>
      <c r="AEL1" s="4" t="s">
        <v>378</v>
      </c>
      <c r="AEM1" s="4" t="s">
        <v>378</v>
      </c>
      <c r="AEN1" s="4" t="s">
        <v>378</v>
      </c>
      <c r="AEO1" s="4" t="s">
        <v>378</v>
      </c>
      <c r="AEP1" s="4" t="s">
        <v>378</v>
      </c>
      <c r="AEQ1" s="4" t="s">
        <v>378</v>
      </c>
      <c r="AER1" s="4" t="s">
        <v>378</v>
      </c>
      <c r="AES1" s="4" t="s">
        <v>378</v>
      </c>
      <c r="AET1" s="4" t="s">
        <v>378</v>
      </c>
      <c r="AEU1" s="4" t="s">
        <v>378</v>
      </c>
      <c r="AEV1" s="4" t="s">
        <v>378</v>
      </c>
      <c r="AEW1" s="4" t="s">
        <v>378</v>
      </c>
      <c r="AEX1" s="4" t="s">
        <v>378</v>
      </c>
      <c r="AEY1" s="4" t="s">
        <v>378</v>
      </c>
      <c r="AEZ1" s="4" t="s">
        <v>378</v>
      </c>
      <c r="AFA1" s="4" t="s">
        <v>378</v>
      </c>
      <c r="AFB1" s="4" t="s">
        <v>379</v>
      </c>
      <c r="AFC1" s="4" t="s">
        <v>379</v>
      </c>
      <c r="AFD1" s="4" t="s">
        <v>379</v>
      </c>
      <c r="AFE1" s="4" t="s">
        <v>379</v>
      </c>
      <c r="AFF1" s="4" t="s">
        <v>379</v>
      </c>
      <c r="AFG1" s="4" t="s">
        <v>379</v>
      </c>
      <c r="AFH1" s="4" t="s">
        <v>379</v>
      </c>
      <c r="AFI1" s="4" t="s">
        <v>379</v>
      </c>
      <c r="AFJ1" s="4" t="s">
        <v>379</v>
      </c>
      <c r="AFK1" s="4" t="s">
        <v>379</v>
      </c>
      <c r="AFL1" s="4" t="s">
        <v>379</v>
      </c>
      <c r="AFM1" s="4" t="s">
        <v>379</v>
      </c>
      <c r="AFN1" s="4" t="s">
        <v>379</v>
      </c>
      <c r="AFO1" s="4" t="s">
        <v>380</v>
      </c>
      <c r="AFP1" s="4" t="s">
        <v>380</v>
      </c>
      <c r="AFQ1" s="4" t="s">
        <v>380</v>
      </c>
      <c r="AFR1" s="4" t="s">
        <v>380</v>
      </c>
      <c r="AFS1" s="4" t="s">
        <v>380</v>
      </c>
      <c r="AFT1" s="4" t="s">
        <v>380</v>
      </c>
      <c r="AFU1" s="4" t="s">
        <v>380</v>
      </c>
      <c r="AFV1" s="4" t="s">
        <v>380</v>
      </c>
      <c r="AFW1" s="4" t="s">
        <v>380</v>
      </c>
      <c r="AFX1" s="4" t="s">
        <v>380</v>
      </c>
      <c r="AFY1" s="4" t="s">
        <v>380</v>
      </c>
      <c r="AFZ1" s="4" t="s">
        <v>381</v>
      </c>
      <c r="AGA1" s="4" t="s">
        <v>381</v>
      </c>
      <c r="AGB1" s="4" t="s">
        <v>381</v>
      </c>
      <c r="AGC1" s="4" t="s">
        <v>381</v>
      </c>
      <c r="AGD1" s="4" t="s">
        <v>381</v>
      </c>
      <c r="AGE1" s="4" t="s">
        <v>381</v>
      </c>
      <c r="AGF1" s="4" t="s">
        <v>381</v>
      </c>
      <c r="AGG1" s="4" t="s">
        <v>381</v>
      </c>
      <c r="AGH1" s="4" t="s">
        <v>381</v>
      </c>
      <c r="AGI1" s="4" t="s">
        <v>381</v>
      </c>
      <c r="AGJ1" s="4" t="s">
        <v>381</v>
      </c>
      <c r="AGK1" s="4" t="s">
        <v>383</v>
      </c>
      <c r="AGL1" s="4" t="s">
        <v>383</v>
      </c>
      <c r="AGM1" s="4" t="s">
        <v>383</v>
      </c>
      <c r="AGN1" s="4" t="s">
        <v>383</v>
      </c>
      <c r="AGO1" s="4" t="s">
        <v>383</v>
      </c>
      <c r="AGP1" s="4" t="s">
        <v>383</v>
      </c>
      <c r="AGQ1" s="4" t="s">
        <v>383</v>
      </c>
      <c r="AGR1" s="4" t="s">
        <v>383</v>
      </c>
      <c r="AGS1" s="4" t="s">
        <v>383</v>
      </c>
      <c r="AGT1" s="4" t="s">
        <v>383</v>
      </c>
      <c r="AGU1" s="4" t="s">
        <v>383</v>
      </c>
      <c r="AGV1" s="4" t="s">
        <v>383</v>
      </c>
      <c r="AGW1" s="4" t="s">
        <v>382</v>
      </c>
      <c r="AGX1" s="4" t="s">
        <v>382</v>
      </c>
      <c r="AGY1" s="4" t="s">
        <v>382</v>
      </c>
      <c r="AGZ1" s="4" t="s">
        <v>382</v>
      </c>
      <c r="AHA1" s="4" t="s">
        <v>382</v>
      </c>
      <c r="AHB1" s="4" t="s">
        <v>382</v>
      </c>
      <c r="AHC1" s="4" t="s">
        <v>382</v>
      </c>
      <c r="AHD1" s="4" t="s">
        <v>382</v>
      </c>
      <c r="AHE1" s="4" t="s">
        <v>382</v>
      </c>
      <c r="AHF1" s="4" t="s">
        <v>382</v>
      </c>
      <c r="AHG1" s="4" t="s">
        <v>382</v>
      </c>
      <c r="AHH1" s="4" t="s">
        <v>382</v>
      </c>
      <c r="AHI1" s="4" t="s">
        <v>382</v>
      </c>
      <c r="AHJ1" s="4" t="s">
        <v>382</v>
      </c>
      <c r="AHK1" s="4" t="s">
        <v>385</v>
      </c>
      <c r="AHL1" s="4" t="s">
        <v>385</v>
      </c>
      <c r="AHM1" s="4" t="s">
        <v>385</v>
      </c>
      <c r="AHN1" s="4" t="s">
        <v>385</v>
      </c>
      <c r="AHO1" s="4" t="s">
        <v>385</v>
      </c>
      <c r="AHP1" s="4" t="s">
        <v>385</v>
      </c>
      <c r="AHQ1" s="4" t="s">
        <v>385</v>
      </c>
      <c r="AHR1" s="4" t="s">
        <v>385</v>
      </c>
      <c r="AHS1" s="4" t="s">
        <v>385</v>
      </c>
      <c r="AHT1" s="4" t="s">
        <v>385</v>
      </c>
      <c r="AHU1" s="4" t="s">
        <v>385</v>
      </c>
      <c r="AHV1" s="4" t="s">
        <v>385</v>
      </c>
      <c r="AHW1" s="4" t="s">
        <v>385</v>
      </c>
      <c r="AHX1" s="4" t="s">
        <v>385</v>
      </c>
      <c r="AHY1" s="4" t="s">
        <v>384</v>
      </c>
      <c r="AHZ1" s="4" t="s">
        <v>384</v>
      </c>
      <c r="AIA1" s="4" t="s">
        <v>384</v>
      </c>
      <c r="AIB1" s="4" t="s">
        <v>384</v>
      </c>
      <c r="AIC1" s="4" t="s">
        <v>384</v>
      </c>
      <c r="AID1" s="4" t="s">
        <v>384</v>
      </c>
      <c r="AIE1" s="4" t="s">
        <v>384</v>
      </c>
      <c r="AIF1" s="4" t="s">
        <v>384</v>
      </c>
      <c r="AIG1" s="4" t="s">
        <v>384</v>
      </c>
      <c r="AIH1" s="4" t="s">
        <v>384</v>
      </c>
      <c r="AII1" s="4" t="s">
        <v>384</v>
      </c>
      <c r="AIJ1" s="4" t="s">
        <v>384</v>
      </c>
      <c r="AIK1" s="4" t="s">
        <v>386</v>
      </c>
      <c r="AIL1" s="4" t="s">
        <v>386</v>
      </c>
      <c r="AIM1" s="4" t="s">
        <v>386</v>
      </c>
      <c r="AIN1" s="4" t="s">
        <v>386</v>
      </c>
      <c r="AIO1" s="4" t="s">
        <v>386</v>
      </c>
      <c r="AIP1" s="4" t="s">
        <v>386</v>
      </c>
      <c r="AIQ1" s="4" t="s">
        <v>386</v>
      </c>
      <c r="AIR1" s="4" t="s">
        <v>386</v>
      </c>
      <c r="AIS1" s="4" t="s">
        <v>386</v>
      </c>
      <c r="AIT1" s="4" t="s">
        <v>386</v>
      </c>
      <c r="AIU1" s="4" t="s">
        <v>386</v>
      </c>
      <c r="AIV1" s="4" t="s">
        <v>386</v>
      </c>
      <c r="AIW1" s="4" t="s">
        <v>387</v>
      </c>
      <c r="AIX1" s="4" t="s">
        <v>387</v>
      </c>
      <c r="AIY1" s="4" t="s">
        <v>387</v>
      </c>
      <c r="AIZ1" s="4" t="s">
        <v>387</v>
      </c>
      <c r="AJA1" s="4" t="s">
        <v>387</v>
      </c>
      <c r="AJB1" s="4" t="s">
        <v>387</v>
      </c>
      <c r="AJC1" s="4" t="s">
        <v>387</v>
      </c>
      <c r="AJD1" s="4" t="s">
        <v>387</v>
      </c>
      <c r="AJE1" s="4" t="s">
        <v>387</v>
      </c>
      <c r="AJF1" s="4" t="s">
        <v>387</v>
      </c>
      <c r="AJG1" s="4" t="s">
        <v>387</v>
      </c>
      <c r="AJH1" s="4" t="s">
        <v>387</v>
      </c>
      <c r="AJI1" s="4" t="s">
        <v>387</v>
      </c>
      <c r="AJJ1" s="4" t="s">
        <v>387</v>
      </c>
      <c r="AJK1" s="4" t="s">
        <v>389</v>
      </c>
      <c r="AJL1" s="4" t="s">
        <v>389</v>
      </c>
      <c r="AJM1" s="4" t="s">
        <v>389</v>
      </c>
      <c r="AJN1" s="4" t="s">
        <v>389</v>
      </c>
      <c r="AJO1" s="4" t="s">
        <v>389</v>
      </c>
      <c r="AJP1" s="4" t="s">
        <v>389</v>
      </c>
      <c r="AJQ1" s="4" t="s">
        <v>389</v>
      </c>
      <c r="AJR1" s="4" t="s">
        <v>389</v>
      </c>
      <c r="AJS1" s="4" t="s">
        <v>389</v>
      </c>
      <c r="AJT1" s="4" t="s">
        <v>389</v>
      </c>
      <c r="AJU1" s="4" t="s">
        <v>388</v>
      </c>
      <c r="AJV1" s="4" t="s">
        <v>388</v>
      </c>
      <c r="AJW1" s="4" t="s">
        <v>388</v>
      </c>
      <c r="AJX1" s="4" t="s">
        <v>388</v>
      </c>
      <c r="AJY1" s="4" t="s">
        <v>388</v>
      </c>
      <c r="AJZ1" s="4" t="s">
        <v>388</v>
      </c>
      <c r="AKA1" s="4" t="s">
        <v>388</v>
      </c>
      <c r="AKB1" s="4" t="s">
        <v>388</v>
      </c>
      <c r="AKC1" s="4" t="s">
        <v>388</v>
      </c>
      <c r="AKD1" s="4" t="s">
        <v>388</v>
      </c>
      <c r="AKE1" s="4" t="s">
        <v>388</v>
      </c>
      <c r="AKF1" s="4" t="s">
        <v>390</v>
      </c>
      <c r="AKG1" s="4" t="s">
        <v>390</v>
      </c>
      <c r="AKH1" s="4" t="s">
        <v>390</v>
      </c>
      <c r="AKI1" s="4" t="s">
        <v>390</v>
      </c>
      <c r="AKJ1" s="4" t="s">
        <v>390</v>
      </c>
      <c r="AKK1" s="4" t="s">
        <v>390</v>
      </c>
      <c r="AKL1" s="4" t="s">
        <v>390</v>
      </c>
      <c r="AKM1" s="4" t="s">
        <v>390</v>
      </c>
      <c r="AKN1" s="4" t="s">
        <v>390</v>
      </c>
      <c r="AKO1" s="4" t="s">
        <v>390</v>
      </c>
      <c r="AKP1" s="4" t="s">
        <v>390</v>
      </c>
      <c r="AKQ1" s="4" t="s">
        <v>390</v>
      </c>
      <c r="AKR1" s="4" t="s">
        <v>390</v>
      </c>
      <c r="AKS1" s="4" t="s">
        <v>390</v>
      </c>
      <c r="AKT1" s="4" t="s">
        <v>390</v>
      </c>
      <c r="AKU1" s="4" t="s">
        <v>325</v>
      </c>
      <c r="AKV1" s="4" t="s">
        <v>325</v>
      </c>
      <c r="AKW1" s="4" t="s">
        <v>325</v>
      </c>
      <c r="AKX1" s="4" t="s">
        <v>325</v>
      </c>
      <c r="AKY1" s="4" t="s">
        <v>325</v>
      </c>
      <c r="AKZ1" s="4" t="s">
        <v>325</v>
      </c>
      <c r="ALA1" s="4" t="s">
        <v>325</v>
      </c>
      <c r="ALB1" s="4" t="s">
        <v>325</v>
      </c>
      <c r="ALC1" s="4" t="s">
        <v>325</v>
      </c>
      <c r="ALD1" s="4" t="s">
        <v>325</v>
      </c>
      <c r="ALE1" s="4" t="s">
        <v>325</v>
      </c>
      <c r="ALF1" s="4" t="s">
        <v>325</v>
      </c>
      <c r="ALG1" s="4" t="s">
        <v>325</v>
      </c>
      <c r="ALH1" s="4" t="s">
        <v>325</v>
      </c>
      <c r="ALI1" s="4" t="s">
        <v>325</v>
      </c>
      <c r="ALJ1" s="4" t="s">
        <v>325</v>
      </c>
      <c r="ALK1" s="4" t="s">
        <v>325</v>
      </c>
      <c r="ALL1" s="4" t="s">
        <v>325</v>
      </c>
      <c r="ALM1" s="4" t="s">
        <v>393</v>
      </c>
      <c r="ALN1" s="4" t="s">
        <v>393</v>
      </c>
      <c r="ALO1" s="4" t="s">
        <v>393</v>
      </c>
      <c r="ALP1" s="4" t="s">
        <v>393</v>
      </c>
      <c r="ALQ1" s="4" t="s">
        <v>393</v>
      </c>
      <c r="ALR1" s="4" t="s">
        <v>393</v>
      </c>
      <c r="ALS1" s="4" t="s">
        <v>393</v>
      </c>
      <c r="ALT1" s="4" t="s">
        <v>393</v>
      </c>
      <c r="ALU1" s="4" t="s">
        <v>393</v>
      </c>
      <c r="ALV1" s="4" t="s">
        <v>393</v>
      </c>
      <c r="ALW1" s="4" t="s">
        <v>393</v>
      </c>
      <c r="ALX1" s="4" t="s">
        <v>393</v>
      </c>
      <c r="ALY1" s="4" t="s">
        <v>393</v>
      </c>
      <c r="ALZ1" s="4" t="s">
        <v>393</v>
      </c>
      <c r="AMA1" s="4" t="s">
        <v>393</v>
      </c>
      <c r="AMB1" s="4" t="s">
        <v>392</v>
      </c>
      <c r="AMC1" s="4" t="s">
        <v>392</v>
      </c>
      <c r="AMD1" s="4" t="s">
        <v>392</v>
      </c>
      <c r="AME1" s="4" t="s">
        <v>392</v>
      </c>
      <c r="AMF1" s="4" t="s">
        <v>392</v>
      </c>
      <c r="AMG1" s="4" t="s">
        <v>392</v>
      </c>
      <c r="AMH1" s="4" t="s">
        <v>392</v>
      </c>
      <c r="AMI1" s="4" t="s">
        <v>392</v>
      </c>
      <c r="AMJ1" s="4" t="s">
        <v>392</v>
      </c>
      <c r="AMK1" s="4" t="s">
        <v>392</v>
      </c>
      <c r="AML1" s="4" t="s">
        <v>392</v>
      </c>
      <c r="AMM1" s="4" t="s">
        <v>392</v>
      </c>
      <c r="AMN1" s="4" t="s">
        <v>392</v>
      </c>
      <c r="AMO1" s="4" t="s">
        <v>392</v>
      </c>
      <c r="AMP1" s="4" t="s">
        <v>392</v>
      </c>
      <c r="AMQ1" s="4" t="s">
        <v>392</v>
      </c>
      <c r="AMR1" s="4" t="s">
        <v>392</v>
      </c>
      <c r="AMS1" s="4" t="s">
        <v>392</v>
      </c>
      <c r="AMT1" s="4" t="s">
        <v>392</v>
      </c>
      <c r="AMU1" s="4" t="s">
        <v>392</v>
      </c>
      <c r="AMV1" s="4" t="s">
        <v>392</v>
      </c>
      <c r="AMW1" s="4" t="s">
        <v>392</v>
      </c>
      <c r="AMX1" s="4" t="s">
        <v>391</v>
      </c>
      <c r="AMY1" s="4" t="s">
        <v>391</v>
      </c>
      <c r="AMZ1" s="4" t="s">
        <v>391</v>
      </c>
      <c r="ANA1" s="4" t="s">
        <v>391</v>
      </c>
      <c r="ANB1" s="4" t="s">
        <v>391</v>
      </c>
      <c r="ANC1" s="4" t="s">
        <v>391</v>
      </c>
      <c r="AND1" s="4" t="s">
        <v>391</v>
      </c>
      <c r="ANE1" s="4" t="s">
        <v>391</v>
      </c>
      <c r="ANF1" s="4" t="s">
        <v>391</v>
      </c>
      <c r="ANG1" s="4" t="s">
        <v>391</v>
      </c>
      <c r="ANH1" s="4" t="s">
        <v>391</v>
      </c>
      <c r="ANI1" s="4" t="s">
        <v>391</v>
      </c>
      <c r="ANJ1" s="4" t="s">
        <v>391</v>
      </c>
      <c r="ANK1" s="4" t="s">
        <v>391</v>
      </c>
      <c r="ANL1" s="4" t="s">
        <v>391</v>
      </c>
      <c r="ANM1" s="4" t="s">
        <v>391</v>
      </c>
      <c r="ANN1" s="4" t="s">
        <v>391</v>
      </c>
      <c r="ANO1" s="4" t="s">
        <v>391</v>
      </c>
      <c r="ANP1" s="4" t="s">
        <v>391</v>
      </c>
      <c r="ANQ1" s="4" t="s">
        <v>391</v>
      </c>
      <c r="ANR1" s="4" t="s">
        <v>391</v>
      </c>
      <c r="ANS1" s="4" t="s">
        <v>391</v>
      </c>
      <c r="ANT1" s="4" t="s">
        <v>395</v>
      </c>
      <c r="ANU1" s="4" t="s">
        <v>395</v>
      </c>
      <c r="ANV1" s="4" t="s">
        <v>395</v>
      </c>
      <c r="ANW1" s="4" t="s">
        <v>395</v>
      </c>
      <c r="ANX1" s="4" t="s">
        <v>395</v>
      </c>
      <c r="ANY1" s="4" t="s">
        <v>395</v>
      </c>
      <c r="ANZ1" s="4" t="s">
        <v>395</v>
      </c>
      <c r="AOA1" s="4" t="s">
        <v>395</v>
      </c>
      <c r="AOB1" s="4" t="s">
        <v>395</v>
      </c>
      <c r="AOC1" s="4" t="s">
        <v>395</v>
      </c>
      <c r="AOD1" s="4" t="s">
        <v>395</v>
      </c>
      <c r="AOE1" s="4" t="s">
        <v>395</v>
      </c>
      <c r="AOF1" s="4" t="s">
        <v>395</v>
      </c>
      <c r="AOG1" s="4" t="s">
        <v>395</v>
      </c>
      <c r="AOH1" s="4" t="s">
        <v>395</v>
      </c>
      <c r="AOI1" s="4" t="s">
        <v>394</v>
      </c>
      <c r="AOJ1" s="4" t="s">
        <v>394</v>
      </c>
      <c r="AOK1" s="4" t="s">
        <v>394</v>
      </c>
      <c r="AOL1" s="4" t="s">
        <v>394</v>
      </c>
      <c r="AOM1" s="4" t="s">
        <v>394</v>
      </c>
      <c r="AON1" s="4" t="s">
        <v>394</v>
      </c>
      <c r="AOO1" s="4" t="s">
        <v>394</v>
      </c>
      <c r="AOP1" s="4" t="s">
        <v>394</v>
      </c>
      <c r="AOQ1" s="4" t="s">
        <v>394</v>
      </c>
      <c r="AOR1" s="4" t="s">
        <v>394</v>
      </c>
      <c r="AOS1" s="4" t="s">
        <v>394</v>
      </c>
      <c r="AOT1" s="4" t="s">
        <v>394</v>
      </c>
      <c r="AOU1" s="4" t="s">
        <v>394</v>
      </c>
      <c r="AOV1" s="4" t="s">
        <v>394</v>
      </c>
      <c r="AOW1" s="4" t="s">
        <v>394</v>
      </c>
      <c r="AOX1" s="4" t="s">
        <v>394</v>
      </c>
      <c r="AOY1" s="4" t="s">
        <v>397</v>
      </c>
      <c r="AOZ1" s="4" t="s">
        <v>397</v>
      </c>
      <c r="APA1" s="4" t="s">
        <v>397</v>
      </c>
      <c r="APB1" s="4" t="s">
        <v>397</v>
      </c>
      <c r="APC1" s="4" t="s">
        <v>397</v>
      </c>
      <c r="APD1" s="4" t="s">
        <v>397</v>
      </c>
      <c r="APE1" s="4" t="s">
        <v>397</v>
      </c>
      <c r="APF1" s="4" t="s">
        <v>397</v>
      </c>
      <c r="APG1" s="4" t="s">
        <v>397</v>
      </c>
      <c r="APH1" s="4" t="s">
        <v>397</v>
      </c>
      <c r="API1" s="4" t="s">
        <v>397</v>
      </c>
      <c r="APJ1" s="4" t="s">
        <v>397</v>
      </c>
      <c r="APK1" s="4" t="s">
        <v>397</v>
      </c>
      <c r="APL1" s="4" t="s">
        <v>397</v>
      </c>
      <c r="APM1" s="4" t="s">
        <v>396</v>
      </c>
      <c r="APN1" s="4" t="s">
        <v>396</v>
      </c>
      <c r="APO1" s="4" t="s">
        <v>396</v>
      </c>
      <c r="APP1" s="4" t="s">
        <v>396</v>
      </c>
      <c r="APQ1" s="4" t="s">
        <v>396</v>
      </c>
      <c r="APR1" s="4" t="s">
        <v>396</v>
      </c>
      <c r="APS1" s="4" t="s">
        <v>396</v>
      </c>
      <c r="APT1" s="4" t="s">
        <v>396</v>
      </c>
      <c r="APU1" s="4" t="s">
        <v>396</v>
      </c>
      <c r="APV1" s="4" t="s">
        <v>396</v>
      </c>
      <c r="APW1" s="4" t="s">
        <v>396</v>
      </c>
      <c r="APX1" s="4" t="s">
        <v>396</v>
      </c>
      <c r="APY1" s="4" t="s">
        <v>396</v>
      </c>
      <c r="APZ1" s="4" t="s">
        <v>396</v>
      </c>
      <c r="AQA1" s="4" t="s">
        <v>396</v>
      </c>
      <c r="AQB1" s="4" t="s">
        <v>396</v>
      </c>
      <c r="AQC1" s="4" t="s">
        <v>396</v>
      </c>
      <c r="AQD1" s="4" t="s">
        <v>396</v>
      </c>
      <c r="AQE1" s="4" t="s">
        <v>396</v>
      </c>
      <c r="AQF1" s="4" t="s">
        <v>396</v>
      </c>
      <c r="AQG1" s="4" t="s">
        <v>396</v>
      </c>
      <c r="AQH1" s="4" t="s">
        <v>396</v>
      </c>
      <c r="AQI1" s="4" t="s">
        <v>396</v>
      </c>
      <c r="AQJ1" s="4" t="s">
        <v>396</v>
      </c>
      <c r="AQK1" s="4" t="s">
        <v>396</v>
      </c>
      <c r="AQL1" s="4" t="s">
        <v>396</v>
      </c>
    </row>
    <row r="2">
      <c r="A2" s="4" t="s">
        <v>514</v>
      </c>
      <c r="B2" s="4" t="b">
        <v>1</v>
      </c>
      <c r="C2" s="4" t="b">
        <v>1</v>
      </c>
      <c r="D2" s="4" t="b">
        <v>0</v>
      </c>
      <c r="E2" s="4" t="b">
        <v>0</v>
      </c>
      <c r="F2" s="4" t="b">
        <v>0</v>
      </c>
      <c r="G2" s="4" t="b">
        <v>0</v>
      </c>
      <c r="H2" s="4" t="b">
        <v>0</v>
      </c>
      <c r="I2" s="4" t="b">
        <v>1</v>
      </c>
      <c r="J2" s="4" t="b">
        <v>0</v>
      </c>
      <c r="K2" s="4" t="b">
        <v>0</v>
      </c>
      <c r="L2" s="4" t="b">
        <v>0</v>
      </c>
      <c r="M2" s="4" t="b">
        <v>1</v>
      </c>
      <c r="N2" s="4" t="b">
        <v>1</v>
      </c>
      <c r="O2" s="4" t="b">
        <v>1</v>
      </c>
      <c r="P2" s="4" t="b">
        <v>0</v>
      </c>
      <c r="Q2" s="4" t="b">
        <v>0</v>
      </c>
      <c r="R2" s="4" t="b">
        <v>0</v>
      </c>
      <c r="S2" s="4" t="b">
        <v>0</v>
      </c>
      <c r="T2" s="4" t="b">
        <v>0</v>
      </c>
      <c r="U2" s="4" t="b">
        <v>0</v>
      </c>
      <c r="V2" s="4" t="b">
        <v>0</v>
      </c>
      <c r="W2" s="4" t="b">
        <v>0</v>
      </c>
      <c r="X2" s="4" t="b">
        <v>0</v>
      </c>
      <c r="Y2" s="4" t="b">
        <v>0</v>
      </c>
      <c r="Z2" s="4" t="b">
        <v>1</v>
      </c>
      <c r="AA2" s="4" t="b">
        <v>1</v>
      </c>
      <c r="AB2" s="4" t="b">
        <v>1</v>
      </c>
      <c r="AC2" s="4" t="b">
        <v>1</v>
      </c>
      <c r="AD2" s="4" t="b">
        <v>1</v>
      </c>
      <c r="AE2" s="4" t="b">
        <v>1</v>
      </c>
      <c r="AF2" s="4" t="b">
        <v>1</v>
      </c>
      <c r="AG2" s="4" t="b">
        <v>1</v>
      </c>
      <c r="AH2" s="4" t="b">
        <v>1</v>
      </c>
      <c r="AI2" s="4" t="b">
        <v>0</v>
      </c>
      <c r="AJ2" s="4" t="b">
        <v>0</v>
      </c>
      <c r="AK2" s="4" t="b">
        <v>0</v>
      </c>
      <c r="AL2" s="4" t="b">
        <v>0</v>
      </c>
      <c r="AM2" s="4" t="b">
        <v>0</v>
      </c>
      <c r="AN2" s="4" t="b">
        <v>1</v>
      </c>
      <c r="AO2" s="4" t="b">
        <v>1</v>
      </c>
      <c r="AP2" s="4" t="b">
        <v>1</v>
      </c>
      <c r="AQ2" s="4" t="b">
        <v>0</v>
      </c>
      <c r="AR2" s="4" t="b">
        <v>0</v>
      </c>
      <c r="AS2" s="4" t="b">
        <v>0</v>
      </c>
      <c r="AT2" s="4" t="b">
        <v>0</v>
      </c>
      <c r="AU2" s="4" t="b">
        <v>0</v>
      </c>
      <c r="AV2" s="4" t="b">
        <v>0</v>
      </c>
      <c r="AW2" s="4" t="b">
        <v>1</v>
      </c>
      <c r="AX2" s="4" t="b">
        <v>0</v>
      </c>
      <c r="AY2" s="4" t="b">
        <v>0</v>
      </c>
      <c r="AZ2" s="4" t="b">
        <v>0</v>
      </c>
      <c r="BA2" s="4" t="b">
        <v>1</v>
      </c>
      <c r="BB2" s="4" t="b">
        <v>1</v>
      </c>
      <c r="BC2" s="4" t="b">
        <v>0</v>
      </c>
      <c r="BD2" s="4" t="b">
        <v>0</v>
      </c>
      <c r="BE2" s="4" t="b">
        <v>0</v>
      </c>
      <c r="BF2" s="4" t="b">
        <v>0</v>
      </c>
      <c r="BG2" s="4" t="b">
        <v>0</v>
      </c>
      <c r="BH2" s="4" t="b">
        <v>0</v>
      </c>
      <c r="BI2" s="4" t="b">
        <v>0</v>
      </c>
      <c r="BJ2" s="4" t="b">
        <v>0</v>
      </c>
      <c r="BK2" s="4" t="b">
        <v>0</v>
      </c>
      <c r="BL2" s="4" t="b">
        <v>0</v>
      </c>
      <c r="BM2" s="4" t="b">
        <v>0</v>
      </c>
      <c r="BN2" s="4" t="b">
        <v>0</v>
      </c>
      <c r="BO2" s="4" t="b">
        <v>0</v>
      </c>
      <c r="BP2" s="4" t="b">
        <v>1</v>
      </c>
      <c r="BQ2" s="4" t="b">
        <v>1</v>
      </c>
      <c r="BR2" s="4" t="b">
        <v>1</v>
      </c>
      <c r="BS2" s="4" t="b">
        <v>1</v>
      </c>
      <c r="BT2" s="4" t="b">
        <v>1</v>
      </c>
      <c r="BU2" s="4" t="b">
        <v>1</v>
      </c>
      <c r="BV2" s="4" t="b">
        <v>1</v>
      </c>
      <c r="BW2" s="4" t="b">
        <v>1</v>
      </c>
      <c r="BX2" s="4" t="b">
        <v>1</v>
      </c>
      <c r="BY2" s="4" t="b">
        <v>1</v>
      </c>
      <c r="BZ2" s="4" t="b">
        <v>1</v>
      </c>
      <c r="CA2" s="4" t="b">
        <v>1</v>
      </c>
      <c r="CB2" s="4" t="b">
        <v>1</v>
      </c>
      <c r="CC2" s="4" t="b">
        <v>0</v>
      </c>
      <c r="CD2" s="4" t="b">
        <v>0</v>
      </c>
      <c r="CE2" s="4" t="b">
        <v>1</v>
      </c>
      <c r="CF2" s="4" t="b">
        <v>0</v>
      </c>
      <c r="CG2" s="4" t="b">
        <v>0</v>
      </c>
      <c r="CH2" s="4" t="b">
        <v>0</v>
      </c>
      <c r="CI2" s="4" t="b">
        <v>1</v>
      </c>
      <c r="CJ2" s="4" t="b">
        <v>1</v>
      </c>
      <c r="CK2" s="4" t="b">
        <v>1</v>
      </c>
      <c r="CL2" s="4" t="b">
        <v>0</v>
      </c>
      <c r="CM2" s="4" t="b">
        <v>0</v>
      </c>
      <c r="CN2" s="4" t="b">
        <v>0</v>
      </c>
      <c r="CO2" s="4" t="b">
        <v>0</v>
      </c>
      <c r="CP2" s="4" t="b">
        <v>0</v>
      </c>
      <c r="CQ2" s="4" t="b">
        <v>0</v>
      </c>
      <c r="CR2" s="4" t="b">
        <v>0</v>
      </c>
      <c r="CS2" s="4" t="b">
        <v>0</v>
      </c>
      <c r="CT2" s="4" t="b">
        <v>0</v>
      </c>
      <c r="CU2" s="4" t="b">
        <v>1</v>
      </c>
      <c r="CV2" s="4" t="b">
        <v>1</v>
      </c>
      <c r="CW2" s="4" t="b">
        <v>1</v>
      </c>
      <c r="CX2" s="4" t="b">
        <v>1</v>
      </c>
      <c r="CY2" s="4" t="b">
        <v>1</v>
      </c>
      <c r="CZ2" s="4" t="b">
        <v>1</v>
      </c>
      <c r="DA2" s="4" t="b">
        <v>1</v>
      </c>
      <c r="DB2" s="4" t="b">
        <v>1</v>
      </c>
      <c r="DC2" s="4" t="b">
        <v>1</v>
      </c>
      <c r="DD2" s="4" t="b">
        <v>1</v>
      </c>
      <c r="DE2" s="4" t="b">
        <v>0</v>
      </c>
      <c r="DF2" s="4" t="b">
        <v>0</v>
      </c>
      <c r="DG2" s="4" t="b">
        <v>0</v>
      </c>
      <c r="DH2" s="4" t="b">
        <v>1</v>
      </c>
      <c r="DI2" s="4" t="b">
        <v>1</v>
      </c>
      <c r="DJ2" s="4" t="b">
        <v>1</v>
      </c>
      <c r="DK2" s="4" t="b">
        <v>1</v>
      </c>
      <c r="DL2" s="4" t="b">
        <v>1</v>
      </c>
      <c r="DM2" s="4" t="b">
        <v>1</v>
      </c>
      <c r="DN2" s="4" t="b">
        <v>0</v>
      </c>
      <c r="DO2" s="4" t="b">
        <v>0</v>
      </c>
      <c r="DP2" s="4" t="b">
        <v>0</v>
      </c>
      <c r="DQ2" s="4" t="b">
        <v>0</v>
      </c>
      <c r="DR2" s="4" t="b">
        <v>0</v>
      </c>
      <c r="DS2" s="4" t="b">
        <v>1</v>
      </c>
      <c r="DT2" s="4" t="b">
        <v>0</v>
      </c>
      <c r="DU2" s="4" t="b">
        <v>1</v>
      </c>
      <c r="DV2" s="4" t="b">
        <v>1</v>
      </c>
      <c r="DW2" s="4" t="b">
        <v>1</v>
      </c>
      <c r="DX2" s="4" t="b">
        <v>1</v>
      </c>
      <c r="DY2" s="4" t="b">
        <v>1</v>
      </c>
      <c r="DZ2" s="4" t="b">
        <v>1</v>
      </c>
      <c r="EA2" s="4" t="b">
        <v>0</v>
      </c>
      <c r="EB2" s="4" t="b">
        <v>0</v>
      </c>
      <c r="EC2" s="4" t="b">
        <v>1</v>
      </c>
      <c r="ED2" s="4" t="b">
        <v>1</v>
      </c>
      <c r="EE2" s="4" t="b">
        <v>0</v>
      </c>
      <c r="EF2" s="4" t="b">
        <v>0</v>
      </c>
      <c r="EG2" s="4" t="b">
        <v>0</v>
      </c>
      <c r="EH2" s="4" t="b">
        <v>1</v>
      </c>
      <c r="EI2" s="4" t="b">
        <v>1</v>
      </c>
      <c r="EJ2" s="4" t="b">
        <v>1</v>
      </c>
      <c r="EK2" s="4" t="b">
        <v>0</v>
      </c>
      <c r="EL2" s="4" t="b">
        <v>0</v>
      </c>
      <c r="EM2" s="4" t="b">
        <v>1</v>
      </c>
      <c r="EN2" s="4" t="b">
        <v>1</v>
      </c>
      <c r="EO2" s="4" t="b">
        <v>1</v>
      </c>
      <c r="EP2" s="4" t="b">
        <v>1</v>
      </c>
      <c r="EQ2" s="4" t="b">
        <v>1</v>
      </c>
      <c r="ER2" s="4" t="b">
        <v>1</v>
      </c>
      <c r="ES2" s="4" t="b">
        <v>0</v>
      </c>
      <c r="ET2" s="4" t="b">
        <v>0</v>
      </c>
      <c r="EU2" s="4" t="b">
        <v>0</v>
      </c>
      <c r="EV2" s="4" t="b">
        <v>0</v>
      </c>
      <c r="EW2" s="4" t="b">
        <v>0</v>
      </c>
      <c r="EX2" s="4" t="b">
        <v>1</v>
      </c>
      <c r="EY2" s="4" t="b">
        <v>1</v>
      </c>
      <c r="EZ2" s="4" t="b">
        <v>0</v>
      </c>
      <c r="FA2" s="4" t="b">
        <v>0</v>
      </c>
      <c r="FB2" s="4" t="b">
        <v>0</v>
      </c>
      <c r="FC2" s="4" t="b">
        <v>0</v>
      </c>
      <c r="FD2" s="4" t="b">
        <v>0</v>
      </c>
      <c r="FE2" s="4" t="b">
        <v>0</v>
      </c>
      <c r="FF2" s="4" t="b">
        <v>0</v>
      </c>
      <c r="FG2" s="4" t="b">
        <v>0</v>
      </c>
      <c r="FH2" s="4" t="b">
        <v>0</v>
      </c>
      <c r="FI2" s="4" t="b">
        <v>1</v>
      </c>
      <c r="FJ2" s="4" t="b">
        <v>1</v>
      </c>
      <c r="FK2" s="4" t="b">
        <v>1</v>
      </c>
      <c r="FL2" s="4" t="b">
        <v>1</v>
      </c>
      <c r="FM2" s="4" t="b">
        <v>1</v>
      </c>
      <c r="FN2" s="4" t="b">
        <v>1</v>
      </c>
      <c r="FO2" s="4" t="b">
        <v>1</v>
      </c>
      <c r="FP2" s="4" t="b">
        <v>1</v>
      </c>
      <c r="FQ2" s="4" t="b">
        <v>0</v>
      </c>
      <c r="FR2" s="4" t="b">
        <v>0</v>
      </c>
      <c r="FS2" s="4" t="b">
        <v>0</v>
      </c>
      <c r="FT2" s="4" t="b">
        <v>0</v>
      </c>
      <c r="FU2" s="4" t="b">
        <v>0</v>
      </c>
      <c r="FV2" s="4" t="b">
        <v>1</v>
      </c>
      <c r="FW2" s="4" t="b">
        <v>1</v>
      </c>
      <c r="FX2" s="4" t="b">
        <v>1</v>
      </c>
      <c r="FY2" s="4" t="b">
        <v>1</v>
      </c>
      <c r="FZ2" s="4" t="b">
        <v>1</v>
      </c>
      <c r="GA2" s="4" t="b">
        <v>1</v>
      </c>
      <c r="GB2" s="4" t="b">
        <v>0</v>
      </c>
      <c r="GC2" s="4" t="b">
        <v>0</v>
      </c>
      <c r="GD2" s="4" t="b">
        <v>0</v>
      </c>
      <c r="GE2" s="4" t="b">
        <v>0</v>
      </c>
      <c r="GF2" s="4" t="b">
        <v>0</v>
      </c>
      <c r="GG2" s="4" t="b">
        <v>0</v>
      </c>
      <c r="GH2" s="4" t="b">
        <v>1</v>
      </c>
      <c r="GI2" s="4" t="b">
        <v>0</v>
      </c>
      <c r="GJ2" s="4" t="b">
        <v>0</v>
      </c>
      <c r="GK2" s="4" t="b">
        <v>0</v>
      </c>
      <c r="GL2" s="4" t="b">
        <v>1</v>
      </c>
      <c r="GM2" s="4" t="b">
        <v>1</v>
      </c>
      <c r="GN2" s="4" t="b">
        <v>1</v>
      </c>
      <c r="GO2" s="4" t="b">
        <v>0</v>
      </c>
      <c r="GP2" s="4" t="b">
        <v>0</v>
      </c>
      <c r="GQ2" s="4" t="b">
        <v>0</v>
      </c>
      <c r="GR2" s="4" t="b">
        <v>0</v>
      </c>
      <c r="GS2" s="4" t="b">
        <v>0</v>
      </c>
      <c r="GT2" s="4" t="b">
        <v>0</v>
      </c>
      <c r="GU2" s="4" t="b">
        <v>0</v>
      </c>
      <c r="GV2" s="4" t="b">
        <v>0</v>
      </c>
      <c r="GW2" s="4" t="b">
        <v>0</v>
      </c>
      <c r="GX2" s="4" t="b">
        <v>0</v>
      </c>
      <c r="GY2" s="4" t="b">
        <v>0</v>
      </c>
      <c r="GZ2" s="4" t="b">
        <v>0</v>
      </c>
      <c r="HA2" s="4" t="b">
        <v>1</v>
      </c>
      <c r="HB2" s="4" t="b">
        <v>1</v>
      </c>
      <c r="HC2" s="4" t="b">
        <v>1</v>
      </c>
      <c r="HD2" s="4" t="b">
        <v>1</v>
      </c>
      <c r="HE2" s="4" t="b">
        <v>1</v>
      </c>
      <c r="HF2" s="4" t="b">
        <v>1</v>
      </c>
      <c r="HG2" s="4" t="b">
        <v>1</v>
      </c>
      <c r="HH2" s="4" t="b">
        <v>0</v>
      </c>
      <c r="HI2" s="4" t="b">
        <v>0</v>
      </c>
      <c r="HJ2" s="4" t="b">
        <v>0</v>
      </c>
      <c r="HK2" s="4" t="b">
        <v>0</v>
      </c>
      <c r="HL2" s="4" t="b">
        <v>0</v>
      </c>
      <c r="HM2" s="4" t="b">
        <v>1</v>
      </c>
      <c r="HN2" s="4" t="b">
        <v>1</v>
      </c>
      <c r="HO2" s="4" t="b">
        <v>1</v>
      </c>
      <c r="HP2" s="4" t="b">
        <v>0</v>
      </c>
      <c r="HQ2" s="4" t="b">
        <v>0</v>
      </c>
      <c r="HR2" s="4" t="b">
        <v>0</v>
      </c>
      <c r="HS2" s="4" t="b">
        <v>0</v>
      </c>
      <c r="HT2" s="4" t="b">
        <v>0</v>
      </c>
      <c r="HU2" s="4" t="b">
        <v>0</v>
      </c>
      <c r="HV2" s="4" t="b">
        <v>0</v>
      </c>
      <c r="HW2" s="4" t="b">
        <v>0</v>
      </c>
      <c r="HX2" s="4" t="b">
        <v>0</v>
      </c>
      <c r="HY2" s="4" t="b">
        <v>0</v>
      </c>
      <c r="HZ2" s="4" t="b">
        <v>0</v>
      </c>
      <c r="IA2" s="4" t="b">
        <v>0</v>
      </c>
      <c r="IB2" s="4" t="b">
        <v>1</v>
      </c>
      <c r="IC2" s="4" t="b">
        <v>1</v>
      </c>
      <c r="ID2" s="4" t="b">
        <v>1</v>
      </c>
      <c r="IE2" s="4" t="b">
        <v>1</v>
      </c>
      <c r="IF2" s="4" t="b">
        <v>1</v>
      </c>
      <c r="IG2" s="4" t="b">
        <v>1</v>
      </c>
      <c r="IH2" s="4" t="b">
        <v>1</v>
      </c>
      <c r="II2" s="4" t="b">
        <v>0</v>
      </c>
      <c r="IJ2" s="4" t="b">
        <v>0</v>
      </c>
      <c r="IK2" s="4" t="b">
        <v>0</v>
      </c>
      <c r="IL2" s="4" t="b">
        <v>0</v>
      </c>
      <c r="IM2" s="4" t="b">
        <v>0</v>
      </c>
      <c r="IN2" s="4" t="b">
        <v>0</v>
      </c>
      <c r="IO2" s="4" t="b">
        <v>1</v>
      </c>
      <c r="IP2" s="4" t="b">
        <v>1</v>
      </c>
      <c r="IQ2" s="4" t="b">
        <v>1</v>
      </c>
      <c r="IR2" s="4" t="b">
        <v>1</v>
      </c>
      <c r="IS2" s="4" t="b">
        <v>1</v>
      </c>
      <c r="IT2" s="187" t="b">
        <v>1</v>
      </c>
      <c r="IU2" s="4" t="b">
        <v>0</v>
      </c>
      <c r="IV2" s="4" t="b">
        <v>0</v>
      </c>
      <c r="IW2" s="4" t="b">
        <v>0</v>
      </c>
      <c r="IX2" s="4" t="b">
        <v>0</v>
      </c>
      <c r="IY2" s="4" t="b">
        <v>0</v>
      </c>
      <c r="IZ2" s="4" t="b">
        <v>0</v>
      </c>
      <c r="JA2" s="4" t="b">
        <v>0</v>
      </c>
      <c r="JB2" s="4" t="b">
        <v>0</v>
      </c>
      <c r="JC2" s="4" t="b">
        <v>0</v>
      </c>
      <c r="JD2" s="4" t="b">
        <v>0</v>
      </c>
      <c r="JE2" s="4" t="b">
        <v>1</v>
      </c>
      <c r="JF2" s="4" t="b">
        <v>1</v>
      </c>
      <c r="JG2" s="4" t="b">
        <v>1</v>
      </c>
      <c r="JH2" s="4" t="b">
        <v>1</v>
      </c>
      <c r="JI2" s="4" t="b">
        <v>0</v>
      </c>
      <c r="JJ2" s="4" t="b">
        <v>0</v>
      </c>
      <c r="JK2" s="4" t="b">
        <v>0</v>
      </c>
      <c r="JL2" s="4" t="b">
        <v>0</v>
      </c>
      <c r="JM2" s="4" t="b">
        <v>0</v>
      </c>
      <c r="JN2" s="4" t="b">
        <v>0</v>
      </c>
      <c r="JO2" s="4" t="b">
        <v>0</v>
      </c>
      <c r="JP2" s="4" t="b">
        <v>0</v>
      </c>
      <c r="JQ2" s="4" t="b">
        <v>1</v>
      </c>
      <c r="JR2" s="4" t="b">
        <v>1</v>
      </c>
      <c r="JS2" s="4" t="b">
        <v>0</v>
      </c>
      <c r="JT2" s="4" t="b">
        <v>0</v>
      </c>
      <c r="JU2" s="4" t="b">
        <v>0</v>
      </c>
      <c r="JV2" s="4" t="b">
        <v>1</v>
      </c>
      <c r="JW2" s="4" t="b">
        <v>1</v>
      </c>
      <c r="JX2" s="4" t="b">
        <v>0</v>
      </c>
      <c r="JY2" s="4" t="b">
        <v>0</v>
      </c>
      <c r="JZ2" s="4" t="b">
        <v>0</v>
      </c>
      <c r="KA2" s="4" t="b">
        <v>0</v>
      </c>
      <c r="KB2" s="4" t="b">
        <v>0</v>
      </c>
      <c r="KC2" s="4" t="b">
        <v>0</v>
      </c>
      <c r="KD2" s="4" t="b">
        <v>0</v>
      </c>
      <c r="KE2" s="4" t="b">
        <v>0</v>
      </c>
      <c r="KF2" s="4" t="b">
        <v>0</v>
      </c>
      <c r="KG2" s="4" t="b">
        <v>0</v>
      </c>
      <c r="KH2" s="4" t="b">
        <v>0</v>
      </c>
      <c r="KI2" s="4" t="b">
        <v>0</v>
      </c>
      <c r="KJ2" s="4" t="b">
        <v>0</v>
      </c>
      <c r="KK2" s="4" t="b">
        <v>1</v>
      </c>
      <c r="KL2" s="4" t="b">
        <v>1</v>
      </c>
      <c r="KM2" s="4" t="b">
        <v>0</v>
      </c>
      <c r="KN2" s="4" t="b">
        <v>0</v>
      </c>
      <c r="KO2" s="4" t="b">
        <v>0</v>
      </c>
      <c r="KP2" s="4" t="b">
        <v>0</v>
      </c>
      <c r="KQ2" s="4" t="b">
        <v>0</v>
      </c>
      <c r="KR2" s="4" t="b">
        <v>0</v>
      </c>
      <c r="KS2" s="4" t="b">
        <v>0</v>
      </c>
      <c r="KT2" s="4" t="b">
        <v>0</v>
      </c>
      <c r="KU2" s="4" t="b">
        <v>0</v>
      </c>
      <c r="KV2" s="4" t="b">
        <v>1</v>
      </c>
      <c r="KW2" s="4" t="b">
        <v>1</v>
      </c>
      <c r="KX2" s="4" t="b">
        <v>1</v>
      </c>
      <c r="KY2" s="4" t="b">
        <v>1</v>
      </c>
      <c r="KZ2" s="4" t="b">
        <v>1</v>
      </c>
      <c r="LA2" s="4" t="b">
        <v>1</v>
      </c>
      <c r="LB2" s="4" t="b">
        <v>1</v>
      </c>
      <c r="LC2" s="4" t="b">
        <v>1</v>
      </c>
      <c r="LD2" s="4" t="b">
        <v>1</v>
      </c>
      <c r="LE2" s="4" t="b">
        <v>1</v>
      </c>
      <c r="LF2" s="4" t="b">
        <v>1</v>
      </c>
      <c r="LG2" s="4" t="b">
        <v>0</v>
      </c>
      <c r="LH2" s="4" t="b">
        <v>0</v>
      </c>
      <c r="LI2" s="4" t="b">
        <v>0</v>
      </c>
      <c r="LJ2" s="4" t="b">
        <v>1</v>
      </c>
      <c r="LK2" s="4" t="b">
        <v>1</v>
      </c>
      <c r="LL2" s="4" t="b">
        <v>0</v>
      </c>
      <c r="LM2" s="4" t="b">
        <v>0</v>
      </c>
      <c r="LN2" s="4" t="b">
        <v>1</v>
      </c>
      <c r="LO2" s="4" t="b">
        <v>1</v>
      </c>
      <c r="LP2" s="4" t="b">
        <v>1</v>
      </c>
      <c r="LQ2" s="4" t="b">
        <v>1</v>
      </c>
      <c r="LR2" s="4" t="b">
        <v>1</v>
      </c>
      <c r="LS2" s="4" t="b">
        <v>1</v>
      </c>
      <c r="LT2" s="4" t="b">
        <v>1</v>
      </c>
      <c r="LU2" s="4" t="b">
        <v>1</v>
      </c>
      <c r="LV2" s="4" t="b">
        <v>1</v>
      </c>
      <c r="LW2" s="4" t="b">
        <v>0</v>
      </c>
      <c r="LX2" s="4" t="b">
        <v>0</v>
      </c>
      <c r="LY2" s="4" t="b">
        <v>0</v>
      </c>
      <c r="LZ2" s="4" t="b">
        <v>0</v>
      </c>
      <c r="MA2" s="4" t="b">
        <v>1</v>
      </c>
      <c r="MB2" s="4" t="b">
        <v>0</v>
      </c>
      <c r="MC2" s="4" t="b">
        <v>0</v>
      </c>
      <c r="MD2" s="4" t="b">
        <v>0</v>
      </c>
      <c r="ME2" s="4" t="b">
        <v>0</v>
      </c>
      <c r="MF2" s="4" t="b">
        <v>0</v>
      </c>
      <c r="MG2" s="4" t="b">
        <v>0</v>
      </c>
      <c r="MH2" s="4" t="b">
        <v>0</v>
      </c>
      <c r="MI2" s="4" t="b">
        <v>0</v>
      </c>
      <c r="MJ2" s="4" t="b">
        <v>0</v>
      </c>
      <c r="MK2" s="4" t="b">
        <v>1</v>
      </c>
      <c r="ML2" s="4" t="b">
        <v>1</v>
      </c>
      <c r="MM2" s="4" t="b">
        <v>1</v>
      </c>
      <c r="MN2" s="4" t="b">
        <v>1</v>
      </c>
      <c r="MO2" s="4" t="b">
        <v>1</v>
      </c>
      <c r="MP2" s="4" t="b">
        <v>1</v>
      </c>
      <c r="MQ2" s="4" t="b">
        <v>0</v>
      </c>
      <c r="MR2" s="4" t="b">
        <v>0</v>
      </c>
      <c r="MS2" s="4" t="b">
        <v>1</v>
      </c>
      <c r="MT2" s="4" t="b">
        <v>1</v>
      </c>
      <c r="MU2" s="4" t="b">
        <v>0</v>
      </c>
      <c r="MV2" s="4" t="b">
        <v>0</v>
      </c>
      <c r="MW2" s="4" t="b">
        <v>0</v>
      </c>
      <c r="MX2" s="4" t="b">
        <v>1</v>
      </c>
      <c r="MY2" s="4" t="b">
        <v>1</v>
      </c>
      <c r="MZ2" s="4" t="b">
        <v>0</v>
      </c>
      <c r="NA2" s="4" t="b">
        <v>0</v>
      </c>
      <c r="NB2" s="4" t="b">
        <v>0</v>
      </c>
      <c r="NC2" s="4" t="b">
        <v>0</v>
      </c>
      <c r="ND2" s="4" t="b">
        <v>0</v>
      </c>
      <c r="NE2" s="4" t="b">
        <v>0</v>
      </c>
      <c r="NF2" s="4" t="b">
        <v>0</v>
      </c>
      <c r="NG2" s="4" t="b">
        <v>0</v>
      </c>
      <c r="NH2" s="4" t="b">
        <v>1</v>
      </c>
      <c r="NI2" s="4" t="b">
        <v>0</v>
      </c>
      <c r="NJ2" s="4" t="b">
        <v>1</v>
      </c>
      <c r="NK2" s="4" t="b">
        <v>1</v>
      </c>
      <c r="NL2" s="4" t="b">
        <v>1</v>
      </c>
      <c r="NM2" s="4" t="b">
        <v>1</v>
      </c>
      <c r="NN2" s="4" t="b">
        <v>1</v>
      </c>
      <c r="NO2" s="4" t="b">
        <v>1</v>
      </c>
      <c r="NP2" s="4" t="b">
        <v>1</v>
      </c>
      <c r="NQ2" s="4" t="b">
        <v>1</v>
      </c>
      <c r="NR2" s="4" t="b">
        <v>1</v>
      </c>
      <c r="NS2" s="4" t="b">
        <v>1</v>
      </c>
      <c r="NT2" s="4" t="b">
        <v>0</v>
      </c>
      <c r="NU2" s="4" t="b">
        <v>0</v>
      </c>
      <c r="NV2" s="4" t="b">
        <v>0</v>
      </c>
      <c r="NW2" s="4" t="b">
        <v>1</v>
      </c>
      <c r="NX2" s="4" t="b">
        <v>1</v>
      </c>
      <c r="NY2" s="4" t="b">
        <v>0</v>
      </c>
      <c r="NZ2" s="4" t="b">
        <v>0</v>
      </c>
      <c r="OA2" s="4" t="b">
        <v>0</v>
      </c>
      <c r="OB2" s="4" t="b">
        <v>1</v>
      </c>
      <c r="OC2" s="4" t="b">
        <v>1</v>
      </c>
      <c r="OD2" s="4" t="b">
        <v>1</v>
      </c>
      <c r="OE2" s="4" t="b">
        <v>1</v>
      </c>
      <c r="OF2" s="4" t="b">
        <v>1</v>
      </c>
      <c r="OG2" s="4" t="b">
        <v>1</v>
      </c>
      <c r="OH2" s="4" t="b">
        <v>1</v>
      </c>
      <c r="OI2" s="4" t="b">
        <v>1</v>
      </c>
      <c r="OJ2" s="4" t="b">
        <v>0</v>
      </c>
      <c r="OK2" s="4" t="b">
        <v>1</v>
      </c>
      <c r="OL2" s="4" t="b">
        <v>0</v>
      </c>
      <c r="OM2" s="4" t="b">
        <v>0</v>
      </c>
      <c r="ON2" s="4" t="b">
        <v>0</v>
      </c>
      <c r="OO2" s="4" t="b">
        <v>1</v>
      </c>
      <c r="OP2" s="4" t="b">
        <v>1</v>
      </c>
      <c r="OQ2" s="4" t="b">
        <v>1</v>
      </c>
      <c r="OR2" s="4" t="b">
        <v>0</v>
      </c>
      <c r="OS2" s="4" t="b">
        <v>0</v>
      </c>
      <c r="OT2" s="4" t="b">
        <v>0</v>
      </c>
      <c r="OU2" s="4" t="b">
        <v>0</v>
      </c>
      <c r="OV2" s="4" t="b">
        <v>0</v>
      </c>
      <c r="OW2" s="4" t="b">
        <v>0</v>
      </c>
      <c r="OX2" s="4" t="b">
        <v>0</v>
      </c>
      <c r="OY2" s="4" t="b">
        <v>1</v>
      </c>
      <c r="OZ2" s="4" t="b">
        <v>1</v>
      </c>
      <c r="PA2" s="4" t="b">
        <v>1</v>
      </c>
      <c r="PB2" s="4" t="b">
        <v>1</v>
      </c>
      <c r="PC2" s="4" t="b">
        <v>1</v>
      </c>
      <c r="PD2" s="4" t="b">
        <v>1</v>
      </c>
      <c r="PE2" s="4" t="b">
        <v>1</v>
      </c>
      <c r="PF2" s="4" t="b">
        <v>1</v>
      </c>
      <c r="PG2" s="4" t="b">
        <v>0</v>
      </c>
      <c r="PH2" s="4" t="b">
        <v>0</v>
      </c>
      <c r="PI2" s="4" t="b">
        <v>0</v>
      </c>
      <c r="PJ2" s="4" t="b">
        <v>1</v>
      </c>
      <c r="PK2" s="4" t="b">
        <v>0</v>
      </c>
      <c r="PL2" s="4" t="b">
        <v>0</v>
      </c>
      <c r="PM2" s="4" t="b">
        <v>0</v>
      </c>
      <c r="PN2" s="4" t="b">
        <v>1</v>
      </c>
      <c r="PO2" s="4" t="b">
        <v>1</v>
      </c>
      <c r="PP2" s="4" t="b">
        <v>0</v>
      </c>
      <c r="PQ2" s="4" t="b">
        <v>0</v>
      </c>
      <c r="PR2" s="4" t="b">
        <v>1</v>
      </c>
      <c r="PS2" s="4" t="b">
        <v>1</v>
      </c>
      <c r="PT2" s="4" t="b">
        <v>1</v>
      </c>
      <c r="PU2" s="4" t="b">
        <v>1</v>
      </c>
      <c r="PV2" s="4" t="b">
        <v>1</v>
      </c>
      <c r="PW2" s="4" t="b">
        <v>1</v>
      </c>
      <c r="PX2" s="4" t="b">
        <v>1</v>
      </c>
      <c r="PY2" s="4" t="b">
        <v>1</v>
      </c>
      <c r="PZ2" s="4" t="b">
        <v>0</v>
      </c>
      <c r="QA2" s="4" t="b">
        <v>0</v>
      </c>
      <c r="QB2" s="4" t="b">
        <v>0</v>
      </c>
      <c r="QC2" s="4" t="b">
        <v>1</v>
      </c>
      <c r="QD2" s="4" t="b">
        <v>1</v>
      </c>
      <c r="QE2" s="4" t="b">
        <v>1</v>
      </c>
      <c r="QF2" s="4" t="b">
        <v>1</v>
      </c>
      <c r="QG2" s="4" t="b">
        <v>1</v>
      </c>
      <c r="QH2" s="4" t="b">
        <v>1</v>
      </c>
      <c r="QI2" s="4" t="b">
        <v>0</v>
      </c>
      <c r="QJ2" s="4" t="b">
        <v>0</v>
      </c>
      <c r="QK2" s="4" t="b">
        <v>0</v>
      </c>
      <c r="QL2" s="4" t="b">
        <v>1</v>
      </c>
      <c r="QM2" s="4" t="b">
        <v>1</v>
      </c>
      <c r="QN2" s="4" t="b">
        <v>1</v>
      </c>
      <c r="QO2" s="4" t="b">
        <v>1</v>
      </c>
      <c r="QP2" s="4" t="b">
        <v>1</v>
      </c>
      <c r="QQ2" s="4" t="b">
        <v>1</v>
      </c>
      <c r="QR2" s="4" t="b">
        <v>1</v>
      </c>
      <c r="QS2" s="4" t="b">
        <v>1</v>
      </c>
      <c r="QT2" s="4" t="b">
        <v>0</v>
      </c>
      <c r="QU2" s="4" t="b">
        <v>0</v>
      </c>
      <c r="QV2" s="4" t="b">
        <v>0</v>
      </c>
      <c r="QW2" s="4" t="b">
        <v>1</v>
      </c>
      <c r="QX2" s="4" t="b">
        <v>1</v>
      </c>
      <c r="QY2" s="4" t="b">
        <v>1</v>
      </c>
      <c r="QZ2" s="4" t="b">
        <v>1</v>
      </c>
      <c r="RA2" s="4" t="b">
        <v>1</v>
      </c>
      <c r="RB2" s="4" t="b">
        <v>1</v>
      </c>
      <c r="RC2" s="4" t="b">
        <v>1</v>
      </c>
      <c r="RD2" s="4" t="b">
        <v>1</v>
      </c>
      <c r="RE2" s="4" t="b">
        <v>0</v>
      </c>
      <c r="RF2" s="4" t="b">
        <v>0</v>
      </c>
      <c r="RG2" s="4" t="b">
        <v>0</v>
      </c>
      <c r="RH2" s="4" t="b">
        <v>0</v>
      </c>
      <c r="RI2" s="4" t="b">
        <v>1</v>
      </c>
      <c r="RJ2" s="4" t="b">
        <v>1</v>
      </c>
      <c r="RK2" s="4" t="b">
        <v>1</v>
      </c>
      <c r="RL2" s="4" t="b">
        <v>0</v>
      </c>
      <c r="RM2" s="4" t="b">
        <v>0</v>
      </c>
      <c r="RN2" s="4" t="b">
        <v>0</v>
      </c>
      <c r="RO2" s="4" t="b">
        <v>0</v>
      </c>
      <c r="RP2" s="4" t="b">
        <v>0</v>
      </c>
      <c r="RQ2" s="4" t="b">
        <v>0</v>
      </c>
      <c r="RR2" s="4" t="b">
        <v>0</v>
      </c>
      <c r="RS2" s="4" t="b">
        <v>0</v>
      </c>
      <c r="RT2" s="4" t="b">
        <v>0</v>
      </c>
      <c r="RU2" s="4" t="b">
        <v>1</v>
      </c>
      <c r="RV2" s="4" t="b">
        <v>1</v>
      </c>
      <c r="RW2" s="4" t="b">
        <v>1</v>
      </c>
      <c r="RX2" s="4" t="b">
        <v>1</v>
      </c>
      <c r="RY2" s="4" t="b">
        <v>1</v>
      </c>
      <c r="RZ2" s="4" t="b">
        <v>1</v>
      </c>
      <c r="SA2" s="4" t="b">
        <v>1</v>
      </c>
      <c r="SB2" s="4" t="b">
        <v>1</v>
      </c>
      <c r="SC2" s="4" t="b">
        <v>1</v>
      </c>
      <c r="SD2" s="4" t="b">
        <v>1</v>
      </c>
      <c r="SE2" s="4" t="b">
        <v>1</v>
      </c>
      <c r="SF2" s="4" t="b">
        <v>0</v>
      </c>
      <c r="SG2" s="4" t="b">
        <v>0</v>
      </c>
      <c r="SH2" s="4" t="b">
        <v>0</v>
      </c>
      <c r="SI2" s="4" t="b">
        <v>1</v>
      </c>
      <c r="SJ2" s="4" t="b">
        <v>1</v>
      </c>
      <c r="SK2" s="4" t="b">
        <v>1</v>
      </c>
      <c r="SL2" s="4" t="b">
        <v>1</v>
      </c>
      <c r="SM2" s="4" t="b">
        <v>0</v>
      </c>
      <c r="SN2" s="4" t="b">
        <v>0</v>
      </c>
      <c r="SO2" s="4" t="b">
        <v>0</v>
      </c>
      <c r="SP2" s="4" t="b">
        <v>0</v>
      </c>
      <c r="SQ2" s="4" t="b">
        <v>0</v>
      </c>
      <c r="SR2" s="4" t="b">
        <v>1</v>
      </c>
      <c r="SS2" s="4" t="b">
        <v>1</v>
      </c>
      <c r="ST2" s="4" t="b">
        <v>1</v>
      </c>
      <c r="SU2" s="4" t="b">
        <v>1</v>
      </c>
      <c r="SV2" s="4" t="b">
        <v>1</v>
      </c>
      <c r="SW2" s="4" t="b">
        <v>1</v>
      </c>
      <c r="SX2" s="4" t="b">
        <v>1</v>
      </c>
      <c r="SY2" s="4" t="b">
        <v>0</v>
      </c>
      <c r="SZ2" s="4" t="b">
        <v>0</v>
      </c>
      <c r="TA2" s="4" t="b">
        <v>0</v>
      </c>
      <c r="TB2" s="4" t="b">
        <v>0</v>
      </c>
      <c r="TC2" s="4" t="b">
        <v>0</v>
      </c>
      <c r="TD2" s="4" t="b">
        <v>0</v>
      </c>
      <c r="TE2" s="4" t="b">
        <v>0</v>
      </c>
      <c r="TF2" s="4" t="b">
        <v>0</v>
      </c>
      <c r="TG2" s="4" t="b">
        <v>0</v>
      </c>
      <c r="TH2" s="4" t="b">
        <v>0</v>
      </c>
      <c r="TI2" s="4" t="b">
        <v>1</v>
      </c>
      <c r="TJ2" s="4" t="b">
        <v>1</v>
      </c>
      <c r="TK2" s="4" t="b">
        <v>1</v>
      </c>
      <c r="TL2" s="4" t="b">
        <v>1</v>
      </c>
      <c r="TM2" s="4" t="b">
        <v>1</v>
      </c>
      <c r="TN2" s="4" t="b">
        <v>0</v>
      </c>
      <c r="TO2" s="4" t="b">
        <v>0</v>
      </c>
      <c r="TP2" s="4" t="b">
        <v>0</v>
      </c>
      <c r="TQ2" s="4" t="b">
        <v>0</v>
      </c>
      <c r="TR2" s="4" t="b">
        <v>0</v>
      </c>
      <c r="TS2" s="4" t="b">
        <v>0</v>
      </c>
      <c r="TT2" s="4" t="b">
        <v>1</v>
      </c>
      <c r="TU2" s="4" t="b">
        <v>0</v>
      </c>
      <c r="TV2" s="4" t="b">
        <v>0</v>
      </c>
      <c r="TW2" s="4" t="b">
        <v>0</v>
      </c>
      <c r="TX2" s="4" t="b">
        <v>1</v>
      </c>
      <c r="TY2" s="4" t="b">
        <v>1</v>
      </c>
      <c r="TZ2" s="4" t="b">
        <v>1</v>
      </c>
      <c r="UA2" s="4" t="b">
        <v>0</v>
      </c>
      <c r="UB2" s="4" t="b">
        <v>0</v>
      </c>
      <c r="UC2" s="4" t="b">
        <v>0</v>
      </c>
      <c r="UD2" s="4" t="b">
        <v>0</v>
      </c>
      <c r="UE2" s="4" t="b">
        <v>0</v>
      </c>
      <c r="UF2" s="4" t="b">
        <v>0</v>
      </c>
      <c r="UG2" s="4" t="b">
        <v>0</v>
      </c>
      <c r="UH2" s="4" t="b">
        <v>0</v>
      </c>
      <c r="UI2" s="4" t="b">
        <v>0</v>
      </c>
      <c r="UJ2" s="4" t="b">
        <v>1</v>
      </c>
      <c r="UK2" s="4" t="b">
        <v>1</v>
      </c>
      <c r="UL2" s="4" t="b">
        <v>1</v>
      </c>
      <c r="UM2" s="4" t="b">
        <v>1</v>
      </c>
      <c r="UN2" s="4" t="b">
        <v>1</v>
      </c>
      <c r="UO2" s="4" t="b">
        <v>1</v>
      </c>
      <c r="UP2" s="4" t="b">
        <v>1</v>
      </c>
      <c r="UQ2" s="4" t="b">
        <v>0</v>
      </c>
      <c r="UR2" s="4" t="b">
        <v>0</v>
      </c>
      <c r="US2" s="4" t="b">
        <v>0</v>
      </c>
      <c r="UT2" s="4" t="b">
        <v>0</v>
      </c>
      <c r="UU2" s="4" t="b">
        <v>0</v>
      </c>
      <c r="UV2" s="4" t="b">
        <v>0</v>
      </c>
      <c r="UW2" s="4" t="b">
        <v>0</v>
      </c>
      <c r="UX2" s="4" t="b">
        <v>0</v>
      </c>
      <c r="UY2" s="4" t="b">
        <v>0</v>
      </c>
      <c r="UZ2" s="4" t="b">
        <v>1</v>
      </c>
      <c r="VA2" s="4" t="b">
        <v>1</v>
      </c>
      <c r="VB2" s="4" t="b">
        <v>1</v>
      </c>
      <c r="VC2" s="4" t="b">
        <v>1</v>
      </c>
      <c r="VD2" s="4" t="b">
        <v>1</v>
      </c>
      <c r="VE2" s="4" t="b">
        <v>0</v>
      </c>
      <c r="VF2" s="4" t="b">
        <v>0</v>
      </c>
      <c r="VG2" s="4" t="b">
        <v>0</v>
      </c>
      <c r="VH2" s="4" t="b">
        <v>0</v>
      </c>
      <c r="VI2" s="4" t="b">
        <v>0</v>
      </c>
      <c r="VJ2" s="4" t="b">
        <v>0</v>
      </c>
      <c r="VK2" s="4" t="b">
        <v>0</v>
      </c>
      <c r="VL2" s="4" t="b">
        <v>0</v>
      </c>
      <c r="VM2" s="4" t="b">
        <v>1</v>
      </c>
      <c r="VN2" s="4" t="b">
        <v>1</v>
      </c>
      <c r="VO2" s="4" t="b">
        <v>1</v>
      </c>
      <c r="VP2" s="4" t="b">
        <v>1</v>
      </c>
      <c r="VQ2" s="4" t="b">
        <v>1</v>
      </c>
      <c r="VR2" s="4" t="b">
        <v>1</v>
      </c>
      <c r="VS2" s="4" t="b">
        <v>1</v>
      </c>
      <c r="VT2" s="4" t="b">
        <v>1</v>
      </c>
      <c r="VU2" s="4" t="b">
        <v>0</v>
      </c>
      <c r="VV2" s="4" t="b">
        <v>0</v>
      </c>
      <c r="VW2" s="4" t="b">
        <v>0</v>
      </c>
      <c r="VX2" s="4" t="b">
        <v>1</v>
      </c>
      <c r="VY2" s="4" t="b">
        <v>1</v>
      </c>
      <c r="VZ2" s="4" t="b">
        <v>1</v>
      </c>
      <c r="WA2" s="4" t="b">
        <v>0</v>
      </c>
      <c r="WB2" s="4" t="b">
        <v>0</v>
      </c>
      <c r="WC2" s="4" t="b">
        <v>0</v>
      </c>
      <c r="WD2" s="4" t="b">
        <v>0</v>
      </c>
      <c r="WE2" s="4" t="b">
        <v>0</v>
      </c>
      <c r="WF2" s="4" t="b">
        <v>0</v>
      </c>
      <c r="WG2" s="4" t="b">
        <v>0</v>
      </c>
      <c r="WH2" s="4" t="b">
        <v>1</v>
      </c>
      <c r="WI2" s="4" t="b">
        <v>1</v>
      </c>
      <c r="WJ2" s="4" t="b">
        <v>1</v>
      </c>
      <c r="WK2" s="4" t="b">
        <v>0</v>
      </c>
      <c r="WL2" s="4" t="b">
        <v>0</v>
      </c>
      <c r="WM2" s="4" t="b">
        <v>0</v>
      </c>
      <c r="WN2" s="4" t="b">
        <v>1</v>
      </c>
      <c r="WO2" s="4" t="b">
        <v>1</v>
      </c>
      <c r="WP2" s="4" t="b">
        <v>1</v>
      </c>
      <c r="WQ2" s="4" t="b">
        <v>1</v>
      </c>
      <c r="WR2" s="4" t="b">
        <v>1</v>
      </c>
      <c r="WS2" s="4" t="b">
        <v>1</v>
      </c>
      <c r="WT2" s="4" t="b">
        <v>0</v>
      </c>
      <c r="WU2" s="4" t="b">
        <v>0</v>
      </c>
      <c r="WV2" s="4" t="b">
        <v>1</v>
      </c>
      <c r="WW2" s="4" t="b">
        <v>1</v>
      </c>
      <c r="WX2" s="4" t="b">
        <v>1</v>
      </c>
      <c r="WY2" s="4" t="b">
        <v>1</v>
      </c>
      <c r="WZ2" s="4" t="b">
        <v>1</v>
      </c>
      <c r="XA2" s="4" t="b">
        <v>1</v>
      </c>
      <c r="XB2" s="4" t="b">
        <v>1</v>
      </c>
      <c r="XC2" s="4" t="b">
        <v>0</v>
      </c>
      <c r="XD2" s="4" t="b">
        <v>0</v>
      </c>
      <c r="XE2" s="4" t="b">
        <v>0</v>
      </c>
      <c r="XF2" s="4" t="b">
        <v>0</v>
      </c>
      <c r="XG2" s="4" t="b">
        <v>0</v>
      </c>
      <c r="XH2" s="4" t="b">
        <v>0</v>
      </c>
      <c r="XI2" s="4" t="b">
        <v>0</v>
      </c>
      <c r="XJ2" s="4" t="b">
        <v>1</v>
      </c>
      <c r="XK2" s="4" t="b">
        <v>1</v>
      </c>
      <c r="XL2" s="4" t="b">
        <v>1</v>
      </c>
      <c r="XM2" s="4" t="b">
        <v>0</v>
      </c>
      <c r="XN2" s="4" t="b">
        <v>0</v>
      </c>
      <c r="XO2" s="4" t="b">
        <v>0</v>
      </c>
      <c r="XP2" s="4" t="b">
        <v>0</v>
      </c>
      <c r="XQ2" s="4" t="b">
        <v>0</v>
      </c>
      <c r="XR2" s="4" t="b">
        <v>0</v>
      </c>
      <c r="XS2" s="4" t="b">
        <v>1</v>
      </c>
      <c r="XT2" s="4" t="b">
        <v>1</v>
      </c>
      <c r="XU2" s="4" t="b">
        <v>0</v>
      </c>
      <c r="XV2" s="4" t="b">
        <v>0</v>
      </c>
      <c r="XW2" s="4" t="b">
        <v>0</v>
      </c>
      <c r="XX2" s="4" t="b">
        <v>1</v>
      </c>
      <c r="XY2" s="4" t="b">
        <v>1</v>
      </c>
      <c r="XZ2" s="4" t="b">
        <v>1</v>
      </c>
      <c r="YA2" s="4" t="b">
        <v>0</v>
      </c>
      <c r="YB2" s="4" t="b">
        <v>0</v>
      </c>
      <c r="YC2" s="4" t="b">
        <v>0</v>
      </c>
      <c r="YD2" s="4" t="b">
        <v>0</v>
      </c>
      <c r="YE2" s="4" t="b">
        <v>0</v>
      </c>
      <c r="YF2" s="4" t="b">
        <v>0</v>
      </c>
      <c r="YG2" s="4" t="b">
        <v>0</v>
      </c>
      <c r="YH2" s="4" t="b">
        <v>1</v>
      </c>
      <c r="YI2" s="4" t="b">
        <v>0</v>
      </c>
      <c r="YJ2" s="4" t="b">
        <v>0</v>
      </c>
      <c r="YK2" s="4" t="b">
        <v>0</v>
      </c>
      <c r="YL2" s="4" t="b">
        <v>1</v>
      </c>
      <c r="YM2" s="4" t="b">
        <v>1</v>
      </c>
      <c r="YN2" s="4" t="b">
        <v>1</v>
      </c>
      <c r="YO2" s="4" t="b">
        <v>1</v>
      </c>
      <c r="YP2" s="4" t="b">
        <v>0</v>
      </c>
      <c r="YQ2" s="4" t="b">
        <v>0</v>
      </c>
      <c r="YR2" s="4" t="b">
        <v>0</v>
      </c>
      <c r="YS2" s="4" t="b">
        <v>0</v>
      </c>
      <c r="YT2" s="4" t="b">
        <v>0</v>
      </c>
      <c r="YU2" s="4" t="b">
        <v>0</v>
      </c>
      <c r="YV2" s="4" t="b">
        <v>0</v>
      </c>
      <c r="YW2" s="4" t="b">
        <v>0</v>
      </c>
      <c r="YX2" s="4" t="b">
        <v>0</v>
      </c>
      <c r="YY2" s="4" t="b">
        <v>1</v>
      </c>
      <c r="YZ2" s="4" t="b">
        <v>1</v>
      </c>
      <c r="ZA2" s="4" t="b">
        <v>1</v>
      </c>
      <c r="ZB2" s="4" t="b">
        <v>1</v>
      </c>
      <c r="ZC2" s="4" t="b">
        <v>1</v>
      </c>
      <c r="ZD2" s="4" t="b">
        <v>1</v>
      </c>
      <c r="ZE2" s="4" t="b">
        <v>0</v>
      </c>
      <c r="ZF2" s="4" t="b">
        <v>0</v>
      </c>
      <c r="ZG2" s="4" t="b">
        <v>0</v>
      </c>
      <c r="ZH2" s="4" t="b">
        <v>0</v>
      </c>
      <c r="ZI2" s="4" t="b">
        <v>0</v>
      </c>
      <c r="ZJ2" s="4" t="b">
        <v>1</v>
      </c>
      <c r="ZK2" s="4" t="b">
        <v>1</v>
      </c>
      <c r="ZL2" s="4" t="b">
        <v>1</v>
      </c>
      <c r="ZM2" s="4" t="b">
        <v>1</v>
      </c>
      <c r="ZN2" s="4" t="b">
        <v>1</v>
      </c>
      <c r="ZO2" s="4" t="b">
        <v>1</v>
      </c>
      <c r="ZP2" s="4" t="b">
        <v>0</v>
      </c>
      <c r="ZQ2" s="4" t="b">
        <v>0</v>
      </c>
      <c r="ZR2" s="4" t="b">
        <v>0</v>
      </c>
      <c r="ZS2" s="4" t="b">
        <v>0</v>
      </c>
      <c r="ZT2" s="4" t="b">
        <v>0</v>
      </c>
      <c r="ZU2" s="4" t="b">
        <v>0</v>
      </c>
      <c r="ZV2" s="4" t="b">
        <v>0</v>
      </c>
      <c r="ZW2" s="4" t="b">
        <v>0</v>
      </c>
      <c r="ZX2" s="4" t="b">
        <v>0</v>
      </c>
      <c r="ZY2" s="4" t="b">
        <v>1</v>
      </c>
      <c r="ZZ2" s="4" t="b">
        <v>1</v>
      </c>
      <c r="AAA2" s="4" t="b">
        <v>1</v>
      </c>
      <c r="AAB2" s="4" t="b">
        <v>1</v>
      </c>
      <c r="AAC2" s="4" t="b">
        <v>1</v>
      </c>
      <c r="AAD2" s="4" t="b">
        <v>1</v>
      </c>
      <c r="AAE2" s="4" t="b">
        <v>1</v>
      </c>
      <c r="AAF2" s="4" t="b">
        <v>1</v>
      </c>
      <c r="AAG2" s="4" t="b">
        <v>1</v>
      </c>
      <c r="AAH2" s="4" t="b">
        <v>0</v>
      </c>
      <c r="AAI2" s="4" t="b">
        <v>0</v>
      </c>
      <c r="AAJ2" s="4" t="b">
        <v>0</v>
      </c>
      <c r="AAK2" s="4" t="b">
        <v>1</v>
      </c>
      <c r="AAL2" s="4" t="b">
        <v>1</v>
      </c>
      <c r="AAM2" s="4" t="b">
        <v>1</v>
      </c>
      <c r="AAN2" s="4" t="b">
        <v>1</v>
      </c>
      <c r="AAO2" s="4" t="b">
        <v>0</v>
      </c>
      <c r="AAP2" s="4" t="b">
        <v>0</v>
      </c>
      <c r="AAQ2" s="4" t="b">
        <v>0</v>
      </c>
      <c r="AAR2" s="4" t="b">
        <v>0</v>
      </c>
      <c r="AAS2" s="4" t="b">
        <v>0</v>
      </c>
      <c r="AAT2" s="4" t="b">
        <v>0</v>
      </c>
      <c r="AAU2" s="4" t="b">
        <v>0</v>
      </c>
      <c r="AAV2" s="4" t="b">
        <v>1</v>
      </c>
      <c r="AAW2" s="4" t="b">
        <v>1</v>
      </c>
      <c r="AAX2" s="4" t="b">
        <v>1</v>
      </c>
      <c r="AAY2" s="4" t="b">
        <v>1</v>
      </c>
      <c r="AAZ2" s="4" t="b">
        <v>1</v>
      </c>
      <c r="ABA2" s="4" t="b">
        <v>1</v>
      </c>
      <c r="ABB2" s="4" t="b">
        <v>1</v>
      </c>
      <c r="ABC2" s="4" t="b">
        <v>1</v>
      </c>
      <c r="ABD2" s="4" t="b">
        <v>1</v>
      </c>
      <c r="ABE2" s="4" t="b">
        <v>1</v>
      </c>
      <c r="ABF2" s="4" t="b">
        <v>1</v>
      </c>
      <c r="ABG2" s="4" t="b">
        <v>1</v>
      </c>
      <c r="ABH2" s="4" t="b">
        <v>0</v>
      </c>
      <c r="ABI2" s="4" t="b">
        <v>0</v>
      </c>
      <c r="ABJ2" s="4" t="b">
        <v>0</v>
      </c>
      <c r="ABK2" s="4" t="b">
        <v>1</v>
      </c>
      <c r="ABL2" s="4" t="b">
        <v>1</v>
      </c>
      <c r="ABM2" s="4" t="b">
        <v>1</v>
      </c>
      <c r="ABN2" s="4" t="b">
        <v>1</v>
      </c>
      <c r="ABO2" s="4" t="b">
        <v>0</v>
      </c>
      <c r="ABP2" s="4" t="b">
        <v>0</v>
      </c>
      <c r="ABQ2" s="4" t="b">
        <v>0</v>
      </c>
      <c r="ABR2" s="4" t="b">
        <v>0</v>
      </c>
      <c r="ABS2" s="4" t="b">
        <v>0</v>
      </c>
      <c r="ABT2" s="4" t="b">
        <v>1</v>
      </c>
      <c r="ABU2" s="4" t="b">
        <v>0</v>
      </c>
      <c r="ABV2" s="4" t="b">
        <v>0</v>
      </c>
      <c r="ABW2" s="4" t="b">
        <v>0</v>
      </c>
      <c r="ABX2" s="4" t="b">
        <v>1</v>
      </c>
      <c r="ABY2" s="4" t="b">
        <v>1</v>
      </c>
      <c r="ABZ2" s="4" t="b">
        <v>1</v>
      </c>
      <c r="ACA2" s="4" t="b">
        <v>1</v>
      </c>
      <c r="ACB2" s="4" t="b">
        <v>1</v>
      </c>
      <c r="ACC2" s="4" t="b">
        <v>1</v>
      </c>
      <c r="ACD2" s="4" t="b">
        <v>1</v>
      </c>
      <c r="ACE2" s="4" t="b">
        <v>1</v>
      </c>
      <c r="ACF2" s="4" t="b">
        <v>0</v>
      </c>
      <c r="ACG2" s="4" t="b">
        <v>0</v>
      </c>
      <c r="ACH2" s="4" t="b">
        <v>0</v>
      </c>
      <c r="ACI2" s="4" t="b">
        <v>0</v>
      </c>
      <c r="ACJ2" s="4" t="b">
        <v>0</v>
      </c>
      <c r="ACK2" s="4" t="b">
        <v>0</v>
      </c>
      <c r="ACL2" s="4" t="b">
        <v>1</v>
      </c>
      <c r="ACM2" s="4" t="b">
        <v>1</v>
      </c>
      <c r="ACN2" s="4" t="b">
        <v>1</v>
      </c>
      <c r="ACO2" s="4" t="b">
        <v>0</v>
      </c>
      <c r="ACP2" s="4" t="b">
        <v>0</v>
      </c>
      <c r="ACQ2" s="4" t="b">
        <v>0</v>
      </c>
      <c r="ACR2" s="4" t="b">
        <v>0</v>
      </c>
      <c r="ACS2" s="4" t="b">
        <v>0</v>
      </c>
      <c r="ACT2" s="4" t="b">
        <v>0</v>
      </c>
      <c r="ACU2" s="4" t="b">
        <v>0</v>
      </c>
      <c r="ACV2" s="4" t="b">
        <v>0</v>
      </c>
      <c r="ACW2" s="4" t="b">
        <v>0</v>
      </c>
      <c r="ACX2" s="4" t="b">
        <v>0</v>
      </c>
      <c r="ACY2" s="4" t="b">
        <v>1</v>
      </c>
      <c r="ACZ2" s="4" t="b">
        <v>0</v>
      </c>
      <c r="ADA2" s="4" t="b">
        <v>1</v>
      </c>
      <c r="ADB2" s="4" t="b">
        <v>1</v>
      </c>
      <c r="ADC2" s="4" t="b">
        <v>1</v>
      </c>
      <c r="ADD2" s="4" t="b">
        <v>1</v>
      </c>
      <c r="ADE2" s="4" t="b">
        <v>1</v>
      </c>
      <c r="ADF2" s="4" t="b">
        <v>1</v>
      </c>
      <c r="ADG2" s="4" t="b">
        <v>1</v>
      </c>
      <c r="ADH2" s="4" t="b">
        <v>0</v>
      </c>
      <c r="ADI2" s="4" t="b">
        <v>0</v>
      </c>
      <c r="ADJ2" s="4" t="b">
        <v>0</v>
      </c>
      <c r="ADK2" s="4" t="b">
        <v>0</v>
      </c>
      <c r="ADL2" s="4" t="b">
        <v>0</v>
      </c>
      <c r="ADM2" s="4" t="b">
        <v>1</v>
      </c>
      <c r="ADN2" s="4" t="b">
        <v>1</v>
      </c>
      <c r="ADO2" s="4" t="b">
        <v>1</v>
      </c>
      <c r="ADP2" s="4" t="b">
        <v>1</v>
      </c>
      <c r="ADQ2" s="4" t="b">
        <v>0</v>
      </c>
      <c r="ADR2" s="4" t="b">
        <v>0</v>
      </c>
      <c r="ADS2" s="4" t="b">
        <v>0</v>
      </c>
      <c r="ADT2" s="4" t="b">
        <v>0</v>
      </c>
      <c r="ADU2" s="4" t="b">
        <v>0</v>
      </c>
      <c r="ADV2" s="4" t="b">
        <v>0</v>
      </c>
      <c r="ADW2" s="4" t="b">
        <v>0</v>
      </c>
      <c r="ADX2" s="4" t="b">
        <v>0</v>
      </c>
      <c r="ADY2" s="4" t="b">
        <v>1</v>
      </c>
      <c r="ADZ2" s="4" t="b">
        <v>1</v>
      </c>
      <c r="AEA2" s="4" t="b">
        <v>1</v>
      </c>
      <c r="AEB2" s="4" t="b">
        <v>1</v>
      </c>
      <c r="AEC2" s="4" t="b">
        <v>1</v>
      </c>
      <c r="AED2" s="4" t="b">
        <v>1</v>
      </c>
      <c r="AEE2" s="4" t="b">
        <v>1</v>
      </c>
      <c r="AEF2" s="4" t="b">
        <v>1</v>
      </c>
      <c r="AEG2" s="4" t="b">
        <v>1</v>
      </c>
      <c r="AEH2" s="4" t="b">
        <v>0</v>
      </c>
      <c r="AEI2" s="4" t="b">
        <v>0</v>
      </c>
      <c r="AEJ2" s="4" t="b">
        <v>0</v>
      </c>
      <c r="AEK2" s="4" t="b">
        <v>0</v>
      </c>
      <c r="AEL2" s="4" t="b">
        <v>0</v>
      </c>
      <c r="AEM2" s="4" t="b">
        <v>0</v>
      </c>
      <c r="AEN2" s="4" t="b">
        <v>0</v>
      </c>
      <c r="AEO2" s="4" t="b">
        <v>0</v>
      </c>
      <c r="AEP2" s="4" t="b">
        <v>0</v>
      </c>
      <c r="AEQ2" s="4" t="b">
        <v>0</v>
      </c>
      <c r="AER2" s="4" t="b">
        <v>0</v>
      </c>
      <c r="AES2" s="4" t="b">
        <v>1</v>
      </c>
      <c r="AET2" s="4" t="b">
        <v>1</v>
      </c>
      <c r="AEU2" s="4" t="b">
        <v>1</v>
      </c>
      <c r="AEV2" s="4" t="b">
        <v>1</v>
      </c>
      <c r="AEW2" s="4" t="b">
        <v>1</v>
      </c>
      <c r="AEX2" s="4" t="b">
        <v>1</v>
      </c>
      <c r="AEY2" s="4" t="b">
        <v>1</v>
      </c>
      <c r="AEZ2" s="4" t="b">
        <v>1</v>
      </c>
      <c r="AFA2" s="4" t="b">
        <v>1</v>
      </c>
      <c r="AFB2" s="4" t="b">
        <v>0</v>
      </c>
      <c r="AFC2" s="4" t="b">
        <v>0</v>
      </c>
      <c r="AFD2" s="4" t="b">
        <v>0</v>
      </c>
      <c r="AFE2" s="4" t="b">
        <v>0</v>
      </c>
      <c r="AFF2" s="4" t="b">
        <v>0</v>
      </c>
      <c r="AFG2" s="4" t="b">
        <v>0</v>
      </c>
      <c r="AFH2" s="4" t="b">
        <v>0</v>
      </c>
      <c r="AFI2" s="4" t="b">
        <v>0</v>
      </c>
      <c r="AFJ2" s="4" t="b">
        <v>0</v>
      </c>
      <c r="AFK2" s="4" t="b">
        <v>1</v>
      </c>
      <c r="AFL2" s="4" t="b">
        <v>1</v>
      </c>
      <c r="AFM2" s="4" t="b">
        <v>1</v>
      </c>
      <c r="AFN2" s="4" t="b">
        <v>1</v>
      </c>
      <c r="AFO2" s="4" t="b">
        <v>0</v>
      </c>
      <c r="AFP2" s="4" t="b">
        <v>0</v>
      </c>
      <c r="AFQ2" s="4" t="b">
        <v>0</v>
      </c>
      <c r="AFR2" s="4" t="b">
        <v>0</v>
      </c>
      <c r="AFS2" s="4" t="b">
        <v>0</v>
      </c>
      <c r="AFT2" s="4" t="b">
        <v>0</v>
      </c>
      <c r="AFU2" s="4" t="b">
        <v>0</v>
      </c>
      <c r="AFV2" s="4" t="b">
        <v>0</v>
      </c>
      <c r="AFW2" s="4" t="b">
        <v>1</v>
      </c>
      <c r="AFX2" s="4" t="b">
        <v>1</v>
      </c>
      <c r="AFY2" s="4" t="b">
        <v>1</v>
      </c>
      <c r="AFZ2" s="4" t="b">
        <v>1</v>
      </c>
      <c r="AGA2" s="4" t="b">
        <v>1</v>
      </c>
      <c r="AGB2" s="4" t="b">
        <v>1</v>
      </c>
      <c r="AGC2" s="4" t="b">
        <v>1</v>
      </c>
      <c r="AGD2" s="4" t="b">
        <v>1</v>
      </c>
      <c r="AGE2" s="4" t="b">
        <v>0</v>
      </c>
      <c r="AGF2" s="4" t="b">
        <v>0</v>
      </c>
      <c r="AGG2" s="4" t="b">
        <v>0</v>
      </c>
      <c r="AGH2" s="4" t="b">
        <v>1</v>
      </c>
      <c r="AGI2" s="4" t="b">
        <v>1</v>
      </c>
      <c r="AGJ2" s="4" t="b">
        <v>1</v>
      </c>
      <c r="AGK2" s="4" t="b">
        <v>0</v>
      </c>
      <c r="AGL2" s="4" t="b">
        <v>0</v>
      </c>
      <c r="AGM2" s="4" t="b">
        <v>0</v>
      </c>
      <c r="AGN2" s="4" t="b">
        <v>0</v>
      </c>
      <c r="AGO2" s="4" t="b">
        <v>0</v>
      </c>
      <c r="AGP2" s="4" t="b">
        <v>1</v>
      </c>
      <c r="AGQ2" s="4" t="b">
        <v>0</v>
      </c>
      <c r="AGR2" s="4" t="b">
        <v>0</v>
      </c>
      <c r="AGS2" s="4" t="b">
        <v>0</v>
      </c>
      <c r="AGT2" s="4" t="b">
        <v>1</v>
      </c>
      <c r="AGU2" s="4" t="b">
        <v>1</v>
      </c>
      <c r="AGV2" s="4" t="b">
        <v>1</v>
      </c>
      <c r="AGW2" s="188" t="b">
        <v>0</v>
      </c>
      <c r="AGX2" s="189" t="b">
        <v>0</v>
      </c>
      <c r="AGY2" s="189" t="b">
        <v>0</v>
      </c>
      <c r="AGZ2" s="189" t="b">
        <v>0</v>
      </c>
      <c r="AHA2" s="4" t="b">
        <v>1</v>
      </c>
      <c r="AHB2" s="4" t="b">
        <v>1</v>
      </c>
      <c r="AHC2" s="4" t="b">
        <v>1</v>
      </c>
      <c r="AHD2" s="4" t="b">
        <v>1</v>
      </c>
      <c r="AHE2" s="4" t="b">
        <v>0</v>
      </c>
      <c r="AHF2" s="4" t="b">
        <v>0</v>
      </c>
      <c r="AHG2" s="4" t="b">
        <v>1</v>
      </c>
      <c r="AHH2" s="4" t="b">
        <v>1</v>
      </c>
      <c r="AHI2" s="4" t="b">
        <v>1</v>
      </c>
      <c r="AHJ2" s="4" t="b">
        <v>1</v>
      </c>
      <c r="AHK2" s="4" t="b">
        <v>1</v>
      </c>
      <c r="AHL2" s="4" t="b">
        <v>1</v>
      </c>
      <c r="AHM2" s="4" t="b">
        <v>1</v>
      </c>
      <c r="AHN2" s="4" t="b">
        <v>1</v>
      </c>
      <c r="AHO2" s="4" t="b">
        <v>1</v>
      </c>
      <c r="AHP2" s="4" t="b">
        <v>1</v>
      </c>
      <c r="AHQ2" s="4" t="b">
        <v>0</v>
      </c>
      <c r="AHR2" s="4" t="b">
        <v>0</v>
      </c>
      <c r="AHS2" s="4" t="b">
        <v>0</v>
      </c>
      <c r="AHT2" s="4" t="b">
        <v>1</v>
      </c>
      <c r="AHU2" s="4" t="b">
        <v>1</v>
      </c>
      <c r="AHV2" s="4" t="b">
        <v>1</v>
      </c>
      <c r="AHW2" s="4" t="b">
        <v>1</v>
      </c>
      <c r="AHX2" s="4" t="b">
        <v>1</v>
      </c>
      <c r="AHY2" s="4" t="b">
        <v>0</v>
      </c>
      <c r="AHZ2" s="4" t="b">
        <v>0</v>
      </c>
      <c r="AIA2" s="4" t="b">
        <v>0</v>
      </c>
      <c r="AIB2" s="4" t="b">
        <v>0</v>
      </c>
      <c r="AIC2" s="4" t="b">
        <v>0</v>
      </c>
      <c r="AID2" s="4" t="b">
        <v>0</v>
      </c>
      <c r="AIE2" s="4" t="b">
        <v>0</v>
      </c>
      <c r="AIF2" s="4" t="b">
        <v>0</v>
      </c>
      <c r="AIG2" s="4" t="b">
        <v>0</v>
      </c>
      <c r="AIH2" s="4" t="b">
        <v>1</v>
      </c>
      <c r="AII2" s="4" t="b">
        <v>1</v>
      </c>
      <c r="AIJ2" s="4" t="b">
        <v>1</v>
      </c>
      <c r="AIK2" s="4" t="b">
        <v>0</v>
      </c>
      <c r="AIL2" s="4" t="b">
        <v>0</v>
      </c>
      <c r="AIM2" s="4" t="b">
        <v>0</v>
      </c>
      <c r="AIN2" s="4" t="b">
        <v>0</v>
      </c>
      <c r="AIO2" s="4" t="b">
        <v>0</v>
      </c>
      <c r="AIP2" s="4" t="b">
        <v>0</v>
      </c>
      <c r="AIQ2" s="4" t="b">
        <v>0</v>
      </c>
      <c r="AIR2" s="4" t="b">
        <v>0</v>
      </c>
      <c r="AIS2" s="4" t="b">
        <v>0</v>
      </c>
      <c r="AIT2" s="4" t="b">
        <v>1</v>
      </c>
      <c r="AIU2" s="4" t="b">
        <v>1</v>
      </c>
      <c r="AIV2" s="4" t="b">
        <v>1</v>
      </c>
      <c r="AIW2" s="4" t="b">
        <v>0</v>
      </c>
      <c r="AIX2" s="4" t="b">
        <v>0</v>
      </c>
      <c r="AIY2" s="4" t="b">
        <v>0</v>
      </c>
      <c r="AIZ2" s="4" t="b">
        <v>0</v>
      </c>
      <c r="AJA2" s="4" t="b">
        <v>0</v>
      </c>
      <c r="AJB2" s="4" t="b">
        <v>0</v>
      </c>
      <c r="AJC2" s="4" t="b">
        <v>0</v>
      </c>
      <c r="AJD2" s="4" t="b">
        <v>0</v>
      </c>
      <c r="AJE2" s="4" t="b">
        <v>0</v>
      </c>
      <c r="AJF2" s="4" t="b">
        <v>1</v>
      </c>
      <c r="AJG2" s="4" t="b">
        <v>1</v>
      </c>
      <c r="AJH2" s="4" t="b">
        <v>1</v>
      </c>
      <c r="AJI2" s="4" t="b">
        <v>1</v>
      </c>
      <c r="AJJ2" s="4" t="b">
        <v>1</v>
      </c>
      <c r="AJK2" s="4" t="b">
        <v>0</v>
      </c>
      <c r="AJL2" s="4" t="b">
        <v>0</v>
      </c>
      <c r="AJM2" s="4" t="b">
        <v>0</v>
      </c>
      <c r="AJN2" s="4" t="b">
        <v>0</v>
      </c>
      <c r="AJO2" s="4" t="b">
        <v>0</v>
      </c>
      <c r="AJP2" s="4" t="b">
        <v>0</v>
      </c>
      <c r="AJQ2" s="4" t="b">
        <v>0</v>
      </c>
      <c r="AJR2" s="4" t="b">
        <v>0</v>
      </c>
      <c r="AJS2" s="4" t="b">
        <v>1</v>
      </c>
      <c r="AJT2" s="4" t="b">
        <v>1</v>
      </c>
      <c r="AJU2" s="4" t="b">
        <v>1</v>
      </c>
      <c r="AJV2" s="4" t="b">
        <v>1</v>
      </c>
      <c r="AJW2" s="4" t="b">
        <v>1</v>
      </c>
      <c r="AJX2" s="4" t="b">
        <v>1</v>
      </c>
      <c r="AJY2" s="4" t="b">
        <v>1</v>
      </c>
      <c r="AJZ2" s="4" t="b">
        <v>1</v>
      </c>
      <c r="AKA2" s="4" t="b">
        <v>0</v>
      </c>
      <c r="AKB2" s="4" t="b">
        <v>0</v>
      </c>
      <c r="AKC2" s="4" t="b">
        <v>0</v>
      </c>
      <c r="AKD2" s="4" t="b">
        <v>1</v>
      </c>
      <c r="AKE2" s="4" t="b">
        <v>1</v>
      </c>
      <c r="AKF2" s="4" t="b">
        <v>0</v>
      </c>
      <c r="AKG2" s="4" t="b">
        <v>0</v>
      </c>
      <c r="AKH2" s="4" t="b">
        <v>0</v>
      </c>
      <c r="AKI2" s="4" t="b">
        <v>0</v>
      </c>
      <c r="AKJ2" s="4" t="b">
        <v>0</v>
      </c>
      <c r="AKK2" s="4" t="b">
        <v>0</v>
      </c>
      <c r="AKL2" s="4" t="b">
        <v>0</v>
      </c>
      <c r="AKM2" s="4" t="b">
        <v>0</v>
      </c>
      <c r="AKN2" s="4" t="b">
        <v>0</v>
      </c>
      <c r="AKO2" s="4" t="b">
        <v>0</v>
      </c>
      <c r="AKP2" s="4" t="b">
        <v>1</v>
      </c>
      <c r="AKQ2" s="4" t="b">
        <v>1</v>
      </c>
      <c r="AKR2" s="4" t="b">
        <v>1</v>
      </c>
      <c r="AKS2" s="4" t="b">
        <v>1</v>
      </c>
      <c r="AKT2" s="4" t="b">
        <v>1</v>
      </c>
      <c r="AKU2" s="4" t="b">
        <v>0</v>
      </c>
      <c r="AKV2" s="4" t="b">
        <v>0</v>
      </c>
      <c r="AKW2" s="4" t="b">
        <v>0</v>
      </c>
      <c r="AKX2" s="4" t="b">
        <v>0</v>
      </c>
      <c r="AKY2" s="4" t="b">
        <v>0</v>
      </c>
      <c r="AKZ2" s="4" t="b">
        <v>0</v>
      </c>
      <c r="ALA2" s="4" t="b">
        <v>0</v>
      </c>
      <c r="ALB2" s="4" t="b">
        <v>0</v>
      </c>
      <c r="ALC2" s="4" t="b">
        <v>0</v>
      </c>
      <c r="ALD2" s="4" t="b">
        <v>0</v>
      </c>
      <c r="ALE2" s="4" t="b">
        <v>0</v>
      </c>
      <c r="ALF2" s="4" t="b">
        <v>0</v>
      </c>
      <c r="ALG2" s="4" t="b">
        <v>1</v>
      </c>
      <c r="ALH2" s="4" t="b">
        <v>0</v>
      </c>
      <c r="ALI2" s="4" t="b">
        <v>1</v>
      </c>
      <c r="ALJ2" s="4" t="b">
        <v>0</v>
      </c>
      <c r="ALK2" s="4" t="b">
        <v>1</v>
      </c>
      <c r="ALL2" s="4" t="b">
        <v>1</v>
      </c>
      <c r="ALM2" s="4" t="b">
        <v>0</v>
      </c>
      <c r="ALN2" s="4" t="b">
        <v>0</v>
      </c>
      <c r="ALO2" s="4" t="b">
        <v>0</v>
      </c>
      <c r="ALP2" s="4" t="b">
        <v>0</v>
      </c>
      <c r="ALQ2" s="4" t="b">
        <v>0</v>
      </c>
      <c r="ALR2" s="4" t="b">
        <v>0</v>
      </c>
      <c r="ALS2" s="4" t="b">
        <v>0</v>
      </c>
      <c r="ALT2" s="4" t="b">
        <v>0</v>
      </c>
      <c r="ALU2" s="4" t="b">
        <v>0</v>
      </c>
      <c r="ALV2" s="4" t="b">
        <v>0</v>
      </c>
      <c r="ALW2" s="4" t="b">
        <v>1</v>
      </c>
      <c r="ALX2" s="4" t="b">
        <v>1</v>
      </c>
      <c r="ALY2" s="4" t="b">
        <v>1</v>
      </c>
      <c r="ALZ2" s="4" t="b">
        <v>1</v>
      </c>
      <c r="AMA2" s="4" t="b">
        <v>1</v>
      </c>
      <c r="AMB2" s="4" t="b">
        <v>0</v>
      </c>
      <c r="AMC2" s="4" t="b">
        <v>0</v>
      </c>
      <c r="AMD2" s="4" t="b">
        <v>0</v>
      </c>
      <c r="AME2" s="4" t="b">
        <v>0</v>
      </c>
      <c r="AMF2" s="4" t="b">
        <v>0</v>
      </c>
      <c r="AMG2" s="4" t="b">
        <v>0</v>
      </c>
      <c r="AMH2" s="4" t="b">
        <v>0</v>
      </c>
      <c r="AMI2" s="4" t="b">
        <v>1</v>
      </c>
      <c r="AMJ2" s="4" t="b">
        <v>1</v>
      </c>
      <c r="AMK2" s="4" t="b">
        <v>1</v>
      </c>
      <c r="AML2" s="4" t="b">
        <v>1</v>
      </c>
      <c r="AMM2" s="4" t="b">
        <v>0</v>
      </c>
      <c r="AMN2" s="4" t="b">
        <v>0</v>
      </c>
      <c r="AMO2" s="4" t="b">
        <v>0</v>
      </c>
      <c r="AMP2" s="4" t="b">
        <v>0</v>
      </c>
      <c r="AMQ2" s="4" t="b">
        <v>0</v>
      </c>
      <c r="AMR2" s="4" t="b">
        <v>1</v>
      </c>
      <c r="AMS2" s="4" t="b">
        <v>1</v>
      </c>
      <c r="AMT2" s="4" t="b">
        <v>0</v>
      </c>
      <c r="AMU2" s="4" t="b">
        <v>1</v>
      </c>
      <c r="AMV2" s="4" t="b">
        <v>1</v>
      </c>
      <c r="AMW2" s="4" t="b">
        <v>1</v>
      </c>
      <c r="AMX2" s="4" t="b">
        <v>1</v>
      </c>
      <c r="AMY2" s="4" t="b">
        <v>1</v>
      </c>
      <c r="AMZ2" s="4" t="b">
        <v>1</v>
      </c>
      <c r="ANA2" s="4" t="b">
        <v>1</v>
      </c>
      <c r="ANB2" s="4" t="b">
        <v>0</v>
      </c>
      <c r="ANC2" s="4" t="b">
        <v>0</v>
      </c>
      <c r="AND2" s="4" t="b">
        <v>0</v>
      </c>
      <c r="ANE2" s="4" t="b">
        <v>0</v>
      </c>
      <c r="ANF2" s="4" t="b">
        <v>0</v>
      </c>
      <c r="ANG2" s="4" t="b">
        <v>1</v>
      </c>
      <c r="ANH2" s="4" t="b">
        <v>0</v>
      </c>
      <c r="ANI2" s="4" t="b">
        <v>1</v>
      </c>
      <c r="ANJ2" s="4" t="b">
        <v>0</v>
      </c>
      <c r="ANK2" s="4" t="b">
        <v>0</v>
      </c>
      <c r="ANL2" s="4" t="b">
        <v>0</v>
      </c>
      <c r="ANM2" s="4" t="b">
        <v>0</v>
      </c>
      <c r="ANN2" s="4" t="b">
        <v>0</v>
      </c>
      <c r="ANO2" s="4" t="b">
        <v>0</v>
      </c>
      <c r="ANP2" s="4" t="b">
        <v>0</v>
      </c>
      <c r="ANQ2" s="4" t="b">
        <v>1</v>
      </c>
      <c r="ANR2" s="4" t="b">
        <v>1</v>
      </c>
      <c r="ANS2" s="4" t="b">
        <v>1</v>
      </c>
      <c r="ANT2" s="4" t="b">
        <v>0</v>
      </c>
      <c r="ANU2" s="4" t="b">
        <v>0</v>
      </c>
      <c r="ANV2" s="4" t="b">
        <v>0</v>
      </c>
      <c r="ANW2" s="4" t="b">
        <v>0</v>
      </c>
      <c r="ANX2" s="4" t="b">
        <v>0</v>
      </c>
      <c r="ANY2" s="4" t="b">
        <v>0</v>
      </c>
      <c r="ANZ2" s="4" t="b">
        <v>0</v>
      </c>
      <c r="AOA2" s="4" t="b">
        <v>0</v>
      </c>
      <c r="AOB2" s="4" t="b">
        <v>0</v>
      </c>
      <c r="AOC2" s="4" t="b">
        <v>1</v>
      </c>
      <c r="AOD2" s="4" t="b">
        <v>1</v>
      </c>
      <c r="AOE2" s="4" t="b">
        <v>1</v>
      </c>
      <c r="AOF2" s="4" t="b">
        <v>1</v>
      </c>
      <c r="AOG2" s="4" t="b">
        <v>1</v>
      </c>
      <c r="AOH2" s="4" t="b">
        <v>1</v>
      </c>
      <c r="AOI2" s="4" t="b">
        <v>0</v>
      </c>
      <c r="AOJ2" s="4" t="b">
        <v>1</v>
      </c>
      <c r="AOK2" s="4" t="b">
        <v>0</v>
      </c>
      <c r="AOL2" s="4" t="b">
        <v>1</v>
      </c>
      <c r="AOM2" s="4" t="b">
        <v>0</v>
      </c>
      <c r="AON2" s="4" t="b">
        <v>1</v>
      </c>
      <c r="AOO2" s="4" t="b">
        <v>0</v>
      </c>
      <c r="AOP2" s="4" t="b">
        <v>1</v>
      </c>
      <c r="AOQ2" s="4" t="b">
        <v>0</v>
      </c>
      <c r="AOR2" s="4" t="b">
        <v>1</v>
      </c>
      <c r="AOS2" s="4" t="b">
        <v>1</v>
      </c>
      <c r="AOT2" s="4" t="b">
        <v>0</v>
      </c>
      <c r="AOU2" s="4" t="b">
        <v>0</v>
      </c>
      <c r="AOV2" s="4" t="b">
        <v>0</v>
      </c>
      <c r="AOW2" s="4" t="b">
        <v>1</v>
      </c>
      <c r="AOX2" s="4" t="b">
        <v>1</v>
      </c>
      <c r="AOY2" s="4" t="b">
        <v>0</v>
      </c>
      <c r="AOZ2" s="4" t="b">
        <v>0</v>
      </c>
      <c r="APA2" s="4" t="b">
        <v>0</v>
      </c>
      <c r="APB2" s="4" t="b">
        <v>0</v>
      </c>
      <c r="APC2" s="4" t="b">
        <v>0</v>
      </c>
      <c r="APD2" s="4" t="b">
        <v>0</v>
      </c>
      <c r="APE2" s="4" t="b">
        <v>0</v>
      </c>
      <c r="APF2" s="4" t="b">
        <v>0</v>
      </c>
      <c r="APG2" s="4" t="b">
        <v>1</v>
      </c>
      <c r="APH2" s="4" t="b">
        <v>1</v>
      </c>
      <c r="API2" s="4" t="b">
        <v>0</v>
      </c>
      <c r="APJ2" s="4" t="b">
        <v>0</v>
      </c>
      <c r="APK2" s="4" t="b">
        <v>1</v>
      </c>
      <c r="APL2" s="4" t="b">
        <v>1</v>
      </c>
      <c r="APM2" s="4" t="b">
        <v>0</v>
      </c>
      <c r="APN2" s="4" t="b">
        <v>0</v>
      </c>
      <c r="APO2" s="4" t="b">
        <v>0</v>
      </c>
      <c r="APP2" s="4" t="b">
        <v>0</v>
      </c>
      <c r="APQ2" s="4" t="b">
        <v>0</v>
      </c>
      <c r="APR2" s="4" t="b">
        <v>0</v>
      </c>
      <c r="APS2" s="4" t="b">
        <v>0</v>
      </c>
      <c r="APT2" s="4" t="b">
        <v>0</v>
      </c>
      <c r="APU2" s="4" t="b">
        <v>1</v>
      </c>
      <c r="APV2" s="4" t="b">
        <v>1</v>
      </c>
      <c r="APW2" s="4" t="b">
        <v>1</v>
      </c>
      <c r="APX2" s="4" t="b">
        <v>0</v>
      </c>
      <c r="APY2" s="4" t="b">
        <v>0</v>
      </c>
      <c r="APZ2" s="4" t="b">
        <v>0</v>
      </c>
      <c r="AQA2" s="4" t="b">
        <v>1</v>
      </c>
      <c r="AQB2" s="4" t="b">
        <v>1</v>
      </c>
      <c r="AQC2" s="4" t="b">
        <v>0</v>
      </c>
      <c r="AQD2" s="4" t="b">
        <v>0</v>
      </c>
      <c r="AQE2" s="4" t="b">
        <v>0</v>
      </c>
      <c r="AQF2" s="4" t="b">
        <v>1</v>
      </c>
      <c r="AQG2" s="4" t="b">
        <v>1</v>
      </c>
      <c r="AQH2" s="4" t="b">
        <v>0</v>
      </c>
      <c r="AQI2" s="4" t="b">
        <v>0</v>
      </c>
      <c r="AQJ2" s="4" t="b">
        <v>0</v>
      </c>
      <c r="AQK2" s="4" t="b">
        <v>1</v>
      </c>
      <c r="AQL2" s="4" t="b">
        <v>1</v>
      </c>
    </row>
    <row r="3">
      <c r="A3" s="4" t="s">
        <v>428</v>
      </c>
      <c r="B3" s="190" t="str">
        <f>"1-Hit DMG"</f>
        <v>1-Hit DMG</v>
      </c>
      <c r="C3" s="190" t="str">
        <f>"2-Hit DMG"</f>
        <v>2-Hit DMG</v>
      </c>
      <c r="D3" s="190" t="str">
        <f>"3-Hit DMG"</f>
        <v>3-Hit DMG</v>
      </c>
      <c r="E3" s="190" t="str">
        <f>"4-Hit DMG"</f>
        <v>4-Hit DMG</v>
      </c>
      <c r="F3" s="190" t="str">
        <f>"5-Hit DMG (1/2)"</f>
        <v>5-Hit DMG (1/2)</v>
      </c>
      <c r="G3" s="190" t="str">
        <f>"5-Hit DMG (2/2)"</f>
        <v>5-Hit DMG (2/2)</v>
      </c>
      <c r="H3" s="190" t="str">
        <f>"6-HIT DMG"</f>
        <v>6-HIT DMG</v>
      </c>
      <c r="I3" s="190" t="str">
        <f>"Charged Attack DMG"</f>
        <v>Charged Attack DMG</v>
      </c>
      <c r="J3" s="190" t="str">
        <f>"Plunge DMG"</f>
        <v>Plunge DMG</v>
      </c>
      <c r="K3" s="190" t="str">
        <f>"Low Plunge DMG"</f>
        <v>Low Plunge DMG</v>
      </c>
      <c r="L3" s="190" t="str">
        <f>"High Plunge DMG"</f>
        <v>High Plunge DMG</v>
      </c>
      <c r="M3" s="190" t="str">
        <f>"Blood Blossom DMG"</f>
        <v>Blood Blossom DMG</v>
      </c>
      <c r="N3" s="190" t="str">
        <f>"Skill DMG (Burst)"</f>
        <v>Skill DMG (Burst)</v>
      </c>
      <c r="O3" s="190" t="str">
        <f>"Low HP Skill DMG (Burst)"</f>
        <v>Low HP Skill DMG (Burst)</v>
      </c>
      <c r="P3" s="190" t="str">
        <f>"1-Hit DMG"</f>
        <v>1-Hit DMG</v>
      </c>
      <c r="Q3" s="190" t="str">
        <f>"2-Hit DMG"</f>
        <v>2-Hit DMG</v>
      </c>
      <c r="R3" s="190" t="str">
        <f>"3-Hit DMG"</f>
        <v>3-Hit DMG</v>
      </c>
      <c r="S3" s="190" t="str">
        <f>"4-Hit DMG"</f>
        <v>4-Hit DMG</v>
      </c>
      <c r="T3" s="190" t="str">
        <f>"5-Hit DMG"</f>
        <v>5-Hit DMG</v>
      </c>
      <c r="U3" s="190" t="str">
        <f>"Charged Attack DMG (1/2)"</f>
        <v>Charged Attack DMG (1/2)</v>
      </c>
      <c r="V3" s="190" t="str">
        <f>"Charged Attack DMG (2/2)"</f>
        <v>Charged Attack DMG (2/2)</v>
      </c>
      <c r="W3" s="190" t="str">
        <f>"Plunge DMG"</f>
        <v>Plunge DMG</v>
      </c>
      <c r="X3" s="190" t="str">
        <f>"Low Plunge DMG"</f>
        <v>Low Plunge DMG</v>
      </c>
      <c r="Y3" s="190" t="str">
        <f>"High Plunge DMG"</f>
        <v>High Plunge DMG</v>
      </c>
      <c r="Z3" s="190" t="str">
        <f>"Skill DMG"</f>
        <v>Skill DMG</v>
      </c>
      <c r="AA3" s="190" t="str">
        <f>"Transient Blossom DMG"</f>
        <v>Transient Blossom DMG</v>
      </c>
      <c r="AB3" s="190" t="str">
        <f>"Elemental Burst DMG"</f>
        <v>Elemental Burst DMG</v>
      </c>
      <c r="AC3" s="190" t="str">
        <f>"Fatal Blossom DMG"</f>
        <v>Fatal Blossom DMG</v>
      </c>
      <c r="AD3" s="190" t="str">
        <f>"1-Hit DMG (1/2)"</f>
        <v>1-Hit DMG (1/2)</v>
      </c>
      <c r="AE3" s="190" t="str">
        <f>"1-Hit DMG (2/2)"</f>
        <v>1-Hit DMG (2/2)</v>
      </c>
      <c r="AF3" s="190" t="str">
        <f>"2-Hit DMG"</f>
        <v>2-Hit DMG</v>
      </c>
      <c r="AG3" s="190" t="str">
        <f>"3-Hit DMG"</f>
        <v>3-Hit DMG</v>
      </c>
      <c r="AH3" s="190" t="str">
        <f>"4-Hit DMG"</f>
        <v>4-Hit DMG</v>
      </c>
      <c r="AI3" s="190" t="str">
        <f>"Aimed Shot"</f>
        <v>Aimed Shot</v>
      </c>
      <c r="AJ3" s="190" t="str">
        <f>"Fully-Charged Aimed Shot"</f>
        <v>Fully-Charged Aimed Shot</v>
      </c>
      <c r="AK3" s="190" t="str">
        <f>"Plunge DMG"</f>
        <v>Plunge DMG</v>
      </c>
      <c r="AL3" s="190" t="str">
        <f>"Low Plunge DMG"</f>
        <v>Low Plunge DMG</v>
      </c>
      <c r="AM3" s="190" t="str">
        <f>"High Plunge DMG"</f>
        <v>High Plunge DMG</v>
      </c>
      <c r="AN3" s="190" t="str">
        <f>"Freeze Bomb DMG"</f>
        <v>Freeze Bomb DMG</v>
      </c>
      <c r="AO3" s="190" t="str">
        <f>"Chillwater Bomblets"</f>
        <v>Chillwater Bomblets</v>
      </c>
      <c r="AP3" s="190" t="str">
        <f>"Skill DMG (Burst)"</f>
        <v>Skill DMG (Burst)</v>
      </c>
      <c r="AQ3" s="190" t="str">
        <f>"1-Hit DMG"</f>
        <v>1-Hit DMG</v>
      </c>
      <c r="AR3" s="190" t="str">
        <f>"2-Hit DMG"</f>
        <v>2-Hit DMG</v>
      </c>
      <c r="AS3" s="190" t="str">
        <f>"3-Hit DMG"</f>
        <v>3-Hit DMG</v>
      </c>
      <c r="AT3" s="190" t="str">
        <f>"4-Hit DMG"</f>
        <v>4-Hit DMG</v>
      </c>
      <c r="AU3" s="190" t="str">
        <f>"5-Hit DMG"</f>
        <v>5-Hit DMG</v>
      </c>
      <c r="AV3" s="190" t="str">
        <f>"Aimed Shot"</f>
        <v>Aimed Shot</v>
      </c>
      <c r="AW3" s="190" t="str">
        <f>"Fully-Charged Aimed Shot"</f>
        <v>Fully-Charged Aimed Shot</v>
      </c>
      <c r="AX3" s="190" t="str">
        <f>"Plunge DMG"</f>
        <v>Plunge DMG</v>
      </c>
      <c r="AY3" s="190" t="str">
        <f>"Low Plunge DMG"</f>
        <v>Low Plunge DMG</v>
      </c>
      <c r="AZ3" s="190" t="str">
        <f>"High Plunge DMG"</f>
        <v>High Plunge DMG</v>
      </c>
      <c r="BA3" s="190" t="str">
        <f>"Explosion DMG"</f>
        <v>Explosion DMG</v>
      </c>
      <c r="BB3" s="190" t="str">
        <f>"Fiery Rain DMG Per Wave"</f>
        <v>Fiery Rain DMG Per Wave</v>
      </c>
      <c r="BC3" s="190" t="str">
        <f>"1-Hit DMG"</f>
        <v>1-Hit DMG</v>
      </c>
      <c r="BD3" s="190" t="str">
        <f>"2-Hit DMG"</f>
        <v>2-Hit DMG</v>
      </c>
      <c r="BE3" s="190" t="str">
        <f>"3-Hit DMG"</f>
        <v>3-Hit DMG</v>
      </c>
      <c r="BF3" s="190" t="str">
        <f>"4-Hit DMG"</f>
        <v>4-Hit DMG</v>
      </c>
      <c r="BG3" s="190" t="str">
        <f>"5-Hit DMG"</f>
        <v>5-Hit DMG</v>
      </c>
      <c r="BH3" s="190" t="str">
        <f>"Charged Attack DMG (1/2) (Aether)"</f>
        <v>Charged Attack DMG (1/2) (Aether)</v>
      </c>
      <c r="BI3" s="190" t="str">
        <f>"Charged Attack DMG (2/2) (Aether)"</f>
        <v>Charged Attack DMG (2/2) (Aether)</v>
      </c>
      <c r="BJ3" s="190" t="str">
        <f>"Charged Attack DMG (1/2) (Lumine)"</f>
        <v>Charged Attack DMG (1/2) (Lumine)</v>
      </c>
      <c r="BK3" s="190" t="str">
        <f>"Charged Attack DMG (2/2) (Lumine)"</f>
        <v>Charged Attack DMG (2/2) (Lumine)</v>
      </c>
      <c r="BL3" s="190" t="str">
        <f>"Plunge DMG"</f>
        <v>Plunge DMG</v>
      </c>
      <c r="BM3" s="190" t="str">
        <f>"Low Plunge DMG"</f>
        <v>Low Plunge DMG</v>
      </c>
      <c r="BN3" s="190" t="str">
        <f>"High Plunge DMG"</f>
        <v>High Plunge DMG</v>
      </c>
      <c r="BO3" s="190" t="str">
        <f>"A1"</f>
        <v>A1</v>
      </c>
      <c r="BP3" s="190" t="str">
        <f>"Initial Cutting DMG"</f>
        <v>Initial Cutting DMG</v>
      </c>
      <c r="BQ3" s="190" t="str">
        <f>"Initial Cutting Absorbed"</f>
        <v>Initial Cutting Absorbed</v>
      </c>
      <c r="BR3" s="190" t="str">
        <f>"Max Cutting DMG"</f>
        <v>Max Cutting DMG</v>
      </c>
      <c r="BS3" s="190" t="str">
        <f>"Max Cutting Absorbed"</f>
        <v>Max Cutting Absorbed</v>
      </c>
      <c r="BT3" s="190" t="str">
        <f>"Initial Storm DMG"</f>
        <v>Initial Storm DMG</v>
      </c>
      <c r="BU3" s="190" t="str">
        <f>"Initial Storm Absorbed"</f>
        <v>Initial Storm Absorbed</v>
      </c>
      <c r="BV3" s="190" t="str">
        <f>"Max Storm DMG"</f>
        <v>Max Storm DMG</v>
      </c>
      <c r="BW3" s="190" t="str">
        <f>"Max Storm Absorbed"</f>
        <v>Max Storm Absorbed</v>
      </c>
      <c r="BX3" s="190" t="str">
        <f>"Tornado DMG"</f>
        <v>Tornado DMG</v>
      </c>
      <c r="BY3" s="190" t="str">
        <f>"Additional Elemental DMG"</f>
        <v>Additional Elemental DMG</v>
      </c>
      <c r="BZ3" s="190" t="str">
        <f>"1-Hit DMG"</f>
        <v>1-Hit DMG</v>
      </c>
      <c r="CA3" s="190" t="str">
        <f>"2-Hit DMG"</f>
        <v>2-Hit DMG</v>
      </c>
      <c r="CB3" s="190" t="str">
        <f>"3-Hit DMG"</f>
        <v>3-Hit DMG</v>
      </c>
      <c r="CC3" s="190" t="str">
        <f>"4-Hit DMG (*3)"</f>
        <v>4-Hit DMG (*3)</v>
      </c>
      <c r="CD3" s="190" t="str">
        <f>"5-Hit DMG"</f>
        <v>5-Hit DMG</v>
      </c>
      <c r="CE3" s="190" t="str">
        <f>"Charged Attack DMG (*3)"</f>
        <v>Charged Attack DMG (*3)</v>
      </c>
      <c r="CF3" s="190" t="str">
        <f>"Plunge DMG"</f>
        <v>Plunge DMG</v>
      </c>
      <c r="CG3" s="190" t="str">
        <f>"Low Plunge DMG"</f>
        <v>Low Plunge DMG</v>
      </c>
      <c r="CH3" s="190" t="str">
        <f>"High Plunge DMG"</f>
        <v>High Plunge DMG</v>
      </c>
      <c r="CI3" s="190" t="str">
        <f>"Skill DMG (Skill)"</f>
        <v>Skill DMG (Skill)</v>
      </c>
      <c r="CJ3" s="190" t="str">
        <f>"Cutting DMG"</f>
        <v>Cutting DMG</v>
      </c>
      <c r="CK3" s="190" t="str">
        <f>"Bloom DMG"</f>
        <v>Bloom DMG</v>
      </c>
      <c r="CL3" s="190" t="str">
        <f>"1-Hit DMG"</f>
        <v>1-Hit DMG</v>
      </c>
      <c r="CM3" s="190" t="str">
        <f>"2-Hit DMG"</f>
        <v>2-Hit DMG</v>
      </c>
      <c r="CN3" s="190" t="str">
        <f>"3-Hit DMG"</f>
        <v>3-Hit DMG</v>
      </c>
      <c r="CO3" s="190" t="str">
        <f>"4-Hit DMG (*2)"</f>
        <v>4-Hit DMG (*2)</v>
      </c>
      <c r="CP3" s="190" t="str">
        <f>"5-Hit DMG"</f>
        <v>5-Hit DMG</v>
      </c>
      <c r="CQ3" s="190" t="str">
        <f>"Charged Attack DMG"</f>
        <v>Charged Attack DMG</v>
      </c>
      <c r="CR3" s="190" t="str">
        <f>"Plunge DMG"</f>
        <v>Plunge DMG</v>
      </c>
      <c r="CS3" s="190" t="str">
        <f>"Low Plunge DMG"</f>
        <v>Low Plunge DMG</v>
      </c>
      <c r="CT3" s="190" t="str">
        <f>"High Plunge DMG"</f>
        <v>High Plunge DMG</v>
      </c>
      <c r="CU3" s="190" t="str">
        <f>"Shunsuiken 1-Hit DMG"</f>
        <v>Shunsuiken 1-Hit DMG</v>
      </c>
      <c r="CV3" s="190" t="str">
        <f>"Shunsuiken 2-Hit DMG"</f>
        <v>Shunsuiken 2-Hit DMG</v>
      </c>
      <c r="CW3" s="190" t="str">
        <f>"Shunsuiken 3-Hit DMG"</f>
        <v>Shunsuiken 3-Hit DMG</v>
      </c>
      <c r="CX3" s="190" t="str">
        <f>"Water Illusion DMG"</f>
        <v>Water Illusion DMG</v>
      </c>
      <c r="CY3" s="190" t="str">
        <f>"Bloomwater Blade DMG"</f>
        <v>Bloomwater Blade DMG</v>
      </c>
      <c r="CZ3" s="190" t="str">
        <f>"1-Hit DMG"</f>
        <v>1-Hit DMG</v>
      </c>
      <c r="DA3" s="190" t="str">
        <f>"2-Hit DMG"</f>
        <v>2-Hit DMG</v>
      </c>
      <c r="DB3" s="190" t="str">
        <f>"3-Hit DMG"</f>
        <v>3-Hit DMG</v>
      </c>
      <c r="DC3" s="190" t="str">
        <f>"4-Hit DMG"</f>
        <v>4-Hit DMG</v>
      </c>
      <c r="DD3" s="190" t="str">
        <f>"Charged Attack DMG"</f>
        <v>Charged Attack DMG</v>
      </c>
      <c r="DE3" s="190" t="str">
        <f>"Plunge DMG"</f>
        <v>Plunge DMG</v>
      </c>
      <c r="DF3" s="190" t="str">
        <f>"Low Plunge DMG"</f>
        <v>Low Plunge DMG</v>
      </c>
      <c r="DG3" s="190" t="str">
        <f>"High Plunge DMG"</f>
        <v>High Plunge DMG</v>
      </c>
      <c r="DH3" s="190" t="str">
        <f>"Droplet DMG"</f>
        <v>Droplet DMG</v>
      </c>
      <c r="DI3" s="190" t="str">
        <f>"1-Hit DMG"</f>
        <v>1-Hit DMG</v>
      </c>
      <c r="DJ3" s="190" t="str">
        <f>"2-Hit DMG"</f>
        <v>2-Hit DMG</v>
      </c>
      <c r="DK3" s="190" t="str">
        <f>"3-Hit DMG"</f>
        <v>3-Hit DMG</v>
      </c>
      <c r="DL3" s="190" t="str">
        <f>"4-Hit DMG"</f>
        <v>4-Hit DMG</v>
      </c>
      <c r="DM3" s="190" t="str">
        <f>"5-Hit DMG"</f>
        <v>5-Hit DMG</v>
      </c>
      <c r="DN3" s="190" t="str">
        <f>"Charged Attack Spinning DMG"</f>
        <v>Charged Attack Spinning DMG</v>
      </c>
      <c r="DO3" s="190" t="str">
        <f>"Charged Attack Final DMG"</f>
        <v>Charged Attack Final DMG</v>
      </c>
      <c r="DP3" s="190" t="str">
        <f>"Plunge DMG"</f>
        <v>Plunge DMG</v>
      </c>
      <c r="DQ3" s="190" t="str">
        <f>"Low Plunge DMG"</f>
        <v>Low Plunge DMG</v>
      </c>
      <c r="DR3" s="190" t="str">
        <f>"High Plunge DMG"</f>
        <v>High Plunge DMG</v>
      </c>
      <c r="DS3" s="190" t="str">
        <f>"Skill DMG (0 Stack) (Skill)"</f>
        <v>Skill DMG (0 Stack) (Skill)</v>
      </c>
      <c r="DT3" s="190" t="str">
        <f>"Skill DMG (1 Stack) (Skill)"</f>
        <v>Skill DMG (1 Stack) (Skill)</v>
      </c>
      <c r="DU3" s="190" t="str">
        <f>"Skill DMG (2 Stack) (Skill)"</f>
        <v>Skill DMG (2 Stack) (Skill)</v>
      </c>
      <c r="DV3" s="190" t="str">
        <f>"Skill DMG (Burst)"</f>
        <v>Skill DMG (Burst)</v>
      </c>
      <c r="DW3" s="190" t="str">
        <f>"Lightning DMG"</f>
        <v>Lightning DMG</v>
      </c>
      <c r="DX3" s="190" t="str">
        <f>"1-Hit DMG"</f>
        <v>1-Hit DMG</v>
      </c>
      <c r="DY3" s="190" t="str">
        <f>"2-Hit DMG"</f>
        <v>2-Hit DMG</v>
      </c>
      <c r="DZ3" s="190" t="str">
        <f>"3-Hit DMG"</f>
        <v>3-Hit DMG</v>
      </c>
      <c r="EA3" s="190" t="str">
        <f>"4-Hit DMG"</f>
        <v>4-Hit DMG</v>
      </c>
      <c r="EB3" s="190" t="str">
        <f>"5-Hit DMG"</f>
        <v>5-Hit DMG</v>
      </c>
      <c r="EC3" s="190" t="str">
        <f>"Charged Attack DMG (1/2)"</f>
        <v>Charged Attack DMG (1/2)</v>
      </c>
      <c r="ED3" s="190" t="str">
        <f>"Charged Attack DMG (2/2)"</f>
        <v>Charged Attack DMG (2/2)</v>
      </c>
      <c r="EE3" s="190" t="str">
        <f>"Plunge DMG"</f>
        <v>Plunge DMG</v>
      </c>
      <c r="EF3" s="190" t="str">
        <f>"Low Plunge DMG"</f>
        <v>Low Plunge DMG</v>
      </c>
      <c r="EG3" s="190" t="str">
        <f>"High Plunge DMG"</f>
        <v>High Plunge DMG</v>
      </c>
      <c r="EH3" s="190" t="str">
        <f>"Press DMG"</f>
        <v>Press DMG</v>
      </c>
      <c r="EI3" s="190" t="str">
        <f>"Charge Level 1 DMG (1/2)"</f>
        <v>Charge Level 1 DMG (1/2)</v>
      </c>
      <c r="EJ3" s="190" t="str">
        <f>"Charge Level 1 DMG (2/2)"</f>
        <v>Charge Level 1 DMG (2/2)</v>
      </c>
      <c r="EK3" s="190" t="str">
        <f>"Charge Level 2 DMG (1/2)"</f>
        <v>Charge Level 2 DMG (1/2)</v>
      </c>
      <c r="EL3" s="190" t="str">
        <f>"Charge Level 2 DMG (2/2)"</f>
        <v>Charge Level 2 DMG (2/2)</v>
      </c>
      <c r="EM3" s="190" t="str">
        <f>"Explosion DMG"</f>
        <v>Explosion DMG</v>
      </c>
      <c r="EN3" s="190" t="str">
        <f>"Skill DMG (Burst)"</f>
        <v>Skill DMG (Burst)</v>
      </c>
      <c r="EO3" s="190" t="str">
        <f>"1-Hit DMG"</f>
        <v>1-Hit DMG</v>
      </c>
      <c r="EP3" s="190" t="str">
        <f>"2-Hit DMG"</f>
        <v>2-Hit DMG</v>
      </c>
      <c r="EQ3" s="190" t="str">
        <f>"3-Hit DMG"</f>
        <v>3-Hit DMG</v>
      </c>
      <c r="ER3" s="190" t="str">
        <f>"4-Hit DMG"</f>
        <v>4-Hit DMG</v>
      </c>
      <c r="ES3" s="190" t="str">
        <f>"Charged Attack Spinning DMG"</f>
        <v>Charged Attack Spinning DMG</v>
      </c>
      <c r="ET3" s="190" t="str">
        <f>"Charged Attack Final DMG"</f>
        <v>Charged Attack Final DMG</v>
      </c>
      <c r="EU3" s="190" t="str">
        <f>"Plunge DMG"</f>
        <v>Plunge DMG</v>
      </c>
      <c r="EV3" s="190" t="str">
        <f>"Low Plunge DMG"</f>
        <v>Low Plunge DMG</v>
      </c>
      <c r="EW3" s="190" t="str">
        <f>"High Plunge DMG"</f>
        <v>High Plunge DMG</v>
      </c>
      <c r="EX3" s="190" t="str">
        <f>"Skill DMG (Skill)"</f>
        <v>Skill DMG (Skill)</v>
      </c>
      <c r="EY3" s="190" t="str">
        <f>"Skill DMG (Burst)"</f>
        <v>Skill DMG (Burst)</v>
      </c>
      <c r="EZ3" s="190" t="str">
        <f>"1-Hit DMG"</f>
        <v>1-Hit DMG</v>
      </c>
      <c r="FA3" s="190" t="str">
        <f>"2-Hit DMG"</f>
        <v>2-Hit DMG</v>
      </c>
      <c r="FB3" s="190" t="str">
        <f>"3-Hit DMG"</f>
        <v>3-Hit DMG</v>
      </c>
      <c r="FC3" s="190" t="str">
        <f>"4-Hit DMG"</f>
        <v>4-Hit DMG</v>
      </c>
      <c r="FD3" s="190" t="str">
        <f>"Aimed Shot"</f>
        <v>Aimed Shot</v>
      </c>
      <c r="FE3" s="190" t="str">
        <f>"Fully-Charged Aimed Shot"</f>
        <v>Fully-Charged Aimed Shot</v>
      </c>
      <c r="FF3" s="190" t="str">
        <f>"Plunge DMG"</f>
        <v>Plunge DMG</v>
      </c>
      <c r="FG3" s="190" t="str">
        <f>"Low Plunge DMG"</f>
        <v>Low Plunge DMG</v>
      </c>
      <c r="FH3" s="190" t="str">
        <f>"High Plunge DMG"</f>
        <v>High Plunge DMG</v>
      </c>
      <c r="FI3" s="190" t="str">
        <f>"Skill DMG (Skill)"</f>
        <v>Skill DMG (Skill)</v>
      </c>
      <c r="FJ3" s="190" t="str">
        <f>"Sprout"</f>
        <v>Sprout</v>
      </c>
      <c r="FK3" s="190" t="str">
        <f>"Explosion DMG"</f>
        <v>Explosion DMG</v>
      </c>
      <c r="FL3" s="190" t="str">
        <f>"Leap DMG"</f>
        <v>Leap DMG</v>
      </c>
      <c r="FM3" s="190" t="str">
        <f>"1-Hit DMG"</f>
        <v>1-Hit DMG</v>
      </c>
      <c r="FN3" s="190" t="str">
        <f>"2-Hit DMG"</f>
        <v>2-Hit DMG</v>
      </c>
      <c r="FO3" s="190" t="str">
        <f>"3-Hit DMG"</f>
        <v>3-Hit DMG</v>
      </c>
      <c r="FP3" s="190" t="str">
        <f>"4-Hit DMG"</f>
        <v>4-Hit DMG</v>
      </c>
      <c r="FQ3" s="190" t="str">
        <f>"Charged Attack Spinning DMG"</f>
        <v>Charged Attack Spinning DMG</v>
      </c>
      <c r="FR3" s="190" t="str">
        <f>"Charged Attack Final DMG"</f>
        <v>Charged Attack Final DMG</v>
      </c>
      <c r="FS3" s="190" t="str">
        <f>"Plunge DMG"</f>
        <v>Plunge DMG</v>
      </c>
      <c r="FT3" s="190" t="str">
        <f>"Low Plunge DMG"</f>
        <v>Low Plunge DMG</v>
      </c>
      <c r="FU3" s="190" t="str">
        <f>"High Plunge DMG"</f>
        <v>High Plunge DMG</v>
      </c>
      <c r="FV3" s="190" t="str">
        <f>"1-Hit DMG (Skill)"</f>
        <v>1-Hit DMG (Skill)</v>
      </c>
      <c r="FW3" s="190" t="str">
        <f>"2-Hit DMG (Skill)"</f>
        <v>2-Hit DMG (Skill)</v>
      </c>
      <c r="FX3" s="190" t="str">
        <f>"3-Hit DMG (Skill)"</f>
        <v>3-Hit DMG (Skill)</v>
      </c>
      <c r="FY3" s="190" t="str">
        <f>"Slashing DMG"</f>
        <v>Slashing DMG</v>
      </c>
      <c r="FZ3" s="190" t="str">
        <f>"DoT"</f>
        <v>DoT</v>
      </c>
      <c r="GA3" s="190" t="str">
        <f>"Explosion DMG"</f>
        <v>Explosion DMG</v>
      </c>
      <c r="GB3" s="190" t="str">
        <f>"1-Hit DMG"</f>
        <v>1-Hit DMG</v>
      </c>
      <c r="GC3" s="190" t="str">
        <f>"2-Hit DMG"</f>
        <v>2-Hit DMG</v>
      </c>
      <c r="GD3" s="190" t="str">
        <f>"3-Hit DMG"</f>
        <v>3-Hit DMG</v>
      </c>
      <c r="GE3" s="190" t="str">
        <f>"4-Hit DMG"</f>
        <v>4-Hit DMG</v>
      </c>
      <c r="GF3" s="190" t="str">
        <f>"5-Hit DMG"</f>
        <v>5-Hit DMG</v>
      </c>
      <c r="GG3" s="190" t="str">
        <f>"Aimed Shot"</f>
        <v>Aimed Shot</v>
      </c>
      <c r="GH3" s="190" t="str">
        <f>"Fully-Charged Aimed Shot"</f>
        <v>Fully-Charged Aimed Shot</v>
      </c>
      <c r="GI3" s="190" t="str">
        <f>"Plunge DMG"</f>
        <v>Plunge DMG</v>
      </c>
      <c r="GJ3" s="190" t="str">
        <f>"Low Plunge DMG"</f>
        <v>Low Plunge DMG</v>
      </c>
      <c r="GK3" s="190" t="str">
        <f>"High Plunge DMG"</f>
        <v>High Plunge DMG</v>
      </c>
      <c r="GL3" s="190" t="str">
        <f>"Icy Paw DMG"</f>
        <v>Icy Paw DMG</v>
      </c>
      <c r="GM3" s="190" t="str">
        <f>"Skill DMG"</f>
        <v>Skill DMG</v>
      </c>
      <c r="GN3" s="190" t="str">
        <f>"Continuous Field DMG"</f>
        <v>Continuous Field DMG</v>
      </c>
      <c r="GO3" s="190" t="str">
        <f>"1-Hit DMG"</f>
        <v>1-Hit DMG</v>
      </c>
      <c r="GP3" s="190" t="str">
        <f>"2-Hit DMG"</f>
        <v>2-Hit DMG</v>
      </c>
      <c r="GQ3" s="190" t="str">
        <f>"3-Hit DMG"</f>
        <v>3-Hit DMG</v>
      </c>
      <c r="GR3" s="190" t="str">
        <f>"4-Hit DMG"</f>
        <v>4-Hit DMG</v>
      </c>
      <c r="GS3" s="190" t="str">
        <f>"5-Hit DMG"</f>
        <v>5-Hit DMG</v>
      </c>
      <c r="GT3" s="190" t="str">
        <f>"Charged Attack DMG (1/2) (Aether)"</f>
        <v>Charged Attack DMG (1/2) (Aether)</v>
      </c>
      <c r="GU3" s="190" t="str">
        <f>"Charged Attack DMG (2/2) (Aether)"</f>
        <v>Charged Attack DMG (2/2) (Aether)</v>
      </c>
      <c r="GV3" s="190" t="str">
        <f>"Charged Attack DMG (1/2) (Lumine)"</f>
        <v>Charged Attack DMG (1/2) (Lumine)</v>
      </c>
      <c r="GW3" s="190" t="str">
        <f>"Charged Attack DMG (2/2) (Lumine)"</f>
        <v>Charged Attack DMG (2/2) (Lumine)</v>
      </c>
      <c r="GX3" s="190" t="str">
        <f>"Plunge DMG"</f>
        <v>Plunge DMG</v>
      </c>
      <c r="GY3" s="190" t="str">
        <f>"Low Plunge DMG"</f>
        <v>Low Plunge DMG</v>
      </c>
      <c r="GZ3" s="190" t="str">
        <f>"High Plunge DMG"</f>
        <v>High Plunge DMG</v>
      </c>
      <c r="HA3" s="190" t="str">
        <f>"Skill DMG (Skill)"</f>
        <v>Skill DMG (Skill)</v>
      </c>
      <c r="HB3" s="190" t="str">
        <f>"Lea Lotus Lamp Attack DMG"</f>
        <v>Lea Lotus Lamp Attack DMG</v>
      </c>
      <c r="HC3" s="190" t="str">
        <f>"Explosion DMG"</f>
        <v>Explosion DMG</v>
      </c>
      <c r="HD3" s="190" t="str">
        <f>"1-Hit DMG"</f>
        <v>1-Hit DMG</v>
      </c>
      <c r="HE3" s="190" t="str">
        <f>"2-Hit DMG (1/2)"</f>
        <v>2-Hit DMG (1/2)</v>
      </c>
      <c r="HF3" s="190" t="str">
        <f>"2-Hit DMG (2/2)"</f>
        <v>2-Hit DMG (2/2)</v>
      </c>
      <c r="HG3" s="190" t="str">
        <f>"3-Hit DMG"</f>
        <v>3-Hit DMG</v>
      </c>
      <c r="HH3" s="190" t="str">
        <f>"Charged Attack Spinning DMG"</f>
        <v>Charged Attack Spinning DMG</v>
      </c>
      <c r="HI3" s="190" t="str">
        <f>"Charged Attack Final DMG"</f>
        <v>Charged Attack Final DMG</v>
      </c>
      <c r="HJ3" s="190" t="str">
        <f>"Plunge DMG"</f>
        <v>Plunge DMG</v>
      </c>
      <c r="HK3" s="190" t="str">
        <f>"Low Plunge DMG"</f>
        <v>Low Plunge DMG</v>
      </c>
      <c r="HL3" s="190" t="str">
        <f>"High Plunge DMG"</f>
        <v>High Plunge DMG</v>
      </c>
      <c r="HM3" s="190" t="str">
        <f>"Troubleshooter Shot DMG"</f>
        <v>Troubleshooter Shot DMG</v>
      </c>
      <c r="HN3" s="190" t="str">
        <f>"After-Sales Service Round DMG"</f>
        <v>After-Sales Service Round DMG</v>
      </c>
      <c r="HO3" s="190" t="str">
        <f>"Connector DMG"</f>
        <v>Connector DMG</v>
      </c>
      <c r="HP3" s="190" t="str">
        <f>"1-Hit DMG"</f>
        <v>1-Hit DMG</v>
      </c>
      <c r="HQ3" s="190" t="str">
        <f>"2-Hit DMG"</f>
        <v>2-Hit DMG</v>
      </c>
      <c r="HR3" s="190" t="str">
        <f>"3-Hit DMG"</f>
        <v>3-Hit DMG</v>
      </c>
      <c r="HS3" s="190" t="str">
        <f>"4-Hit DMG"</f>
        <v>4-Hit DMG</v>
      </c>
      <c r="HT3" s="190" t="str">
        <f>"5-Hit DMG"</f>
        <v>5-Hit DMG</v>
      </c>
      <c r="HU3" s="190" t="str">
        <f>"Charged Attack DMG (1/2) (Aether)"</f>
        <v>Charged Attack DMG (1/2) (Aether)</v>
      </c>
      <c r="HV3" s="190" t="str">
        <f>"Charged Attack DMG (2/2) (Aether)"</f>
        <v>Charged Attack DMG (2/2) (Aether)</v>
      </c>
      <c r="HW3" s="190" t="str">
        <f>"Charged Attack DMG (1/2) (Lumine)"</f>
        <v>Charged Attack DMG (1/2) (Lumine)</v>
      </c>
      <c r="HX3" s="190" t="str">
        <f>"Charged Attack DMG (2/2) (Lumine)"</f>
        <v>Charged Attack DMG (2/2) (Lumine)</v>
      </c>
      <c r="HY3" s="190" t="str">
        <f>"Plunge DMG"</f>
        <v>Plunge DMG</v>
      </c>
      <c r="HZ3" s="190" t="str">
        <f>"Low Plunge DMG"</f>
        <v>Low Plunge DMG</v>
      </c>
      <c r="IA3" s="190" t="str">
        <f>"High Plunge DMG"</f>
        <v>High Plunge DMG</v>
      </c>
      <c r="IB3" s="190" t="str">
        <f>"Skill DMG (Skill)"</f>
        <v>Skill DMG (Skill)</v>
      </c>
      <c r="IC3" s="190" t="str">
        <f>"Skill DMG (Burst)"</f>
        <v>Skill DMG (Burst)</v>
      </c>
      <c r="ID3" s="190" t="str">
        <f>"Falling Thunder DMG"</f>
        <v>Falling Thunder DMG</v>
      </c>
      <c r="IE3" s="190" t="str">
        <f>"1-Hit DMG"</f>
        <v>1-Hit DMG</v>
      </c>
      <c r="IF3" s="190" t="str">
        <f>"2-Hit DMG"</f>
        <v>2-Hit DMG</v>
      </c>
      <c r="IG3" s="190" t="str">
        <f>"3-Hit DMG (*2)"</f>
        <v>3-Hit DMG (*2)</v>
      </c>
      <c r="IH3" s="190" t="str">
        <f>"4-Hit DMG"</f>
        <v>4-Hit DMG</v>
      </c>
      <c r="II3" s="190" t="str">
        <f>"5-Hit DMG (*2)"</f>
        <v>5-Hit DMG (*2)</v>
      </c>
      <c r="IJ3" s="190" t="str">
        <f>"Charged Attack Spinning DMG"</f>
        <v>Charged Attack Spinning DMG</v>
      </c>
      <c r="IK3" s="190" t="str">
        <f>"Charged Attack Final DMG"</f>
        <v>Charged Attack Final DMG</v>
      </c>
      <c r="IL3" s="190" t="str">
        <f>"Plunge DMG"</f>
        <v>Plunge DMG</v>
      </c>
      <c r="IM3" s="190" t="str">
        <f>"Low Plunge DMG"</f>
        <v>Low Plunge DMG</v>
      </c>
      <c r="IN3" s="190" t="str">
        <f>"High Plunge DMG"</f>
        <v>High Plunge DMG</v>
      </c>
      <c r="IO3" s="190" t="str">
        <f>"Press DMG"</f>
        <v>Press DMG</v>
      </c>
      <c r="IP3" s="190" t="str">
        <f>"Hold DMG"</f>
        <v>Hold DMG</v>
      </c>
      <c r="IQ3" s="190" t="str">
        <f>"Icewhirl Brand DMG"</f>
        <v>Icewhirl Brand DMG</v>
      </c>
      <c r="IR3" s="190" t="str">
        <f>"Skill DMG (Burst)"</f>
        <v>Skill DMG (Burst)</v>
      </c>
      <c r="IS3" s="190" t="str">
        <f>"Lightfall Sword DMG"</f>
        <v>Lightfall Sword DMG</v>
      </c>
      <c r="IT3" s="191" t="str">
        <f>"Roiling Rime (A1)"</f>
        <v>Roiling Rime (A1)</v>
      </c>
      <c r="IU3" s="190" t="str">
        <f>"1-Hit DMG"</f>
        <v>1-Hit DMG</v>
      </c>
      <c r="IV3" s="190" t="str">
        <f>"2-Hit DMG"</f>
        <v>2-Hit DMG</v>
      </c>
      <c r="IW3" s="190" t="str">
        <f>"3-Hit DMG"</f>
        <v>3-Hit DMG</v>
      </c>
      <c r="IX3" s="190" t="str">
        <f>"4-Hit DMG"</f>
        <v>4-Hit DMG</v>
      </c>
      <c r="IY3" s="190" t="str">
        <f>"5-Hit DMG"</f>
        <v>5-Hit DMG</v>
      </c>
      <c r="IZ3" s="190" t="str">
        <f>"Aimed Shot"</f>
        <v>Aimed Shot</v>
      </c>
      <c r="JA3" s="190" t="str">
        <f>"Fully-Charged Aimed Shot"</f>
        <v>Fully-Charged Aimed Shot</v>
      </c>
      <c r="JB3" s="190" t="str">
        <f>"Plunge DMG"</f>
        <v>Plunge DMG</v>
      </c>
      <c r="JC3" s="190" t="str">
        <f>"Low Plunge DMG"</f>
        <v>Low Plunge DMG</v>
      </c>
      <c r="JD3" s="190" t="str">
        <f>"High Plunge DMG"</f>
        <v>High Plunge DMG</v>
      </c>
      <c r="JE3" s="190" t="str">
        <f>"Oz's ATK DMG"</f>
        <v>Oz's ATK DMG</v>
      </c>
      <c r="JF3" s="190" t="str">
        <f>"Summoning DMG"</f>
        <v>Summoning DMG</v>
      </c>
      <c r="JG3" s="190" t="str">
        <f>"A4"</f>
        <v>A4</v>
      </c>
      <c r="JH3" s="190" t="str">
        <f>"Falling Thunder DMG"</f>
        <v>Falling Thunder DMG</v>
      </c>
      <c r="JI3" s="190" t="str">
        <f>"1-Hit DMG"</f>
        <v>1-Hit DMG</v>
      </c>
      <c r="JJ3" s="190" t="str">
        <f>"2-Hit DMG"</f>
        <v>2-Hit DMG</v>
      </c>
      <c r="JK3" s="190" t="str">
        <f>"3-Hit DMG"</f>
        <v>3-Hit DMG</v>
      </c>
      <c r="JL3" s="190" t="str">
        <f>"4-Hit DMG"</f>
        <v>4-Hit DMG</v>
      </c>
      <c r="JM3" s="190" t="str">
        <f>"5-Hit DMG"</f>
        <v>5-Hit DMG</v>
      </c>
      <c r="JN3" s="190" t="str">
        <f>"6-Hit DMG"</f>
        <v>6-Hit DMG</v>
      </c>
      <c r="JO3" s="190" t="str">
        <f>"Aimed Shot"</f>
        <v>Aimed Shot</v>
      </c>
      <c r="JP3" s="190" t="str">
        <f>"Aimed Shot Charge Level 1"</f>
        <v>Aimed Shot Charge Level 1</v>
      </c>
      <c r="JQ3" s="190" t="str">
        <f>"Frostflake Arrow DMG"</f>
        <v>Frostflake Arrow DMG</v>
      </c>
      <c r="JR3" s="190" t="str">
        <f>"Frostflake Arrow Bloom DMG"</f>
        <v>Frostflake Arrow Bloom DMG</v>
      </c>
      <c r="JS3" s="190" t="str">
        <f>"Plunge DMG"</f>
        <v>Plunge DMG</v>
      </c>
      <c r="JT3" s="190" t="str">
        <f>"Low Plunge DMG"</f>
        <v>Low Plunge DMG</v>
      </c>
      <c r="JU3" s="190" t="str">
        <f>"High Plunge DMG"</f>
        <v>High Plunge DMG</v>
      </c>
      <c r="JV3" s="190" t="str">
        <f>"Skill DMG (Skill)"</f>
        <v>Skill DMG (Skill)</v>
      </c>
      <c r="JW3" s="190" t="str">
        <f>"Ice Shard DMG"</f>
        <v>Ice Shard DMG</v>
      </c>
      <c r="JX3" s="190" t="str">
        <f>"1-Hit DMG"</f>
        <v>1-Hit DMG</v>
      </c>
      <c r="JY3" s="190" t="str">
        <f>"2-Hit DMG"</f>
        <v>2-Hit DMG</v>
      </c>
      <c r="JZ3" s="190" t="str">
        <f>"3-Hit DMG"</f>
        <v>3-Hit DMG</v>
      </c>
      <c r="KA3" s="190" t="str">
        <f>"4-Hit DMG"</f>
        <v>4-Hit DMG</v>
      </c>
      <c r="KB3" s="190" t="str">
        <f>"5-Hit DMG"</f>
        <v>5-Hit DMG</v>
      </c>
      <c r="KC3" s="190" t="str">
        <f>"Charged Attack DMG (1/2) (Aether)"</f>
        <v>Charged Attack DMG (1/2) (Aether)</v>
      </c>
      <c r="KD3" s="190" t="str">
        <f>"Charged Attack DMG (2/2) (Aether)"</f>
        <v>Charged Attack DMG (2/2) (Aether)</v>
      </c>
      <c r="KE3" s="190" t="str">
        <f>"Charged Attack DMG (1/2) (Lumine)"</f>
        <v>Charged Attack DMG (1/2) (Lumine)</v>
      </c>
      <c r="KF3" s="190" t="str">
        <f>"Charged Attack DMG (2/2) (Lumine)"</f>
        <v>Charged Attack DMG (2/2) (Lumine)</v>
      </c>
      <c r="KG3" s="190" t="str">
        <f>"Plunge DMG"</f>
        <v>Plunge DMG</v>
      </c>
      <c r="KH3" s="190" t="str">
        <f>"Low Plunge DMG"</f>
        <v>Low Plunge DMG</v>
      </c>
      <c r="KI3" s="190" t="str">
        <f>"High Plunge DMG"</f>
        <v>High Plunge DMG</v>
      </c>
      <c r="KJ3" s="190" t="str">
        <f>"A4"</f>
        <v>A4</v>
      </c>
      <c r="KK3" s="190" t="str">
        <f>"Skill DMG (Skill)"</f>
        <v>Skill DMG (Skill)</v>
      </c>
      <c r="KL3" s="190" t="str">
        <f>"DMG Per Shockwave"</f>
        <v>DMG Per Shockwave</v>
      </c>
      <c r="KM3" s="190" t="str">
        <f>"1-Hit DMG"</f>
        <v>1-Hit DMG</v>
      </c>
      <c r="KN3" s="190" t="str">
        <f>"2-Hit DMG"</f>
        <v>2-Hit DMG</v>
      </c>
      <c r="KO3" s="190" t="str">
        <f>"3-Hit DMG"</f>
        <v>3-Hit DMG</v>
      </c>
      <c r="KP3" s="190" t="str">
        <f>"4-Hit DMG"</f>
        <v>4-Hit DMG</v>
      </c>
      <c r="KQ3" s="190" t="str">
        <f>"Aimed Shot"</f>
        <v>Aimed Shot</v>
      </c>
      <c r="KR3" s="190" t="str">
        <f>"Fully-Charged Aimed Shot"</f>
        <v>Fully-Charged Aimed Shot</v>
      </c>
      <c r="KS3" s="190" t="str">
        <f>"Plunge DMG"</f>
        <v>Plunge DMG</v>
      </c>
      <c r="KT3" s="190" t="str">
        <f>"Low Plunge DMG"</f>
        <v>Low Plunge DMG</v>
      </c>
      <c r="KU3" s="190" t="str">
        <f>"High Plunge DMG"</f>
        <v>High Plunge DMG</v>
      </c>
      <c r="KV3" s="190" t="str">
        <f>"Skill DMG (Skill)"</f>
        <v>Skill DMG (Skill)</v>
      </c>
      <c r="KW3" s="190" t="str">
        <f>"Skill DMG (Burst)"</f>
        <v>Skill DMG (Burst)</v>
      </c>
      <c r="KX3" s="190" t="str">
        <f>"Crystal Collapse DMG"</f>
        <v>Crystal Collapse DMG</v>
      </c>
      <c r="KY3" s="190" t="str">
        <f>"1-Hit DMG"</f>
        <v>1-Hit DMG</v>
      </c>
      <c r="KZ3" s="190" t="str">
        <f>"2-Hit DMG"</f>
        <v>2-Hit DMG</v>
      </c>
      <c r="LA3" s="190" t="str">
        <f>"3-Hit DMG"</f>
        <v>3-Hit DMG</v>
      </c>
      <c r="LB3" s="190" t="str">
        <f>"4-Hit DMG (1/3)"</f>
        <v>4-Hit DMG (1/3)</v>
      </c>
      <c r="LC3" s="190" t="str">
        <f>"4-Hit DMG (2/3)"</f>
        <v>4-Hit DMG (2/3)</v>
      </c>
      <c r="LD3" s="190" t="str">
        <f>"4-Hit DMG (3/3)"</f>
        <v>4-Hit DMG (3/3)</v>
      </c>
      <c r="LE3" s="190" t="str">
        <f>"5-Hit DMG"</f>
        <v>5-Hit DMG</v>
      </c>
      <c r="LF3" s="190" t="str">
        <f>"Charged Attack DMG"</f>
        <v>Charged Attack DMG</v>
      </c>
      <c r="LG3" s="190" t="str">
        <f>"Plunge DMG"</f>
        <v>Plunge DMG</v>
      </c>
      <c r="LH3" s="190" t="str">
        <f>"Low Plunge DMG"</f>
        <v>Low Plunge DMG</v>
      </c>
      <c r="LI3" s="190" t="str">
        <f>"High Plunge DMG"</f>
        <v>High Plunge DMG</v>
      </c>
      <c r="LJ3" s="190" t="str">
        <f>"Skill DMG (0 Stack) (Skill)"</f>
        <v>Skill DMG (0 Stack) (Skill)</v>
      </c>
      <c r="LK3" s="190" t="str">
        <f>"Skill DMG (1 Stack) (Skill)"</f>
        <v>Skill DMG (1 Stack) (Skill)</v>
      </c>
      <c r="LL3" s="190" t="str">
        <f>"Skill DMG (2 Stack) (Skill)"</f>
        <v>Skill DMG (2 Stack) (Skill)</v>
      </c>
      <c r="LM3" s="190" t="str">
        <f>"Skill DMG (3 Stack) (Skill)"</f>
        <v>Skill DMG (3 Stack) (Skill)</v>
      </c>
      <c r="LN3" s="190" t="str">
        <f>"Skill DMG (4 Stack) (Skill)"</f>
        <v>Skill DMG (4 Stack) (Skill)</v>
      </c>
      <c r="LO3" s="190" t="str">
        <f>"Fudou Style Vacuum Slugger DMG"</f>
        <v>Fudou Style Vacuum Slugger DMG</v>
      </c>
      <c r="LP3" s="190" t="str">
        <f>"Windmuster Iris DMG"</f>
        <v>Windmuster Iris DMG</v>
      </c>
      <c r="LQ3" s="190" t="str">
        <f>"1-Hit DMG"</f>
        <v>1-Hit DMG</v>
      </c>
      <c r="LR3" s="190" t="str">
        <f>"2-Hit DMG"</f>
        <v>2-Hit DMG</v>
      </c>
      <c r="LS3" s="190" t="str">
        <f>"3-Hit DMG"</f>
        <v>3-Hit DMG</v>
      </c>
      <c r="LT3" s="190" t="str">
        <f>"4-Hit DMG"</f>
        <v>4-Hit DMG</v>
      </c>
      <c r="LU3" s="190" t="str">
        <f>"Arataki Kesagiri Combo Slash DMG"</f>
        <v>Arataki Kesagiri Combo Slash DMG</v>
      </c>
      <c r="LV3" s="190" t="str">
        <f>"Arataki Kesagiri Finisher Slash DMG"</f>
        <v>Arataki Kesagiri Finisher Slash DMG</v>
      </c>
      <c r="LW3" s="190" t="str">
        <f>"Saichimonji Slash DMG"</f>
        <v>Saichimonji Slash DMG</v>
      </c>
      <c r="LX3" s="190" t="str">
        <f>"Plunge DMG"</f>
        <v>Plunge DMG</v>
      </c>
      <c r="LY3" s="190" t="str">
        <f>"Low Plunge DMG"</f>
        <v>Low Plunge DMG</v>
      </c>
      <c r="LZ3" s="190" t="str">
        <f>"High Plunge DMG"</f>
        <v>High Plunge DMG</v>
      </c>
      <c r="MA3" s="190" t="str">
        <f>"Skill DMG (Skill)"</f>
        <v>Skill DMG (Skill)</v>
      </c>
      <c r="MB3" s="190" t="str">
        <f>"1-Hit DMG"</f>
        <v>1-Hit DMG</v>
      </c>
      <c r="MC3" s="190" t="str">
        <f>"2-Hit DMG"</f>
        <v>2-Hit DMG</v>
      </c>
      <c r="MD3" s="190" t="str">
        <f>"3-Hit DMG"</f>
        <v>3-Hit DMG</v>
      </c>
      <c r="ME3" s="190" t="str">
        <f>"4-Hit DMG"</f>
        <v>4-Hit DMG</v>
      </c>
      <c r="MF3" s="190" t="str">
        <f>"5-Hit DMG"</f>
        <v>5-Hit DMG</v>
      </c>
      <c r="MG3" s="190" t="str">
        <f>"Charged Attack DMG"</f>
        <v>Charged Attack DMG</v>
      </c>
      <c r="MH3" s="190" t="str">
        <f>"Plunge DMG"</f>
        <v>Plunge DMG</v>
      </c>
      <c r="MI3" s="190" t="str">
        <f>"Low Plunge DMG"</f>
        <v>Low Plunge DMG</v>
      </c>
      <c r="MJ3" s="190" t="str">
        <f>"High Plunge DMG"</f>
        <v>High Plunge DMG</v>
      </c>
      <c r="MK3" s="190" t="str">
        <f>"Skill DMG (Skill)"</f>
        <v>Skill DMG (Skill)</v>
      </c>
      <c r="ML3" s="190" t="str">
        <f>"Elemental Burst DMG"</f>
        <v>Elemental Burst DMG</v>
      </c>
      <c r="MM3" s="190" t="str">
        <f>"Field Entering/Exiting DMG"</f>
        <v>Field Entering/Exiting DMG</v>
      </c>
      <c r="MN3" s="190" t="str">
        <f>"1-Hit DMG"</f>
        <v>1-Hit DMG</v>
      </c>
      <c r="MO3" s="190" t="str">
        <f>"2-Hit DMG"</f>
        <v>2-Hit DMG</v>
      </c>
      <c r="MP3" s="190" t="str">
        <f>"3-Hit DMG"</f>
        <v>3-Hit DMG</v>
      </c>
      <c r="MQ3" s="190" t="str">
        <f>"4-Hit DMG"</f>
        <v>4-Hit DMG</v>
      </c>
      <c r="MR3" s="190" t="str">
        <f>"5-Hit DMG"</f>
        <v>5-Hit DMG</v>
      </c>
      <c r="MS3" s="190" t="str">
        <f>"Charged Attack DMG (1/2)"</f>
        <v>Charged Attack DMG (1/2)</v>
      </c>
      <c r="MT3" s="190" t="str">
        <f>"Charged Attack DMG (2/2)"</f>
        <v>Charged Attack DMG (2/2)</v>
      </c>
      <c r="MU3" s="190" t="str">
        <f>"Plunge DMG"</f>
        <v>Plunge DMG</v>
      </c>
      <c r="MV3" s="190" t="str">
        <f>"Low Plunge DMG"</f>
        <v>Low Plunge DMG</v>
      </c>
      <c r="MW3" s="190" t="str">
        <f>"High Plunge DMG"</f>
        <v>High Plunge DMG</v>
      </c>
      <c r="MX3" s="190" t="str">
        <f>"Skill DMG (Skill)"</f>
        <v>Skill DMG (Skill)</v>
      </c>
      <c r="MY3" s="190" t="str">
        <f>"Skill DMG (Burst)"</f>
        <v>Skill DMG (Burst)</v>
      </c>
      <c r="MZ3" s="190" t="str">
        <f>"1-Hit DMG"</f>
        <v>1-Hit DMG</v>
      </c>
      <c r="NA3" s="190" t="str">
        <f>"2-Hit DMG"</f>
        <v>2-Hit DMG</v>
      </c>
      <c r="NB3" s="190" t="str">
        <f>"3-Hit DMG (1/2)"</f>
        <v>3-Hit DMG (1/2)</v>
      </c>
      <c r="NC3" s="190" t="str">
        <f>"3-Hit DMG (2/2)"</f>
        <v>3-Hit DMG (2/2)</v>
      </c>
      <c r="ND3" s="190" t="str">
        <f>"4-Hit DMG"</f>
        <v>4-Hit DMG</v>
      </c>
      <c r="NE3" s="190" t="str">
        <f>"5-Hit DMG (*3)"</f>
        <v>5-Hit DMG (*3)</v>
      </c>
      <c r="NF3" s="190" t="str">
        <f>"Charged Attack DMG (1/2)"</f>
        <v>Charged Attack DMG (1/2)</v>
      </c>
      <c r="NG3" s="190" t="str">
        <f>"Charged Attack DMG (2/2)"</f>
        <v>Charged Attack DMG (2/2)</v>
      </c>
      <c r="NH3" s="190" t="str">
        <f>"Plunge DMG"</f>
        <v>Plunge DMG</v>
      </c>
      <c r="NI3" s="190" t="str">
        <f>"Low Plunge DMG"</f>
        <v>Low Plunge DMG</v>
      </c>
      <c r="NJ3" s="190" t="str">
        <f>"High Plunge DMG"</f>
        <v>High Plunge DMG</v>
      </c>
      <c r="NK3" s="190" t="str">
        <f>"A1"</f>
        <v>A1</v>
      </c>
      <c r="NL3" s="190" t="str">
        <f>"Press Skill DMG"</f>
        <v>Press Skill DMG</v>
      </c>
      <c r="NM3" s="190" t="str">
        <f>"Hold Skill DMG"</f>
        <v>Hold Skill DMG</v>
      </c>
      <c r="NN3" s="190" t="str">
        <f>"Slashing DMG"</f>
        <v>Slashing DMG</v>
      </c>
      <c r="NO3" s="190" t="str">
        <f>"DoT"</f>
        <v>DoT</v>
      </c>
      <c r="NP3" s="190" t="str">
        <f>"Additional Elemental DMG"</f>
        <v>Additional Elemental DMG</v>
      </c>
      <c r="NQ3" s="190" t="str">
        <f>"1-Hit DMG"</f>
        <v>1-Hit DMG</v>
      </c>
      <c r="NR3" s="190" t="str">
        <f>"2-Hit DMG"</f>
        <v>2-Hit DMG</v>
      </c>
      <c r="NS3" s="190" t="str">
        <f>"3-Hit DMG"</f>
        <v>3-Hit DMG</v>
      </c>
      <c r="NT3" s="190" t="str">
        <f>"4-Hit DMG (1/2)"</f>
        <v>4-Hit DMG (1/2)</v>
      </c>
      <c r="NU3" s="190" t="str">
        <f>"4-Hit DMG (2/2)"</f>
        <v>4-Hit DMG (2/2)</v>
      </c>
      <c r="NV3" s="190" t="str">
        <f>"5-Hit DMG"</f>
        <v>5-Hit DMG</v>
      </c>
      <c r="NW3" s="190" t="str">
        <f>"Charged Attack DMG (1/2)"</f>
        <v>Charged Attack DMG (1/2)</v>
      </c>
      <c r="NX3" s="190" t="str">
        <f>"Charged Attack DMG (2/2)"</f>
        <v>Charged Attack DMG (2/2)</v>
      </c>
      <c r="NY3" s="190" t="str">
        <f>"Plunge DMG"</f>
        <v>Plunge DMG</v>
      </c>
      <c r="NZ3" s="190" t="str">
        <f>"Low Plunge DMG"</f>
        <v>Low Plunge DMG</v>
      </c>
      <c r="OA3" s="190" t="str">
        <f>"High Plunge DMG"</f>
        <v>High Plunge DMG</v>
      </c>
      <c r="OB3" s="190" t="str">
        <f>"Lightning Stiletto DMG"</f>
        <v>Lightning Stiletto DMG</v>
      </c>
      <c r="OC3" s="190" t="str">
        <f>"Slashing DMG"</f>
        <v>Slashing DMG</v>
      </c>
      <c r="OD3" s="190" t="str">
        <f>"Thunderclap Slash DMG (*2)"</f>
        <v>Thunderclap Slash DMG (*2)</v>
      </c>
      <c r="OE3" s="190" t="str">
        <f>"Skill DMG (Skill)"</f>
        <v>Skill DMG (Skill)</v>
      </c>
      <c r="OF3" s="190" t="str">
        <f>"Consecutive Slash DMG (*8)"</f>
        <v>Consecutive Slash DMG (*8)</v>
      </c>
      <c r="OG3" s="190" t="str">
        <f>"Last Attack DMG"</f>
        <v>Last Attack DMG</v>
      </c>
      <c r="OH3" s="190" t="str">
        <f>"1-Hit DMG"</f>
        <v>1-Hit DMG</v>
      </c>
      <c r="OI3" s="190" t="str">
        <f>"2-Hit DMG"</f>
        <v>2-Hit DMG</v>
      </c>
      <c r="OJ3" s="190" t="str">
        <f>"3-Hit DMG"</f>
        <v>3-Hit DMG</v>
      </c>
      <c r="OK3" s="190" t="str">
        <f>"Charged Attack DMG"</f>
        <v>Charged Attack DMG</v>
      </c>
      <c r="OL3" s="190" t="str">
        <f>"Plunge DMG"</f>
        <v>Plunge DMG</v>
      </c>
      <c r="OM3" s="190" t="str">
        <f>"Low Plunge DMG"</f>
        <v>Low Plunge DMG</v>
      </c>
      <c r="ON3" s="190" t="str">
        <f>"High Plunge DMG"</f>
        <v>High Plunge DMG</v>
      </c>
      <c r="OO3" s="190" t="str">
        <f>"Jumpy Dumpty DMG"</f>
        <v>Jumpy Dumpty DMG</v>
      </c>
      <c r="OP3" s="190" t="str">
        <f>"Mine DMG"</f>
        <v>Mine DMG</v>
      </c>
      <c r="OQ3" s="190" t="str">
        <f>"Sparks 'n' Splash DMG"</f>
        <v>Sparks 'n' Splash DMG</v>
      </c>
      <c r="OR3" s="190" t="str">
        <f>"1-Hit DMG"</f>
        <v>1-Hit DMG</v>
      </c>
      <c r="OS3" s="190" t="str">
        <f>"2-Hit DMG"</f>
        <v>2-Hit DMG</v>
      </c>
      <c r="OT3" s="190" t="str">
        <f>"3-Hit DMG"</f>
        <v>3-Hit DMG</v>
      </c>
      <c r="OU3" s="190" t="str">
        <f>"Charged Attack DMG"</f>
        <v>Charged Attack DMG</v>
      </c>
      <c r="OV3" s="190" t="str">
        <f>"Plunge DMG"</f>
        <v>Plunge DMG</v>
      </c>
      <c r="OW3" s="190" t="str">
        <f>"Low Plunge DMG"</f>
        <v>Low Plunge DMG</v>
      </c>
      <c r="OX3" s="190" t="str">
        <f>"High Plunge DMG"</f>
        <v>High Plunge DMG</v>
      </c>
      <c r="OY3" s="190" t="str">
        <f>"Ripple DMG"</f>
        <v>Ripple DMG</v>
      </c>
      <c r="OZ3" s="190" t="str">
        <f>"Skill DMG (Burst)"</f>
        <v>Skill DMG (Burst)</v>
      </c>
      <c r="PA3" s="190" t="str">
        <f>"Ripple DMG (Burst)"</f>
        <v>Ripple DMG (Burst)</v>
      </c>
      <c r="PB3" s="190" t="str">
        <f>"1-Hit DMG (Burst)"</f>
        <v>1-Hit DMG (Burst)</v>
      </c>
      <c r="PC3" s="190" t="str">
        <f>"2-Hit DMG (Burst)"</f>
        <v>2-Hit DMG (Burst)</v>
      </c>
      <c r="PD3" s="190" t="str">
        <f>"3-Hit DMG (Burst)"</f>
        <v>3-Hit DMG (Burst)</v>
      </c>
      <c r="PE3" s="190" t="str">
        <f>"Charged Attack DMG (Burst)"</f>
        <v>Charged Attack DMG (Burst)</v>
      </c>
      <c r="PF3" s="190" t="str">
        <f>"1-Hit DMG"</f>
        <v>1-Hit DMG</v>
      </c>
      <c r="PG3" s="190" t="str">
        <f>"2-Hit DMG"</f>
        <v>2-Hit DMG</v>
      </c>
      <c r="PH3" s="190" t="str">
        <f>"3-Hit DMG"</f>
        <v>3-Hit DMG</v>
      </c>
      <c r="PI3" s="190" t="str">
        <f>"4-Hit DMG"</f>
        <v>4-Hit DMG</v>
      </c>
      <c r="PJ3" s="190" t="str">
        <f>"Charged Attack DMG"</f>
        <v>Charged Attack DMG</v>
      </c>
      <c r="PK3" s="190" t="str">
        <f>"Plunge DMG"</f>
        <v>Plunge DMG</v>
      </c>
      <c r="PL3" s="190" t="str">
        <f>"Low Plunge DMG"</f>
        <v>Low Plunge DMG</v>
      </c>
      <c r="PM3" s="190" t="str">
        <f>"High Plunge DMG"</f>
        <v>High Plunge DMG</v>
      </c>
      <c r="PN3" s="190" t="str">
        <f>"Press DMG"</f>
        <v>Press DMG</v>
      </c>
      <c r="PO3" s="190" t="str">
        <f>"Non-Conductive Hold DMG"</f>
        <v>Non-Conductive Hold DMG</v>
      </c>
      <c r="PP3" s="190" t="str">
        <f>"Stack 1 Conductive Hold DMG"</f>
        <v>Stack 1 Conductive Hold DMG</v>
      </c>
      <c r="PQ3" s="190" t="str">
        <f>"Stack 2 Conductive Hold DMG"</f>
        <v>Stack 2 Conductive Hold DMG</v>
      </c>
      <c r="PR3" s="190" t="str">
        <f>"Stack 3 Conductive Hold DMG"</f>
        <v>Stack 3 Conductive Hold DMG</v>
      </c>
      <c r="PS3" s="190" t="str">
        <f>"Summon DMG"</f>
        <v>Summon DMG</v>
      </c>
      <c r="PT3" s="190" t="str">
        <f>"Discharge DMG"</f>
        <v>Discharge DMG</v>
      </c>
      <c r="PU3" s="190" t="str">
        <f>"1-Hit DMG"</f>
        <v>1-Hit DMG</v>
      </c>
      <c r="PV3" s="190" t="str">
        <f>"2-Hit DMG"</f>
        <v>2-Hit DMG</v>
      </c>
      <c r="PW3" s="190" t="str">
        <f>"3-Hit DMG"</f>
        <v>3-Hit DMG</v>
      </c>
      <c r="PX3" s="190" t="str">
        <f>"4-Hit DMG"</f>
        <v>4-Hit DMG</v>
      </c>
      <c r="PY3" s="190" t="str">
        <f>"Charged Attack DMG"</f>
        <v>Charged Attack DMG</v>
      </c>
      <c r="PZ3" s="190" t="str">
        <f>"Plunge DMG"</f>
        <v>Plunge DMG</v>
      </c>
      <c r="QA3" s="190" t="str">
        <f>"Low Plunge DMG"</f>
        <v>Low Plunge DMG</v>
      </c>
      <c r="QB3" s="190" t="str">
        <f>"High Plunge DMG"</f>
        <v>High Plunge DMG</v>
      </c>
      <c r="QC3" s="190" t="str">
        <f>"DoT"</f>
        <v>DoT</v>
      </c>
      <c r="QD3" s="190" t="str">
        <f>"Explosion DMG"</f>
        <v>Explosion DMG</v>
      </c>
      <c r="QE3" s="190" t="str">
        <f>"Illusory Bubble Explosion DMG"</f>
        <v>Illusory Bubble Explosion DMG</v>
      </c>
      <c r="QF3" s="190" t="str">
        <f>"Normal Attack DMG (*2)"</f>
        <v>Normal Attack DMG (*2)</v>
      </c>
      <c r="QG3" s="190" t="str">
        <f>"Charged Attack DMG"</f>
        <v>Charged Attack DMG</v>
      </c>
      <c r="QH3" s="190" t="str">
        <f>"DMG per Star Jade"</f>
        <v>DMG per Star Jade</v>
      </c>
      <c r="QI3" s="190" t="str">
        <f>"Plunge DMG"</f>
        <v>Plunge DMG</v>
      </c>
      <c r="QJ3" s="190" t="str">
        <f>"Low Plunge DMG"</f>
        <v>Low Plunge DMG</v>
      </c>
      <c r="QK3" s="190" t="str">
        <f>"High Plunge DMG"</f>
        <v>High Plunge DMG</v>
      </c>
      <c r="QL3" s="190" t="str">
        <f>"Skill DMG (Skill)"</f>
        <v>Skill DMG (Skill)</v>
      </c>
      <c r="QM3" s="190" t="str">
        <f>"DMG Per Gem"</f>
        <v>DMG Per Gem</v>
      </c>
      <c r="QN3" s="190" t="str">
        <f>"1-Hit DMG"</f>
        <v>1-Hit DMG</v>
      </c>
      <c r="QO3" s="190" t="str">
        <f>"2-Hit DMG"</f>
        <v>2-Hit DMG</v>
      </c>
      <c r="QP3" s="190" t="str">
        <f>"3-Hit DMG"</f>
        <v>3-Hit DMG</v>
      </c>
      <c r="QQ3" s="190" t="str">
        <f>"4-Hit DMG"</f>
        <v>4-Hit DMG</v>
      </c>
      <c r="QR3" s="190" t="str">
        <f>"Charged Attack Spinning DMG"</f>
        <v>Charged Attack Spinning DMG</v>
      </c>
      <c r="QS3" s="190" t="str">
        <f>"Charged Attack Final DMG"</f>
        <v>Charged Attack Final DMG</v>
      </c>
      <c r="QT3" s="190" t="str">
        <f>"Plunge DMG"</f>
        <v>Plunge DMG</v>
      </c>
      <c r="QU3" s="190" t="str">
        <f>"Low Plunge DMG"</f>
        <v>Low Plunge DMG</v>
      </c>
      <c r="QV3" s="190" t="str">
        <f>"High Plunge DMG"</f>
        <v>High Plunge DMG</v>
      </c>
      <c r="QW3" s="190" t="str">
        <f>"Skill DMG (Skill)"</f>
        <v>Skill DMG (Skill)</v>
      </c>
      <c r="QX3" s="190" t="str">
        <f>"Burst DMG"</f>
        <v>Burst DMG</v>
      </c>
      <c r="QY3" s="190" t="str">
        <f>"Skill DMG (Burst)"</f>
        <v>Skill DMG (Burst)</v>
      </c>
      <c r="QZ3" s="190" t="str">
        <f>"1-Hit DMG"</f>
        <v>1-Hit DMG</v>
      </c>
      <c r="RA3" s="190" t="str">
        <f>"2-Hit DMG"</f>
        <v>2-Hit DMG</v>
      </c>
      <c r="RB3" s="190" t="str">
        <f>"3-Hit DMG (*2)"</f>
        <v>3-Hit DMG (*2)</v>
      </c>
      <c r="RC3" s="190" t="str">
        <f>"4-Hit DMG (*2)"</f>
        <v>4-Hit DMG (*2)</v>
      </c>
      <c r="RD3" s="190" t="str">
        <f>"5-Hit DMG"</f>
        <v>5-Hit DMG</v>
      </c>
      <c r="RE3" s="190" t="str">
        <f>"Charged Attack DMG (*2)"</f>
        <v>Charged Attack DMG (*2)</v>
      </c>
      <c r="RF3" s="190" t="str">
        <f>"Plunge DMG"</f>
        <v>Plunge DMG</v>
      </c>
      <c r="RG3" s="190" t="str">
        <f>"Low Plunge DMG"</f>
        <v>Low Plunge DMG</v>
      </c>
      <c r="RH3" s="190" t="str">
        <f>"High Plunge DMG"</f>
        <v>High Plunge DMG</v>
      </c>
      <c r="RI3" s="190" t="str">
        <f>"Skill DMG (Skill)"</f>
        <v>Skill DMG (Skill)</v>
      </c>
      <c r="RJ3" s="190" t="str">
        <f>"Herald of Frost DMG"</f>
        <v>Herald of Frost DMG</v>
      </c>
      <c r="RK3" s="190" t="str">
        <f>"Skill DMG (Burst)"</f>
        <v>Skill DMG (Burst)</v>
      </c>
      <c r="RL3" s="190" t="str">
        <f>"1-Hit DMG"</f>
        <v>1-Hit DMG</v>
      </c>
      <c r="RM3" s="190" t="str">
        <f>"2-Hit DMG"</f>
        <v>2-Hit DMG</v>
      </c>
      <c r="RN3" s="190" t="str">
        <f>"3-Hit DMG"</f>
        <v>3-Hit DMG</v>
      </c>
      <c r="RO3" s="190" t="str">
        <f>"4-Hit DMG (*2)"</f>
        <v>4-Hit DMG (*2)</v>
      </c>
      <c r="RP3" s="190" t="str">
        <f>"5-Hit DMG"</f>
        <v>5-Hit DMG</v>
      </c>
      <c r="RQ3" s="190" t="str">
        <f>"Charged Attack DMG"</f>
        <v>Charged Attack DMG</v>
      </c>
      <c r="RR3" s="190" t="str">
        <f>"Plunge DMG"</f>
        <v>Plunge DMG</v>
      </c>
      <c r="RS3" s="190" t="str">
        <f>"Low Plunge DMG"</f>
        <v>Low Plunge DMG</v>
      </c>
      <c r="RT3" s="190" t="str">
        <f>"High Plunge DMG"</f>
        <v>High Plunge DMG</v>
      </c>
      <c r="RU3" s="190" t="str">
        <f>"Skill DMG"</f>
        <v>Skill DMG</v>
      </c>
      <c r="RV3" s="190" t="str">
        <f>"Coordinated ATK DMG"</f>
        <v>Coordinated ATK DMG</v>
      </c>
      <c r="RW3" s="190" t="str">
        <f>"Musou no Hitotachi DMG"</f>
        <v>Musou no Hitotachi DMG</v>
      </c>
      <c r="RX3" s="190" t="str">
        <f>"1-Hit DMG (Burst)"</f>
        <v>1-Hit DMG (Burst)</v>
      </c>
      <c r="RY3" s="190" t="str">
        <f>"2-Hit DMG (Burst)"</f>
        <v>2-Hit DMG (Burst)</v>
      </c>
      <c r="RZ3" s="190" t="str">
        <f>"3-Hit DMG (Burst)"</f>
        <v>3-Hit DMG (Burst)</v>
      </c>
      <c r="SA3" s="190" t="str">
        <f>"4-Hit DMG (1/2) (Burst)"</f>
        <v>4-Hit DMG (1/2) (Burst)</v>
      </c>
      <c r="SB3" s="190" t="str">
        <f>"4-Hit DMG (2/2) (Burst)"</f>
        <v>4-Hit DMG (2/2) (Burst)</v>
      </c>
      <c r="SC3" s="190" t="str">
        <f>"5-Hit DMG (Burst)"</f>
        <v>5-Hit DMG (Burst)</v>
      </c>
      <c r="SD3" s="190" t="str">
        <f>"Charged Attack DMG (1/2) (Burst)"</f>
        <v>Charged Attack DMG (1/2) (Burst)</v>
      </c>
      <c r="SE3" s="190" t="str">
        <f>"Charged Attack DMG (2/2) (Burst)"</f>
        <v>Charged Attack DMG (2/2) (Burst)</v>
      </c>
      <c r="SF3" s="190" t="str">
        <f>"Plunge DMG (Burst)"</f>
        <v>Plunge DMG (Burst)</v>
      </c>
      <c r="SG3" s="190" t="str">
        <f>"Low Plunge DMG (Burst)"</f>
        <v>Low Plunge DMG (Burst)</v>
      </c>
      <c r="SH3" s="190" t="str">
        <f>"High Plunge DMG (Burst)"</f>
        <v>High Plunge DMG (Burst)</v>
      </c>
      <c r="SI3" s="190" t="str">
        <f>"1-Hit DMG"</f>
        <v>1-Hit DMG</v>
      </c>
      <c r="SJ3" s="190" t="str">
        <f>"2-Hit DMG"</f>
        <v>2-Hit DMG</v>
      </c>
      <c r="SK3" s="190" t="str">
        <f>"3-Hit DMG"</f>
        <v>3-Hit DMG</v>
      </c>
      <c r="SL3" s="190" t="str">
        <f>"4-Hit DMG"</f>
        <v>4-Hit DMG</v>
      </c>
      <c r="SM3" s="190" t="str">
        <f>"Charged Attack Spinning DMG"</f>
        <v>Charged Attack Spinning DMG</v>
      </c>
      <c r="SN3" s="190" t="str">
        <f>"Charged Attack Final DMG"</f>
        <v>Charged Attack Final DMG</v>
      </c>
      <c r="SO3" s="190" t="str">
        <f>"Plunge DMG"</f>
        <v>Plunge DMG</v>
      </c>
      <c r="SP3" s="190" t="str">
        <f>"Low Plunge DMG"</f>
        <v>Low Plunge DMG</v>
      </c>
      <c r="SQ3" s="190" t="str">
        <f>"High Plunge DMG"</f>
        <v>High Plunge DMG</v>
      </c>
      <c r="SR3" s="190" t="str">
        <f>"Press Skill DMG"</f>
        <v>Press Skill DMG</v>
      </c>
      <c r="SS3" s="190" t="str">
        <f>"Hold Skill DMG"</f>
        <v>Hold Skill DMG</v>
      </c>
      <c r="ST3" s="190" t="str">
        <f>"Elemental Burst DMG"</f>
        <v>Elemental Burst DMG</v>
      </c>
      <c r="SU3" s="190" t="str">
        <f>"1-Hit DMG (Burst)"</f>
        <v>1-Hit DMG (Burst)</v>
      </c>
      <c r="SV3" s="190" t="str">
        <f>"2-Hit DMG (Burst)"</f>
        <v>2-Hit DMG (Burst)</v>
      </c>
      <c r="SW3" s="190" t="str">
        <f>"3-Hit DMG (Burst)"</f>
        <v>3-Hit DMG (Burst)</v>
      </c>
      <c r="SX3" s="190" t="str">
        <f>"4-Hit DMG (Burst)"</f>
        <v>4-Hit DMG (Burst)</v>
      </c>
      <c r="SY3" s="190" t="str">
        <f>"1-Hit DMG"</f>
        <v>1-Hit DMG</v>
      </c>
      <c r="SZ3" s="190" t="str">
        <f>"2-Hit DMG"</f>
        <v>2-Hit DMG</v>
      </c>
      <c r="TA3" s="190" t="str">
        <f>"3-Hit DMG (*2)"</f>
        <v>3-Hit DMG (*2)</v>
      </c>
      <c r="TB3" s="190" t="str">
        <f>"4-Hit DMG"</f>
        <v>4-Hit DMG</v>
      </c>
      <c r="TC3" s="190" t="str">
        <f>"5-Hit DMG (1/2)"</f>
        <v>5-Hit DMG (1/2)</v>
      </c>
      <c r="TD3" s="190" t="str">
        <f>"5-Hit DMG (2/2)"</f>
        <v>5-Hit DMG (2/2)</v>
      </c>
      <c r="TE3" s="190" t="str">
        <f>"Charged Attack DMG"</f>
        <v>Charged Attack DMG</v>
      </c>
      <c r="TF3" s="190" t="str">
        <f>"Plunge DMG"</f>
        <v>Plunge DMG</v>
      </c>
      <c r="TG3" s="190" t="str">
        <f>"Low Plunge DMG"</f>
        <v>Low Plunge DMG</v>
      </c>
      <c r="TH3" s="190" t="str">
        <f>"High Plunge DMG"</f>
        <v>High Plunge DMG</v>
      </c>
      <c r="TI3" s="190" t="str">
        <f>"Skill DMG (1/2) (Skill)"</f>
        <v>Skill DMG (1/2) (Skill)</v>
      </c>
      <c r="TJ3" s="190" t="str">
        <f>"Skill DMG (2/2) (Skill)"</f>
        <v>Skill DMG (2/2) (Skill)</v>
      </c>
      <c r="TK3" s="190" t="str">
        <f>"Skill DMG (1/2) (Burst)"</f>
        <v>Skill DMG (1/2) (Burst)</v>
      </c>
      <c r="TL3" s="190" t="str">
        <f>"Skill DMG (2/2) (Burst)"</f>
        <v>Skill DMG (2/2) (Burst)</v>
      </c>
      <c r="TM3" s="190" t="str">
        <f>"Ice Lance DoT"</f>
        <v>Ice Lance DoT</v>
      </c>
      <c r="TN3" s="190" t="str">
        <f>"1-Hit DMG"</f>
        <v>1-Hit DMG</v>
      </c>
      <c r="TO3" s="190" t="str">
        <f>"2-Hit DMG"</f>
        <v>2-Hit DMG</v>
      </c>
      <c r="TP3" s="190" t="str">
        <f>"3-Hit DMG"</f>
        <v>3-Hit DMG</v>
      </c>
      <c r="TQ3" s="190" t="str">
        <f>"4-Hit DMG"</f>
        <v>4-Hit DMG</v>
      </c>
      <c r="TR3" s="190" t="str">
        <f>"5-Hit DMG"</f>
        <v>5-Hit DMG</v>
      </c>
      <c r="TS3" s="190" t="str">
        <f>"Aimed Shot"</f>
        <v>Aimed Shot</v>
      </c>
      <c r="TT3" s="190" t="str">
        <f>"Fully-Charged Aimed Shot"</f>
        <v>Fully-Charged Aimed Shot</v>
      </c>
      <c r="TU3" s="190" t="str">
        <f>"Plunge DMG"</f>
        <v>Plunge DMG</v>
      </c>
      <c r="TV3" s="190" t="str">
        <f>"Low Plunge DMG"</f>
        <v>Low Plunge DMG</v>
      </c>
      <c r="TW3" s="190" t="str">
        <f>"High Plunge DMG"</f>
        <v>High Plunge DMG</v>
      </c>
      <c r="TX3" s="190" t="str">
        <f>"Tengu Juurai: Ambush DMG"</f>
        <v>Tengu Juurai: Ambush DMG</v>
      </c>
      <c r="TY3" s="190" t="str">
        <f>"Tengu Juurai: Titanbreaker DMG"</f>
        <v>Tengu Juurai: Titanbreaker DMG</v>
      </c>
      <c r="TZ3" s="190" t="str">
        <f>"Tengu Juurai: Stormcluster DMG"</f>
        <v>Tengu Juurai: Stormcluster DMG</v>
      </c>
      <c r="UA3" s="190" t="str">
        <f>"1-Hit DMG"</f>
        <v>1-Hit DMG</v>
      </c>
      <c r="UB3" s="190" t="str">
        <f>"2-Hit DMG"</f>
        <v>2-Hit DMG</v>
      </c>
      <c r="UC3" s="190" t="str">
        <f>"3-Hit DMG (*2)"</f>
        <v>3-Hit DMG (*2)</v>
      </c>
      <c r="UD3" s="190" t="str">
        <f>"4-Hit DMG"</f>
        <v>4-Hit DMG</v>
      </c>
      <c r="UE3" s="190" t="str">
        <f>"Charged Attack Spinning DMG"</f>
        <v>Charged Attack Spinning DMG</v>
      </c>
      <c r="UF3" s="190" t="str">
        <f>"Charged Attack Final DMG"</f>
        <v>Charged Attack Final DMG</v>
      </c>
      <c r="UG3" s="190" t="str">
        <f>"Plunge DMG"</f>
        <v>Plunge DMG</v>
      </c>
      <c r="UH3" s="190" t="str">
        <f>"Low Plunge DMG"</f>
        <v>Low Plunge DMG</v>
      </c>
      <c r="UI3" s="190" t="str">
        <f>"High Plunge DMG"</f>
        <v>High Plunge DMG</v>
      </c>
      <c r="UJ3" s="190" t="str">
        <f>"Fuufuu Windwheel DMG"</f>
        <v>Fuufuu Windwheel DMG</v>
      </c>
      <c r="UK3" s="190" t="str">
        <f>"PressFuufuu Whirlwind Kick DMG"</f>
        <v>PressFuufuu Whirlwind Kick DMG</v>
      </c>
      <c r="UL3" s="190" t="str">
        <f>"Fuufuu Whirlwind Kick Hold DMG"</f>
        <v>Fuufuu Whirlwind Kick Hold DMG</v>
      </c>
      <c r="UM3" s="190" t="str">
        <f>"Fuufuu Windwheel Elemental DMG"</f>
        <v>Fuufuu Windwheel Elemental DMG</v>
      </c>
      <c r="UN3" s="190" t="str">
        <f>"Fuufuu Whirlwind Kick Elemental DMG"</f>
        <v>Fuufuu Whirlwind Kick Elemental DMG</v>
      </c>
      <c r="UO3" s="190" t="str">
        <f>"Skill Activation DMG"</f>
        <v>Skill Activation DMG</v>
      </c>
      <c r="UP3" s="190" t="str">
        <f>"Muji-Muji Daruma DMG"</f>
        <v>Muji-Muji Daruma DMG</v>
      </c>
      <c r="UQ3" s="190" t="str">
        <f>"1-Hit DMG"</f>
        <v>1-Hit DMG</v>
      </c>
      <c r="UR3" s="190" t="str">
        <f>"2-Hit DMG"</f>
        <v>2-Hit DMG</v>
      </c>
      <c r="US3" s="190" t="str">
        <f>"3-Hit DMG"</f>
        <v>3-Hit DMG</v>
      </c>
      <c r="UT3" s="190" t="str">
        <f>"4-Hit DMG (*2)"</f>
        <v>4-Hit DMG (*2)</v>
      </c>
      <c r="UU3" s="190" t="str">
        <f>"5-Hit DMG"</f>
        <v>5-Hit DMG</v>
      </c>
      <c r="UV3" s="190" t="str">
        <f>"Charged Attack DMG"</f>
        <v>Charged Attack DMG</v>
      </c>
      <c r="UW3" s="190" t="str">
        <f>"Plunge DMG"</f>
        <v>Plunge DMG</v>
      </c>
      <c r="UX3" s="190" t="str">
        <f>"Low Plunge DMG"</f>
        <v>Low Plunge DMG</v>
      </c>
      <c r="UY3" s="190" t="str">
        <f>"High Plunge DMG"</f>
        <v>High Plunge DMG</v>
      </c>
      <c r="UZ3" s="190" t="str">
        <f>"Press Skill DMG"</f>
        <v>Press Skill DMG</v>
      </c>
      <c r="VA3" s="190" t="str">
        <f>"Hold Skill DMG"</f>
        <v>Hold Skill DMG</v>
      </c>
      <c r="VB3" s="190" t="str">
        <f>"Skill DMG (Burst)"</f>
        <v>Skill DMG (Burst)</v>
      </c>
      <c r="VC3" s="190" t="str">
        <f>"DoT"</f>
        <v>DoT</v>
      </c>
      <c r="VD3" s="190" t="str">
        <f>"1-Hit DMG"</f>
        <v>1-Hit DMG</v>
      </c>
      <c r="VE3" s="190" t="str">
        <f>"2-Hit DMG"</f>
        <v>2-Hit DMG</v>
      </c>
      <c r="VF3" s="190" t="str">
        <f>"3-Hit DMG"</f>
        <v>3-Hit DMG</v>
      </c>
      <c r="VG3" s="190" t="str">
        <f>"4-Hit DMG"</f>
        <v>4-Hit DMG</v>
      </c>
      <c r="VH3" s="190" t="str">
        <f>"Charged Attack DMG (1/2)"</f>
        <v>Charged Attack DMG (1/2)</v>
      </c>
      <c r="VI3" s="190" t="str">
        <f>"Charged Attack DMG (2/2)"</f>
        <v>Charged Attack DMG (2/2)</v>
      </c>
      <c r="VJ3" s="190" t="str">
        <f>"Plunge DMG"</f>
        <v>Plunge DMG</v>
      </c>
      <c r="VK3" s="190" t="str">
        <f>"Low Plunge DMG"</f>
        <v>Low Plunge DMG</v>
      </c>
      <c r="VL3" s="190" t="str">
        <f>"High Plunge DMG"</f>
        <v>High Plunge DMG</v>
      </c>
      <c r="VM3" s="190" t="str">
        <f>"Skill DMG (Skill)"</f>
        <v>Skill DMG (Skill)</v>
      </c>
      <c r="VN3" s="190" t="str">
        <f>"Grass Ring of Sanctification DMG"</f>
        <v>Grass Ring of Sanctification DMG</v>
      </c>
      <c r="VO3" s="190" t="str">
        <f>"Single Instance DMG"</f>
        <v>Single Instance DMG</v>
      </c>
      <c r="VP3" s="190" t="str">
        <f>"1-Hit DMG"</f>
        <v>1-Hit DMG</v>
      </c>
      <c r="VQ3" s="190" t="str">
        <f>"2-Hit DMG"</f>
        <v>2-Hit DMG</v>
      </c>
      <c r="VR3" s="190" t="str">
        <f>"3-Hit DMG"</f>
        <v>3-Hit DMG</v>
      </c>
      <c r="VS3" s="190" t="str">
        <f>"4-Hit DMG"</f>
        <v>4-Hit DMG</v>
      </c>
      <c r="VT3" s="190" t="str">
        <f>"Charged Attack DMG"</f>
        <v>Charged Attack DMG</v>
      </c>
      <c r="VU3" s="190" t="str">
        <f>"Plunge DMG"</f>
        <v>Plunge DMG</v>
      </c>
      <c r="VV3" s="190" t="str">
        <f>"Low Plunge DMG"</f>
        <v>Low Plunge DMG</v>
      </c>
      <c r="VW3" s="190" t="str">
        <f>"High Plunge DMG"</f>
        <v>High Plunge DMG</v>
      </c>
      <c r="VX3" s="190" t="str">
        <f>"Skill DMG (Skill)"</f>
        <v>Skill DMG (Skill)</v>
      </c>
      <c r="VY3" s="190" t="str">
        <f>"DoT"</f>
        <v>DoT</v>
      </c>
      <c r="VZ3" s="190" t="str">
        <f>"Additional Elemental DMG"</f>
        <v>Additional Elemental DMG</v>
      </c>
      <c r="WA3" s="190" t="str">
        <f>"1-Hit DMG"</f>
        <v>1-Hit DMG</v>
      </c>
      <c r="WB3" s="190" t="str">
        <f>"2-Hit DMG"</f>
        <v>2-Hit DMG</v>
      </c>
      <c r="WC3" s="190" t="str">
        <f>"3-Hit DMG"</f>
        <v>3-Hit DMG</v>
      </c>
      <c r="WD3" s="190" t="str">
        <f>"4-Hit DMG"</f>
        <v>4-Hit DMG</v>
      </c>
      <c r="WE3" s="190" t="str">
        <f>"5-Hit DMG"</f>
        <v>5-Hit DMG</v>
      </c>
      <c r="WF3" s="190" t="str">
        <f>"6-Hit DMG"</f>
        <v>6-Hit DMG</v>
      </c>
      <c r="WG3" s="190" t="str">
        <f>"Aimed Shot"</f>
        <v>Aimed Shot</v>
      </c>
      <c r="WH3" s="190" t="str">
        <f>"Fully-Charged Aimed Shot"</f>
        <v>Fully-Charged Aimed Shot</v>
      </c>
      <c r="WI3" s="190" t="str">
        <f>"Riptide Flash DMG"</f>
        <v>Riptide Flash DMG</v>
      </c>
      <c r="WJ3" s="190" t="str">
        <f>"Riptide Burst DMG"</f>
        <v>Riptide Burst DMG</v>
      </c>
      <c r="WK3" s="190" t="str">
        <f>"Plunge DMG"</f>
        <v>Plunge DMG</v>
      </c>
      <c r="WL3" s="190" t="str">
        <f>"Low Plunge DMG"</f>
        <v>Low Plunge DMG</v>
      </c>
      <c r="WM3" s="190" t="str">
        <f>"High Plunge DMG"</f>
        <v>High Plunge DMG</v>
      </c>
      <c r="WN3" s="190" t="str">
        <f>"Stance Change DMG"</f>
        <v>Stance Change DMG</v>
      </c>
      <c r="WO3" s="190" t="str">
        <f>"1-Hit DMG (Skill)"</f>
        <v>1-Hit DMG (Skill)</v>
      </c>
      <c r="WP3" s="190" t="str">
        <f>"2-Hit DMG (Skill)"</f>
        <v>2-Hit DMG (Skill)</v>
      </c>
      <c r="WQ3" s="190" t="str">
        <f>"3-Hit DMG (Skill)"</f>
        <v>3-Hit DMG (Skill)</v>
      </c>
      <c r="WR3" s="190" t="str">
        <f>"4-Hit DMG (Skill)"</f>
        <v>4-Hit DMG (Skill)</v>
      </c>
      <c r="WS3" s="190" t="str">
        <f>"5-Hit DMG (Skill)"</f>
        <v>5-Hit DMG (Skill)</v>
      </c>
      <c r="WT3" s="190" t="str">
        <f>"6-Hit DMG (1/2) (Skill)"</f>
        <v>6-Hit DMG (1/2) (Skill)</v>
      </c>
      <c r="WU3" s="190" t="str">
        <f>"6-Hit DMG (2/2) (Skill)"</f>
        <v>6-Hit DMG (2/2) (Skill)</v>
      </c>
      <c r="WV3" s="190" t="str">
        <f>"Charged Attack DMG (1/2) (Skill)"</f>
        <v>Charged Attack DMG (1/2) (Skill)</v>
      </c>
      <c r="WW3" s="190" t="str">
        <f>"Charged Attack DMG (2/2) (Skill)"</f>
        <v>Charged Attack DMG (2/2) (Skill)</v>
      </c>
      <c r="WX3" s="190" t="str">
        <f>"Riptide Slash"</f>
        <v>Riptide Slash</v>
      </c>
      <c r="WY3" s="190" t="str">
        <f>"Skill DMG: Melee"</f>
        <v>Skill DMG: Melee</v>
      </c>
      <c r="WZ3" s="190" t="str">
        <f>"Skill DMG: Ranged"</f>
        <v>Skill DMG: Ranged</v>
      </c>
      <c r="XA3" s="190" t="str">
        <f>"Riptide Blast DMG"</f>
        <v>Riptide Blast DMG</v>
      </c>
      <c r="XB3" s="190" t="str">
        <f>"1-Hit DMG"</f>
        <v>1-Hit DMG</v>
      </c>
      <c r="XC3" s="190" t="str">
        <f>"2-Hit DMG"</f>
        <v>2-Hit DMG</v>
      </c>
      <c r="XD3" s="190" t="str">
        <f>"3-Hit DMG (*2)"</f>
        <v>3-Hit DMG (*2)</v>
      </c>
      <c r="XE3" s="190" t="str">
        <f>"4-Hit DMG"</f>
        <v>4-Hit DMG</v>
      </c>
      <c r="XF3" s="190" t="str">
        <f>"Charged Attack DMG"</f>
        <v>Charged Attack DMG</v>
      </c>
      <c r="XG3" s="190" t="str">
        <f>"Plunge DMG"</f>
        <v>Plunge DMG</v>
      </c>
      <c r="XH3" s="190" t="str">
        <f>"Low Plunge DMG"</f>
        <v>Low Plunge DMG</v>
      </c>
      <c r="XI3" s="190" t="str">
        <f>"High Plunge DMG"</f>
        <v>High Plunge DMG</v>
      </c>
      <c r="XJ3" s="190" t="str">
        <f>"Skill DMG (Skill)"</f>
        <v>Skill DMG (Skill)</v>
      </c>
      <c r="XK3" s="190" t="str">
        <f>"Skill DMG (Burst)"</f>
        <v>Skill DMG (Burst)</v>
      </c>
      <c r="XL3" s="190" t="str">
        <f>"Fiery Collapse DMG"</f>
        <v>Fiery Collapse DMG</v>
      </c>
      <c r="XM3" s="190" t="str">
        <f>"1-Hit DMG"</f>
        <v>1-Hit DMG</v>
      </c>
      <c r="XN3" s="190" t="str">
        <f>"2-Hit DMG"</f>
        <v>2-Hit DMG</v>
      </c>
      <c r="XO3" s="190" t="str">
        <f>"3-Hit DMG (*2)"</f>
        <v>3-Hit DMG (*2)</v>
      </c>
      <c r="XP3" s="190" t="str">
        <f>"4-Hit DMG"</f>
        <v>4-Hit DMG</v>
      </c>
      <c r="XQ3" s="190" t="str">
        <f>"Aimed Shot"</f>
        <v>Aimed Shot</v>
      </c>
      <c r="XR3" s="190" t="str">
        <f>"Level 1 Aimed Shot"</f>
        <v>Level 1 Aimed Shot</v>
      </c>
      <c r="XS3" s="190" t="str">
        <f>"Wreath Arrow DMG"</f>
        <v>Wreath Arrow DMG</v>
      </c>
      <c r="XT3" s="190" t="str">
        <f>"Clusterbloom Arrow DMG"</f>
        <v>Clusterbloom Arrow DMG</v>
      </c>
      <c r="XU3" s="190" t="str">
        <f>"Plunge DMG"</f>
        <v>Plunge DMG</v>
      </c>
      <c r="XV3" s="190" t="str">
        <f>"Low Plunge DMG"</f>
        <v>Low Plunge DMG</v>
      </c>
      <c r="XW3" s="190" t="str">
        <f>"High Plunge DMG"</f>
        <v>High Plunge DMG</v>
      </c>
      <c r="XX3" s="190" t="str">
        <f>"Skill DMG (Skill)"</f>
        <v>Skill DMG (Skill)</v>
      </c>
      <c r="XY3" s="190" t="str">
        <f>"Tanglevine Shaft DMG"</f>
        <v>Tanglevine Shaft DMG</v>
      </c>
      <c r="XZ3" s="190" t="str">
        <f>"Secondary Tanglevine Shaft DMG"</f>
        <v>Secondary Tanglevine Shaft DMG</v>
      </c>
      <c r="YA3" s="190" t="str">
        <f>"1-Hit DMG (*2)"</f>
        <v>1-Hit DMG (*2)</v>
      </c>
      <c r="YB3" s="190" t="str">
        <f>"2-Hit DMG"</f>
        <v>2-Hit DMG</v>
      </c>
      <c r="YC3" s="190" t="str">
        <f>"3-Hit DMG"</f>
        <v>3-Hit DMG</v>
      </c>
      <c r="YD3" s="190" t="str">
        <f>"4-Hit DMG (*2)"</f>
        <v>4-Hit DMG (*2)</v>
      </c>
      <c r="YE3" s="190" t="str">
        <f>"5-Hit DMG"</f>
        <v>5-Hit DMG</v>
      </c>
      <c r="YF3" s="190" t="str">
        <f>"6-Hit DMG"</f>
        <v>6-Hit DMG</v>
      </c>
      <c r="YG3" s="190" t="str">
        <f>"Aimed Shot"</f>
        <v>Aimed Shot</v>
      </c>
      <c r="YH3" s="190" t="str">
        <f>"Fully-Charged Aimed Shot"</f>
        <v>Fully-Charged Aimed Shot</v>
      </c>
      <c r="YI3" s="190" t="str">
        <f>"Plunge DMG"</f>
        <v>Plunge DMG</v>
      </c>
      <c r="YJ3" s="190" t="str">
        <f>"Low Plunge DMG"</f>
        <v>Low Plunge DMG</v>
      </c>
      <c r="YK3" s="190" t="str">
        <f>"High Plunge DMG"</f>
        <v>High Plunge DMG</v>
      </c>
      <c r="YL3" s="190" t="str">
        <f>"Press DMG"</f>
        <v>Press DMG</v>
      </c>
      <c r="YM3" s="190" t="str">
        <f>"Hold DMG"</f>
        <v>Hold DMG</v>
      </c>
      <c r="YN3" s="190" t="str">
        <f>"DoT"</f>
        <v>DoT</v>
      </c>
      <c r="YO3" s="190" t="str">
        <f>"Additional Elemental DMG"</f>
        <v>Additional Elemental DMG</v>
      </c>
      <c r="YP3" s="190" t="str">
        <f>"1-Hit DMG"</f>
        <v>1-Hit DMG</v>
      </c>
      <c r="YQ3" s="190" t="str">
        <f>"2-Hit DMG"</f>
        <v>2-Hit DMG</v>
      </c>
      <c r="YR3" s="190" t="str">
        <f>"3-Hit DMG (*2)"</f>
        <v>3-Hit DMG (*2)</v>
      </c>
      <c r="YS3" s="190" t="str">
        <f>"4-Hit DMG (*4)"</f>
        <v>4-Hit DMG (*4)</v>
      </c>
      <c r="YT3" s="190" t="str">
        <f>"5-Hit DMG"</f>
        <v>5-Hit DMG</v>
      </c>
      <c r="YU3" s="190" t="str">
        <f>"Charged Attack DMG"</f>
        <v>Charged Attack DMG</v>
      </c>
      <c r="YV3" s="190" t="str">
        <f>"Plunge DMG"</f>
        <v>Plunge DMG</v>
      </c>
      <c r="YW3" s="190" t="str">
        <f>"Low Plunge DMG"</f>
        <v>Low Plunge DMG</v>
      </c>
      <c r="YX3" s="190" t="str">
        <f>"High Plunge DMG"</f>
        <v>High Plunge DMG</v>
      </c>
      <c r="YY3" s="190" t="str">
        <f>"Flame DMG"</f>
        <v>Flame DMG</v>
      </c>
      <c r="YZ3" s="190" t="str">
        <f>"1-Hit Swing DMG"</f>
        <v>1-Hit Swing DMG</v>
      </c>
      <c r="ZA3" s="190" t="str">
        <f>"2-Hit Swing DMG"</f>
        <v>2-Hit Swing DMG</v>
      </c>
      <c r="ZB3" s="190" t="str">
        <f>"3-Hit Swing DMG"</f>
        <v>3-Hit Swing DMG</v>
      </c>
      <c r="ZC3" s="190" t="str">
        <f>"Pyronado DMG"</f>
        <v>Pyronado DMG</v>
      </c>
      <c r="ZD3" s="190" t="str">
        <f>"1-Hit DMG (*2)"</f>
        <v>1-Hit DMG (*2)</v>
      </c>
      <c r="ZE3" s="190" t="str">
        <f>"2-Hit DMG"</f>
        <v>2-Hit DMG</v>
      </c>
      <c r="ZF3" s="190" t="str">
        <f>"3-Hit DMG"</f>
        <v>3-Hit DMG</v>
      </c>
      <c r="ZG3" s="190" t="str">
        <f>"4-Hit DMG (*2)"</f>
        <v>4-Hit DMG (*2)</v>
      </c>
      <c r="ZH3" s="190" t="str">
        <f>"5-Hit DMG"</f>
        <v>5-Hit DMG</v>
      </c>
      <c r="ZI3" s="190" t="str">
        <f>"6-Hit DMG"</f>
        <v>6-Hit DMG</v>
      </c>
      <c r="ZJ3" s="190" t="str">
        <f>"Charged Attack DMG"</f>
        <v>Charged Attack DMG</v>
      </c>
      <c r="ZK3" s="190" t="str">
        <f>"Plunge DMG"</f>
        <v>Plunge DMG</v>
      </c>
      <c r="ZL3" s="190" t="str">
        <f>"Low Plunge DMG"</f>
        <v>Low Plunge DMG</v>
      </c>
      <c r="ZM3" s="190" t="str">
        <f>"High Plunge DMG"</f>
        <v>High Plunge DMG</v>
      </c>
      <c r="ZN3" s="190" t="str">
        <f>"Skill DMG (Skill)"</f>
        <v>Skill DMG (Skill)</v>
      </c>
      <c r="ZO3" s="190" t="str">
        <f>"1-Hit DMG"</f>
        <v>1-Hit DMG</v>
      </c>
      <c r="ZP3" s="190" t="str">
        <f>"2-Hit DMG"</f>
        <v>2-Hit DMG</v>
      </c>
      <c r="ZQ3" s="190" t="str">
        <f>"3-Hit DMG (*2)"</f>
        <v>3-Hit DMG (*2)</v>
      </c>
      <c r="ZR3" s="190" t="str">
        <f>"4-Hit DMG"</f>
        <v>4-Hit DMG</v>
      </c>
      <c r="ZS3" s="190" t="str">
        <f>"5-Hit DMG (*2)"</f>
        <v>5-Hit DMG (*2)</v>
      </c>
      <c r="ZT3" s="190" t="str">
        <f>"Charged Attack DMG (1/2)"</f>
        <v>Charged Attack DMG (1/2)</v>
      </c>
      <c r="ZU3" s="190" t="str">
        <f>"Charged Attack DMG (2/2)"</f>
        <v>Charged Attack DMG (2/2)</v>
      </c>
      <c r="ZV3" s="190" t="str">
        <f>"Plunge DMG"</f>
        <v>Plunge DMG</v>
      </c>
      <c r="ZW3" s="190" t="str">
        <f>"Low Plunge DMG"</f>
        <v>Low Plunge DMG</v>
      </c>
      <c r="ZX3" s="190" t="str">
        <f>"High Plunge DMG"</f>
        <v>High Plunge DMG</v>
      </c>
      <c r="ZY3" s="190" t="str">
        <f>"Skill DMG (1/2)"</f>
        <v>Skill DMG (1/2)</v>
      </c>
      <c r="ZZ3" s="190" t="str">
        <f>"Skill DMG (2/2)"</f>
        <v>Skill DMG (2/2)</v>
      </c>
      <c r="AAA3" s="190" t="str">
        <f>"Sword Rain DMG"</f>
        <v>Sword Rain DMG</v>
      </c>
      <c r="AAB3" s="190" t="str">
        <f>"1-Hit DMG"</f>
        <v>1-Hit DMG</v>
      </c>
      <c r="AAC3" s="190" t="str">
        <f>"2-Hit DMG"</f>
        <v>2-Hit DMG</v>
      </c>
      <c r="AAD3" s="190" t="str">
        <f>"3-Hit DMG"</f>
        <v>3-Hit DMG</v>
      </c>
      <c r="AAE3" s="190" t="str">
        <f>"4-Hit DMG"</f>
        <v>4-Hit DMG</v>
      </c>
      <c r="AAF3" s="190" t="str">
        <f>"Charged Attack Spinning DMG"</f>
        <v>Charged Attack Spinning DMG</v>
      </c>
      <c r="AAG3" s="190" t="str">
        <f>"Charged Attack Final DMG"</f>
        <v>Charged Attack Final DMG</v>
      </c>
      <c r="AAH3" s="190" t="str">
        <f>"Plunge DMG"</f>
        <v>Plunge DMG</v>
      </c>
      <c r="AAI3" s="190" t="str">
        <f>"Low Plunge DMG"</f>
        <v>Low Plunge DMG</v>
      </c>
      <c r="AAJ3" s="190" t="str">
        <f>"High Plunge DMG"</f>
        <v>High Plunge DMG</v>
      </c>
      <c r="AAK3" s="190" t="str">
        <f>"Swing DMG"</f>
        <v>Swing DMG</v>
      </c>
      <c r="AAL3" s="190" t="str">
        <f>"DoT (Skill)"</f>
        <v>DoT (Skill)</v>
      </c>
      <c r="AAM3" s="190" t="str">
        <f>"Skill DMG (Burst)"</f>
        <v>Skill DMG (Burst)</v>
      </c>
      <c r="AAN3" s="190" t="str">
        <f>"DoT (Burst)"</f>
        <v>DoT (Burst)</v>
      </c>
      <c r="AAO3" s="190" t="str">
        <f>"1-Hit DMG"</f>
        <v>1-Hit DMG</v>
      </c>
      <c r="AAP3" s="190" t="str">
        <f>"2-Hit DMG"</f>
        <v>2-Hit DMG</v>
      </c>
      <c r="AAQ3" s="190" t="str">
        <f>"3-Hit DMG"</f>
        <v>3-Hit DMG</v>
      </c>
      <c r="AAR3" s="190" t="str">
        <f>"Charged Attack DMG"</f>
        <v>Charged Attack DMG</v>
      </c>
      <c r="AAS3" s="190" t="str">
        <f>"Plunge DMG"</f>
        <v>Plunge DMG</v>
      </c>
      <c r="AAT3" s="190" t="str">
        <f>"Low Plunge DMG"</f>
        <v>Low Plunge DMG</v>
      </c>
      <c r="AAU3" s="190" t="str">
        <f>"High Plunge DMG"</f>
        <v>High Plunge DMG</v>
      </c>
      <c r="AAV3" s="190" t="str">
        <f>"Sesshou Sakura DMG: Level 1"</f>
        <v>Sesshou Sakura DMG: Level 1</v>
      </c>
      <c r="AAW3" s="190" t="str">
        <f>"Sesshou Sakura DMG: Level 2"</f>
        <v>Sesshou Sakura DMG: Level 2</v>
      </c>
      <c r="AAX3" s="190" t="str">
        <f>"Sesshou Sakura DMG: Level 3"</f>
        <v>Sesshou Sakura DMG: Level 3</v>
      </c>
      <c r="AAY3" s="190" t="str">
        <f>"Skill DMG (Burst)"</f>
        <v>Skill DMG (Burst)</v>
      </c>
      <c r="AAZ3" s="190" t="str">
        <f>"Tenko Thunderbolt DMG"</f>
        <v>Tenko Thunderbolt DMG</v>
      </c>
      <c r="ABA3" s="190" t="str">
        <f>"1-Hit DMG"</f>
        <v>1-Hit DMG</v>
      </c>
      <c r="ABB3" s="190" t="str">
        <f>"2-Hit DMG"</f>
        <v>2-Hit DMG</v>
      </c>
      <c r="ABC3" s="190" t="str">
        <f>"3-Hit DMG"</f>
        <v>3-Hit DMG</v>
      </c>
      <c r="ABD3" s="190" t="str">
        <f>"Charged Attack DMG (0 sigil)"</f>
        <v>Charged Attack DMG (0 sigil)</v>
      </c>
      <c r="ABE3" s="190" t="str">
        <f>"Charged Attack DMG (1 sigil)"</f>
        <v>Charged Attack DMG (1 sigil)</v>
      </c>
      <c r="ABF3" s="190" t="str">
        <f>"Charged Attack DMG (2 sigil)"</f>
        <v>Charged Attack DMG (2 sigil)</v>
      </c>
      <c r="ABG3" s="190" t="str">
        <f>"Charged Attack DMG (3 sigil)"</f>
        <v>Charged Attack DMG (3 sigil)</v>
      </c>
      <c r="ABH3" s="190" t="str">
        <f>"Plunge DMG"</f>
        <v>Plunge DMG</v>
      </c>
      <c r="ABI3" s="190" t="str">
        <f>"Low Plunge DMG"</f>
        <v>Low Plunge DMG</v>
      </c>
      <c r="ABJ3" s="190" t="str">
        <f>"High Plunge DMG"</f>
        <v>High Plunge DMG</v>
      </c>
      <c r="ABK3" s="190" t="str">
        <f>"A4"</f>
        <v>A4</v>
      </c>
      <c r="ABL3" s="190" t="str">
        <f>"Skill DMG (Skill)"</f>
        <v>Skill DMG (Skill)</v>
      </c>
      <c r="ABM3" s="190" t="str">
        <f>"Skill DMG (Burst)"</f>
        <v>Skill DMG (Burst)</v>
      </c>
      <c r="ABN3" s="190" t="str">
        <f>"1-Hit DMG"</f>
        <v>1-Hit DMG</v>
      </c>
      <c r="ABO3" s="190" t="str">
        <f>"2-Hit DMG"</f>
        <v>2-Hit DMG</v>
      </c>
      <c r="ABP3" s="190" t="str">
        <f>"3-Hit DMG"</f>
        <v>3-Hit DMG</v>
      </c>
      <c r="ABQ3" s="192" t="str">
        <f>"4-Hit DMG (*2)"</f>
        <v>4-Hit DMG (*2)</v>
      </c>
      <c r="ABR3" s="190" t="str">
        <f>"Aimed Shot"</f>
        <v>Aimed Shot</v>
      </c>
      <c r="ABS3" s="190" t="str">
        <f>"Fully-Charged Aimed Shot"</f>
        <v>Fully-Charged Aimed Shot</v>
      </c>
      <c r="ABT3" s="190" t="str">
        <f>"Breakthrough Barb DMG"</f>
        <v>Breakthrough Barb DMG</v>
      </c>
      <c r="ABU3" s="190" t="str">
        <f>"Plunge DMG"</f>
        <v>Plunge DMG</v>
      </c>
      <c r="ABV3" s="190" t="str">
        <f>"Low Plunge DMG"</f>
        <v>Low Plunge DMG</v>
      </c>
      <c r="ABW3" s="190" t="str">
        <f>"High Plunge DMG"</f>
        <v>High Plunge DMG</v>
      </c>
      <c r="ABX3" s="190" t="str">
        <f>"Skill DMG (Skill)"</f>
        <v>Skill DMG (Skill)</v>
      </c>
      <c r="ABY3" s="190" t="str">
        <f>"Skill DMG (Burst)"</f>
        <v>Skill DMG (Burst)</v>
      </c>
      <c r="ABZ3" s="190" t="str">
        <f>"Exquisite Throw DMG"</f>
        <v>Exquisite Throw DMG</v>
      </c>
      <c r="ACA3" s="190" t="str">
        <f>"1-Hit DMG (*2)"</f>
        <v>1-Hit DMG (*2)</v>
      </c>
      <c r="ACB3" s="190" t="str">
        <f>"2-Hit DMG"</f>
        <v>2-Hit DMG</v>
      </c>
      <c r="ACC3" s="190" t="str">
        <f>"3-Hit DMG"</f>
        <v>3-Hit DMG</v>
      </c>
      <c r="ACD3" s="190" t="str">
        <f>"4-Hit DMG (*2)"</f>
        <v>4-Hit DMG (*2)</v>
      </c>
      <c r="ACE3" s="190" t="str">
        <f>"5-Hit DMG"</f>
        <v>5-Hit DMG</v>
      </c>
      <c r="ACF3" s="190" t="str">
        <f>"Aimed Shot"</f>
        <v>Aimed Shot</v>
      </c>
      <c r="ACG3" s="190" t="str">
        <f>"Fully-Charged Aimed Shot"</f>
        <v>Fully-Charged Aimed Shot</v>
      </c>
      <c r="ACH3" s="190" t="str">
        <f>"Kindling Arrow DMG"</f>
        <v>Kindling Arrow DMG</v>
      </c>
      <c r="ACI3" s="190" t="str">
        <f>"Plunge DMG"</f>
        <v>Plunge DMG</v>
      </c>
      <c r="ACJ3" s="190" t="str">
        <f>"Low Plunge DMG"</f>
        <v>Low Plunge DMG</v>
      </c>
      <c r="ACK3" s="190" t="str">
        <f>"High Plunge DMG"</f>
        <v>High Plunge DMG</v>
      </c>
      <c r="ACL3" s="190" t="str">
        <f>"Skill DMG (Burst)"</f>
        <v>Skill DMG (Burst)</v>
      </c>
      <c r="ACM3" s="190" t="str">
        <f>"Aurous Blaze Explosion DMG"</f>
        <v>Aurous Blaze Explosion DMG</v>
      </c>
      <c r="ACN3" s="190" t="str">
        <f>"1-Hit DMG"</f>
        <v>1-Hit DMG</v>
      </c>
      <c r="ACO3" s="190" t="str">
        <f>"2-Hit DMG"</f>
        <v>2-Hit DMG</v>
      </c>
      <c r="ACP3" s="190" t="str">
        <f>"3-Hit DMG (1/2)"</f>
        <v>3-Hit DMG (1/2)</v>
      </c>
      <c r="ACQ3" s="190" t="str">
        <f>"3-Hit DMG (2/2)"</f>
        <v>3-Hit DMG (2/2)</v>
      </c>
      <c r="ACR3" s="190" t="str">
        <f>"4-Hit DMG (1/2)"</f>
        <v>4-Hit DMG (1/2)</v>
      </c>
      <c r="ACS3" s="190" t="str">
        <f>"4-Hit DMG (2/2)"</f>
        <v>4-Hit DMG (2/2)</v>
      </c>
      <c r="ACT3" s="190" t="str">
        <f>"5-Hit DMG"</f>
        <v>5-Hit DMG</v>
      </c>
      <c r="ACU3" s="190" t="str">
        <f>"Charged Attack DMG"</f>
        <v>Charged Attack DMG</v>
      </c>
      <c r="ACV3" s="190" t="str">
        <f>"Plunge DMG"</f>
        <v>Plunge DMG</v>
      </c>
      <c r="ACW3" s="190" t="str">
        <f>"Low Plunge DMG"</f>
        <v>Low Plunge DMG</v>
      </c>
      <c r="ACX3" s="190" t="str">
        <f>"High Plunge DMG"</f>
        <v>High Plunge DMG</v>
      </c>
      <c r="ACY3" s="190" t="str">
        <f>"Base DMG (Skill)"</f>
        <v>Base DMG (Skill)</v>
      </c>
      <c r="ACZ3" s="190" t="str">
        <f>"Level 1 DMG"</f>
        <v>Level 1 DMG</v>
      </c>
      <c r="ADA3" s="190" t="str">
        <f>"Level 2 DMG"</f>
        <v>Level 2 DMG</v>
      </c>
      <c r="ADB3" s="190" t="str">
        <f>"Skill DMG (Burst)"</f>
        <v>Skill DMG (Burst)</v>
      </c>
      <c r="ADC3" s="190" t="str">
        <f>"1-Hit DMG"</f>
        <v>1-Hit DMG</v>
      </c>
      <c r="ADD3" s="190" t="str">
        <f>"2-Hit DMG"</f>
        <v>2-Hit DMG</v>
      </c>
      <c r="ADE3" s="190" t="str">
        <f>"3-Hit DMG"</f>
        <v>3-Hit DMG</v>
      </c>
      <c r="ADF3" s="190" t="str">
        <f>"4-Hit DMG"</f>
        <v>4-Hit DMG</v>
      </c>
      <c r="ADG3" s="190" t="str">
        <f>"5-Hit DMG (*4)"</f>
        <v>5-Hit DMG (*4)</v>
      </c>
      <c r="ADH3" s="190" t="str">
        <f>"6-Hit DMG"</f>
        <v>6-Hit DMG</v>
      </c>
      <c r="ADI3" s="190" t="str">
        <f>"Charged Attack DMG"</f>
        <v>Charged Attack DMG</v>
      </c>
      <c r="ADJ3" s="190" t="str">
        <f>"Plunge DMG"</f>
        <v>Plunge DMG</v>
      </c>
      <c r="ADK3" s="190" t="str">
        <f>"Low Plunge DMG"</f>
        <v>Low Plunge DMG</v>
      </c>
      <c r="ADL3" s="190" t="str">
        <f>"High Plunge DMG"</f>
        <v>High Plunge DMG</v>
      </c>
      <c r="ADM3" s="190" t="str">
        <f>"Stone Stele"</f>
        <v>Stone Stele</v>
      </c>
      <c r="ADN3" s="190" t="str">
        <f>"Resonance"</f>
        <v>Resonance</v>
      </c>
      <c r="ADO3" s="190" t="str">
        <f>"Hold DMG"</f>
        <v>Hold DMG</v>
      </c>
      <c r="ADP3" s="190" t="str">
        <f>"Skill DMG (Burst)"</f>
        <v>Skill DMG (Burst)</v>
      </c>
      <c r="ADQ3" s="190" t="str">
        <f>"1-Hit DMG"</f>
        <v>1-Hit DMG</v>
      </c>
      <c r="ADR3" s="190" t="str">
        <f>"2-Hit DMG"</f>
        <v>2-Hit DMG</v>
      </c>
      <c r="ADS3" s="190" t="str">
        <f>"3-Hit DMG (*2)"</f>
        <v>3-Hit DMG (*2)</v>
      </c>
      <c r="ADT3" s="190" t="str">
        <f>"4-Hit DMG"</f>
        <v>4-Hit DMG</v>
      </c>
      <c r="ADU3" s="190" t="str">
        <f>"Charged Attack DMG"</f>
        <v>Charged Attack DMG</v>
      </c>
      <c r="ADV3" s="190" t="str">
        <f>"Plunge DMG"</f>
        <v>Plunge DMG</v>
      </c>
      <c r="ADW3" s="190" t="str">
        <f>"Low Plunge DMG"</f>
        <v>Low Plunge DMG</v>
      </c>
      <c r="ADX3" s="190" t="str">
        <f>"High Plunge DMG"</f>
        <v>High Plunge DMG</v>
      </c>
      <c r="ADY3" s="190" t="str">
        <f>"Skill DMG (Skill)"</f>
        <v>Skill DMG (Skill)</v>
      </c>
      <c r="ADZ3" s="190" t="str">
        <f>"Mortuary Rite DMG "</f>
        <v>Mortuary Rite DMG </v>
      </c>
      <c r="AEA3" s="190" t="str">
        <f>"Duststalker Bolt DMG"</f>
        <v>Duststalker Bolt DMG</v>
      </c>
      <c r="AEB3" s="190" t="str">
        <f>"1-Hit DMG (Burst)"</f>
        <v>1-Hit DMG (Burst)</v>
      </c>
      <c r="AEC3" s="190" t="str">
        <f>"2-Hit DMG (Burst)"</f>
        <v>2-Hit DMG (Burst)</v>
      </c>
      <c r="AED3" s="190" t="str">
        <f>"3-Hit DMG (Burst)"</f>
        <v>3-Hit DMG (Burst)</v>
      </c>
      <c r="AEE3" s="190" t="str">
        <f>"4-Hit DMG (*2) (Burst)"</f>
        <v>4-Hit DMG (*2) (Burst)</v>
      </c>
      <c r="AEF3" s="190" t="str">
        <f>"5-Hit DMG (Burst)"</f>
        <v>5-Hit DMG (Burst)</v>
      </c>
      <c r="AEG3" s="190" t="str">
        <f>"Charged Attack DMG (Burst)"</f>
        <v>Charged Attack DMG (Burst)</v>
      </c>
      <c r="AEH3" s="190" t="str">
        <f>"Plunge DMG (Burst)"</f>
        <v>Plunge DMG (Burst)</v>
      </c>
      <c r="AEI3" s="190" t="str">
        <f>"Low Plunge DMG (Burst)"</f>
        <v>Low Plunge DMG (Burst)</v>
      </c>
      <c r="AEJ3" s="190" t="str">
        <f>"High Plunge DMG (Burst)"</f>
        <v>High Plunge DMG (Burst)</v>
      </c>
      <c r="AEK3" s="190" t="str">
        <f>"1-Hit DMG"</f>
        <v>1-Hit DMG</v>
      </c>
      <c r="AEL3" s="190" t="str">
        <f>"2-Hit DMG"</f>
        <v>2-Hit DMG</v>
      </c>
      <c r="AEM3" s="190" t="str">
        <f>"3-Hit DMG"</f>
        <v>3-Hit DMG</v>
      </c>
      <c r="AEN3" s="190" t="str">
        <f>"Charged Attack DMG (1/2)"</f>
        <v>Charged Attack DMG (1/2)</v>
      </c>
      <c r="AEO3" s="190" t="str">
        <f>"Charged Attack DMG (2/2)"</f>
        <v>Charged Attack DMG (2/2)</v>
      </c>
      <c r="AEP3" s="190" t="str">
        <f>"Plunge DMG"</f>
        <v>Plunge DMG</v>
      </c>
      <c r="AEQ3" s="190" t="str">
        <f>"Low Plunge DMG"</f>
        <v>Low Plunge DMG</v>
      </c>
      <c r="AER3" s="190" t="str">
        <f>"High Plunge DMG"</f>
        <v>High Plunge DMG</v>
      </c>
      <c r="AES3" s="190" t="str">
        <f>"Skill DMG (Skill)"</f>
        <v>Skill DMG (Skill)</v>
      </c>
      <c r="AET3" s="190" t="str">
        <f>"Sword Dance 1-Hit DMG"</f>
        <v>Sword Dance 1-Hit DMG</v>
      </c>
      <c r="AEU3" s="190" t="str">
        <f>"Sword Dance 2-Hit DMG"</f>
        <v>Sword Dance 2-Hit DMG</v>
      </c>
      <c r="AEV3" s="190" t="str">
        <f>"Watery Moon DMG"</f>
        <v>Watery Moon DMG</v>
      </c>
      <c r="AEW3" s="190" t="str">
        <f>"Whirling Steps 1-Hit DMG"</f>
        <v>Whirling Steps 1-Hit DMG</v>
      </c>
      <c r="AEX3" s="190" t="str">
        <f>"Whirling Steps 2-Hit DMG"</f>
        <v>Whirling Steps 2-Hit DMG</v>
      </c>
      <c r="AEY3" s="190" t="str">
        <f>"Water Wheel DMG"</f>
        <v>Water Wheel DMG</v>
      </c>
      <c r="AEZ3" s="190" t="str">
        <f>"Skill DMG (Burst)"</f>
        <v>Skill DMG (Burst)</v>
      </c>
      <c r="AFA3" s="190" t="str">
        <f>"Lingering Aeon DMG"</f>
        <v>Lingering Aeon DMG</v>
      </c>
      <c r="AFB3" s="190" t="str">
        <f>"1-Hit DMG"</f>
        <v>1-Hit DMG</v>
      </c>
      <c r="AFC3" s="190" t="str">
        <f>"2-Hit DMG"</f>
        <v>2-Hit DMG</v>
      </c>
      <c r="AFD3" s="190" t="str">
        <f>"3-Hit DMG (1/2)"</f>
        <v>3-Hit DMG (1/2)</v>
      </c>
      <c r="AFE3" s="190" t="str">
        <f>"3-Hit DMG (2/2)"</f>
        <v>3-Hit DMG (2/2)</v>
      </c>
      <c r="AFF3" s="190" t="str">
        <f>"4-Hit DMG"</f>
        <v>4-Hit DMG</v>
      </c>
      <c r="AFG3" s="190" t="str">
        <f>"Charged Attack DMG"</f>
        <v>Charged Attack DMG</v>
      </c>
      <c r="AFH3" s="190" t="str">
        <f>"Plunge DMG"</f>
        <v>Plunge DMG</v>
      </c>
      <c r="AFI3" s="190" t="str">
        <f>"Low Plunge DMG"</f>
        <v>Low Plunge DMG</v>
      </c>
      <c r="AFJ3" s="190" t="str">
        <f>"High Plunge DMG"</f>
        <v>High Plunge DMG</v>
      </c>
      <c r="AFK3" s="190" t="str">
        <f>"Basic DMG"</f>
        <v>Basic DMG</v>
      </c>
      <c r="AFL3" s="190" t="str">
        <f>"Charged Up DMG"</f>
        <v>Charged Up DMG</v>
      </c>
      <c r="AFM3" s="190" t="str">
        <f>"Skill DMG (Burst)"</f>
        <v>Skill DMG (Burst)</v>
      </c>
      <c r="AFN3" s="190" t="str">
        <f>"Wave Impact DMG"</f>
        <v>Wave Impact DMG</v>
      </c>
      <c r="AFO3" s="192" t="str">
        <f>"1-Hit DMG"</f>
        <v>1-Hit DMG</v>
      </c>
      <c r="AFP3" s="192" t="str">
        <f>"2-Hit DMG"</f>
        <v>2-Hit DMG</v>
      </c>
      <c r="AFQ3" s="192" t="str">
        <f>"3-Hit DMG"</f>
        <v>3-Hit DMG</v>
      </c>
      <c r="AFR3" s="190" t="str">
        <f>"Charged Attack DMG 1"</f>
        <v>Charged Attack DMG 1</v>
      </c>
      <c r="AFS3" s="190" t="str">
        <f>"Charged Attack DMG 2"</f>
        <v>Charged Attack DMG 2</v>
      </c>
      <c r="AFT3" s="190" t="str">
        <f>"Plunge DMG"</f>
        <v>Plunge DMG</v>
      </c>
      <c r="AFU3" s="190" t="str">
        <f>"Low Plunge DMG"</f>
        <v>Low Plunge DMG</v>
      </c>
      <c r="AFV3" s="190" t="str">
        <f>"High Plunge DMG"</f>
        <v>High Plunge DMG</v>
      </c>
      <c r="AFW3" s="190" t="str">
        <f>"Skill DMG"</f>
        <v>Skill DMG</v>
      </c>
      <c r="AFX3" s="190" t="str">
        <f>"Shooting Star DMG"</f>
        <v>Shooting Star DMG</v>
      </c>
      <c r="AFY3" s="190" t="str">
        <f>"Starlight Slug DMG"</f>
        <v>Starlight Slug DMG</v>
      </c>
      <c r="AFZ3" s="190" t="str">
        <f>"1-Hit DMG"</f>
        <v>1-Hit DMG</v>
      </c>
      <c r="AGA3" s="190" t="str">
        <f>"2-Hit DMG"</f>
        <v>2-Hit DMG</v>
      </c>
      <c r="AGB3" s="190" t="str">
        <f>"3-Hit DMG"</f>
        <v>3-Hit DMG</v>
      </c>
      <c r="AGC3" s="190" t="str">
        <f>"4-Hit DMG"</f>
        <v>4-Hit DMG</v>
      </c>
      <c r="AGD3" s="190" t="str">
        <f>"Charged Attack DMG"</f>
        <v>Charged Attack DMG</v>
      </c>
      <c r="AGE3" s="190" t="str">
        <f>"Plunge DMG"</f>
        <v>Plunge DMG</v>
      </c>
      <c r="AGF3" s="190" t="str">
        <f>"Low Plunge DMG"</f>
        <v>Low Plunge DMG</v>
      </c>
      <c r="AGG3" s="190" t="str">
        <f>"High Plunge DMG"</f>
        <v>High Plunge DMG</v>
      </c>
      <c r="AGH3" s="190" t="str">
        <f>"Press DMG"</f>
        <v>Press DMG</v>
      </c>
      <c r="AGI3" s="190" t="str">
        <f>"Hold DMG"</f>
        <v>Hold DMG</v>
      </c>
      <c r="AGJ3" s="190" t="str">
        <f>"Tri-Karma Purification DMG"</f>
        <v>Tri-Karma Purification DMG</v>
      </c>
      <c r="AGK3" s="192" t="str">
        <f>"1-Hit DMG"</f>
        <v>1-Hit DMG</v>
      </c>
      <c r="AGL3" s="192" t="str">
        <f>"2-Hit DMG"</f>
        <v>2-Hit DMG</v>
      </c>
      <c r="AGM3" s="192" t="str">
        <f>"3-Hit DMG"</f>
        <v>3-Hit DMG</v>
      </c>
      <c r="AGN3" s="192" t="str">
        <f>"4-Hit DMG"</f>
        <v>4-Hit DMG</v>
      </c>
      <c r="AGO3" s="192" t="str">
        <f>"Aimed Shot"</f>
        <v>Aimed Shot</v>
      </c>
      <c r="AGP3" s="192" t="str">
        <f>"Fully-Charged Aimed Shot"</f>
        <v>Fully-Charged Aimed Shot</v>
      </c>
      <c r="AGQ3" s="4" t="str">
        <f>"Plunge DMG"</f>
        <v>Plunge DMG</v>
      </c>
      <c r="AGR3" s="4" t="str">
        <f>"Low Plunge DMG"</f>
        <v>Low Plunge DMG</v>
      </c>
      <c r="AGS3" s="4" t="str">
        <f>"High Plunge DMG"</f>
        <v>High Plunge DMG</v>
      </c>
      <c r="AGT3" s="4" t="str">
        <f>"Skill DMG (Skill)"</f>
        <v>Skill DMG (Skill)</v>
      </c>
      <c r="AGU3" s="4" t="str">
        <f>"Pressurized Collapse Vortex DMG"</f>
        <v>Pressurized Collapse Vortex DMG</v>
      </c>
      <c r="AGV3" s="4" t="str">
        <f>"Skill DMG (Burst)"</f>
        <v>Skill DMG (Burst)</v>
      </c>
      <c r="AGW3" s="193" t="str">
        <f>"1-Hit DMG No Skill"</f>
        <v>1-Hit DMG No Skill</v>
      </c>
      <c r="AGX3" s="194" t="str">
        <f>"2-Hit DMG No Skill"</f>
        <v>2-Hit DMG No Skill</v>
      </c>
      <c r="AGY3" s="194" t="str">
        <f>"3-Hit DMG x2 No Skill"</f>
        <v>3-Hit DMG x2 No Skill</v>
      </c>
      <c r="AGZ3" s="194" t="str">
        <f>"Charged Attack DMG No Skill"</f>
        <v>Charged Attack DMG No Skill</v>
      </c>
      <c r="AHA3" s="4" t="str">
        <f>"1-Hit DMG"</f>
        <v>1-Hit DMG</v>
      </c>
      <c r="AHB3" s="4" t="str">
        <f>"2-Hit DMG"</f>
        <v>2-Hit DMG</v>
      </c>
      <c r="AHC3" s="4" t="str">
        <f>"3-Hit DMG x2"</f>
        <v>3-Hit DMG x2</v>
      </c>
      <c r="AHD3" s="4" t="str">
        <f>"Charged Attack DMG"</f>
        <v>Charged Attack DMG</v>
      </c>
      <c r="AHE3" s="4" t="str">
        <f>"Plunge DMG"</f>
        <v>Plunge DMG</v>
      </c>
      <c r="AHF3" s="4" t="str">
        <f>"Low Plunge DMG"</f>
        <v>Low Plunge DMG</v>
      </c>
      <c r="AHG3" s="4" t="str">
        <f>"High Plunge DMG"</f>
        <v>High Plunge DMG</v>
      </c>
      <c r="AHH3" s="4" t="str">
        <f>"Skill DMG (Skill)"</f>
        <v>Skill DMG (Skill)</v>
      </c>
      <c r="AHI3" s="4" t="str">
        <f>"Skill DMG (Burst)"</f>
        <v>Skill DMG (Burst)</v>
      </c>
      <c r="AHJ3" s="4" t="str">
        <f>"Gales of Reverie"</f>
        <v>Gales of Reverie</v>
      </c>
      <c r="AHK3" s="4" t="str">
        <f>"1-Hit DMG"</f>
        <v>1-Hit DMG</v>
      </c>
      <c r="AHL3" s="4" t="str">
        <f>"2-Hit DMG"</f>
        <v>2-Hit DMG</v>
      </c>
      <c r="AHM3" s="4" t="str">
        <f>"3-Hit DMG x 2"</f>
        <v>3-Hit DMG x 2</v>
      </c>
      <c r="AHN3" s="4" t="str">
        <f>"4-Hit DMG"</f>
        <v>4-Hit DMG</v>
      </c>
      <c r="AHO3" s="4" t="str">
        <f>"5-Hit DMG"</f>
        <v>5-Hit DMG</v>
      </c>
      <c r="AHP3" s="4" t="str">
        <f>"Charged Attack DMG x 2"</f>
        <v>Charged Attack DMG x 2</v>
      </c>
      <c r="AHQ3" s="4" t="str">
        <f>"Plunge DMG"</f>
        <v>Plunge DMG</v>
      </c>
      <c r="AHR3" s="4" t="str">
        <f>"Low Plunge DMG"</f>
        <v>Low Plunge DMG</v>
      </c>
      <c r="AHS3" s="4" t="str">
        <f>"High Plunge DMG"</f>
        <v>High Plunge DMG</v>
      </c>
      <c r="AHT3" s="4" t="str">
        <f>"Rush Attack DMG"</f>
        <v>Rush Attack DMG</v>
      </c>
      <c r="AHU3" s="4" t="str">
        <f>"1-Mirror Projection Attack DMG"</f>
        <v>1-Mirror Projection Attack DMG</v>
      </c>
      <c r="AHV3" s="4" t="str">
        <f>"2-Mirror Projection Attack DMG x 2"</f>
        <v>2-Mirror Projection Attack DMG x 2</v>
      </c>
      <c r="AHW3" s="4" t="str">
        <f>"3-Mirror Projection Attack DMG x 3"</f>
        <v>3-Mirror Projection Attack DMG x 3</v>
      </c>
      <c r="AHX3" s="4" t="str">
        <f>"Single-Instance DMG"</f>
        <v>Single-Instance DMG</v>
      </c>
      <c r="AHY3" s="4" t="str">
        <f>"1-Hit DMG"</f>
        <v>1-Hit DMG</v>
      </c>
      <c r="AHZ3" s="4" t="str">
        <f>"2-Hit DMG"</f>
        <v>2-Hit DMG</v>
      </c>
      <c r="AIA3" s="4" t="str">
        <f>"3-Hit DMG 1"</f>
        <v>3-Hit DMG 1</v>
      </c>
      <c r="AIB3" s="4" t="str">
        <f>"3-Hit DMG 2"</f>
        <v>3-Hit DMG 2</v>
      </c>
      <c r="AIC3" s="4" t="str">
        <f>"4-Hit DMG"</f>
        <v>4-Hit DMG</v>
      </c>
      <c r="AID3" s="4" t="str">
        <f>"Charged Attack DMG"</f>
        <v>Charged Attack DMG</v>
      </c>
      <c r="AIE3" s="4" t="str">
        <f>"Plunge DMG"</f>
        <v>Plunge DMG</v>
      </c>
      <c r="AIF3" s="4" t="str">
        <f>"Low Plunge DMG"</f>
        <v>Low Plunge DMG</v>
      </c>
      <c r="AIG3" s="4" t="str">
        <f>"High Plunge DMG"</f>
        <v>High Plunge DMG</v>
      </c>
      <c r="AIH3" s="4" t="str">
        <f>"White Jade Radish DMG"</f>
        <v>White Jade Radish DMG</v>
      </c>
      <c r="AII3" s="4" t="str">
        <f>"Skill DMG"</f>
        <v>Skill DMG</v>
      </c>
      <c r="AIJ3" s="4" t="str">
        <f>"Adeptal Legacy White Radish DMG"</f>
        <v>Adeptal Legacy White Radish DMG</v>
      </c>
      <c r="AIK3" s="4" t="str">
        <f>"1-Hit DMG"</f>
        <v>1-Hit DMG</v>
      </c>
      <c r="AIL3" s="4" t="str">
        <f>"2-Hit DMG"</f>
        <v>2-Hit DMG</v>
      </c>
      <c r="AIM3" s="4" t="str">
        <f>"3-Hit DMG"</f>
        <v>3-Hit DMG</v>
      </c>
      <c r="AIN3" s="4" t="str">
        <f>"4-Hit DMG x2"</f>
        <v>4-Hit DMG x2</v>
      </c>
      <c r="AIO3" s="4" t="str">
        <f>"5-Hit DMG"</f>
        <v>5-Hit DMG</v>
      </c>
      <c r="AIP3" s="4" t="str">
        <f>"Charged Attack DMG"</f>
        <v>Charged Attack DMG</v>
      </c>
      <c r="AIQ3" s="4" t="str">
        <f>"Plunge DMG"</f>
        <v>Plunge DMG</v>
      </c>
      <c r="AIR3" s="4" t="str">
        <f>"Low Plunge DMG"</f>
        <v>Low Plunge DMG</v>
      </c>
      <c r="AIS3" s="4" t="str">
        <f>"High Plunge DMG"</f>
        <v>High Plunge DMG</v>
      </c>
      <c r="AIT3" s="4" t="str">
        <f>"Flowfrost Arrow DMG"</f>
        <v>Flowfrost Arrow DMG</v>
      </c>
      <c r="AIU3" s="4" t="str">
        <f>"Rimestar Flare"</f>
        <v>Rimestar Flare</v>
      </c>
      <c r="AIV3" s="4" t="str">
        <f>"Rimestar Shard DMG"</f>
        <v>Rimestar Shard DMG</v>
      </c>
      <c r="AIW3" s="4" t="str">
        <f>"1-Hit DMG"</f>
        <v>1-Hit DMG</v>
      </c>
      <c r="AIX3" s="4" t="str">
        <f>"2-Hit DMG"</f>
        <v>2-Hit DMG</v>
      </c>
      <c r="AIY3" s="4" t="str">
        <f>"3-Hit DMG"</f>
        <v>3-Hit DMG</v>
      </c>
      <c r="AIZ3" s="4" t="str">
        <f>"4-Hit DMG"</f>
        <v>4-Hit DMG</v>
      </c>
      <c r="AJA3" s="4" t="str">
        <f>"Charged Attack Cyclic DMG"</f>
        <v>Charged Attack Cyclic DMG</v>
      </c>
      <c r="AJB3" s="4" t="str">
        <f>"Charged Attack Final DMG"</f>
        <v>Charged Attack Final DMG</v>
      </c>
      <c r="AJC3" s="4" t="str">
        <f>"Plunge DMG"</f>
        <v>Plunge DMG</v>
      </c>
      <c r="AJD3" s="4" t="str">
        <f>"Low Plunge DMG"</f>
        <v>Low Plunge DMG</v>
      </c>
      <c r="AJE3" s="4" t="str">
        <f>"High Plunge DMG"</f>
        <v>High Plunge DMG</v>
      </c>
      <c r="AJF3" s="4" t="str">
        <f>"Indomitable Flame DMG"</f>
        <v>Indomitable Flame DMG</v>
      </c>
      <c r="AJG3" s="4" t="str">
        <f>"Ranging Flame DMG"</f>
        <v>Ranging Flame DMG</v>
      </c>
      <c r="AJH3" s="4" t="str">
        <f>"Field DMG"</f>
        <v>Field DMG</v>
      </c>
      <c r="AJI3" s="4" t="str">
        <f>"Flame-Mane's Fist DMG"</f>
        <v>Flame-Mane's Fist DMG</v>
      </c>
      <c r="AJJ3" s="4" t="str">
        <f>"Incineration Drive DMG"</f>
        <v>Incineration Drive DMG</v>
      </c>
      <c r="AJK3" s="4" t="str">
        <f>"1-Hit DMG"</f>
        <v>1-Hit DMG</v>
      </c>
      <c r="AJL3" s="4" t="str">
        <f>"2-Hit DMG"</f>
        <v>2-Hit DMG</v>
      </c>
      <c r="AJM3" s="4" t="str">
        <f>"3-Hit DMG x 2"</f>
        <v>3-Hit DMG x 2</v>
      </c>
      <c r="AJN3" s="4" t="str">
        <f>"4-Hit DMG"</f>
        <v>4-Hit DMG</v>
      </c>
      <c r="AJO3" s="4" t="str">
        <f>"Charged Attack DMG"</f>
        <v>Charged Attack DMG</v>
      </c>
      <c r="AJP3" s="4" t="str">
        <f>"Plunge DMG"</f>
        <v>Plunge DMG</v>
      </c>
      <c r="AJQ3" s="4" t="str">
        <f>"Low Plunge DMG"</f>
        <v>Low Plunge DMG</v>
      </c>
      <c r="AJR3" s="4" t="str">
        <f>"High Plunge DMG"</f>
        <v>High Plunge DMG</v>
      </c>
      <c r="AJS3" s="4" t="str">
        <f>"Skill DMG"</f>
        <v>Skill DMG</v>
      </c>
      <c r="AJT3" s="4" t="str">
        <f>"Spiritvein DMG"</f>
        <v>Spiritvein DMG</v>
      </c>
      <c r="AJU3" s="4" t="str">
        <f>"1-Hit DMG"</f>
        <v>1-Hit DMG</v>
      </c>
      <c r="AJV3" s="4" t="str">
        <f>"2-Hit DMG"</f>
        <v>2-Hit DMG</v>
      </c>
      <c r="AJW3" s="4" t="str">
        <f>"3-Hit DMG"</f>
        <v>3-Hit DMG</v>
      </c>
      <c r="AJX3" s="4" t="str">
        <f>"4-Hit DMG"</f>
        <v>4-Hit DMG</v>
      </c>
      <c r="AJY3" s="4" t="str">
        <f>"Charged Attack Cyclic DMG"</f>
        <v>Charged Attack Cyclic DMG</v>
      </c>
      <c r="AJZ3" s="4" t="str">
        <f>"Charged Attack Final DMG"</f>
        <v>Charged Attack Final DMG</v>
      </c>
      <c r="AKA3" s="4" t="str">
        <f>"Plunge DMG"</f>
        <v>Plunge DMG</v>
      </c>
      <c r="AKB3" s="4" t="str">
        <f>"Low Plunge DMG"</f>
        <v>Low Plunge DMG</v>
      </c>
      <c r="AKC3" s="4" t="str">
        <f>"High Plunge DMG"</f>
        <v>High Plunge DMG</v>
      </c>
      <c r="AKD3" s="4" t="str">
        <f>"Skill DMG (skill)"</f>
        <v>Skill DMG (skill)</v>
      </c>
      <c r="AKE3" s="4" t="str">
        <f>"Skill DMG (burst)"</f>
        <v>Skill DMG (burst)</v>
      </c>
      <c r="AKF3" s="4" t="str">
        <f>"1-Hit DMG"</f>
        <v>1-Hit DMG</v>
      </c>
      <c r="AKG3" s="4" t="str">
        <f>"2-Hit DMG"</f>
        <v>2-Hit DMG</v>
      </c>
      <c r="AKH3" s="4" t="str">
        <f>"3-Hit DMG 1"</f>
        <v>3-Hit DMG 1</v>
      </c>
      <c r="AKI3" s="4" t="str">
        <f>"3-Hit DMG 2"</f>
        <v>3-Hit DMG 2</v>
      </c>
      <c r="AKJ3" s="4" t="str">
        <f>"4-Hit DMG"</f>
        <v>4-Hit DMG</v>
      </c>
      <c r="AKK3" s="4" t="str">
        <f>"Charged Attack DMG 1"</f>
        <v>Charged Attack DMG 1</v>
      </c>
      <c r="AKL3" s="4" t="str">
        <f>"Charged Attack DMG 2 x2"</f>
        <v>Charged Attack DMG 2 x2</v>
      </c>
      <c r="AKM3" s="4" t="str">
        <f>"Plunge DMG"</f>
        <v>Plunge DMG</v>
      </c>
      <c r="AKN3" s="4" t="str">
        <f>"Low Plunge DMG"</f>
        <v>Low Plunge DMG</v>
      </c>
      <c r="AKO3" s="4" t="str">
        <f>"High Plunge DMG"</f>
        <v>High Plunge DMG</v>
      </c>
      <c r="AKP3" s="4" t="str">
        <f>"Tail-Flicking Flying Kick DMG"</f>
        <v>Tail-Flicking Flying Kick DMG</v>
      </c>
      <c r="AKQ3" s="4" t="str">
        <f>"Urgent Neko Parcel Hit DMG"</f>
        <v>Urgent Neko Parcel Hit DMG</v>
      </c>
      <c r="AKR3" s="4" t="str">
        <f>"Flipclaw Strike DMG"</f>
        <v>Flipclaw Strike DMG</v>
      </c>
      <c r="AKS3" s="4" t="str">
        <f>"Skill DMG (burst)"</f>
        <v>Skill DMG (burst)</v>
      </c>
      <c r="AKT3" s="4" t="str">
        <f>"Cat Grass Cardamom Explosion DMG"</f>
        <v>Cat Grass Cardamom Explosion DMG</v>
      </c>
      <c r="AKU3" s="4" t="str">
        <f>"1-Hit DMG"</f>
        <v>1-Hit DMG</v>
      </c>
      <c r="AKV3" s="4" t="str">
        <f>"2-Hit DMG"</f>
        <v>2-Hit DMG</v>
      </c>
      <c r="AKW3" s="4" t="str">
        <f>"3-Hit DMG"</f>
        <v>3-Hit DMG</v>
      </c>
      <c r="AKX3" s="4" t="str">
        <f>"4-Hit DMG"</f>
        <v>4-Hit DMG</v>
      </c>
      <c r="AKY3" s="4" t="str">
        <f>"5-Hit DMG"</f>
        <v>5-Hit DMG</v>
      </c>
      <c r="AKZ3" s="4" t="str">
        <f>"Charged Attack DMG (1/2) (Aether)"</f>
        <v>Charged Attack DMG (1/2) (Aether)</v>
      </c>
      <c r="ALA3" s="4" t="str">
        <f>"Charged Attack DMG (2/2) (Aether)"</f>
        <v>Charged Attack DMG (2/2) (Aether)</v>
      </c>
      <c r="ALB3" s="4" t="str">
        <f>"Charged Attack DMG (1/2) (Lumine)"</f>
        <v>Charged Attack DMG (1/2) (Lumine)</v>
      </c>
      <c r="ALC3" s="4" t="str">
        <f>"Charged Attack DMG (2/2) (Lumine)"</f>
        <v>Charged Attack DMG (2/2) (Lumine)</v>
      </c>
      <c r="ALD3" s="4" t="str">
        <f>"Plunge DMG"</f>
        <v>Plunge DMG</v>
      </c>
      <c r="ALE3" s="4" t="str">
        <f>"Low Plunge DMG"</f>
        <v>Low Plunge DMG</v>
      </c>
      <c r="ALF3" s="4" t="str">
        <f>"High Plunge DMG"</f>
        <v>High Plunge DMG</v>
      </c>
      <c r="ALG3" s="4" t="str">
        <f>"Dewdrop DMG"</f>
        <v>Dewdrop DMG</v>
      </c>
      <c r="ALH3" s="4" t="str">
        <f>"Dewdrop DMG &lt;50%"</f>
        <v>Dewdrop DMG &lt;50%</v>
      </c>
      <c r="ALI3" s="4" t="str">
        <f>"Torrent Surge DMG"</f>
        <v>Torrent Surge DMG</v>
      </c>
      <c r="ALJ3" s="4" t="str">
        <f>"Torrent Surge DMG (unbuffed)"</f>
        <v>Torrent Surge DMG (unbuffed)</v>
      </c>
      <c r="ALK3" s="4" t="str">
        <f>"Spiritbreath Thorn DMG"</f>
        <v>Spiritbreath Thorn DMG</v>
      </c>
      <c r="ALL3" s="4" t="str">
        <f>"Skill DMG (Burst)"</f>
        <v>Skill DMG (Burst)</v>
      </c>
      <c r="ALM3" s="4" t="str">
        <f>"1-Hit DMG"</f>
        <v>1-Hit DMG</v>
      </c>
      <c r="ALN3" s="4" t="str">
        <f>"2-Hit DMG"</f>
        <v>2-Hit DMG</v>
      </c>
      <c r="ALO3" s="4" t="str">
        <f>"3-Hit DMG Hit 1"</f>
        <v>3-Hit DMG Hit 1</v>
      </c>
      <c r="ALP3" s="4" t="str">
        <f>"3-Hit DMG Hit 2"</f>
        <v>3-Hit DMG Hit 2</v>
      </c>
      <c r="ALQ3" s="4" t="str">
        <f>"4-Hit DMG"</f>
        <v>4-Hit DMG</v>
      </c>
      <c r="ALR3" s="4" t="str">
        <f>"Charged Attack DMG 1"</f>
        <v>Charged Attack DMG 1</v>
      </c>
      <c r="ALS3" s="4" t="str">
        <f>"Charged Attack DMG 2"</f>
        <v>Charged Attack DMG 2</v>
      </c>
      <c r="ALT3" s="4" t="str">
        <f>"Plunge DMG"</f>
        <v>Plunge DMG</v>
      </c>
      <c r="ALU3" s="4" t="str">
        <f>"Low Plunge DMG"</f>
        <v>Low Plunge DMG</v>
      </c>
      <c r="ALV3" s="4" t="str">
        <f>"High Plunge DMG"</f>
        <v>High Plunge DMG</v>
      </c>
      <c r="ALW3" s="4" t="str">
        <f>"Enigma Thrust DMG"</f>
        <v>Enigma Thrust DMG</v>
      </c>
      <c r="ALX3" s="4" t="str">
        <f>"Surging Blade DMG"</f>
        <v>Surging Blade DMG</v>
      </c>
      <c r="ALY3" s="4" t="str">
        <f>"Skill DMG (burst)"</f>
        <v>Skill DMG (burst)</v>
      </c>
      <c r="ALZ3" s="4" t="str">
        <f>"Bogglecat Box DMG'"</f>
        <v>Bogglecat Box DMG'</v>
      </c>
      <c r="AMA3" s="4" t="str">
        <f>"Vivid Shot DMG"</f>
        <v>Vivid Shot DMG</v>
      </c>
      <c r="AMB3" s="4" t="str">
        <f>"1-Hit DMG"</f>
        <v>1-Hit DMG</v>
      </c>
      <c r="AMC3" s="4" t="str">
        <f>"2-Hit DMG"</f>
        <v>2-Hit DMG</v>
      </c>
      <c r="AMD3" s="4" t="str">
        <f>"3-Hit DMG Hit 1"</f>
        <v>3-Hit DMG Hit 1</v>
      </c>
      <c r="AME3" s="4" t="str">
        <f>"3-Hit DMG Hit 2"</f>
        <v>3-Hit DMG Hit 2</v>
      </c>
      <c r="AMF3" s="4" t="str">
        <f>"4-Hit DMG"</f>
        <v>4-Hit DMG</v>
      </c>
      <c r="AMG3" s="4" t="str">
        <f>"Aimed Shot"</f>
        <v>Aimed Shot</v>
      </c>
      <c r="AMH3" s="4" t="str">
        <f>"Aimed Shot Charge Level 1"</f>
        <v>Aimed Shot Charge Level 1</v>
      </c>
      <c r="AMI3" s="4" t="str">
        <f>"Prop Arrow DMG"</f>
        <v>Prop Arrow DMG</v>
      </c>
      <c r="AMJ3" s="4" t="str">
        <f>"Pyrotechnic Strike DMG"</f>
        <v>Pyrotechnic Strike DMG</v>
      </c>
      <c r="AMK3" s="4" t="str">
        <f>"Pyrotechnic Strike DMG (With A1)"</f>
        <v>Pyrotechnic Strike DMG (With A1)</v>
      </c>
      <c r="AML3" s="4" t="str">
        <f>"Spiritbreath Thorn DMG"</f>
        <v>Spiritbreath Thorn DMG</v>
      </c>
      <c r="AMM3" s="4" t="str">
        <f>"Plunge DMG"</f>
        <v>Plunge DMG</v>
      </c>
      <c r="AMN3" s="4" t="str">
        <f>"Low Plunge DMG"</f>
        <v>Low Plunge DMG</v>
      </c>
      <c r="AMO3" s="4" t="str">
        <f>"High Plunge DMG"</f>
        <v>High Plunge DMG</v>
      </c>
      <c r="AMP3" s="4" t="str">
        <f>"Skill DMG (0 Stacks)"</f>
        <v>Skill DMG (0 Stacks)</v>
      </c>
      <c r="AMQ3" s="4" t="str">
        <f>"Skill DMG (1 Stack)"</f>
        <v>Skill DMG (1 Stack)</v>
      </c>
      <c r="AMR3" s="4" t="str">
        <f>"Skill DMG (2 Stacks)"</f>
        <v>Skill DMG (2 Stacks)</v>
      </c>
      <c r="AMS3" s="4" t="str">
        <f>"Skill DMG (3 Stacks)"</f>
        <v>Skill DMG (3 Stacks)</v>
      </c>
      <c r="AMT3" s="4" t="str">
        <f>"Skill DMG (4 Stacks)"</f>
        <v>Skill DMG (4 Stacks)</v>
      </c>
      <c r="AMU3" s="4" t="str">
        <f>"Skill DMG (5 Stacks)"</f>
        <v>Skill DMG (5 Stacks)</v>
      </c>
      <c r="AMV3" s="4" t="str">
        <f>"Skill DMG (Burst)"</f>
        <v>Skill DMG (Burst)</v>
      </c>
      <c r="AMW3" s="4" t="str">
        <f>"Explosive Firework DMG"</f>
        <v>Explosive Firework DMG</v>
      </c>
      <c r="AMX3" s="4" t="str">
        <f>"1-Hit DMG"</f>
        <v>1-Hit DMG</v>
      </c>
      <c r="AMY3" s="4" t="str">
        <f>"2-Hit DMG"</f>
        <v>2-Hit DMG</v>
      </c>
      <c r="AMZ3" s="4" t="str">
        <f>"3-Hit DMG"</f>
        <v>3-Hit DMG</v>
      </c>
      <c r="ANA3" s="4" t="str">
        <f>"4-Hit DMG"</f>
        <v>4-Hit DMG</v>
      </c>
      <c r="ANB3" s="4" t="str">
        <f>"Charged Attack Cyclic DMG"</f>
        <v>Charged Attack Cyclic DMG</v>
      </c>
      <c r="ANC3" s="4" t="str">
        <f>"Charged Attack Final DMG"</f>
        <v>Charged Attack Final DMG</v>
      </c>
      <c r="AND3" s="4" t="str">
        <f>"Plunge DMG"</f>
        <v>Plunge DMG</v>
      </c>
      <c r="ANE3" s="4" t="str">
        <f>"Low Plunge DMG"</f>
        <v>Low Plunge DMG</v>
      </c>
      <c r="ANF3" s="4" t="str">
        <f>"High Plunge DMG"</f>
        <v>High Plunge DMG</v>
      </c>
      <c r="ANG3" s="4" t="str">
        <f>"Upward Thrust DMG"</f>
        <v>Upward Thrust DMG</v>
      </c>
      <c r="ANH3" s="4" t="str">
        <f>"Frost DMG"</f>
        <v>Frost DMG</v>
      </c>
      <c r="ANI3" s="4" t="str">
        <f>"Frost DMG (Burst Active)"</f>
        <v>Frost DMG (Burst Active)</v>
      </c>
      <c r="ANJ3" s="4" t="str">
        <f>"Level 0 Shattering Pressure DMG"</f>
        <v>Level 0 Shattering Pressure DMG</v>
      </c>
      <c r="ANK3" s="4" t="str">
        <f>"Level 1 Shattering Pressure Cryo DMG" </f>
        <v>Level 1 Shattering Pressure Cryo DMG</v>
      </c>
      <c r="ANL3" s="4" t="str">
        <f>"Level 1 Shattering Pressure Phys DMG" </f>
        <v>Level 1 Shattering Pressure Phys DMG</v>
      </c>
      <c r="ANM3" s="4" t="str">
        <f>"Level 2 Shattering Pressure Cryo DMG" </f>
        <v>Level 2 Shattering Pressure Cryo DMG</v>
      </c>
      <c r="ANN3" s="4" t="str">
        <f>"Level 2 Shattering Pressure Phys DMG" </f>
        <v>Level 2 Shattering Pressure Phys DMG</v>
      </c>
      <c r="ANO3" s="4" t="str">
        <f>"Level 3 Shattering Pressure Cryo DMG"</f>
        <v>Level 3 Shattering Pressure Cryo DMG</v>
      </c>
      <c r="ANP3" s="4" t="str">
        <f>"Level 3 Shattering Pressure Phys DMG"</f>
        <v>Level 3 Shattering Pressure Phys DMG</v>
      </c>
      <c r="ANQ3" s="4" t="str">
        <f>"Level 4 Shattering Pressure DMG"</f>
        <v>Level 4 Shattering Pressure DMG</v>
      </c>
      <c r="ANR3" s="4" t="str">
        <f>"Spiritbreath Thorn DMG"</f>
        <v>Spiritbreath Thorn DMG</v>
      </c>
      <c r="ANS3" s="4" t="str">
        <f>"Skill DMG (Burst)"</f>
        <v>Skill DMG (Burst)</v>
      </c>
      <c r="ANT3" s="4" t="str">
        <f>"1-Hit DMG"</f>
        <v>1-Hit DMG</v>
      </c>
      <c r="ANU3" s="4" t="str">
        <f>"2-Hit DMG"</f>
        <v>2-Hit DMG</v>
      </c>
      <c r="ANV3" s="4" t="str">
        <f>"3-Hit DMG"</f>
        <v>3-Hit DMG</v>
      </c>
      <c r="ANW3" s="4" t="str">
        <f>"Charged Attack DMG"</f>
        <v>Charged Attack DMG</v>
      </c>
      <c r="ANX3" s="4" t="str">
        <f>"Plunge DMG"</f>
        <v>Plunge DMG</v>
      </c>
      <c r="ANY3" s="4" t="str">
        <f>"Low Plunge DMG"</f>
        <v>Low Plunge DMG</v>
      </c>
      <c r="ANZ3" s="4" t="str">
        <f>"High Plunge DMG"</f>
        <v>High Plunge DMG</v>
      </c>
      <c r="AOA3" s="4" t="str">
        <f>"Charged Attack: Equitable Judgment"</f>
        <v>Charged Attack: Equitable Judgment</v>
      </c>
      <c r="AOB3" s="4" t="str">
        <f>"Charged Attack: Equitable Judgment - 1 Stack"</f>
        <v>Charged Attack: Equitable Judgment - 1 Stack</v>
      </c>
      <c r="AOC3" s="4" t="str">
        <f>"Charged Attack: Equitable Judgment - 2 Stacks"</f>
        <v>Charged Attack: Equitable Judgment - 2 Stacks</v>
      </c>
      <c r="AOD3" s="4" t="str">
        <f>"Charged Attack: Equitable Judgment - 3 Stacks"</f>
        <v>Charged Attack: Equitable Judgment - 3 Stacks</v>
      </c>
      <c r="AOE3" s="4" t="str">
        <f>"Skill DMG (Skill)"</f>
        <v>Skill DMG (Skill)</v>
      </c>
      <c r="AOF3" s="4" t="str">
        <f>"Spiritbreath Thorn DMG"</f>
        <v>Spiritbreath Thorn DMG</v>
      </c>
      <c r="AOG3" s="4" t="str">
        <f>"Skill DMG (Burst)"</f>
        <v>Skill DMG (Burst)</v>
      </c>
      <c r="AOH3" s="4" t="str">
        <f>"Waterfall DMG"</f>
        <v>Waterfall DMG</v>
      </c>
      <c r="AOI3" s="4" t="str">
        <f>"1-Hit DMG"</f>
        <v>1-Hit DMG</v>
      </c>
      <c r="AOJ3" s="4" t="str">
        <f>"1-Hit DMG (Skill Active)"</f>
        <v>1-Hit DMG (Skill Active)</v>
      </c>
      <c r="AOK3" s="4" t="str">
        <f>"2-Hit DMG"</f>
        <v>2-Hit DMG</v>
      </c>
      <c r="AOL3" s="4" t="str">
        <f>"2-Hit DMG (Skill Active)"</f>
        <v>2-Hit DMG (Skill Active)</v>
      </c>
      <c r="AOM3" s="4" t="str">
        <f>"3-Hit DMG"</f>
        <v>3-Hit DMG</v>
      </c>
      <c r="AON3" s="4" t="str">
        <f>"3-Hit DMG (Skill Active)"</f>
        <v>3-Hit DMG (Skill Active)</v>
      </c>
      <c r="AOO3" s="4" t="str">
        <f>"4-Hit DMG x 2"</f>
        <v>4-Hit DMG x 2</v>
      </c>
      <c r="AOP3" s="4" t="str">
        <f>"4-Hit DMG  x 2 (Skill Active)"</f>
        <v>4-Hit DMG  x 2 (Skill Active)</v>
      </c>
      <c r="AOQ3" s="4" t="str">
        <f>"5-Hit DMG"</f>
        <v>5-Hit DMG</v>
      </c>
      <c r="AOR3" s="4" t="str">
        <f>"5-Hit DMG (Skill Active)"</f>
        <v>5-Hit DMG (Skill Active)</v>
      </c>
      <c r="AOS3" s="4" t="str">
        <f>"Charged Attack DMG"</f>
        <v>Charged Attack DMG</v>
      </c>
      <c r="AOT3" s="4" t="str">
        <f>"Plunge DMG"</f>
        <v>Plunge DMG</v>
      </c>
      <c r="AOU3" s="4" t="str">
        <f>"Low Plunge DMG"</f>
        <v>Low Plunge DMG</v>
      </c>
      <c r="AOV3" s="4" t="str">
        <f>"High Plunge DMG"</f>
        <v>High Plunge DMG</v>
      </c>
      <c r="AOW3" s="4" t="str">
        <f>"Skill DMG (Burst)"</f>
        <v>Skill DMG (Burst)</v>
      </c>
      <c r="AOX3" s="4" t="str">
        <f>"Surging Blade DMG"</f>
        <v>Surging Blade DMG</v>
      </c>
      <c r="AOY3" s="4" t="str">
        <f>"1-Hit DMG"</f>
        <v>1-Hit DMG</v>
      </c>
      <c r="AOZ3" s="4" t="str">
        <f>"2-Hit DMG"</f>
        <v>2-Hit DMG</v>
      </c>
      <c r="APA3" s="4" t="str">
        <f>"3-Hit DMG"</f>
        <v>3-Hit DMG</v>
      </c>
      <c r="APB3" s="4" t="str">
        <f>"Charged Attack DMG"</f>
        <v>Charged Attack DMG</v>
      </c>
      <c r="APC3" s="4" t="str">
        <f>"Plunge DMG"</f>
        <v>Plunge DMG</v>
      </c>
      <c r="APD3" s="4" t="str">
        <f>"Low Plunge DMG"</f>
        <v>Low Plunge DMG</v>
      </c>
      <c r="APE3" s="4" t="str">
        <f>"High Plunge DMG"</f>
        <v>High Plunge DMG</v>
      </c>
      <c r="APF3" s="4" t="str">
        <f>"Spiritbreath Thorn DMG"</f>
        <v>Spiritbreath Thorn DMG</v>
      </c>
      <c r="APG3" s="4" t="str">
        <f>"Photo DMG (Press)"</f>
        <v>Photo DMG (Press)</v>
      </c>
      <c r="APH3" s="4" t="str">
        <f>"Photo DMG (Hold)"</f>
        <v>Photo DMG (Hold)</v>
      </c>
      <c r="API3" s="4" t="str">
        <f>"'Snappy Silhouette' Mark DMG"</f>
        <v>'Snappy Silhouette' Mark DMG</v>
      </c>
      <c r="APJ3" s="4" t="str">
        <f>"'Focused Impression' Mark DMG"</f>
        <v>'Focused Impression' Mark DMG</v>
      </c>
      <c r="APK3" s="4" t="str">
        <f>"Skill DMG (Burst)"</f>
        <v>Skill DMG (Burst)</v>
      </c>
      <c r="APL3" s="4" t="str">
        <f>"Kamera DMG"</f>
        <v>Kamera DMG</v>
      </c>
      <c r="APM3" s="4" t="str">
        <f>"1-Hit DMG"</f>
        <v>1-Hit DMG</v>
      </c>
      <c r="APN3" s="4" t="str">
        <f>"2-Hit DMG"</f>
        <v>2-Hit DMG</v>
      </c>
      <c r="APO3" s="4" t="str">
        <f>"3-Hit DMG"</f>
        <v>3-Hit DMG</v>
      </c>
      <c r="APP3" s="4" t="str">
        <f>"4-Hit DMG"</f>
        <v>4-Hit DMG</v>
      </c>
      <c r="APQ3" s="4" t="str">
        <f>"Charged Attack DMG"</f>
        <v>Charged Attack DMG</v>
      </c>
      <c r="APR3" s="4" t="str">
        <f>"Plunge DMG"</f>
        <v>Plunge DMG</v>
      </c>
      <c r="APS3" s="4" t="str">
        <f>"Low Plunge DMG"</f>
        <v>Low Plunge DMG</v>
      </c>
      <c r="APT3" s="4" t="str">
        <f>"High Plunge DMG"</f>
        <v>High Plunge DMG</v>
      </c>
      <c r="APU3" s="4" t="str">
        <f>"Spiritbreath Thorn/Surging Blade DMG"</f>
        <v>Spiritbreath Thorn/Surging Blade DMG</v>
      </c>
      <c r="APV3" s="4" t="str">
        <f>"Ousia Bubble DMG"</f>
        <v>Ousia Bubble DMG</v>
      </c>
      <c r="APW3" s="4" t="str">
        <f>"Gentilhomme Usher DMG (0 stacks)"</f>
        <v>Gentilhomme Usher DMG (0 stacks)</v>
      </c>
      <c r="APX3" s="4" t="str">
        <f>"Gentilhomme Usher DMG (1 stack)"</f>
        <v>Gentilhomme Usher DMG (1 stack)</v>
      </c>
      <c r="APY3" s="4" t="str">
        <f>"Gentilhomme Usher DMG (2 Stacks)"</f>
        <v>Gentilhomme Usher DMG (2 Stacks)</v>
      </c>
      <c r="APZ3" s="4" t="str">
        <f>"Gentilhomme Usher DMG (3 stacks)"</f>
        <v>Gentilhomme Usher DMG (3 stacks)</v>
      </c>
      <c r="AQA3" s="4" t="str">
        <f>"Gentilhomme Usher DMG (4 stacks)"</f>
        <v>Gentilhomme Usher DMG (4 stacks)</v>
      </c>
      <c r="AQB3" s="4" t="str">
        <f>"Surintendante Chevalmarin DMG (0 Stacks)"</f>
        <v>Surintendante Chevalmarin DMG (0 Stacks)</v>
      </c>
      <c r="AQC3" s="4" t="str">
        <f>"Surintendante Chevalmarin DMG (1 Stack)"</f>
        <v>Surintendante Chevalmarin DMG (1 Stack)</v>
      </c>
      <c r="AQD3" s="4" t="str">
        <f>"Surintendante Chevalmarin DMG (2 Stacks)"</f>
        <v>Surintendante Chevalmarin DMG (2 Stacks)</v>
      </c>
      <c r="AQE3" s="4" t="str">
        <f>"Surintendante Chevalmarin DMG (3 Stacks)"</f>
        <v>Surintendante Chevalmarin DMG (3 Stacks)</v>
      </c>
      <c r="AQF3" s="4" t="str">
        <f>"Surintendante Chevalmarin DMG (4 Stacks)"</f>
        <v>Surintendante Chevalmarin DMG (4 Stacks)</v>
      </c>
      <c r="AQG3" s="4" t="str">
        <f>"Mademoiselle Crabaletta DMG (0 Stacks)"</f>
        <v>Mademoiselle Crabaletta DMG (0 Stacks)</v>
      </c>
      <c r="AQH3" s="4" t="str">
        <f>"Mademoiselle Crabaletta DMG (1 Stack)"</f>
        <v>Mademoiselle Crabaletta DMG (1 Stack)</v>
      </c>
      <c r="AQI3" s="4" t="str">
        <f>"Mademoiselle Crabaletta DMG (2 Stacks)"</f>
        <v>Mademoiselle Crabaletta DMG (2 Stacks)</v>
      </c>
      <c r="AQJ3" s="4" t="str">
        <f>"Mademoiselle Crabaletta DMG (3 Stacks)"</f>
        <v>Mademoiselle Crabaletta DMG (3 Stacks)</v>
      </c>
      <c r="AQK3" s="4" t="str">
        <f>"Mademoiselle Crabaletta DMG (4 Stacks)"</f>
        <v>Mademoiselle Crabaletta DMG (4 Stacks)</v>
      </c>
      <c r="AQL3" s="4" t="str">
        <f>"Skill DMG (Burst)"</f>
        <v>Skill DMG (Burst)</v>
      </c>
    </row>
    <row r="4">
      <c r="A4" s="4" t="s">
        <v>250</v>
      </c>
      <c r="B4" s="10" t="str">
        <f t="shared" ref="B4:H4" si="1">"normal"</f>
        <v>normal</v>
      </c>
      <c r="C4" s="10" t="str">
        <f t="shared" si="1"/>
        <v>normal</v>
      </c>
      <c r="D4" s="10" t="str">
        <f t="shared" si="1"/>
        <v>normal</v>
      </c>
      <c r="E4" s="10" t="str">
        <f t="shared" si="1"/>
        <v>normal</v>
      </c>
      <c r="F4" s="10" t="str">
        <f t="shared" si="1"/>
        <v>normal</v>
      </c>
      <c r="G4" s="10" t="str">
        <f t="shared" si="1"/>
        <v>normal</v>
      </c>
      <c r="H4" s="10" t="str">
        <f t="shared" si="1"/>
        <v>normal</v>
      </c>
      <c r="I4" s="88" t="str">
        <f>"charged"</f>
        <v>charged</v>
      </c>
      <c r="J4" s="10" t="str">
        <f t="shared" ref="J4:L4" si="2">"plunging"</f>
        <v>plunging</v>
      </c>
      <c r="K4" s="10" t="str">
        <f t="shared" si="2"/>
        <v>plunging</v>
      </c>
      <c r="L4" s="10" t="str">
        <f t="shared" si="2"/>
        <v>plunging</v>
      </c>
      <c r="M4" s="10" t="str">
        <f>"skill"</f>
        <v>skill</v>
      </c>
      <c r="N4" s="10" t="str">
        <f t="shared" ref="N4:O4" si="3">"burst"</f>
        <v>burst</v>
      </c>
      <c r="O4" s="10" t="str">
        <f t="shared" si="3"/>
        <v>burst</v>
      </c>
      <c r="P4" s="10" t="str">
        <f t="shared" ref="P4:T4" si="4">"normal"</f>
        <v>normal</v>
      </c>
      <c r="Q4" s="10" t="str">
        <f t="shared" si="4"/>
        <v>normal</v>
      </c>
      <c r="R4" s="10" t="str">
        <f t="shared" si="4"/>
        <v>normal</v>
      </c>
      <c r="S4" s="10" t="str">
        <f t="shared" si="4"/>
        <v>normal</v>
      </c>
      <c r="T4" s="10" t="str">
        <f t="shared" si="4"/>
        <v>normal</v>
      </c>
      <c r="U4" s="10" t="str">
        <f t="shared" ref="U4:V4" si="5">"charged"</f>
        <v>charged</v>
      </c>
      <c r="V4" s="10" t="str">
        <f t="shared" si="5"/>
        <v>charged</v>
      </c>
      <c r="W4" s="10" t="str">
        <f t="shared" ref="W4:Y4" si="6">"plunging"</f>
        <v>plunging</v>
      </c>
      <c r="X4" s="10" t="str">
        <f t="shared" si="6"/>
        <v>plunging</v>
      </c>
      <c r="Y4" s="10" t="str">
        <f t="shared" si="6"/>
        <v>plunging</v>
      </c>
      <c r="Z4" s="10" t="str">
        <f t="shared" ref="Z4:AA4" si="7">"skill"</f>
        <v>skill</v>
      </c>
      <c r="AA4" s="10" t="str">
        <f t="shared" si="7"/>
        <v>skill</v>
      </c>
      <c r="AB4" s="10" t="str">
        <f t="shared" ref="AB4:AC4" si="8">"burst"</f>
        <v>burst</v>
      </c>
      <c r="AC4" s="10" t="str">
        <f t="shared" si="8"/>
        <v>burst</v>
      </c>
      <c r="AD4" s="10" t="str">
        <f t="shared" ref="AD4:AH4" si="9">"normal"</f>
        <v>normal</v>
      </c>
      <c r="AE4" s="10" t="str">
        <f t="shared" si="9"/>
        <v>normal</v>
      </c>
      <c r="AF4" s="10" t="str">
        <f t="shared" si="9"/>
        <v>normal</v>
      </c>
      <c r="AG4" s="10" t="str">
        <f t="shared" si="9"/>
        <v>normal</v>
      </c>
      <c r="AH4" s="10" t="str">
        <f t="shared" si="9"/>
        <v>normal</v>
      </c>
      <c r="AI4" s="10" t="str">
        <f t="shared" ref="AI4:AJ4" si="10">"charged"</f>
        <v>charged</v>
      </c>
      <c r="AJ4" s="10" t="str">
        <f t="shared" si="10"/>
        <v>charged</v>
      </c>
      <c r="AK4" s="10" t="str">
        <f t="shared" ref="AK4:AM4" si="11">"plunging"</f>
        <v>plunging</v>
      </c>
      <c r="AL4" s="10" t="str">
        <f t="shared" si="11"/>
        <v>plunging</v>
      </c>
      <c r="AM4" s="10" t="str">
        <f t="shared" si="11"/>
        <v>plunging</v>
      </c>
      <c r="AN4" s="10" t="str">
        <f t="shared" ref="AN4:AO4" si="12">"skill"</f>
        <v>skill</v>
      </c>
      <c r="AO4" s="10" t="str">
        <f t="shared" si="12"/>
        <v>skill</v>
      </c>
      <c r="AP4" s="10" t="str">
        <f>"burst"</f>
        <v>burst</v>
      </c>
      <c r="AQ4" s="10" t="str">
        <f t="shared" ref="AQ4:AU4" si="13">"normal"</f>
        <v>normal</v>
      </c>
      <c r="AR4" s="10" t="str">
        <f t="shared" si="13"/>
        <v>normal</v>
      </c>
      <c r="AS4" s="10" t="str">
        <f t="shared" si="13"/>
        <v>normal</v>
      </c>
      <c r="AT4" s="10" t="str">
        <f t="shared" si="13"/>
        <v>normal</v>
      </c>
      <c r="AU4" s="10" t="str">
        <f t="shared" si="13"/>
        <v>normal</v>
      </c>
      <c r="AV4" s="10" t="str">
        <f t="shared" ref="AV4:AW4" si="14">"charged"</f>
        <v>charged</v>
      </c>
      <c r="AW4" s="10" t="str">
        <f t="shared" si="14"/>
        <v>charged</v>
      </c>
      <c r="AX4" s="10" t="str">
        <f t="shared" ref="AX4:AZ4" si="15">"plunging"</f>
        <v>plunging</v>
      </c>
      <c r="AY4" s="10" t="str">
        <f t="shared" si="15"/>
        <v>plunging</v>
      </c>
      <c r="AZ4" s="10" t="str">
        <f t="shared" si="15"/>
        <v>plunging</v>
      </c>
      <c r="BA4" s="10" t="str">
        <f>"skill"</f>
        <v>skill</v>
      </c>
      <c r="BB4" s="10" t="str">
        <f>"burst"</f>
        <v>burst</v>
      </c>
      <c r="BC4" s="10" t="str">
        <f t="shared" ref="BC4:BG4" si="16">"normal"</f>
        <v>normal</v>
      </c>
      <c r="BD4" s="10" t="str">
        <f t="shared" si="16"/>
        <v>normal</v>
      </c>
      <c r="BE4" s="10" t="str">
        <f t="shared" si="16"/>
        <v>normal</v>
      </c>
      <c r="BF4" s="10" t="str">
        <f t="shared" si="16"/>
        <v>normal</v>
      </c>
      <c r="BG4" s="10" t="str">
        <f t="shared" si="16"/>
        <v>normal</v>
      </c>
      <c r="BH4" s="10" t="str">
        <f t="shared" ref="BH4:BK4" si="17">"charged"</f>
        <v>charged</v>
      </c>
      <c r="BI4" s="10" t="str">
        <f t="shared" si="17"/>
        <v>charged</v>
      </c>
      <c r="BJ4" s="10" t="str">
        <f t="shared" si="17"/>
        <v>charged</v>
      </c>
      <c r="BK4" s="10" t="str">
        <f t="shared" si="17"/>
        <v>charged</v>
      </c>
      <c r="BL4" s="10" t="str">
        <f t="shared" ref="BL4:BN4" si="18">"plunging"</f>
        <v>plunging</v>
      </c>
      <c r="BM4" s="10" t="str">
        <f t="shared" si="18"/>
        <v>plunging</v>
      </c>
      <c r="BN4" s="10" t="str">
        <f t="shared" si="18"/>
        <v>plunging</v>
      </c>
      <c r="BO4" s="10" t="str">
        <f>"normal"</f>
        <v>normal</v>
      </c>
      <c r="BP4" s="10" t="str">
        <f t="shared" ref="BP4:BW4" si="19">"skill"</f>
        <v>skill</v>
      </c>
      <c r="BQ4" s="10" t="str">
        <f t="shared" si="19"/>
        <v>skill</v>
      </c>
      <c r="BR4" s="10" t="str">
        <f t="shared" si="19"/>
        <v>skill</v>
      </c>
      <c r="BS4" s="10" t="str">
        <f t="shared" si="19"/>
        <v>skill</v>
      </c>
      <c r="BT4" s="10" t="str">
        <f t="shared" si="19"/>
        <v>skill</v>
      </c>
      <c r="BU4" s="10" t="str">
        <f t="shared" si="19"/>
        <v>skill</v>
      </c>
      <c r="BV4" s="10" t="str">
        <f t="shared" si="19"/>
        <v>skill</v>
      </c>
      <c r="BW4" s="10" t="str">
        <f t="shared" si="19"/>
        <v>skill</v>
      </c>
      <c r="BX4" s="10" t="str">
        <f t="shared" ref="BX4:BY4" si="20">"burst"</f>
        <v>burst</v>
      </c>
      <c r="BY4" s="10" t="str">
        <f t="shared" si="20"/>
        <v>burst</v>
      </c>
      <c r="BZ4" s="10" t="str">
        <f t="shared" ref="BZ4:CD4" si="21">"normal"</f>
        <v>normal</v>
      </c>
      <c r="CA4" s="10" t="str">
        <f t="shared" si="21"/>
        <v>normal</v>
      </c>
      <c r="CB4" s="10" t="str">
        <f t="shared" si="21"/>
        <v>normal</v>
      </c>
      <c r="CC4" s="10" t="str">
        <f t="shared" si="21"/>
        <v>normal</v>
      </c>
      <c r="CD4" s="10" t="str">
        <f t="shared" si="21"/>
        <v>normal</v>
      </c>
      <c r="CE4" s="10" t="str">
        <f>"charged"</f>
        <v>charged</v>
      </c>
      <c r="CF4" s="10" t="str">
        <f t="shared" ref="CF4:CH4" si="22">"plunging"</f>
        <v>plunging</v>
      </c>
      <c r="CG4" s="10" t="str">
        <f t="shared" si="22"/>
        <v>plunging</v>
      </c>
      <c r="CH4" s="10" t="str">
        <f t="shared" si="22"/>
        <v>plunging</v>
      </c>
      <c r="CI4" s="10" t="str">
        <f>"skill"</f>
        <v>skill</v>
      </c>
      <c r="CJ4" s="10" t="str">
        <f t="shared" ref="CJ4:CK4" si="23">"burst"</f>
        <v>burst</v>
      </c>
      <c r="CK4" s="10" t="str">
        <f t="shared" si="23"/>
        <v>burst</v>
      </c>
      <c r="CL4" s="10" t="str">
        <f t="shared" ref="CL4:CP4" si="24">"normal"</f>
        <v>normal</v>
      </c>
      <c r="CM4" s="10" t="str">
        <f t="shared" si="24"/>
        <v>normal</v>
      </c>
      <c r="CN4" s="10" t="str">
        <f t="shared" si="24"/>
        <v>normal</v>
      </c>
      <c r="CO4" s="10" t="str">
        <f t="shared" si="24"/>
        <v>normal</v>
      </c>
      <c r="CP4" s="10" t="str">
        <f t="shared" si="24"/>
        <v>normal</v>
      </c>
      <c r="CQ4" s="10" t="str">
        <f>"charged"</f>
        <v>charged</v>
      </c>
      <c r="CR4" s="10" t="str">
        <f t="shared" ref="CR4:CT4" si="25">"plunging"</f>
        <v>plunging</v>
      </c>
      <c r="CS4" s="10" t="str">
        <f t="shared" si="25"/>
        <v>plunging</v>
      </c>
      <c r="CT4" s="10" t="str">
        <f t="shared" si="25"/>
        <v>plunging</v>
      </c>
      <c r="CU4" s="10" t="str">
        <f t="shared" ref="CU4:CW4" si="26">"normal"</f>
        <v>normal</v>
      </c>
      <c r="CV4" s="10" t="str">
        <f t="shared" si="26"/>
        <v>normal</v>
      </c>
      <c r="CW4" s="10" t="str">
        <f t="shared" si="26"/>
        <v>normal</v>
      </c>
      <c r="CX4" s="10" t="str">
        <f>"skill"</f>
        <v>skill</v>
      </c>
      <c r="CY4" s="10" t="str">
        <f>"burst"</f>
        <v>burst</v>
      </c>
      <c r="CZ4" s="10" t="str">
        <f t="shared" ref="CZ4:DC4" si="27">"normal"</f>
        <v>normal</v>
      </c>
      <c r="DA4" s="10" t="str">
        <f t="shared" si="27"/>
        <v>normal</v>
      </c>
      <c r="DB4" s="10" t="str">
        <f t="shared" si="27"/>
        <v>normal</v>
      </c>
      <c r="DC4" s="10" t="str">
        <f t="shared" si="27"/>
        <v>normal</v>
      </c>
      <c r="DD4" s="10" t="str">
        <f>"charged"</f>
        <v>charged</v>
      </c>
      <c r="DE4" s="10" t="str">
        <f t="shared" ref="DE4:DG4" si="28">"plunging"</f>
        <v>plunging</v>
      </c>
      <c r="DF4" s="10" t="str">
        <f t="shared" si="28"/>
        <v>plunging</v>
      </c>
      <c r="DG4" s="10" t="str">
        <f t="shared" si="28"/>
        <v>plunging</v>
      </c>
      <c r="DH4" s="10" t="str">
        <f>"skill"</f>
        <v>skill</v>
      </c>
      <c r="DI4" s="10" t="str">
        <f t="shared" ref="DI4:DM4" si="29">"normal"</f>
        <v>normal</v>
      </c>
      <c r="DJ4" s="10" t="str">
        <f t="shared" si="29"/>
        <v>normal</v>
      </c>
      <c r="DK4" s="10" t="str">
        <f t="shared" si="29"/>
        <v>normal</v>
      </c>
      <c r="DL4" s="10" t="str">
        <f t="shared" si="29"/>
        <v>normal</v>
      </c>
      <c r="DM4" s="10" t="str">
        <f t="shared" si="29"/>
        <v>normal</v>
      </c>
      <c r="DN4" s="10" t="str">
        <f t="shared" ref="DN4:DO4" si="30">"charged"</f>
        <v>charged</v>
      </c>
      <c r="DO4" s="10" t="str">
        <f t="shared" si="30"/>
        <v>charged</v>
      </c>
      <c r="DP4" s="10" t="str">
        <f t="shared" ref="DP4:DR4" si="31">"plunging"</f>
        <v>plunging</v>
      </c>
      <c r="DQ4" s="10" t="str">
        <f t="shared" si="31"/>
        <v>plunging</v>
      </c>
      <c r="DR4" s="10" t="str">
        <f t="shared" si="31"/>
        <v>plunging</v>
      </c>
      <c r="DS4" s="10" t="str">
        <f t="shared" ref="DS4:DU4" si="32">"skill"</f>
        <v>skill</v>
      </c>
      <c r="DT4" s="10" t="str">
        <f t="shared" si="32"/>
        <v>skill</v>
      </c>
      <c r="DU4" s="10" t="str">
        <f t="shared" si="32"/>
        <v>skill</v>
      </c>
      <c r="DV4" s="10" t="str">
        <f t="shared" ref="DV4:DW4" si="33">"burst"</f>
        <v>burst</v>
      </c>
      <c r="DW4" s="10" t="str">
        <f t="shared" si="33"/>
        <v>burst</v>
      </c>
      <c r="DX4" s="10" t="str">
        <f t="shared" ref="DX4:EB4" si="34">"normal"</f>
        <v>normal</v>
      </c>
      <c r="DY4" s="10" t="str">
        <f t="shared" si="34"/>
        <v>normal</v>
      </c>
      <c r="DZ4" s="10" t="str">
        <f t="shared" si="34"/>
        <v>normal</v>
      </c>
      <c r="EA4" s="10" t="str">
        <f t="shared" si="34"/>
        <v>normal</v>
      </c>
      <c r="EB4" s="10" t="str">
        <f t="shared" si="34"/>
        <v>normal</v>
      </c>
      <c r="EC4" s="10" t="str">
        <f t="shared" ref="EC4:ED4" si="35">"charged"</f>
        <v>charged</v>
      </c>
      <c r="ED4" s="10" t="str">
        <f t="shared" si="35"/>
        <v>charged</v>
      </c>
      <c r="EE4" s="10" t="str">
        <f t="shared" ref="EE4:EG4" si="36">"plunging"</f>
        <v>plunging</v>
      </c>
      <c r="EF4" s="10" t="str">
        <f t="shared" si="36"/>
        <v>plunging</v>
      </c>
      <c r="EG4" s="10" t="str">
        <f t="shared" si="36"/>
        <v>plunging</v>
      </c>
      <c r="EH4" s="10" t="str">
        <f t="shared" ref="EH4:EM4" si="37">"skill"</f>
        <v>skill</v>
      </c>
      <c r="EI4" s="10" t="str">
        <f t="shared" si="37"/>
        <v>skill</v>
      </c>
      <c r="EJ4" s="10" t="str">
        <f t="shared" si="37"/>
        <v>skill</v>
      </c>
      <c r="EK4" s="10" t="str">
        <f t="shared" si="37"/>
        <v>skill</v>
      </c>
      <c r="EL4" s="10" t="str">
        <f t="shared" si="37"/>
        <v>skill</v>
      </c>
      <c r="EM4" s="10" t="str">
        <f t="shared" si="37"/>
        <v>skill</v>
      </c>
      <c r="EN4" s="10" t="str">
        <f>"burst"</f>
        <v>burst</v>
      </c>
      <c r="EO4" s="10" t="str">
        <f t="shared" ref="EO4:ER4" si="38">"normal"</f>
        <v>normal</v>
      </c>
      <c r="EP4" s="10" t="str">
        <f t="shared" si="38"/>
        <v>normal</v>
      </c>
      <c r="EQ4" s="10" t="str">
        <f t="shared" si="38"/>
        <v>normal</v>
      </c>
      <c r="ER4" s="10" t="str">
        <f t="shared" si="38"/>
        <v>normal</v>
      </c>
      <c r="ES4" s="10" t="str">
        <f t="shared" ref="ES4:ET4" si="39">"charged"</f>
        <v>charged</v>
      </c>
      <c r="ET4" s="10" t="str">
        <f t="shared" si="39"/>
        <v>charged</v>
      </c>
      <c r="EU4" s="10" t="str">
        <f t="shared" ref="EU4:EW4" si="40">"plunging"</f>
        <v>plunging</v>
      </c>
      <c r="EV4" s="10" t="str">
        <f t="shared" si="40"/>
        <v>plunging</v>
      </c>
      <c r="EW4" s="10" t="str">
        <f t="shared" si="40"/>
        <v>plunging</v>
      </c>
      <c r="EX4" s="10" t="str">
        <f>"skill"</f>
        <v>skill</v>
      </c>
      <c r="EY4" s="10" t="str">
        <f>"burst"</f>
        <v>burst</v>
      </c>
      <c r="EZ4" s="10" t="str">
        <f t="shared" ref="EZ4:FC4" si="41">"normal"</f>
        <v>normal</v>
      </c>
      <c r="FA4" s="10" t="str">
        <f t="shared" si="41"/>
        <v>normal</v>
      </c>
      <c r="FB4" s="10" t="str">
        <f t="shared" si="41"/>
        <v>normal</v>
      </c>
      <c r="FC4" s="10" t="str">
        <f t="shared" si="41"/>
        <v>normal</v>
      </c>
      <c r="FD4" s="10" t="str">
        <f t="shared" ref="FD4:FE4" si="42">"charged"</f>
        <v>charged</v>
      </c>
      <c r="FE4" s="10" t="str">
        <f t="shared" si="42"/>
        <v>charged</v>
      </c>
      <c r="FF4" s="10" t="str">
        <f t="shared" ref="FF4:FH4" si="43">"plunging"</f>
        <v>plunging</v>
      </c>
      <c r="FG4" s="10" t="str">
        <f t="shared" si="43"/>
        <v>plunging</v>
      </c>
      <c r="FH4" s="10" t="str">
        <f t="shared" si="43"/>
        <v>plunging</v>
      </c>
      <c r="FI4" s="10" t="str">
        <f t="shared" ref="FI4:FJ4" si="44">"skill"</f>
        <v>skill</v>
      </c>
      <c r="FJ4" s="10" t="str">
        <f t="shared" si="44"/>
        <v>skill</v>
      </c>
      <c r="FK4" s="10" t="str">
        <f t="shared" ref="FK4:FL4" si="45">"burst"</f>
        <v>burst</v>
      </c>
      <c r="FL4" s="10" t="str">
        <f t="shared" si="45"/>
        <v>burst</v>
      </c>
      <c r="FM4" s="10" t="str">
        <f t="shared" ref="FM4:FP4" si="46">"normal"</f>
        <v>normal</v>
      </c>
      <c r="FN4" s="10" t="str">
        <f t="shared" si="46"/>
        <v>normal</v>
      </c>
      <c r="FO4" s="10" t="str">
        <f t="shared" si="46"/>
        <v>normal</v>
      </c>
      <c r="FP4" s="10" t="str">
        <f t="shared" si="46"/>
        <v>normal</v>
      </c>
      <c r="FQ4" s="10" t="str">
        <f t="shared" ref="FQ4:FR4" si="47">"charged"</f>
        <v>charged</v>
      </c>
      <c r="FR4" s="10" t="str">
        <f t="shared" si="47"/>
        <v>charged</v>
      </c>
      <c r="FS4" s="10" t="str">
        <f t="shared" ref="FS4:FU4" si="48">"plunging"</f>
        <v>plunging</v>
      </c>
      <c r="FT4" s="10" t="str">
        <f t="shared" si="48"/>
        <v>plunging</v>
      </c>
      <c r="FU4" s="10" t="str">
        <f t="shared" si="48"/>
        <v>plunging</v>
      </c>
      <c r="FV4" s="10" t="str">
        <f t="shared" ref="FV4:FX4" si="49">"skill"</f>
        <v>skill</v>
      </c>
      <c r="FW4" s="10" t="str">
        <f t="shared" si="49"/>
        <v>skill</v>
      </c>
      <c r="FX4" s="10" t="str">
        <f t="shared" si="49"/>
        <v>skill</v>
      </c>
      <c r="FY4" s="10" t="str">
        <f t="shared" ref="FY4:GA4" si="50">"burst"</f>
        <v>burst</v>
      </c>
      <c r="FZ4" s="10" t="str">
        <f t="shared" si="50"/>
        <v>burst</v>
      </c>
      <c r="GA4" s="10" t="str">
        <f t="shared" si="50"/>
        <v>burst</v>
      </c>
      <c r="GB4" s="10" t="str">
        <f t="shared" ref="GB4:GF4" si="51">"normal"</f>
        <v>normal</v>
      </c>
      <c r="GC4" s="10" t="str">
        <f t="shared" si="51"/>
        <v>normal</v>
      </c>
      <c r="GD4" s="10" t="str">
        <f t="shared" si="51"/>
        <v>normal</v>
      </c>
      <c r="GE4" s="10" t="str">
        <f t="shared" si="51"/>
        <v>normal</v>
      </c>
      <c r="GF4" s="10" t="str">
        <f t="shared" si="51"/>
        <v>normal</v>
      </c>
      <c r="GG4" s="10" t="str">
        <f t="shared" ref="GG4:GH4" si="52">"charged"</f>
        <v>charged</v>
      </c>
      <c r="GH4" s="10" t="str">
        <f t="shared" si="52"/>
        <v>charged</v>
      </c>
      <c r="GI4" s="10" t="str">
        <f t="shared" ref="GI4:GK4" si="53">"plunging"</f>
        <v>plunging</v>
      </c>
      <c r="GJ4" s="10" t="str">
        <f t="shared" si="53"/>
        <v>plunging</v>
      </c>
      <c r="GK4" s="10" t="str">
        <f t="shared" si="53"/>
        <v>plunging</v>
      </c>
      <c r="GL4" s="10" t="str">
        <f>"skill"</f>
        <v>skill</v>
      </c>
      <c r="GM4" s="10" t="str">
        <f t="shared" ref="GM4:GN4" si="54">"burst"</f>
        <v>burst</v>
      </c>
      <c r="GN4" s="10" t="str">
        <f t="shared" si="54"/>
        <v>burst</v>
      </c>
      <c r="GO4" s="10" t="str">
        <f t="shared" ref="GO4:GS4" si="55">"normal"</f>
        <v>normal</v>
      </c>
      <c r="GP4" s="10" t="str">
        <f t="shared" si="55"/>
        <v>normal</v>
      </c>
      <c r="GQ4" s="10" t="str">
        <f t="shared" si="55"/>
        <v>normal</v>
      </c>
      <c r="GR4" s="10" t="str">
        <f t="shared" si="55"/>
        <v>normal</v>
      </c>
      <c r="GS4" s="10" t="str">
        <f t="shared" si="55"/>
        <v>normal</v>
      </c>
      <c r="GT4" s="10" t="str">
        <f t="shared" ref="GT4:GW4" si="56">"charged"</f>
        <v>charged</v>
      </c>
      <c r="GU4" s="10" t="str">
        <f t="shared" si="56"/>
        <v>charged</v>
      </c>
      <c r="GV4" s="10" t="str">
        <f t="shared" si="56"/>
        <v>charged</v>
      </c>
      <c r="GW4" s="10" t="str">
        <f t="shared" si="56"/>
        <v>charged</v>
      </c>
      <c r="GX4" s="10" t="str">
        <f t="shared" ref="GX4:GZ4" si="57">"plunging"</f>
        <v>plunging</v>
      </c>
      <c r="GY4" s="10" t="str">
        <f t="shared" si="57"/>
        <v>plunging</v>
      </c>
      <c r="GZ4" s="10" t="str">
        <f t="shared" si="57"/>
        <v>plunging</v>
      </c>
      <c r="HA4" s="10" t="str">
        <f>"skill"</f>
        <v>skill</v>
      </c>
      <c r="HB4" s="10" t="str">
        <f t="shared" ref="HB4:HC4" si="58">"burst"</f>
        <v>burst</v>
      </c>
      <c r="HC4" s="10" t="str">
        <f t="shared" si="58"/>
        <v>burst</v>
      </c>
      <c r="HD4" s="10" t="str">
        <f t="shared" ref="HD4:HG4" si="59">"normal"</f>
        <v>normal</v>
      </c>
      <c r="HE4" s="10" t="str">
        <f t="shared" si="59"/>
        <v>normal</v>
      </c>
      <c r="HF4" s="10" t="str">
        <f t="shared" si="59"/>
        <v>normal</v>
      </c>
      <c r="HG4" s="10" t="str">
        <f t="shared" si="59"/>
        <v>normal</v>
      </c>
      <c r="HH4" s="10" t="str">
        <f t="shared" ref="HH4:HI4" si="60">"charged"</f>
        <v>charged</v>
      </c>
      <c r="HI4" s="10" t="str">
        <f t="shared" si="60"/>
        <v>charged</v>
      </c>
      <c r="HJ4" s="10" t="str">
        <f t="shared" ref="HJ4:HL4" si="61">"plunging"</f>
        <v>plunging</v>
      </c>
      <c r="HK4" s="10" t="str">
        <f t="shared" si="61"/>
        <v>plunging</v>
      </c>
      <c r="HL4" s="10" t="str">
        <f t="shared" si="61"/>
        <v>plunging</v>
      </c>
      <c r="HM4" s="10" t="str">
        <f t="shared" ref="HM4:HN4" si="62">"skill"</f>
        <v>skill</v>
      </c>
      <c r="HN4" s="10" t="str">
        <f t="shared" si="62"/>
        <v>skill</v>
      </c>
      <c r="HO4" s="10" t="str">
        <f>"burst"</f>
        <v>burst</v>
      </c>
      <c r="HP4" s="10" t="str">
        <f t="shared" ref="HP4:HT4" si="63">"normal"</f>
        <v>normal</v>
      </c>
      <c r="HQ4" s="10" t="str">
        <f t="shared" si="63"/>
        <v>normal</v>
      </c>
      <c r="HR4" s="10" t="str">
        <f t="shared" si="63"/>
        <v>normal</v>
      </c>
      <c r="HS4" s="10" t="str">
        <f t="shared" si="63"/>
        <v>normal</v>
      </c>
      <c r="HT4" s="10" t="str">
        <f t="shared" si="63"/>
        <v>normal</v>
      </c>
      <c r="HU4" s="10" t="str">
        <f t="shared" ref="HU4:HX4" si="64">"charged"</f>
        <v>charged</v>
      </c>
      <c r="HV4" s="10" t="str">
        <f t="shared" si="64"/>
        <v>charged</v>
      </c>
      <c r="HW4" s="10" t="str">
        <f t="shared" si="64"/>
        <v>charged</v>
      </c>
      <c r="HX4" s="10" t="str">
        <f t="shared" si="64"/>
        <v>charged</v>
      </c>
      <c r="HY4" s="10" t="str">
        <f t="shared" ref="HY4:IA4" si="65">"plunging"</f>
        <v>plunging</v>
      </c>
      <c r="HZ4" s="10" t="str">
        <f t="shared" si="65"/>
        <v>plunging</v>
      </c>
      <c r="IA4" s="10" t="str">
        <f t="shared" si="65"/>
        <v>plunging</v>
      </c>
      <c r="IB4" s="10" t="str">
        <f>"skill"</f>
        <v>skill</v>
      </c>
      <c r="IC4" s="10" t="str">
        <f t="shared" ref="IC4:ID4" si="66">"burst"</f>
        <v>burst</v>
      </c>
      <c r="ID4" s="10" t="str">
        <f t="shared" si="66"/>
        <v>burst</v>
      </c>
      <c r="IE4" s="10" t="str">
        <f t="shared" ref="IE4:II4" si="67">"normal"</f>
        <v>normal</v>
      </c>
      <c r="IF4" s="10" t="str">
        <f t="shared" si="67"/>
        <v>normal</v>
      </c>
      <c r="IG4" s="10" t="str">
        <f t="shared" si="67"/>
        <v>normal</v>
      </c>
      <c r="IH4" s="10" t="str">
        <f t="shared" si="67"/>
        <v>normal</v>
      </c>
      <c r="II4" s="10" t="str">
        <f t="shared" si="67"/>
        <v>normal</v>
      </c>
      <c r="IJ4" s="10" t="str">
        <f t="shared" ref="IJ4:IK4" si="68">"charged"</f>
        <v>charged</v>
      </c>
      <c r="IK4" s="10" t="str">
        <f t="shared" si="68"/>
        <v>charged</v>
      </c>
      <c r="IL4" s="10" t="str">
        <f t="shared" ref="IL4:IN4" si="69">"plunging"</f>
        <v>plunging</v>
      </c>
      <c r="IM4" s="10" t="str">
        <f t="shared" si="69"/>
        <v>plunging</v>
      </c>
      <c r="IN4" s="10" t="str">
        <f t="shared" si="69"/>
        <v>plunging</v>
      </c>
      <c r="IO4" s="10" t="str">
        <f t="shared" ref="IO4:IQ4" si="70">"skill"</f>
        <v>skill</v>
      </c>
      <c r="IP4" s="10" t="str">
        <f t="shared" si="70"/>
        <v>skill</v>
      </c>
      <c r="IQ4" s="10" t="str">
        <f t="shared" si="70"/>
        <v>skill</v>
      </c>
      <c r="IR4" s="10" t="str">
        <f t="shared" ref="IR4:IT4" si="71">"burst"</f>
        <v>burst</v>
      </c>
      <c r="IS4" s="10" t="str">
        <f t="shared" si="71"/>
        <v>burst</v>
      </c>
      <c r="IT4" s="179" t="str">
        <f t="shared" si="71"/>
        <v>burst</v>
      </c>
      <c r="IU4" s="10" t="str">
        <f t="shared" ref="IU4:IY4" si="72">"normal"</f>
        <v>normal</v>
      </c>
      <c r="IV4" s="10" t="str">
        <f t="shared" si="72"/>
        <v>normal</v>
      </c>
      <c r="IW4" s="10" t="str">
        <f t="shared" si="72"/>
        <v>normal</v>
      </c>
      <c r="IX4" s="10" t="str">
        <f t="shared" si="72"/>
        <v>normal</v>
      </c>
      <c r="IY4" s="10" t="str">
        <f t="shared" si="72"/>
        <v>normal</v>
      </c>
      <c r="IZ4" s="10" t="str">
        <f t="shared" ref="IZ4:JA4" si="73">"charged"</f>
        <v>charged</v>
      </c>
      <c r="JA4" s="10" t="str">
        <f t="shared" si="73"/>
        <v>charged</v>
      </c>
      <c r="JB4" s="10" t="str">
        <f t="shared" ref="JB4:JD4" si="74">"plunging"</f>
        <v>plunging</v>
      </c>
      <c r="JC4" s="10" t="str">
        <f t="shared" si="74"/>
        <v>plunging</v>
      </c>
      <c r="JD4" s="10" t="str">
        <f t="shared" si="74"/>
        <v>plunging</v>
      </c>
      <c r="JE4" s="10" t="str">
        <f t="shared" ref="JE4:JG4" si="75">"skill"</f>
        <v>skill</v>
      </c>
      <c r="JF4" s="10" t="str">
        <f t="shared" si="75"/>
        <v>skill</v>
      </c>
      <c r="JG4" s="10" t="str">
        <f t="shared" si="75"/>
        <v>skill</v>
      </c>
      <c r="JH4" s="10" t="str">
        <f>"burst"</f>
        <v>burst</v>
      </c>
      <c r="JI4" s="10" t="str">
        <f t="shared" ref="JI4:JN4" si="76">"normal"</f>
        <v>normal</v>
      </c>
      <c r="JJ4" s="10" t="str">
        <f t="shared" si="76"/>
        <v>normal</v>
      </c>
      <c r="JK4" s="10" t="str">
        <f t="shared" si="76"/>
        <v>normal</v>
      </c>
      <c r="JL4" s="10" t="str">
        <f t="shared" si="76"/>
        <v>normal</v>
      </c>
      <c r="JM4" s="10" t="str">
        <f t="shared" si="76"/>
        <v>normal</v>
      </c>
      <c r="JN4" s="10" t="str">
        <f t="shared" si="76"/>
        <v>normal</v>
      </c>
      <c r="JO4" s="10" t="str">
        <f t="shared" ref="JO4:JR4" si="77">"charged"</f>
        <v>charged</v>
      </c>
      <c r="JP4" s="10" t="str">
        <f t="shared" si="77"/>
        <v>charged</v>
      </c>
      <c r="JQ4" s="10" t="str">
        <f t="shared" si="77"/>
        <v>charged</v>
      </c>
      <c r="JR4" s="10" t="str">
        <f t="shared" si="77"/>
        <v>charged</v>
      </c>
      <c r="JS4" s="10" t="str">
        <f t="shared" ref="JS4:JU4" si="78">"plunging"</f>
        <v>plunging</v>
      </c>
      <c r="JT4" s="10" t="str">
        <f t="shared" si="78"/>
        <v>plunging</v>
      </c>
      <c r="JU4" s="10" t="str">
        <f t="shared" si="78"/>
        <v>plunging</v>
      </c>
      <c r="JV4" s="10" t="str">
        <f>"skill"</f>
        <v>skill</v>
      </c>
      <c r="JW4" s="10" t="str">
        <f>"burst"</f>
        <v>burst</v>
      </c>
      <c r="JX4" s="10" t="str">
        <f t="shared" ref="JX4:KB4" si="79">"normal"</f>
        <v>normal</v>
      </c>
      <c r="JY4" s="10" t="str">
        <f t="shared" si="79"/>
        <v>normal</v>
      </c>
      <c r="JZ4" s="10" t="str">
        <f t="shared" si="79"/>
        <v>normal</v>
      </c>
      <c r="KA4" s="10" t="str">
        <f t="shared" si="79"/>
        <v>normal</v>
      </c>
      <c r="KB4" s="10" t="str">
        <f t="shared" si="79"/>
        <v>normal</v>
      </c>
      <c r="KC4" s="10" t="str">
        <f t="shared" ref="KC4:KF4" si="80">"charged"</f>
        <v>charged</v>
      </c>
      <c r="KD4" s="10" t="str">
        <f t="shared" si="80"/>
        <v>charged</v>
      </c>
      <c r="KE4" s="10" t="str">
        <f t="shared" si="80"/>
        <v>charged</v>
      </c>
      <c r="KF4" s="10" t="str">
        <f t="shared" si="80"/>
        <v>charged</v>
      </c>
      <c r="KG4" s="10" t="str">
        <f t="shared" ref="KG4:KI4" si="81">"plunging"</f>
        <v>plunging</v>
      </c>
      <c r="KH4" s="10" t="str">
        <f t="shared" si="81"/>
        <v>plunging</v>
      </c>
      <c r="KI4" s="10" t="str">
        <f t="shared" si="81"/>
        <v>plunging</v>
      </c>
      <c r="KJ4" s="10" t="str">
        <f>"normal"</f>
        <v>normal</v>
      </c>
      <c r="KK4" s="10" t="str">
        <f>"skill"</f>
        <v>skill</v>
      </c>
      <c r="KL4" s="10" t="str">
        <f>"burst"</f>
        <v>burst</v>
      </c>
      <c r="KM4" s="10" t="str">
        <f t="shared" ref="KM4:KP4" si="82">"normal"</f>
        <v>normal</v>
      </c>
      <c r="KN4" s="10" t="str">
        <f t="shared" si="82"/>
        <v>normal</v>
      </c>
      <c r="KO4" s="10" t="str">
        <f t="shared" si="82"/>
        <v>normal</v>
      </c>
      <c r="KP4" s="10" t="str">
        <f t="shared" si="82"/>
        <v>normal</v>
      </c>
      <c r="KQ4" s="10" t="str">
        <f t="shared" ref="KQ4:KR4" si="83">"charged"</f>
        <v>charged</v>
      </c>
      <c r="KR4" s="10" t="str">
        <f t="shared" si="83"/>
        <v>charged</v>
      </c>
      <c r="KS4" s="10" t="str">
        <f t="shared" ref="KS4:KU4" si="84">"plunging"</f>
        <v>plunging</v>
      </c>
      <c r="KT4" s="10" t="str">
        <f t="shared" si="84"/>
        <v>plunging</v>
      </c>
      <c r="KU4" s="10" t="str">
        <f t="shared" si="84"/>
        <v>plunging</v>
      </c>
      <c r="KV4" s="10" t="str">
        <f>"skill"</f>
        <v>skill</v>
      </c>
      <c r="KW4" s="10" t="str">
        <f t="shared" ref="KW4:KX4" si="85">"burst"</f>
        <v>burst</v>
      </c>
      <c r="KX4" s="10" t="str">
        <f t="shared" si="85"/>
        <v>burst</v>
      </c>
      <c r="KY4" s="10" t="str">
        <f t="shared" ref="KY4:LE4" si="86">"normal"</f>
        <v>normal</v>
      </c>
      <c r="KZ4" s="10" t="str">
        <f t="shared" si="86"/>
        <v>normal</v>
      </c>
      <c r="LA4" s="10" t="str">
        <f t="shared" si="86"/>
        <v>normal</v>
      </c>
      <c r="LB4" s="10" t="str">
        <f t="shared" si="86"/>
        <v>normal</v>
      </c>
      <c r="LC4" s="10" t="str">
        <f t="shared" si="86"/>
        <v>normal</v>
      </c>
      <c r="LD4" s="10" t="str">
        <f t="shared" si="86"/>
        <v>normal</v>
      </c>
      <c r="LE4" s="10" t="str">
        <f t="shared" si="86"/>
        <v>normal</v>
      </c>
      <c r="LF4" s="10" t="str">
        <f>"charged"</f>
        <v>charged</v>
      </c>
      <c r="LG4" s="10" t="str">
        <f t="shared" ref="LG4:LI4" si="87">"plunging"</f>
        <v>plunging</v>
      </c>
      <c r="LH4" s="10" t="str">
        <f t="shared" si="87"/>
        <v>plunging</v>
      </c>
      <c r="LI4" s="10" t="str">
        <f t="shared" si="87"/>
        <v>plunging</v>
      </c>
      <c r="LJ4" s="10" t="str">
        <f t="shared" ref="LJ4:LN4" si="88">"skill"</f>
        <v>skill</v>
      </c>
      <c r="LK4" s="10" t="str">
        <f t="shared" si="88"/>
        <v>skill</v>
      </c>
      <c r="LL4" s="10" t="str">
        <f t="shared" si="88"/>
        <v>skill</v>
      </c>
      <c r="LM4" s="10" t="str">
        <f t="shared" si="88"/>
        <v>skill</v>
      </c>
      <c r="LN4" s="10" t="str">
        <f t="shared" si="88"/>
        <v>skill</v>
      </c>
      <c r="LO4" s="10" t="str">
        <f t="shared" ref="LO4:LP4" si="89">"burst"</f>
        <v>burst</v>
      </c>
      <c r="LP4" s="10" t="str">
        <f t="shared" si="89"/>
        <v>burst</v>
      </c>
      <c r="LQ4" s="10" t="str">
        <f t="shared" ref="LQ4:LT4" si="90">"normal"</f>
        <v>normal</v>
      </c>
      <c r="LR4" s="10" t="str">
        <f t="shared" si="90"/>
        <v>normal</v>
      </c>
      <c r="LS4" s="10" t="str">
        <f t="shared" si="90"/>
        <v>normal</v>
      </c>
      <c r="LT4" s="10" t="str">
        <f t="shared" si="90"/>
        <v>normal</v>
      </c>
      <c r="LU4" s="10" t="str">
        <f t="shared" ref="LU4:LW4" si="91">"charged"</f>
        <v>charged</v>
      </c>
      <c r="LV4" s="10" t="str">
        <f t="shared" si="91"/>
        <v>charged</v>
      </c>
      <c r="LW4" s="10" t="str">
        <f t="shared" si="91"/>
        <v>charged</v>
      </c>
      <c r="LX4" s="10" t="str">
        <f t="shared" ref="LX4:LZ4" si="92">"plunging"</f>
        <v>plunging</v>
      </c>
      <c r="LY4" s="10" t="str">
        <f t="shared" si="92"/>
        <v>plunging</v>
      </c>
      <c r="LZ4" s="10" t="str">
        <f t="shared" si="92"/>
        <v>plunging</v>
      </c>
      <c r="MA4" s="10" t="str">
        <f>"skill"</f>
        <v>skill</v>
      </c>
      <c r="MB4" s="10" t="str">
        <f t="shared" ref="MB4:MF4" si="93">"normal"</f>
        <v>normal</v>
      </c>
      <c r="MC4" s="10" t="str">
        <f t="shared" si="93"/>
        <v>normal</v>
      </c>
      <c r="MD4" s="10" t="str">
        <f t="shared" si="93"/>
        <v>normal</v>
      </c>
      <c r="ME4" s="10" t="str">
        <f t="shared" si="93"/>
        <v>normal</v>
      </c>
      <c r="MF4" s="10" t="str">
        <f t="shared" si="93"/>
        <v>normal</v>
      </c>
      <c r="MG4" s="10" t="str">
        <f>"charged"</f>
        <v>charged</v>
      </c>
      <c r="MH4" s="10" t="str">
        <f t="shared" ref="MH4:MJ4" si="94">"plunging"</f>
        <v>plunging</v>
      </c>
      <c r="MI4" s="10" t="str">
        <f t="shared" si="94"/>
        <v>plunging</v>
      </c>
      <c r="MJ4" s="10" t="str">
        <f t="shared" si="94"/>
        <v>plunging</v>
      </c>
      <c r="MK4" s="10" t="str">
        <f>"skill"</f>
        <v>skill</v>
      </c>
      <c r="ML4" s="10" t="str">
        <f t="shared" ref="ML4:MM4" si="95">"burst"</f>
        <v>burst</v>
      </c>
      <c r="MM4" s="10" t="str">
        <f t="shared" si="95"/>
        <v>burst</v>
      </c>
      <c r="MN4" s="10" t="str">
        <f t="shared" ref="MN4:MR4" si="96">"normal"</f>
        <v>normal</v>
      </c>
      <c r="MO4" s="10" t="str">
        <f t="shared" si="96"/>
        <v>normal</v>
      </c>
      <c r="MP4" s="10" t="str">
        <f t="shared" si="96"/>
        <v>normal</v>
      </c>
      <c r="MQ4" s="10" t="str">
        <f t="shared" si="96"/>
        <v>normal</v>
      </c>
      <c r="MR4" s="10" t="str">
        <f t="shared" si="96"/>
        <v>normal</v>
      </c>
      <c r="MS4" s="10" t="str">
        <f t="shared" ref="MS4:MT4" si="97">"charged"</f>
        <v>charged</v>
      </c>
      <c r="MT4" s="10" t="str">
        <f t="shared" si="97"/>
        <v>charged</v>
      </c>
      <c r="MU4" s="10" t="str">
        <f t="shared" ref="MU4:MW4" si="98">"plunging"</f>
        <v>plunging</v>
      </c>
      <c r="MV4" s="10" t="str">
        <f t="shared" si="98"/>
        <v>plunging</v>
      </c>
      <c r="MW4" s="10" t="str">
        <f t="shared" si="98"/>
        <v>plunging</v>
      </c>
      <c r="MX4" s="10" t="str">
        <f>"skill"</f>
        <v>skill</v>
      </c>
      <c r="MY4" s="10" t="str">
        <f>"burst"</f>
        <v>burst</v>
      </c>
      <c r="MZ4" s="10" t="str">
        <f t="shared" ref="MZ4:NE4" si="99">"normal"</f>
        <v>normal</v>
      </c>
      <c r="NA4" s="10" t="str">
        <f t="shared" si="99"/>
        <v>normal</v>
      </c>
      <c r="NB4" s="10" t="str">
        <f t="shared" si="99"/>
        <v>normal</v>
      </c>
      <c r="NC4" s="10" t="str">
        <f t="shared" si="99"/>
        <v>normal</v>
      </c>
      <c r="ND4" s="10" t="str">
        <f t="shared" si="99"/>
        <v>normal</v>
      </c>
      <c r="NE4" s="10" t="str">
        <f t="shared" si="99"/>
        <v>normal</v>
      </c>
      <c r="NF4" s="10" t="str">
        <f t="shared" ref="NF4:NG4" si="100">"charged"</f>
        <v>charged</v>
      </c>
      <c r="NG4" s="10" t="str">
        <f t="shared" si="100"/>
        <v>charged</v>
      </c>
      <c r="NH4" s="10" t="str">
        <f t="shared" ref="NH4:NK4" si="101">"plunging"</f>
        <v>plunging</v>
      </c>
      <c r="NI4" s="10" t="str">
        <f t="shared" si="101"/>
        <v>plunging</v>
      </c>
      <c r="NJ4" s="10" t="str">
        <f t="shared" si="101"/>
        <v>plunging</v>
      </c>
      <c r="NK4" s="10" t="str">
        <f t="shared" si="101"/>
        <v>plunging</v>
      </c>
      <c r="NL4" s="10" t="str">
        <f t="shared" ref="NL4:NM4" si="102">"skill"</f>
        <v>skill</v>
      </c>
      <c r="NM4" s="10" t="str">
        <f t="shared" si="102"/>
        <v>skill</v>
      </c>
      <c r="NN4" s="10" t="str">
        <f t="shared" ref="NN4:NP4" si="103">"burst"</f>
        <v>burst</v>
      </c>
      <c r="NO4" s="10" t="str">
        <f t="shared" si="103"/>
        <v>burst</v>
      </c>
      <c r="NP4" s="10" t="str">
        <f t="shared" si="103"/>
        <v>burst</v>
      </c>
      <c r="NQ4" s="10" t="str">
        <f t="shared" ref="NQ4:NV4" si="104">"normal"</f>
        <v>normal</v>
      </c>
      <c r="NR4" s="10" t="str">
        <f t="shared" si="104"/>
        <v>normal</v>
      </c>
      <c r="NS4" s="10" t="str">
        <f t="shared" si="104"/>
        <v>normal</v>
      </c>
      <c r="NT4" s="10" t="str">
        <f t="shared" si="104"/>
        <v>normal</v>
      </c>
      <c r="NU4" s="10" t="str">
        <f t="shared" si="104"/>
        <v>normal</v>
      </c>
      <c r="NV4" s="10" t="str">
        <f t="shared" si="104"/>
        <v>normal</v>
      </c>
      <c r="NW4" s="10" t="str">
        <f t="shared" ref="NW4:NX4" si="105">"charged"</f>
        <v>charged</v>
      </c>
      <c r="NX4" s="10" t="str">
        <f t="shared" si="105"/>
        <v>charged</v>
      </c>
      <c r="NY4" s="10" t="str">
        <f t="shared" ref="NY4:OA4" si="106">"plunging"</f>
        <v>plunging</v>
      </c>
      <c r="NZ4" s="10" t="str">
        <f t="shared" si="106"/>
        <v>plunging</v>
      </c>
      <c r="OA4" s="10" t="str">
        <f t="shared" si="106"/>
        <v>plunging</v>
      </c>
      <c r="OB4" s="10" t="str">
        <f t="shared" ref="OB4:OD4" si="107">"skill"</f>
        <v>skill</v>
      </c>
      <c r="OC4" s="10" t="str">
        <f t="shared" si="107"/>
        <v>skill</v>
      </c>
      <c r="OD4" s="10" t="str">
        <f t="shared" si="107"/>
        <v>skill</v>
      </c>
      <c r="OE4" s="10" t="str">
        <f t="shared" ref="OE4:OG4" si="108">"burst"</f>
        <v>burst</v>
      </c>
      <c r="OF4" s="10" t="str">
        <f t="shared" si="108"/>
        <v>burst</v>
      </c>
      <c r="OG4" s="10" t="str">
        <f t="shared" si="108"/>
        <v>burst</v>
      </c>
      <c r="OH4" s="10" t="str">
        <f t="shared" ref="OH4:OJ4" si="109">"normal"</f>
        <v>normal</v>
      </c>
      <c r="OI4" s="10" t="str">
        <f t="shared" si="109"/>
        <v>normal</v>
      </c>
      <c r="OJ4" s="10" t="str">
        <f t="shared" si="109"/>
        <v>normal</v>
      </c>
      <c r="OK4" s="10" t="str">
        <f>"charged"</f>
        <v>charged</v>
      </c>
      <c r="OL4" s="10" t="str">
        <f t="shared" ref="OL4:ON4" si="110">"plunging"</f>
        <v>plunging</v>
      </c>
      <c r="OM4" s="10" t="str">
        <f t="shared" si="110"/>
        <v>plunging</v>
      </c>
      <c r="ON4" s="10" t="str">
        <f t="shared" si="110"/>
        <v>plunging</v>
      </c>
      <c r="OO4" s="10" t="str">
        <f t="shared" ref="OO4:OP4" si="111">"skill"</f>
        <v>skill</v>
      </c>
      <c r="OP4" s="10" t="str">
        <f t="shared" si="111"/>
        <v>skill</v>
      </c>
      <c r="OQ4" s="10" t="str">
        <f>"burst"</f>
        <v>burst</v>
      </c>
      <c r="OR4" s="10" t="str">
        <f t="shared" ref="OR4:OT4" si="112">"normal"</f>
        <v>normal</v>
      </c>
      <c r="OS4" s="10" t="str">
        <f t="shared" si="112"/>
        <v>normal</v>
      </c>
      <c r="OT4" s="10" t="str">
        <f t="shared" si="112"/>
        <v>normal</v>
      </c>
      <c r="OU4" s="10" t="str">
        <f>"charged"</f>
        <v>charged</v>
      </c>
      <c r="OV4" s="10" t="str">
        <f t="shared" ref="OV4:OX4" si="113">"plunging"</f>
        <v>plunging</v>
      </c>
      <c r="OW4" s="10" t="str">
        <f t="shared" si="113"/>
        <v>plunging</v>
      </c>
      <c r="OX4" s="10" t="str">
        <f t="shared" si="113"/>
        <v>plunging</v>
      </c>
      <c r="OY4" s="10" t="str">
        <f>"skill"</f>
        <v>skill</v>
      </c>
      <c r="OZ4" s="10" t="str">
        <f>"burst"</f>
        <v>burst</v>
      </c>
      <c r="PA4" s="10" t="str">
        <f>"skill"</f>
        <v>skill</v>
      </c>
      <c r="PB4" s="10" t="str">
        <f t="shared" ref="PB4:PD4" si="114">"normal"</f>
        <v>normal</v>
      </c>
      <c r="PC4" s="10" t="str">
        <f t="shared" si="114"/>
        <v>normal</v>
      </c>
      <c r="PD4" s="10" t="str">
        <f t="shared" si="114"/>
        <v>normal</v>
      </c>
      <c r="PE4" s="10" t="str">
        <f>"charged"</f>
        <v>charged</v>
      </c>
      <c r="PF4" s="10" t="str">
        <f t="shared" ref="PF4:PI4" si="115">"normal"</f>
        <v>normal</v>
      </c>
      <c r="PG4" s="10" t="str">
        <f t="shared" si="115"/>
        <v>normal</v>
      </c>
      <c r="PH4" s="10" t="str">
        <f t="shared" si="115"/>
        <v>normal</v>
      </c>
      <c r="PI4" s="10" t="str">
        <f t="shared" si="115"/>
        <v>normal</v>
      </c>
      <c r="PJ4" s="10" t="str">
        <f>"charged"</f>
        <v>charged</v>
      </c>
      <c r="PK4" s="10" t="str">
        <f t="shared" ref="PK4:PM4" si="116">"plunging"</f>
        <v>plunging</v>
      </c>
      <c r="PL4" s="10" t="str">
        <f t="shared" si="116"/>
        <v>plunging</v>
      </c>
      <c r="PM4" s="10" t="str">
        <f t="shared" si="116"/>
        <v>plunging</v>
      </c>
      <c r="PN4" s="10" t="str">
        <f t="shared" ref="PN4:PR4" si="117">"skill"</f>
        <v>skill</v>
      </c>
      <c r="PO4" s="10" t="str">
        <f t="shared" si="117"/>
        <v>skill</v>
      </c>
      <c r="PP4" s="10" t="str">
        <f t="shared" si="117"/>
        <v>skill</v>
      </c>
      <c r="PQ4" s="10" t="str">
        <f t="shared" si="117"/>
        <v>skill</v>
      </c>
      <c r="PR4" s="10" t="str">
        <f t="shared" si="117"/>
        <v>skill</v>
      </c>
      <c r="PS4" s="10" t="str">
        <f t="shared" ref="PS4:PT4" si="118">"burst"</f>
        <v>burst</v>
      </c>
      <c r="PT4" s="10" t="str">
        <f t="shared" si="118"/>
        <v>burst</v>
      </c>
      <c r="PU4" s="10" t="str">
        <f t="shared" ref="PU4:PX4" si="119">"normal"</f>
        <v>normal</v>
      </c>
      <c r="PV4" s="10" t="str">
        <f t="shared" si="119"/>
        <v>normal</v>
      </c>
      <c r="PW4" s="10" t="str">
        <f t="shared" si="119"/>
        <v>normal</v>
      </c>
      <c r="PX4" s="10" t="str">
        <f t="shared" si="119"/>
        <v>normal</v>
      </c>
      <c r="PY4" s="10" t="str">
        <f>"charged"</f>
        <v>charged</v>
      </c>
      <c r="PZ4" s="10" t="str">
        <f t="shared" ref="PZ4:QB4" si="120">"plunging"</f>
        <v>plunging</v>
      </c>
      <c r="QA4" s="10" t="str">
        <f t="shared" si="120"/>
        <v>plunging</v>
      </c>
      <c r="QB4" s="10" t="str">
        <f t="shared" si="120"/>
        <v>plunging</v>
      </c>
      <c r="QC4" s="10" t="str">
        <f t="shared" ref="QC4:QD4" si="121">"skill"</f>
        <v>skill</v>
      </c>
      <c r="QD4" s="10" t="str">
        <f t="shared" si="121"/>
        <v>skill</v>
      </c>
      <c r="QE4" s="10" t="str">
        <f>"burst"</f>
        <v>burst</v>
      </c>
      <c r="QF4" s="10" t="str">
        <f>"normal"</f>
        <v>normal</v>
      </c>
      <c r="QG4" s="10" t="str">
        <f t="shared" ref="QG4:QH4" si="122">"charged"</f>
        <v>charged</v>
      </c>
      <c r="QH4" s="10" t="str">
        <f t="shared" si="122"/>
        <v>charged</v>
      </c>
      <c r="QI4" s="10" t="str">
        <f t="shared" ref="QI4:QK4" si="123">"plunging"</f>
        <v>plunging</v>
      </c>
      <c r="QJ4" s="10" t="str">
        <f t="shared" si="123"/>
        <v>plunging</v>
      </c>
      <c r="QK4" s="10" t="str">
        <f t="shared" si="123"/>
        <v>plunging</v>
      </c>
      <c r="QL4" s="10" t="str">
        <f>"skill"</f>
        <v>skill</v>
      </c>
      <c r="QM4" s="10" t="str">
        <f>"burst"</f>
        <v>burst</v>
      </c>
      <c r="QN4" s="10" t="str">
        <f t="shared" ref="QN4:QQ4" si="124">"normal"</f>
        <v>normal</v>
      </c>
      <c r="QO4" s="10" t="str">
        <f t="shared" si="124"/>
        <v>normal</v>
      </c>
      <c r="QP4" s="10" t="str">
        <f t="shared" si="124"/>
        <v>normal</v>
      </c>
      <c r="QQ4" s="10" t="str">
        <f t="shared" si="124"/>
        <v>normal</v>
      </c>
      <c r="QR4" s="10" t="str">
        <f t="shared" ref="QR4:QS4" si="125">"charged"</f>
        <v>charged</v>
      </c>
      <c r="QS4" s="10" t="str">
        <f t="shared" si="125"/>
        <v>charged</v>
      </c>
      <c r="QT4" s="10" t="str">
        <f t="shared" ref="QT4:QV4" si="126">"plunging"</f>
        <v>plunging</v>
      </c>
      <c r="QU4" s="10" t="str">
        <f t="shared" si="126"/>
        <v>plunging</v>
      </c>
      <c r="QV4" s="10" t="str">
        <f t="shared" si="126"/>
        <v>plunging</v>
      </c>
      <c r="QW4" s="10" t="str">
        <f>"skill"</f>
        <v>skill</v>
      </c>
      <c r="QX4" s="10" t="str">
        <f t="shared" ref="QX4:QY4" si="127">"burst"</f>
        <v>burst</v>
      </c>
      <c r="QY4" s="10" t="str">
        <f t="shared" si="127"/>
        <v>burst</v>
      </c>
      <c r="QZ4" s="10" t="str">
        <f t="shared" ref="QZ4:RD4" si="128">"normal"</f>
        <v>normal</v>
      </c>
      <c r="RA4" s="10" t="str">
        <f t="shared" si="128"/>
        <v>normal</v>
      </c>
      <c r="RB4" s="10" t="str">
        <f t="shared" si="128"/>
        <v>normal</v>
      </c>
      <c r="RC4" s="10" t="str">
        <f t="shared" si="128"/>
        <v>normal</v>
      </c>
      <c r="RD4" s="10" t="str">
        <f t="shared" si="128"/>
        <v>normal</v>
      </c>
      <c r="RE4" s="10" t="str">
        <f>"charged"</f>
        <v>charged</v>
      </c>
      <c r="RF4" s="10" t="str">
        <f t="shared" ref="RF4:RH4" si="129">"plunging"</f>
        <v>plunging</v>
      </c>
      <c r="RG4" s="10" t="str">
        <f t="shared" si="129"/>
        <v>plunging</v>
      </c>
      <c r="RH4" s="10" t="str">
        <f t="shared" si="129"/>
        <v>plunging</v>
      </c>
      <c r="RI4" s="10" t="str">
        <f t="shared" ref="RI4:RJ4" si="130">"skill"</f>
        <v>skill</v>
      </c>
      <c r="RJ4" s="10" t="str">
        <f t="shared" si="130"/>
        <v>skill</v>
      </c>
      <c r="RK4" s="10" t="str">
        <f>"burst"</f>
        <v>burst</v>
      </c>
      <c r="RL4" s="10" t="str">
        <f t="shared" ref="RL4:RP4" si="131">"normal"</f>
        <v>normal</v>
      </c>
      <c r="RM4" s="10" t="str">
        <f t="shared" si="131"/>
        <v>normal</v>
      </c>
      <c r="RN4" s="10" t="str">
        <f t="shared" si="131"/>
        <v>normal</v>
      </c>
      <c r="RO4" s="10" t="str">
        <f t="shared" si="131"/>
        <v>normal</v>
      </c>
      <c r="RP4" s="10" t="str">
        <f t="shared" si="131"/>
        <v>normal</v>
      </c>
      <c r="RQ4" s="10" t="str">
        <f>"charged"</f>
        <v>charged</v>
      </c>
      <c r="RR4" s="10" t="str">
        <f t="shared" ref="RR4:RT4" si="132">"plunging"</f>
        <v>plunging</v>
      </c>
      <c r="RS4" s="10" t="str">
        <f t="shared" si="132"/>
        <v>plunging</v>
      </c>
      <c r="RT4" s="10" t="str">
        <f t="shared" si="132"/>
        <v>plunging</v>
      </c>
      <c r="RU4" s="10" t="str">
        <f t="shared" ref="RU4:RV4" si="133">"skill"</f>
        <v>skill</v>
      </c>
      <c r="RV4" s="10" t="str">
        <f t="shared" si="133"/>
        <v>skill</v>
      </c>
      <c r="RW4" s="10" t="str">
        <f t="shared" ref="RW4:SH4" si="134">"burst"</f>
        <v>burst</v>
      </c>
      <c r="RX4" s="10" t="str">
        <f t="shared" si="134"/>
        <v>burst</v>
      </c>
      <c r="RY4" s="10" t="str">
        <f t="shared" si="134"/>
        <v>burst</v>
      </c>
      <c r="RZ4" s="10" t="str">
        <f t="shared" si="134"/>
        <v>burst</v>
      </c>
      <c r="SA4" s="10" t="str">
        <f t="shared" si="134"/>
        <v>burst</v>
      </c>
      <c r="SB4" s="10" t="str">
        <f t="shared" si="134"/>
        <v>burst</v>
      </c>
      <c r="SC4" s="10" t="str">
        <f t="shared" si="134"/>
        <v>burst</v>
      </c>
      <c r="SD4" s="10" t="str">
        <f t="shared" si="134"/>
        <v>burst</v>
      </c>
      <c r="SE4" s="10" t="str">
        <f t="shared" si="134"/>
        <v>burst</v>
      </c>
      <c r="SF4" s="10" t="str">
        <f t="shared" si="134"/>
        <v>burst</v>
      </c>
      <c r="SG4" s="10" t="str">
        <f t="shared" si="134"/>
        <v>burst</v>
      </c>
      <c r="SH4" s="10" t="str">
        <f t="shared" si="134"/>
        <v>burst</v>
      </c>
      <c r="SI4" s="10" t="str">
        <f t="shared" ref="SI4:SL4" si="135">"normal"</f>
        <v>normal</v>
      </c>
      <c r="SJ4" s="10" t="str">
        <f t="shared" si="135"/>
        <v>normal</v>
      </c>
      <c r="SK4" s="10" t="str">
        <f t="shared" si="135"/>
        <v>normal</v>
      </c>
      <c r="SL4" s="10" t="str">
        <f t="shared" si="135"/>
        <v>normal</v>
      </c>
      <c r="SM4" s="10" t="str">
        <f t="shared" ref="SM4:SN4" si="136">"charged"</f>
        <v>charged</v>
      </c>
      <c r="SN4" s="10" t="str">
        <f t="shared" si="136"/>
        <v>charged</v>
      </c>
      <c r="SO4" s="10" t="str">
        <f t="shared" ref="SO4:SQ4" si="137">"plunging"</f>
        <v>plunging</v>
      </c>
      <c r="SP4" s="10" t="str">
        <f t="shared" si="137"/>
        <v>plunging</v>
      </c>
      <c r="SQ4" s="10" t="str">
        <f t="shared" si="137"/>
        <v>plunging</v>
      </c>
      <c r="SR4" s="10" t="str">
        <f t="shared" ref="SR4:SS4" si="138">"skill"</f>
        <v>skill</v>
      </c>
      <c r="SS4" s="10" t="str">
        <f t="shared" si="138"/>
        <v>skill</v>
      </c>
      <c r="ST4" s="10" t="str">
        <f t="shared" ref="ST4:SX4" si="139">"burst"</f>
        <v>burst</v>
      </c>
      <c r="SU4" s="10" t="str">
        <f t="shared" si="139"/>
        <v>burst</v>
      </c>
      <c r="SV4" s="10" t="str">
        <f t="shared" si="139"/>
        <v>burst</v>
      </c>
      <c r="SW4" s="10" t="str">
        <f t="shared" si="139"/>
        <v>burst</v>
      </c>
      <c r="SX4" s="10" t="str">
        <f t="shared" si="139"/>
        <v>burst</v>
      </c>
      <c r="SY4" s="10" t="str">
        <f t="shared" ref="SY4:TD4" si="140">"normal"</f>
        <v>normal</v>
      </c>
      <c r="SZ4" s="10" t="str">
        <f t="shared" si="140"/>
        <v>normal</v>
      </c>
      <c r="TA4" s="10" t="str">
        <f t="shared" si="140"/>
        <v>normal</v>
      </c>
      <c r="TB4" s="10" t="str">
        <f t="shared" si="140"/>
        <v>normal</v>
      </c>
      <c r="TC4" s="10" t="str">
        <f t="shared" si="140"/>
        <v>normal</v>
      </c>
      <c r="TD4" s="10" t="str">
        <f t="shared" si="140"/>
        <v>normal</v>
      </c>
      <c r="TE4" s="10" t="str">
        <f>"charged"</f>
        <v>charged</v>
      </c>
      <c r="TF4" s="10" t="str">
        <f t="shared" ref="TF4:TH4" si="141">"plunging"</f>
        <v>plunging</v>
      </c>
      <c r="TG4" s="10" t="str">
        <f t="shared" si="141"/>
        <v>plunging</v>
      </c>
      <c r="TH4" s="10" t="str">
        <f t="shared" si="141"/>
        <v>plunging</v>
      </c>
      <c r="TI4" s="10" t="str">
        <f t="shared" ref="TI4:TJ4" si="142">"skill"</f>
        <v>skill</v>
      </c>
      <c r="TJ4" s="10" t="str">
        <f t="shared" si="142"/>
        <v>skill</v>
      </c>
      <c r="TK4" s="10" t="str">
        <f t="shared" ref="TK4:TM4" si="143">"burst"</f>
        <v>burst</v>
      </c>
      <c r="TL4" s="10" t="str">
        <f t="shared" si="143"/>
        <v>burst</v>
      </c>
      <c r="TM4" s="10" t="str">
        <f t="shared" si="143"/>
        <v>burst</v>
      </c>
      <c r="TN4" s="10" t="str">
        <f t="shared" ref="TN4:TR4" si="144">"normal"</f>
        <v>normal</v>
      </c>
      <c r="TO4" s="10" t="str">
        <f t="shared" si="144"/>
        <v>normal</v>
      </c>
      <c r="TP4" s="10" t="str">
        <f t="shared" si="144"/>
        <v>normal</v>
      </c>
      <c r="TQ4" s="10" t="str">
        <f t="shared" si="144"/>
        <v>normal</v>
      </c>
      <c r="TR4" s="10" t="str">
        <f t="shared" si="144"/>
        <v>normal</v>
      </c>
      <c r="TS4" s="10" t="str">
        <f t="shared" ref="TS4:TT4" si="145">"charged"</f>
        <v>charged</v>
      </c>
      <c r="TT4" s="10" t="str">
        <f t="shared" si="145"/>
        <v>charged</v>
      </c>
      <c r="TU4" s="10" t="str">
        <f t="shared" ref="TU4:TW4" si="146">"plunging"</f>
        <v>plunging</v>
      </c>
      <c r="TV4" s="10" t="str">
        <f t="shared" si="146"/>
        <v>plunging</v>
      </c>
      <c r="TW4" s="10" t="str">
        <f t="shared" si="146"/>
        <v>plunging</v>
      </c>
      <c r="TX4" s="10" t="str">
        <f>"skill"</f>
        <v>skill</v>
      </c>
      <c r="TY4" s="10" t="str">
        <f t="shared" ref="TY4:TZ4" si="147">"burst"</f>
        <v>burst</v>
      </c>
      <c r="TZ4" s="10" t="str">
        <f t="shared" si="147"/>
        <v>burst</v>
      </c>
      <c r="UA4" s="10" t="str">
        <f t="shared" ref="UA4:UD4" si="148">"normal"</f>
        <v>normal</v>
      </c>
      <c r="UB4" s="10" t="str">
        <f t="shared" si="148"/>
        <v>normal</v>
      </c>
      <c r="UC4" s="10" t="str">
        <f t="shared" si="148"/>
        <v>normal</v>
      </c>
      <c r="UD4" s="10" t="str">
        <f t="shared" si="148"/>
        <v>normal</v>
      </c>
      <c r="UE4" s="10" t="str">
        <f t="shared" ref="UE4:UF4" si="149">"charged"</f>
        <v>charged</v>
      </c>
      <c r="UF4" s="10" t="str">
        <f t="shared" si="149"/>
        <v>charged</v>
      </c>
      <c r="UG4" s="10" t="str">
        <f t="shared" ref="UG4:UI4" si="150">"plunging"</f>
        <v>plunging</v>
      </c>
      <c r="UH4" s="10" t="str">
        <f t="shared" si="150"/>
        <v>plunging</v>
      </c>
      <c r="UI4" s="10" t="str">
        <f t="shared" si="150"/>
        <v>plunging</v>
      </c>
      <c r="UJ4" s="10" t="str">
        <f t="shared" ref="UJ4:UN4" si="151">"skill"</f>
        <v>skill</v>
      </c>
      <c r="UK4" s="10" t="str">
        <f t="shared" si="151"/>
        <v>skill</v>
      </c>
      <c r="UL4" s="10" t="str">
        <f t="shared" si="151"/>
        <v>skill</v>
      </c>
      <c r="UM4" s="10" t="str">
        <f t="shared" si="151"/>
        <v>skill</v>
      </c>
      <c r="UN4" s="10" t="str">
        <f t="shared" si="151"/>
        <v>skill</v>
      </c>
      <c r="UO4" s="10" t="str">
        <f t="shared" ref="UO4:UP4" si="152">"burst"</f>
        <v>burst</v>
      </c>
      <c r="UP4" s="10" t="str">
        <f t="shared" si="152"/>
        <v>burst</v>
      </c>
      <c r="UQ4" s="10" t="str">
        <f t="shared" ref="UQ4:UU4" si="153">"normal"</f>
        <v>normal</v>
      </c>
      <c r="UR4" s="10" t="str">
        <f t="shared" si="153"/>
        <v>normal</v>
      </c>
      <c r="US4" s="10" t="str">
        <f t="shared" si="153"/>
        <v>normal</v>
      </c>
      <c r="UT4" s="10" t="str">
        <f t="shared" si="153"/>
        <v>normal</v>
      </c>
      <c r="UU4" s="10" t="str">
        <f t="shared" si="153"/>
        <v>normal</v>
      </c>
      <c r="UV4" s="10" t="str">
        <f>"charged"</f>
        <v>charged</v>
      </c>
      <c r="UW4" s="10" t="str">
        <f t="shared" ref="UW4:UY4" si="154">"plunging"</f>
        <v>plunging</v>
      </c>
      <c r="UX4" s="10" t="str">
        <f t="shared" si="154"/>
        <v>plunging</v>
      </c>
      <c r="UY4" s="10" t="str">
        <f t="shared" si="154"/>
        <v>plunging</v>
      </c>
      <c r="UZ4" s="10" t="str">
        <f t="shared" ref="UZ4:VA4" si="155">"skill"</f>
        <v>skill</v>
      </c>
      <c r="VA4" s="10" t="str">
        <f t="shared" si="155"/>
        <v>skill</v>
      </c>
      <c r="VB4" s="10" t="str">
        <f t="shared" ref="VB4:VC4" si="156">"burst"</f>
        <v>burst</v>
      </c>
      <c r="VC4" s="10" t="str">
        <f t="shared" si="156"/>
        <v>burst</v>
      </c>
      <c r="VD4" s="10" t="str">
        <f t="shared" ref="VD4:VG4" si="157">"normal"</f>
        <v>normal</v>
      </c>
      <c r="VE4" s="10" t="str">
        <f t="shared" si="157"/>
        <v>normal</v>
      </c>
      <c r="VF4" s="10" t="str">
        <f t="shared" si="157"/>
        <v>normal</v>
      </c>
      <c r="VG4" s="10" t="str">
        <f t="shared" si="157"/>
        <v>normal</v>
      </c>
      <c r="VH4" s="10" t="str">
        <f t="shared" ref="VH4:VI4" si="158">"charged"</f>
        <v>charged</v>
      </c>
      <c r="VI4" s="10" t="str">
        <f t="shared" si="158"/>
        <v>charged</v>
      </c>
      <c r="VJ4" s="10" t="str">
        <f t="shared" ref="VJ4:VL4" si="159">"plunging"</f>
        <v>plunging</v>
      </c>
      <c r="VK4" s="10" t="str">
        <f t="shared" si="159"/>
        <v>plunging</v>
      </c>
      <c r="VL4" s="10" t="str">
        <f t="shared" si="159"/>
        <v>plunging</v>
      </c>
      <c r="VM4" s="10" t="str">
        <f t="shared" ref="VM4:VN4" si="160">"skill"</f>
        <v>skill</v>
      </c>
      <c r="VN4" s="10" t="str">
        <f t="shared" si="160"/>
        <v>skill</v>
      </c>
      <c r="VO4" s="10" t="str">
        <f>"burst"</f>
        <v>burst</v>
      </c>
      <c r="VP4" s="10" t="str">
        <f t="shared" ref="VP4:VS4" si="161">"normal"</f>
        <v>normal</v>
      </c>
      <c r="VQ4" s="10" t="str">
        <f t="shared" si="161"/>
        <v>normal</v>
      </c>
      <c r="VR4" s="10" t="str">
        <f t="shared" si="161"/>
        <v>normal</v>
      </c>
      <c r="VS4" s="10" t="str">
        <f t="shared" si="161"/>
        <v>normal</v>
      </c>
      <c r="VT4" s="10" t="str">
        <f>"charged"</f>
        <v>charged</v>
      </c>
      <c r="VU4" s="10" t="str">
        <f t="shared" ref="VU4:VW4" si="162">"plunging"</f>
        <v>plunging</v>
      </c>
      <c r="VV4" s="10" t="str">
        <f t="shared" si="162"/>
        <v>plunging</v>
      </c>
      <c r="VW4" s="10" t="str">
        <f t="shared" si="162"/>
        <v>plunging</v>
      </c>
      <c r="VX4" s="10" t="str">
        <f>"skill"</f>
        <v>skill</v>
      </c>
      <c r="VY4" s="10" t="str">
        <f t="shared" ref="VY4:VZ4" si="163">"burst"</f>
        <v>burst</v>
      </c>
      <c r="VZ4" s="10" t="str">
        <f t="shared" si="163"/>
        <v>burst</v>
      </c>
      <c r="WA4" s="10" t="str">
        <f t="shared" ref="WA4:WF4" si="164">"normal"</f>
        <v>normal</v>
      </c>
      <c r="WB4" s="10" t="str">
        <f t="shared" si="164"/>
        <v>normal</v>
      </c>
      <c r="WC4" s="10" t="str">
        <f t="shared" si="164"/>
        <v>normal</v>
      </c>
      <c r="WD4" s="10" t="str">
        <f t="shared" si="164"/>
        <v>normal</v>
      </c>
      <c r="WE4" s="10" t="str">
        <f t="shared" si="164"/>
        <v>normal</v>
      </c>
      <c r="WF4" s="10" t="str">
        <f t="shared" si="164"/>
        <v>normal</v>
      </c>
      <c r="WG4" s="10" t="str">
        <f t="shared" ref="WG4:WH4" si="165">"charged"</f>
        <v>charged</v>
      </c>
      <c r="WH4" s="10" t="str">
        <f t="shared" si="165"/>
        <v>charged</v>
      </c>
      <c r="WI4" s="10" t="str">
        <f t="shared" ref="WI4:WJ4" si="166">"normal"</f>
        <v>normal</v>
      </c>
      <c r="WJ4" s="10" t="str">
        <f t="shared" si="166"/>
        <v>normal</v>
      </c>
      <c r="WK4" s="10" t="str">
        <f t="shared" ref="WK4:WM4" si="167">"plunging"</f>
        <v>plunging</v>
      </c>
      <c r="WL4" s="10" t="str">
        <f t="shared" si="167"/>
        <v>plunging</v>
      </c>
      <c r="WM4" s="10" t="str">
        <f t="shared" si="167"/>
        <v>plunging</v>
      </c>
      <c r="WN4" s="10" t="str">
        <f>"skill"</f>
        <v>skill</v>
      </c>
      <c r="WO4" s="10" t="str">
        <f t="shared" ref="WO4:WU4" si="168">"normal"</f>
        <v>normal</v>
      </c>
      <c r="WP4" s="10" t="str">
        <f t="shared" si="168"/>
        <v>normal</v>
      </c>
      <c r="WQ4" s="10" t="str">
        <f t="shared" si="168"/>
        <v>normal</v>
      </c>
      <c r="WR4" s="10" t="str">
        <f t="shared" si="168"/>
        <v>normal</v>
      </c>
      <c r="WS4" s="10" t="str">
        <f t="shared" si="168"/>
        <v>normal</v>
      </c>
      <c r="WT4" s="10" t="str">
        <f t="shared" si="168"/>
        <v>normal</v>
      </c>
      <c r="WU4" s="10" t="str">
        <f t="shared" si="168"/>
        <v>normal</v>
      </c>
      <c r="WV4" s="10" t="str">
        <f t="shared" ref="WV4:WW4" si="169">"charged"</f>
        <v>charged</v>
      </c>
      <c r="WW4" s="10" t="str">
        <f t="shared" si="169"/>
        <v>charged</v>
      </c>
      <c r="WX4" s="10" t="str">
        <f>"skill"</f>
        <v>skill</v>
      </c>
      <c r="WY4" s="10" t="str">
        <f t="shared" ref="WY4:XA4" si="170">"burst"</f>
        <v>burst</v>
      </c>
      <c r="WZ4" s="10" t="str">
        <f t="shared" si="170"/>
        <v>burst</v>
      </c>
      <c r="XA4" s="10" t="str">
        <f t="shared" si="170"/>
        <v>burst</v>
      </c>
      <c r="XB4" s="10" t="str">
        <f t="shared" ref="XB4:XE4" si="171">"normal"</f>
        <v>normal</v>
      </c>
      <c r="XC4" s="10" t="str">
        <f t="shared" si="171"/>
        <v>normal</v>
      </c>
      <c r="XD4" s="10" t="str">
        <f t="shared" si="171"/>
        <v>normal</v>
      </c>
      <c r="XE4" s="10" t="str">
        <f t="shared" si="171"/>
        <v>normal</v>
      </c>
      <c r="XF4" s="10" t="str">
        <f>"charged"</f>
        <v>charged</v>
      </c>
      <c r="XG4" s="10" t="str">
        <f t="shared" ref="XG4:XI4" si="172">"plunging"</f>
        <v>plunging</v>
      </c>
      <c r="XH4" s="10" t="str">
        <f t="shared" si="172"/>
        <v>plunging</v>
      </c>
      <c r="XI4" s="10" t="str">
        <f t="shared" si="172"/>
        <v>plunging</v>
      </c>
      <c r="XJ4" s="10" t="str">
        <f>"skill"</f>
        <v>skill</v>
      </c>
      <c r="XK4" s="10" t="str">
        <f t="shared" ref="XK4:XL4" si="173">"burst"</f>
        <v>burst</v>
      </c>
      <c r="XL4" s="10" t="str">
        <f t="shared" si="173"/>
        <v>burst</v>
      </c>
      <c r="XM4" s="10" t="str">
        <f t="shared" ref="XM4:XP4" si="174">"normal"</f>
        <v>normal</v>
      </c>
      <c r="XN4" s="10" t="str">
        <f t="shared" si="174"/>
        <v>normal</v>
      </c>
      <c r="XO4" s="10" t="str">
        <f t="shared" si="174"/>
        <v>normal</v>
      </c>
      <c r="XP4" s="10" t="str">
        <f t="shared" si="174"/>
        <v>normal</v>
      </c>
      <c r="XQ4" s="10" t="str">
        <f t="shared" ref="XQ4:XT4" si="175">"charged"</f>
        <v>charged</v>
      </c>
      <c r="XR4" s="10" t="str">
        <f t="shared" si="175"/>
        <v>charged</v>
      </c>
      <c r="XS4" s="10" t="str">
        <f t="shared" si="175"/>
        <v>charged</v>
      </c>
      <c r="XT4" s="10" t="str">
        <f t="shared" si="175"/>
        <v>charged</v>
      </c>
      <c r="XU4" s="10" t="str">
        <f t="shared" ref="XU4:XW4" si="176">"plunging"</f>
        <v>plunging</v>
      </c>
      <c r="XV4" s="10" t="str">
        <f t="shared" si="176"/>
        <v>plunging</v>
      </c>
      <c r="XW4" s="10" t="str">
        <f t="shared" si="176"/>
        <v>plunging</v>
      </c>
      <c r="XX4" s="10" t="str">
        <f>"skill"</f>
        <v>skill</v>
      </c>
      <c r="XY4" s="10" t="str">
        <f t="shared" ref="XY4:XZ4" si="177">"burst"</f>
        <v>burst</v>
      </c>
      <c r="XZ4" s="10" t="str">
        <f t="shared" si="177"/>
        <v>burst</v>
      </c>
      <c r="YA4" s="10" t="str">
        <f t="shared" ref="YA4:YF4" si="178">"normal"</f>
        <v>normal</v>
      </c>
      <c r="YB4" s="10" t="str">
        <f t="shared" si="178"/>
        <v>normal</v>
      </c>
      <c r="YC4" s="10" t="str">
        <f t="shared" si="178"/>
        <v>normal</v>
      </c>
      <c r="YD4" s="10" t="str">
        <f t="shared" si="178"/>
        <v>normal</v>
      </c>
      <c r="YE4" s="10" t="str">
        <f t="shared" si="178"/>
        <v>normal</v>
      </c>
      <c r="YF4" s="10" t="str">
        <f t="shared" si="178"/>
        <v>normal</v>
      </c>
      <c r="YG4" s="10" t="str">
        <f t="shared" ref="YG4:YH4" si="179">"charged"</f>
        <v>charged</v>
      </c>
      <c r="YH4" s="10" t="str">
        <f t="shared" si="179"/>
        <v>charged</v>
      </c>
      <c r="YI4" s="10" t="str">
        <f t="shared" ref="YI4:YK4" si="180">"plunging"</f>
        <v>plunging</v>
      </c>
      <c r="YJ4" s="10" t="str">
        <f t="shared" si="180"/>
        <v>plunging</v>
      </c>
      <c r="YK4" s="10" t="str">
        <f t="shared" si="180"/>
        <v>plunging</v>
      </c>
      <c r="YL4" s="10" t="str">
        <f t="shared" ref="YL4:YM4" si="181">"skill"</f>
        <v>skill</v>
      </c>
      <c r="YM4" s="10" t="str">
        <f t="shared" si="181"/>
        <v>skill</v>
      </c>
      <c r="YN4" s="10" t="str">
        <f t="shared" ref="YN4:YO4" si="182">"burst"</f>
        <v>burst</v>
      </c>
      <c r="YO4" s="10" t="str">
        <f t="shared" si="182"/>
        <v>burst</v>
      </c>
      <c r="YP4" s="10" t="str">
        <f t="shared" ref="YP4:YT4" si="183">"normal"</f>
        <v>normal</v>
      </c>
      <c r="YQ4" s="10" t="str">
        <f t="shared" si="183"/>
        <v>normal</v>
      </c>
      <c r="YR4" s="10" t="str">
        <f t="shared" si="183"/>
        <v>normal</v>
      </c>
      <c r="YS4" s="10" t="str">
        <f t="shared" si="183"/>
        <v>normal</v>
      </c>
      <c r="YT4" s="10" t="str">
        <f t="shared" si="183"/>
        <v>normal</v>
      </c>
      <c r="YU4" s="10" t="str">
        <f>"charged"</f>
        <v>charged</v>
      </c>
      <c r="YV4" s="10" t="str">
        <f t="shared" ref="YV4:YX4" si="184">"plunging"</f>
        <v>plunging</v>
      </c>
      <c r="YW4" s="10" t="str">
        <f t="shared" si="184"/>
        <v>plunging</v>
      </c>
      <c r="YX4" s="10" t="str">
        <f t="shared" si="184"/>
        <v>plunging</v>
      </c>
      <c r="YY4" s="10" t="str">
        <f>"skill"</f>
        <v>skill</v>
      </c>
      <c r="YZ4" s="10" t="str">
        <f t="shared" ref="YZ4:ZC4" si="185">"burst"</f>
        <v>burst</v>
      </c>
      <c r="ZA4" s="10" t="str">
        <f t="shared" si="185"/>
        <v>burst</v>
      </c>
      <c r="ZB4" s="10" t="str">
        <f t="shared" si="185"/>
        <v>burst</v>
      </c>
      <c r="ZC4" s="10" t="str">
        <f t="shared" si="185"/>
        <v>burst</v>
      </c>
      <c r="ZD4" s="10" t="str">
        <f t="shared" ref="ZD4:ZI4" si="186">"normal"</f>
        <v>normal</v>
      </c>
      <c r="ZE4" s="10" t="str">
        <f t="shared" si="186"/>
        <v>normal</v>
      </c>
      <c r="ZF4" s="10" t="str">
        <f t="shared" si="186"/>
        <v>normal</v>
      </c>
      <c r="ZG4" s="10" t="str">
        <f t="shared" si="186"/>
        <v>normal</v>
      </c>
      <c r="ZH4" s="10" t="str">
        <f t="shared" si="186"/>
        <v>normal</v>
      </c>
      <c r="ZI4" s="10" t="str">
        <f t="shared" si="186"/>
        <v>normal</v>
      </c>
      <c r="ZJ4" s="10" t="str">
        <f>"charged"</f>
        <v>charged</v>
      </c>
      <c r="ZK4" s="10" t="str">
        <f t="shared" ref="ZK4:ZM4" si="187">"plunging"</f>
        <v>plunging</v>
      </c>
      <c r="ZL4" s="10" t="str">
        <f t="shared" si="187"/>
        <v>plunging</v>
      </c>
      <c r="ZM4" s="10" t="str">
        <f t="shared" si="187"/>
        <v>plunging</v>
      </c>
      <c r="ZN4" s="10" t="str">
        <f>"skill"</f>
        <v>skill</v>
      </c>
      <c r="ZO4" s="10" t="str">
        <f t="shared" ref="ZO4:ZS4" si="188">"normal"</f>
        <v>normal</v>
      </c>
      <c r="ZP4" s="10" t="str">
        <f t="shared" si="188"/>
        <v>normal</v>
      </c>
      <c r="ZQ4" s="10" t="str">
        <f t="shared" si="188"/>
        <v>normal</v>
      </c>
      <c r="ZR4" s="10" t="str">
        <f t="shared" si="188"/>
        <v>normal</v>
      </c>
      <c r="ZS4" s="10" t="str">
        <f t="shared" si="188"/>
        <v>normal</v>
      </c>
      <c r="ZT4" s="10" t="str">
        <f t="shared" ref="ZT4:ZU4" si="189">"charged"</f>
        <v>charged</v>
      </c>
      <c r="ZU4" s="10" t="str">
        <f t="shared" si="189"/>
        <v>charged</v>
      </c>
      <c r="ZV4" s="10" t="str">
        <f t="shared" ref="ZV4:ZX4" si="190">"plunging"</f>
        <v>plunging</v>
      </c>
      <c r="ZW4" s="10" t="str">
        <f t="shared" si="190"/>
        <v>plunging</v>
      </c>
      <c r="ZX4" s="10" t="str">
        <f t="shared" si="190"/>
        <v>plunging</v>
      </c>
      <c r="ZY4" s="10" t="str">
        <f t="shared" ref="ZY4:ZZ4" si="191">"skill"</f>
        <v>skill</v>
      </c>
      <c r="ZZ4" s="10" t="str">
        <f t="shared" si="191"/>
        <v>skill</v>
      </c>
      <c r="AAA4" s="10" t="str">
        <f>"burst"</f>
        <v>burst</v>
      </c>
      <c r="AAB4" s="10" t="str">
        <f t="shared" ref="AAB4:AAE4" si="192">"normal"</f>
        <v>normal</v>
      </c>
      <c r="AAC4" s="10" t="str">
        <f t="shared" si="192"/>
        <v>normal</v>
      </c>
      <c r="AAD4" s="10" t="str">
        <f t="shared" si="192"/>
        <v>normal</v>
      </c>
      <c r="AAE4" s="10" t="str">
        <f t="shared" si="192"/>
        <v>normal</v>
      </c>
      <c r="AAF4" s="10" t="str">
        <f t="shared" ref="AAF4:AAG4" si="193">"charged"</f>
        <v>charged</v>
      </c>
      <c r="AAG4" s="10" t="str">
        <f t="shared" si="193"/>
        <v>charged</v>
      </c>
      <c r="AAH4" s="10" t="str">
        <f t="shared" ref="AAH4:AAJ4" si="194">"plunging"</f>
        <v>plunging</v>
      </c>
      <c r="AAI4" s="10" t="str">
        <f t="shared" si="194"/>
        <v>plunging</v>
      </c>
      <c r="AAJ4" s="10" t="str">
        <f t="shared" si="194"/>
        <v>plunging</v>
      </c>
      <c r="AAK4" s="10" t="str">
        <f t="shared" ref="AAK4:AAL4" si="195">"skill"</f>
        <v>skill</v>
      </c>
      <c r="AAL4" s="10" t="str">
        <f t="shared" si="195"/>
        <v>skill</v>
      </c>
      <c r="AAM4" s="10" t="str">
        <f t="shared" ref="AAM4:AAN4" si="196">"burst"</f>
        <v>burst</v>
      </c>
      <c r="AAN4" s="10" t="str">
        <f t="shared" si="196"/>
        <v>burst</v>
      </c>
      <c r="AAO4" s="10" t="str">
        <f t="shared" ref="AAO4:AAQ4" si="197">"normal"</f>
        <v>normal</v>
      </c>
      <c r="AAP4" s="10" t="str">
        <f t="shared" si="197"/>
        <v>normal</v>
      </c>
      <c r="AAQ4" s="10" t="str">
        <f t="shared" si="197"/>
        <v>normal</v>
      </c>
      <c r="AAR4" s="10" t="str">
        <f>"charged"</f>
        <v>charged</v>
      </c>
      <c r="AAS4" s="10" t="str">
        <f t="shared" ref="AAS4:AAU4" si="198">"plunging"</f>
        <v>plunging</v>
      </c>
      <c r="AAT4" s="10" t="str">
        <f t="shared" si="198"/>
        <v>plunging</v>
      </c>
      <c r="AAU4" s="10" t="str">
        <f t="shared" si="198"/>
        <v>plunging</v>
      </c>
      <c r="AAV4" s="10" t="str">
        <f t="shared" ref="AAV4:AAX4" si="199">"skill"</f>
        <v>skill</v>
      </c>
      <c r="AAW4" s="10" t="str">
        <f t="shared" si="199"/>
        <v>skill</v>
      </c>
      <c r="AAX4" s="10" t="str">
        <f t="shared" si="199"/>
        <v>skill</v>
      </c>
      <c r="AAY4" s="10" t="str">
        <f t="shared" ref="AAY4:AAZ4" si="200">"burst"</f>
        <v>burst</v>
      </c>
      <c r="AAZ4" s="10" t="str">
        <f t="shared" si="200"/>
        <v>burst</v>
      </c>
      <c r="ABA4" s="10" t="str">
        <f t="shared" ref="ABA4:ABC4" si="201">"normal"</f>
        <v>normal</v>
      </c>
      <c r="ABB4" s="10" t="str">
        <f t="shared" si="201"/>
        <v>normal</v>
      </c>
      <c r="ABC4" s="10" t="str">
        <f t="shared" si="201"/>
        <v>normal</v>
      </c>
      <c r="ABD4" s="10" t="str">
        <f t="shared" ref="ABD4:ABG4" si="202">"charged"</f>
        <v>charged</v>
      </c>
      <c r="ABE4" s="10" t="str">
        <f t="shared" si="202"/>
        <v>charged</v>
      </c>
      <c r="ABF4" s="10" t="str">
        <f t="shared" si="202"/>
        <v>charged</v>
      </c>
      <c r="ABG4" s="10" t="str">
        <f t="shared" si="202"/>
        <v>charged</v>
      </c>
      <c r="ABH4" s="10" t="str">
        <f t="shared" ref="ABH4:ABJ4" si="203">"plunging"</f>
        <v>plunging</v>
      </c>
      <c r="ABI4" s="10" t="str">
        <f t="shared" si="203"/>
        <v>plunging</v>
      </c>
      <c r="ABJ4" s="10" t="str">
        <f t="shared" si="203"/>
        <v>plunging</v>
      </c>
      <c r="ABK4" s="10" t="str">
        <f>"charged"</f>
        <v>charged</v>
      </c>
      <c r="ABL4" s="10" t="str">
        <f>"skill"</f>
        <v>skill</v>
      </c>
      <c r="ABM4" s="10" t="str">
        <f>"burst"</f>
        <v>burst</v>
      </c>
      <c r="ABN4" s="10" t="str">
        <f t="shared" ref="ABN4:ABQ4" si="204">"normal"</f>
        <v>normal</v>
      </c>
      <c r="ABO4" s="10" t="str">
        <f t="shared" si="204"/>
        <v>normal</v>
      </c>
      <c r="ABP4" s="10" t="str">
        <f t="shared" si="204"/>
        <v>normal</v>
      </c>
      <c r="ABQ4" s="10" t="str">
        <f t="shared" si="204"/>
        <v>normal</v>
      </c>
      <c r="ABR4" s="10" t="str">
        <f t="shared" ref="ABR4:ABT4" si="205">"charged"</f>
        <v>charged</v>
      </c>
      <c r="ABS4" s="10" t="str">
        <f t="shared" si="205"/>
        <v>charged</v>
      </c>
      <c r="ABT4" s="10" t="str">
        <f t="shared" si="205"/>
        <v>charged</v>
      </c>
      <c r="ABU4" s="10" t="str">
        <f t="shared" ref="ABU4:ABW4" si="206">"plunging"</f>
        <v>plunging</v>
      </c>
      <c r="ABV4" s="10" t="str">
        <f t="shared" si="206"/>
        <v>plunging</v>
      </c>
      <c r="ABW4" s="10" t="str">
        <f t="shared" si="206"/>
        <v>plunging</v>
      </c>
      <c r="ABX4" s="10" t="str">
        <f>"skill"</f>
        <v>skill</v>
      </c>
      <c r="ABY4" s="10" t="str">
        <f t="shared" ref="ABY4:ABZ4" si="207">"burst"</f>
        <v>burst</v>
      </c>
      <c r="ABZ4" s="10" t="str">
        <f t="shared" si="207"/>
        <v>burst</v>
      </c>
      <c r="ACA4" s="10" t="str">
        <f t="shared" ref="ACA4:ACE4" si="208">"normal"</f>
        <v>normal</v>
      </c>
      <c r="ACB4" s="10" t="str">
        <f t="shared" si="208"/>
        <v>normal</v>
      </c>
      <c r="ACC4" s="10" t="str">
        <f t="shared" si="208"/>
        <v>normal</v>
      </c>
      <c r="ACD4" s="10" t="str">
        <f t="shared" si="208"/>
        <v>normal</v>
      </c>
      <c r="ACE4" s="10" t="str">
        <f t="shared" si="208"/>
        <v>normal</v>
      </c>
      <c r="ACF4" s="10" t="str">
        <f t="shared" ref="ACF4:ACH4" si="209">"charged"</f>
        <v>charged</v>
      </c>
      <c r="ACG4" s="10" t="str">
        <f t="shared" si="209"/>
        <v>charged</v>
      </c>
      <c r="ACH4" s="10" t="str">
        <f t="shared" si="209"/>
        <v>charged</v>
      </c>
      <c r="ACI4" s="10" t="str">
        <f t="shared" ref="ACI4:ACK4" si="210">"plunging"</f>
        <v>plunging</v>
      </c>
      <c r="ACJ4" s="10" t="str">
        <f t="shared" si="210"/>
        <v>plunging</v>
      </c>
      <c r="ACK4" s="10" t="str">
        <f t="shared" si="210"/>
        <v>plunging</v>
      </c>
      <c r="ACL4" s="10" t="str">
        <f t="shared" ref="ACL4:ACM4" si="211">"burst"</f>
        <v>burst</v>
      </c>
      <c r="ACM4" s="10" t="str">
        <f t="shared" si="211"/>
        <v>burst</v>
      </c>
      <c r="ACN4" s="10" t="str">
        <f t="shared" ref="ACN4:ACT4" si="212">"normal"</f>
        <v>normal</v>
      </c>
      <c r="ACO4" s="10" t="str">
        <f t="shared" si="212"/>
        <v>normal</v>
      </c>
      <c r="ACP4" s="10" t="str">
        <f t="shared" si="212"/>
        <v>normal</v>
      </c>
      <c r="ACQ4" s="10" t="str">
        <f t="shared" si="212"/>
        <v>normal</v>
      </c>
      <c r="ACR4" s="10" t="str">
        <f t="shared" si="212"/>
        <v>normal</v>
      </c>
      <c r="ACS4" s="10" t="str">
        <f t="shared" si="212"/>
        <v>normal</v>
      </c>
      <c r="ACT4" s="10" t="str">
        <f t="shared" si="212"/>
        <v>normal</v>
      </c>
      <c r="ACU4" s="10" t="str">
        <f>"charged"</f>
        <v>charged</v>
      </c>
      <c r="ACV4" s="10" t="str">
        <f t="shared" ref="ACV4:ACX4" si="213">"plunging"</f>
        <v>plunging</v>
      </c>
      <c r="ACW4" s="10" t="str">
        <f t="shared" si="213"/>
        <v>plunging</v>
      </c>
      <c r="ACX4" s="10" t="str">
        <f t="shared" si="213"/>
        <v>plunging</v>
      </c>
      <c r="ACY4" s="10" t="str">
        <f t="shared" ref="ACY4:ADA4" si="214">"skill"</f>
        <v>skill</v>
      </c>
      <c r="ACZ4" s="10" t="str">
        <f t="shared" si="214"/>
        <v>skill</v>
      </c>
      <c r="ADA4" s="10" t="str">
        <f t="shared" si="214"/>
        <v>skill</v>
      </c>
      <c r="ADB4" s="10" t="str">
        <f>"burst"</f>
        <v>burst</v>
      </c>
      <c r="ADC4" s="10" t="str">
        <f t="shared" ref="ADC4:ADH4" si="215">"normal"</f>
        <v>normal</v>
      </c>
      <c r="ADD4" s="10" t="str">
        <f t="shared" si="215"/>
        <v>normal</v>
      </c>
      <c r="ADE4" s="10" t="str">
        <f t="shared" si="215"/>
        <v>normal</v>
      </c>
      <c r="ADF4" s="10" t="str">
        <f t="shared" si="215"/>
        <v>normal</v>
      </c>
      <c r="ADG4" s="10" t="str">
        <f t="shared" si="215"/>
        <v>normal</v>
      </c>
      <c r="ADH4" s="10" t="str">
        <f t="shared" si="215"/>
        <v>normal</v>
      </c>
      <c r="ADI4" s="10" t="str">
        <f>"charged"</f>
        <v>charged</v>
      </c>
      <c r="ADJ4" s="10" t="str">
        <f t="shared" ref="ADJ4:ADL4" si="216">"plunging"</f>
        <v>plunging</v>
      </c>
      <c r="ADK4" s="10" t="str">
        <f t="shared" si="216"/>
        <v>plunging</v>
      </c>
      <c r="ADL4" s="10" t="str">
        <f t="shared" si="216"/>
        <v>plunging</v>
      </c>
      <c r="ADM4" s="10" t="str">
        <f t="shared" ref="ADM4:ADO4" si="217">"skill"</f>
        <v>skill</v>
      </c>
      <c r="ADN4" s="10" t="str">
        <f t="shared" si="217"/>
        <v>skill</v>
      </c>
      <c r="ADO4" s="10" t="str">
        <f t="shared" si="217"/>
        <v>skill</v>
      </c>
      <c r="ADP4" s="10" t="str">
        <f>"burst"</f>
        <v>burst</v>
      </c>
      <c r="ADQ4" s="10" t="str">
        <f t="shared" ref="ADQ4:ADT4" si="218">"normal"</f>
        <v>normal</v>
      </c>
      <c r="ADR4" s="10" t="str">
        <f t="shared" si="218"/>
        <v>normal</v>
      </c>
      <c r="ADS4" s="10" t="str">
        <f t="shared" si="218"/>
        <v>normal</v>
      </c>
      <c r="ADT4" s="10" t="str">
        <f t="shared" si="218"/>
        <v>normal</v>
      </c>
      <c r="ADU4" s="10" t="str">
        <f>"charged"</f>
        <v>charged</v>
      </c>
      <c r="ADV4" s="10" t="str">
        <f t="shared" ref="ADV4:ADX4" si="219">"plunging"</f>
        <v>plunging</v>
      </c>
      <c r="ADW4" s="10" t="str">
        <f t="shared" si="219"/>
        <v>plunging</v>
      </c>
      <c r="ADX4" s="10" t="str">
        <f t="shared" si="219"/>
        <v>plunging</v>
      </c>
      <c r="ADY4" s="10" t="str">
        <f t="shared" ref="ADY4:AEA4" si="220">"skill"</f>
        <v>skill</v>
      </c>
      <c r="ADZ4" s="10" t="str">
        <f t="shared" si="220"/>
        <v>skill</v>
      </c>
      <c r="AEA4" s="10" t="str">
        <f t="shared" si="220"/>
        <v>skill</v>
      </c>
      <c r="AEB4" s="10" t="str">
        <f t="shared" ref="AEB4:AEF4" si="221">"normal"</f>
        <v>normal</v>
      </c>
      <c r="AEC4" s="10" t="str">
        <f t="shared" si="221"/>
        <v>normal</v>
      </c>
      <c r="AED4" s="10" t="str">
        <f t="shared" si="221"/>
        <v>normal</v>
      </c>
      <c r="AEE4" s="10" t="str">
        <f t="shared" si="221"/>
        <v>normal</v>
      </c>
      <c r="AEF4" s="10" t="str">
        <f t="shared" si="221"/>
        <v>normal</v>
      </c>
      <c r="AEG4" s="10" t="str">
        <f>"charged"</f>
        <v>charged</v>
      </c>
      <c r="AEH4" s="10" t="str">
        <f t="shared" ref="AEH4:AEJ4" si="222">"plunging"</f>
        <v>plunging</v>
      </c>
      <c r="AEI4" s="10" t="str">
        <f t="shared" si="222"/>
        <v>plunging</v>
      </c>
      <c r="AEJ4" s="10" t="str">
        <f t="shared" si="222"/>
        <v>plunging</v>
      </c>
      <c r="AEK4" s="10" t="str">
        <f t="shared" ref="AEK4:AEM4" si="223">"normal"</f>
        <v>normal</v>
      </c>
      <c r="AEL4" s="10" t="str">
        <f t="shared" si="223"/>
        <v>normal</v>
      </c>
      <c r="AEM4" s="10" t="str">
        <f t="shared" si="223"/>
        <v>normal</v>
      </c>
      <c r="AEN4" s="10" t="str">
        <f t="shared" ref="AEN4:AEO4" si="224">"charged"</f>
        <v>charged</v>
      </c>
      <c r="AEO4" s="10" t="str">
        <f t="shared" si="224"/>
        <v>charged</v>
      </c>
      <c r="AEP4" s="10" t="str">
        <f t="shared" ref="AEP4:AER4" si="225">"plunging"</f>
        <v>plunging</v>
      </c>
      <c r="AEQ4" s="10" t="str">
        <f t="shared" si="225"/>
        <v>plunging</v>
      </c>
      <c r="AER4" s="10" t="str">
        <f t="shared" si="225"/>
        <v>plunging</v>
      </c>
      <c r="AES4" s="10" t="str">
        <f t="shared" ref="AES4:AEY4" si="226">"skill"</f>
        <v>skill</v>
      </c>
      <c r="AET4" s="10" t="str">
        <f t="shared" si="226"/>
        <v>skill</v>
      </c>
      <c r="AEU4" s="10" t="str">
        <f t="shared" si="226"/>
        <v>skill</v>
      </c>
      <c r="AEV4" s="10" t="str">
        <f t="shared" si="226"/>
        <v>skill</v>
      </c>
      <c r="AEW4" s="10" t="str">
        <f t="shared" si="226"/>
        <v>skill</v>
      </c>
      <c r="AEX4" s="10" t="str">
        <f t="shared" si="226"/>
        <v>skill</v>
      </c>
      <c r="AEY4" s="10" t="str">
        <f t="shared" si="226"/>
        <v>skill</v>
      </c>
      <c r="AEZ4" s="10" t="str">
        <f t="shared" ref="AEZ4:AFA4" si="227">"burst"</f>
        <v>burst</v>
      </c>
      <c r="AFA4" s="10" t="str">
        <f t="shared" si="227"/>
        <v>burst</v>
      </c>
      <c r="AFB4" s="10" t="str">
        <f t="shared" ref="AFB4:AFF4" si="228">"normal"</f>
        <v>normal</v>
      </c>
      <c r="AFC4" s="10" t="str">
        <f t="shared" si="228"/>
        <v>normal</v>
      </c>
      <c r="AFD4" s="10" t="str">
        <f t="shared" si="228"/>
        <v>normal</v>
      </c>
      <c r="AFE4" s="10" t="str">
        <f t="shared" si="228"/>
        <v>normal</v>
      </c>
      <c r="AFF4" s="10" t="str">
        <f t="shared" si="228"/>
        <v>normal</v>
      </c>
      <c r="AFG4" s="10" t="str">
        <f>"charged"</f>
        <v>charged</v>
      </c>
      <c r="AFH4" s="10" t="str">
        <f t="shared" ref="AFH4:AFJ4" si="229">"plunging"</f>
        <v>plunging</v>
      </c>
      <c r="AFI4" s="10" t="str">
        <f t="shared" si="229"/>
        <v>plunging</v>
      </c>
      <c r="AFJ4" s="10" t="str">
        <f t="shared" si="229"/>
        <v>plunging</v>
      </c>
      <c r="AFK4" s="10" t="str">
        <f t="shared" ref="AFK4:AFL4" si="230">"skill"</f>
        <v>skill</v>
      </c>
      <c r="AFL4" s="10" t="str">
        <f t="shared" si="230"/>
        <v>skill</v>
      </c>
      <c r="AFM4" s="10" t="str">
        <f t="shared" ref="AFM4:AFN4" si="231">"burst"</f>
        <v>burst</v>
      </c>
      <c r="AFN4" s="10" t="str">
        <f t="shared" si="231"/>
        <v>burst</v>
      </c>
      <c r="AFO4" s="88" t="str">
        <f t="shared" ref="AFO4:AFQ4" si="232">"normal"</f>
        <v>normal</v>
      </c>
      <c r="AFP4" s="88" t="str">
        <f t="shared" si="232"/>
        <v>normal</v>
      </c>
      <c r="AFQ4" s="88" t="str">
        <f t="shared" si="232"/>
        <v>normal</v>
      </c>
      <c r="AFR4" s="88" t="str">
        <f t="shared" ref="AFR4:AFS4" si="233">"charged"</f>
        <v>charged</v>
      </c>
      <c r="AFS4" s="88" t="str">
        <f t="shared" si="233"/>
        <v>charged</v>
      </c>
      <c r="AFT4" s="88" t="str">
        <f t="shared" ref="AFT4:AFV4" si="234">"plunging"</f>
        <v>plunging</v>
      </c>
      <c r="AFU4" s="88" t="str">
        <f t="shared" si="234"/>
        <v>plunging</v>
      </c>
      <c r="AFV4" s="88" t="str">
        <f t="shared" si="234"/>
        <v>plunging</v>
      </c>
      <c r="AFW4" s="88" t="str">
        <f t="shared" ref="AFW4:AFX4" si="235">"skill"</f>
        <v>skill</v>
      </c>
      <c r="AFX4" s="88" t="str">
        <f t="shared" si="235"/>
        <v>skill</v>
      </c>
      <c r="AFY4" s="88" t="str">
        <f>"burst"</f>
        <v>burst</v>
      </c>
      <c r="AFZ4" s="88" t="str">
        <f t="shared" ref="AFZ4:AGC4" si="236">"normal"</f>
        <v>normal</v>
      </c>
      <c r="AGA4" s="88" t="str">
        <f t="shared" si="236"/>
        <v>normal</v>
      </c>
      <c r="AGB4" s="88" t="str">
        <f t="shared" si="236"/>
        <v>normal</v>
      </c>
      <c r="AGC4" s="88" t="str">
        <f t="shared" si="236"/>
        <v>normal</v>
      </c>
      <c r="AGD4" s="88" t="str">
        <f>"charged"</f>
        <v>charged</v>
      </c>
      <c r="AGE4" s="88" t="str">
        <f t="shared" ref="AGE4:AGG4" si="237">"plunging"</f>
        <v>plunging</v>
      </c>
      <c r="AGF4" s="88" t="str">
        <f t="shared" si="237"/>
        <v>plunging</v>
      </c>
      <c r="AGG4" s="88" t="str">
        <f t="shared" si="237"/>
        <v>plunging</v>
      </c>
      <c r="AGH4" s="88" t="str">
        <f t="shared" ref="AGH4:AGJ4" si="238">"skill"</f>
        <v>skill</v>
      </c>
      <c r="AGI4" s="88" t="str">
        <f t="shared" si="238"/>
        <v>skill</v>
      </c>
      <c r="AGJ4" s="88" t="str">
        <f t="shared" si="238"/>
        <v>skill</v>
      </c>
      <c r="AGK4" s="88" t="str">
        <f t="shared" ref="AGK4:AGN4" si="239">"normal"</f>
        <v>normal</v>
      </c>
      <c r="AGL4" s="88" t="str">
        <f t="shared" si="239"/>
        <v>normal</v>
      </c>
      <c r="AGM4" s="88" t="str">
        <f t="shared" si="239"/>
        <v>normal</v>
      </c>
      <c r="AGN4" s="88" t="str">
        <f t="shared" si="239"/>
        <v>normal</v>
      </c>
      <c r="AGO4" s="88" t="str">
        <f t="shared" ref="AGO4:AGP4" si="240">"charged"</f>
        <v>charged</v>
      </c>
      <c r="AGP4" s="88" t="str">
        <f t="shared" si="240"/>
        <v>charged</v>
      </c>
      <c r="AGQ4" s="88" t="str">
        <f t="shared" ref="AGQ4:AGS4" si="241">"plunging"</f>
        <v>plunging</v>
      </c>
      <c r="AGR4" s="88" t="str">
        <f t="shared" si="241"/>
        <v>plunging</v>
      </c>
      <c r="AGS4" s="88" t="str">
        <f t="shared" si="241"/>
        <v>plunging</v>
      </c>
      <c r="AGT4" s="88" t="str">
        <f t="shared" ref="AGT4:AGU4" si="242">"skill"</f>
        <v>skill</v>
      </c>
      <c r="AGU4" s="88" t="str">
        <f t="shared" si="242"/>
        <v>skill</v>
      </c>
      <c r="AGV4" s="88" t="str">
        <f>"burst"</f>
        <v>burst</v>
      </c>
      <c r="AGW4" s="195" t="str">
        <f t="shared" ref="AGW4:AGY4" si="243">"normal"</f>
        <v>normal</v>
      </c>
      <c r="AGX4" s="195" t="str">
        <f t="shared" si="243"/>
        <v>normal</v>
      </c>
      <c r="AGY4" s="195" t="str">
        <f t="shared" si="243"/>
        <v>normal</v>
      </c>
      <c r="AGZ4" s="195" t="str">
        <f>"charged"</f>
        <v>charged</v>
      </c>
      <c r="AHA4" s="88" t="str">
        <f t="shared" ref="AHA4:AHC4" si="244">"normal"</f>
        <v>normal</v>
      </c>
      <c r="AHB4" s="88" t="str">
        <f t="shared" si="244"/>
        <v>normal</v>
      </c>
      <c r="AHC4" s="88" t="str">
        <f t="shared" si="244"/>
        <v>normal</v>
      </c>
      <c r="AHD4" s="88" t="str">
        <f>"charged"</f>
        <v>charged</v>
      </c>
      <c r="AHE4" s="88" t="str">
        <f t="shared" ref="AHE4:AHG4" si="245">"plunging"</f>
        <v>plunging</v>
      </c>
      <c r="AHF4" s="88" t="str">
        <f t="shared" si="245"/>
        <v>plunging</v>
      </c>
      <c r="AHG4" s="88" t="str">
        <f t="shared" si="245"/>
        <v>plunging</v>
      </c>
      <c r="AHH4" s="88" t="str">
        <f>"skill"</f>
        <v>skill</v>
      </c>
      <c r="AHI4" s="88" t="str">
        <f>"burst"</f>
        <v>burst</v>
      </c>
      <c r="AHJ4" s="88" t="str">
        <f>"none"</f>
        <v>none</v>
      </c>
      <c r="AHK4" s="88" t="str">
        <f t="shared" ref="AHK4:AHO4" si="246">"normal"</f>
        <v>normal</v>
      </c>
      <c r="AHL4" s="88" t="str">
        <f t="shared" si="246"/>
        <v>normal</v>
      </c>
      <c r="AHM4" s="88" t="str">
        <f t="shared" si="246"/>
        <v>normal</v>
      </c>
      <c r="AHN4" s="88" t="str">
        <f t="shared" si="246"/>
        <v>normal</v>
      </c>
      <c r="AHO4" s="88" t="str">
        <f t="shared" si="246"/>
        <v>normal</v>
      </c>
      <c r="AHP4" s="88" t="str">
        <f>"charged"</f>
        <v>charged</v>
      </c>
      <c r="AHQ4" s="88" t="str">
        <f t="shared" ref="AHQ4:AHS4" si="247">"plunging"</f>
        <v>plunging</v>
      </c>
      <c r="AHR4" s="88" t="str">
        <f t="shared" si="247"/>
        <v>plunging</v>
      </c>
      <c r="AHS4" s="88" t="str">
        <f t="shared" si="247"/>
        <v>plunging</v>
      </c>
      <c r="AHT4" s="88" t="str">
        <f t="shared" ref="AHT4:AHW4" si="248">"skill"</f>
        <v>skill</v>
      </c>
      <c r="AHU4" s="88" t="str">
        <f t="shared" si="248"/>
        <v>skill</v>
      </c>
      <c r="AHV4" s="88" t="str">
        <f t="shared" si="248"/>
        <v>skill</v>
      </c>
      <c r="AHW4" s="88" t="str">
        <f t="shared" si="248"/>
        <v>skill</v>
      </c>
      <c r="AHX4" s="88" t="str">
        <f>"burst"</f>
        <v>burst</v>
      </c>
      <c r="AHY4" s="88" t="str">
        <f t="shared" ref="AHY4:AIC4" si="249">"normal"</f>
        <v>normal</v>
      </c>
      <c r="AHZ4" s="88" t="str">
        <f t="shared" si="249"/>
        <v>normal</v>
      </c>
      <c r="AIA4" s="88" t="str">
        <f t="shared" si="249"/>
        <v>normal</v>
      </c>
      <c r="AIB4" s="88" t="str">
        <f t="shared" si="249"/>
        <v>normal</v>
      </c>
      <c r="AIC4" s="88" t="str">
        <f t="shared" si="249"/>
        <v>normal</v>
      </c>
      <c r="AID4" s="88" t="str">
        <f>"charged"</f>
        <v>charged</v>
      </c>
      <c r="AIE4" s="88" t="str">
        <f t="shared" ref="AIE4:AIG4" si="250">"plunging"</f>
        <v>plunging</v>
      </c>
      <c r="AIF4" s="88" t="str">
        <f t="shared" si="250"/>
        <v>plunging</v>
      </c>
      <c r="AIG4" s="88" t="str">
        <f t="shared" si="250"/>
        <v>plunging</v>
      </c>
      <c r="AIH4" s="88" t="str">
        <f t="shared" ref="AIH4:AII4" si="251">"skill"</f>
        <v>skill</v>
      </c>
      <c r="AII4" s="88" t="str">
        <f t="shared" si="251"/>
        <v>skill</v>
      </c>
      <c r="AIJ4" s="88" t="str">
        <f>"burst"</f>
        <v>burst</v>
      </c>
      <c r="AIK4" s="88" t="str">
        <f t="shared" ref="AIK4:AIO4" si="252">"normal"</f>
        <v>normal</v>
      </c>
      <c r="AIL4" s="88" t="str">
        <f t="shared" si="252"/>
        <v>normal</v>
      </c>
      <c r="AIM4" s="88" t="str">
        <f t="shared" si="252"/>
        <v>normal</v>
      </c>
      <c r="AIN4" s="88" t="str">
        <f t="shared" si="252"/>
        <v>normal</v>
      </c>
      <c r="AIO4" s="88" t="str">
        <f t="shared" si="252"/>
        <v>normal</v>
      </c>
      <c r="AIP4" s="88" t="str">
        <f>"charged"</f>
        <v>charged</v>
      </c>
      <c r="AIQ4" s="88" t="str">
        <f t="shared" ref="AIQ4:AIS4" si="253">"plunging"</f>
        <v>plunging</v>
      </c>
      <c r="AIR4" s="88" t="str">
        <f t="shared" si="253"/>
        <v>plunging</v>
      </c>
      <c r="AIS4" s="88" t="str">
        <f t="shared" si="253"/>
        <v>plunging</v>
      </c>
      <c r="AIT4" s="88" t="str">
        <f t="shared" ref="AIT4:AIV4" si="254">"skill"</f>
        <v>skill</v>
      </c>
      <c r="AIU4" s="88" t="str">
        <f t="shared" si="254"/>
        <v>skill</v>
      </c>
      <c r="AIV4" s="88" t="str">
        <f t="shared" si="254"/>
        <v>skill</v>
      </c>
      <c r="AIW4" s="88" t="str">
        <f t="shared" ref="AIW4:AIZ4" si="255">"normal"</f>
        <v>normal</v>
      </c>
      <c r="AIX4" s="88" t="str">
        <f t="shared" si="255"/>
        <v>normal</v>
      </c>
      <c r="AIY4" s="88" t="str">
        <f t="shared" si="255"/>
        <v>normal</v>
      </c>
      <c r="AIZ4" s="88" t="str">
        <f t="shared" si="255"/>
        <v>normal</v>
      </c>
      <c r="AJA4" s="88" t="str">
        <f t="shared" ref="AJA4:AJB4" si="256">"charged"</f>
        <v>charged</v>
      </c>
      <c r="AJB4" s="88" t="str">
        <f t="shared" si="256"/>
        <v>charged</v>
      </c>
      <c r="AJC4" s="88" t="str">
        <f t="shared" ref="AJC4:AJE4" si="257">"plunging"</f>
        <v>plunging</v>
      </c>
      <c r="AJD4" s="88" t="str">
        <f t="shared" si="257"/>
        <v>plunging</v>
      </c>
      <c r="AJE4" s="88" t="str">
        <f t="shared" si="257"/>
        <v>plunging</v>
      </c>
      <c r="AJF4" s="88" t="str">
        <f t="shared" ref="AJF4:AJH4" si="258">"skill"</f>
        <v>skill</v>
      </c>
      <c r="AJG4" s="88" t="str">
        <f t="shared" si="258"/>
        <v>skill</v>
      </c>
      <c r="AJH4" s="88" t="str">
        <f t="shared" si="258"/>
        <v>skill</v>
      </c>
      <c r="AJI4" s="88" t="str">
        <f t="shared" ref="AJI4:AJJ4" si="259">"burst"</f>
        <v>burst</v>
      </c>
      <c r="AJJ4" s="88" t="str">
        <f t="shared" si="259"/>
        <v>burst</v>
      </c>
      <c r="AJK4" s="88" t="str">
        <f t="shared" ref="AJK4:AJN4" si="260">"normal"</f>
        <v>normal</v>
      </c>
      <c r="AJL4" s="88" t="str">
        <f t="shared" si="260"/>
        <v>normal</v>
      </c>
      <c r="AJM4" s="88" t="str">
        <f t="shared" si="260"/>
        <v>normal</v>
      </c>
      <c r="AJN4" s="88" t="str">
        <f t="shared" si="260"/>
        <v>normal</v>
      </c>
      <c r="AJO4" s="88" t="str">
        <f>"charged"</f>
        <v>charged</v>
      </c>
      <c r="AJP4" s="88" t="str">
        <f t="shared" ref="AJP4:AJR4" si="261">"plunging"</f>
        <v>plunging</v>
      </c>
      <c r="AJQ4" s="88" t="str">
        <f t="shared" si="261"/>
        <v>plunging</v>
      </c>
      <c r="AJR4" s="88" t="str">
        <f t="shared" si="261"/>
        <v>plunging</v>
      </c>
      <c r="AJS4" s="88" t="str">
        <f>"skill"</f>
        <v>skill</v>
      </c>
      <c r="AJT4" s="88" t="str">
        <f>"burst"</f>
        <v>burst</v>
      </c>
      <c r="AJU4" s="88" t="str">
        <f t="shared" ref="AJU4:AJX4" si="262">"normal"</f>
        <v>normal</v>
      </c>
      <c r="AJV4" s="88" t="str">
        <f t="shared" si="262"/>
        <v>normal</v>
      </c>
      <c r="AJW4" s="88" t="str">
        <f t="shared" si="262"/>
        <v>normal</v>
      </c>
      <c r="AJX4" s="88" t="str">
        <f t="shared" si="262"/>
        <v>normal</v>
      </c>
      <c r="AJY4" s="88" t="str">
        <f t="shared" ref="AJY4:AJZ4" si="263">"charged"</f>
        <v>charged</v>
      </c>
      <c r="AJZ4" s="88" t="str">
        <f t="shared" si="263"/>
        <v>charged</v>
      </c>
      <c r="AKA4" s="88" t="str">
        <f t="shared" ref="AKA4:AKC4" si="264">"plunging"</f>
        <v>plunging</v>
      </c>
      <c r="AKB4" s="88" t="str">
        <f t="shared" si="264"/>
        <v>plunging</v>
      </c>
      <c r="AKC4" s="88" t="str">
        <f t="shared" si="264"/>
        <v>plunging</v>
      </c>
      <c r="AKD4" s="88" t="str">
        <f>"skill"</f>
        <v>skill</v>
      </c>
      <c r="AKE4" s="88" t="str">
        <f>"burst"</f>
        <v>burst</v>
      </c>
      <c r="AKF4" s="88" t="str">
        <f t="shared" ref="AKF4:AKJ4" si="265">"normal"</f>
        <v>normal</v>
      </c>
      <c r="AKG4" s="88" t="str">
        <f t="shared" si="265"/>
        <v>normal</v>
      </c>
      <c r="AKH4" s="88" t="str">
        <f t="shared" si="265"/>
        <v>normal</v>
      </c>
      <c r="AKI4" s="88" t="str">
        <f t="shared" si="265"/>
        <v>normal</v>
      </c>
      <c r="AKJ4" s="88" t="str">
        <f t="shared" si="265"/>
        <v>normal</v>
      </c>
      <c r="AKK4" s="88" t="str">
        <f t="shared" ref="AKK4:AKL4" si="266">"charged"</f>
        <v>charged</v>
      </c>
      <c r="AKL4" s="88" t="str">
        <f t="shared" si="266"/>
        <v>charged</v>
      </c>
      <c r="AKM4" s="88" t="str">
        <f t="shared" ref="AKM4:AKO4" si="267">"plunging"</f>
        <v>plunging</v>
      </c>
      <c r="AKN4" s="88" t="str">
        <f t="shared" si="267"/>
        <v>plunging</v>
      </c>
      <c r="AKO4" s="88" t="str">
        <f t="shared" si="267"/>
        <v>plunging</v>
      </c>
      <c r="AKP4" s="88" t="str">
        <f t="shared" ref="AKP4:AKR4" si="268">"skill"</f>
        <v>skill</v>
      </c>
      <c r="AKQ4" s="88" t="str">
        <f t="shared" si="268"/>
        <v>skill</v>
      </c>
      <c r="AKR4" s="88" t="str">
        <f t="shared" si="268"/>
        <v>skill</v>
      </c>
      <c r="AKS4" s="88" t="str">
        <f t="shared" ref="AKS4:AKT4" si="269">"burst"</f>
        <v>burst</v>
      </c>
      <c r="AKT4" s="88" t="str">
        <f t="shared" si="269"/>
        <v>burst</v>
      </c>
      <c r="AKU4" s="10" t="str">
        <f t="shared" ref="AKU4:AKY4" si="270">"normal"</f>
        <v>normal</v>
      </c>
      <c r="AKV4" s="10" t="str">
        <f t="shared" si="270"/>
        <v>normal</v>
      </c>
      <c r="AKW4" s="10" t="str">
        <f t="shared" si="270"/>
        <v>normal</v>
      </c>
      <c r="AKX4" s="10" t="str">
        <f t="shared" si="270"/>
        <v>normal</v>
      </c>
      <c r="AKY4" s="10" t="str">
        <f t="shared" si="270"/>
        <v>normal</v>
      </c>
      <c r="AKZ4" s="10" t="str">
        <f t="shared" ref="AKZ4:ALC4" si="271">"charged"</f>
        <v>charged</v>
      </c>
      <c r="ALA4" s="10" t="str">
        <f t="shared" si="271"/>
        <v>charged</v>
      </c>
      <c r="ALB4" s="10" t="str">
        <f t="shared" si="271"/>
        <v>charged</v>
      </c>
      <c r="ALC4" s="10" t="str">
        <f t="shared" si="271"/>
        <v>charged</v>
      </c>
      <c r="ALD4" s="10" t="str">
        <f t="shared" ref="ALD4:ALF4" si="272">"plunging"</f>
        <v>plunging</v>
      </c>
      <c r="ALE4" s="10" t="str">
        <f t="shared" si="272"/>
        <v>plunging</v>
      </c>
      <c r="ALF4" s="10" t="str">
        <f t="shared" si="272"/>
        <v>plunging</v>
      </c>
      <c r="ALG4" s="88" t="str">
        <f t="shared" ref="ALG4:ALK4" si="273">"skill"</f>
        <v>skill</v>
      </c>
      <c r="ALH4" s="88" t="str">
        <f t="shared" si="273"/>
        <v>skill</v>
      </c>
      <c r="ALI4" s="88" t="str">
        <f t="shared" si="273"/>
        <v>skill</v>
      </c>
      <c r="ALJ4" s="88" t="str">
        <f t="shared" si="273"/>
        <v>skill</v>
      </c>
      <c r="ALK4" s="88" t="str">
        <f t="shared" si="273"/>
        <v>skill</v>
      </c>
      <c r="ALL4" s="88" t="str">
        <f>"burst"</f>
        <v>burst</v>
      </c>
      <c r="ALM4" s="88" t="str">
        <f t="shared" ref="ALM4:ALQ4" si="274">"normal"</f>
        <v>normal</v>
      </c>
      <c r="ALN4" s="88" t="str">
        <f t="shared" si="274"/>
        <v>normal</v>
      </c>
      <c r="ALO4" s="88" t="str">
        <f t="shared" si="274"/>
        <v>normal</v>
      </c>
      <c r="ALP4" s="88" t="str">
        <f t="shared" si="274"/>
        <v>normal</v>
      </c>
      <c r="ALQ4" s="88" t="str">
        <f t="shared" si="274"/>
        <v>normal</v>
      </c>
      <c r="ALR4" s="88" t="str">
        <f t="shared" ref="ALR4:ALS4" si="275">"charged"</f>
        <v>charged</v>
      </c>
      <c r="ALS4" s="88" t="str">
        <f t="shared" si="275"/>
        <v>charged</v>
      </c>
      <c r="ALT4" s="88" t="str">
        <f t="shared" ref="ALT4:ALV4" si="276">"plunging"</f>
        <v>plunging</v>
      </c>
      <c r="ALU4" s="88" t="str">
        <f t="shared" si="276"/>
        <v>plunging</v>
      </c>
      <c r="ALV4" s="88" t="str">
        <f t="shared" si="276"/>
        <v>plunging</v>
      </c>
      <c r="ALW4" s="88" t="str">
        <f t="shared" ref="ALW4:ALX4" si="277">"skill"</f>
        <v>skill</v>
      </c>
      <c r="ALX4" s="88" t="str">
        <f t="shared" si="277"/>
        <v>skill</v>
      </c>
      <c r="ALY4" s="88" t="str">
        <f t="shared" ref="ALY4:AMA4" si="278">"burst"</f>
        <v>burst</v>
      </c>
      <c r="ALZ4" s="88" t="str">
        <f t="shared" si="278"/>
        <v>burst</v>
      </c>
      <c r="AMA4" s="88" t="str">
        <f t="shared" si="278"/>
        <v>burst</v>
      </c>
      <c r="AMB4" s="88" t="str">
        <f t="shared" ref="AMB4:AMF4" si="279">"normal"</f>
        <v>normal</v>
      </c>
      <c r="AMC4" s="88" t="str">
        <f t="shared" si="279"/>
        <v>normal</v>
      </c>
      <c r="AMD4" s="88" t="str">
        <f t="shared" si="279"/>
        <v>normal</v>
      </c>
      <c r="AME4" s="88" t="str">
        <f t="shared" si="279"/>
        <v>normal</v>
      </c>
      <c r="AMF4" s="88" t="str">
        <f t="shared" si="279"/>
        <v>normal</v>
      </c>
      <c r="AMG4" s="88" t="str">
        <f t="shared" ref="AMG4:AML4" si="280">"charged"</f>
        <v>charged</v>
      </c>
      <c r="AMH4" s="88" t="str">
        <f t="shared" si="280"/>
        <v>charged</v>
      </c>
      <c r="AMI4" s="88" t="str">
        <f t="shared" si="280"/>
        <v>charged</v>
      </c>
      <c r="AMJ4" s="88" t="str">
        <f t="shared" si="280"/>
        <v>charged</v>
      </c>
      <c r="AMK4" s="88" t="str">
        <f t="shared" si="280"/>
        <v>charged</v>
      </c>
      <c r="AML4" s="88" t="str">
        <f t="shared" si="280"/>
        <v>charged</v>
      </c>
      <c r="AMM4" s="88" t="str">
        <f t="shared" ref="AMM4:AMO4" si="281">"plunging"</f>
        <v>plunging</v>
      </c>
      <c r="AMN4" s="88" t="str">
        <f t="shared" si="281"/>
        <v>plunging</v>
      </c>
      <c r="AMO4" s="88" t="str">
        <f t="shared" si="281"/>
        <v>plunging</v>
      </c>
      <c r="AMP4" s="88" t="str">
        <f t="shared" ref="AMP4:AMU4" si="282">"skill"</f>
        <v>skill</v>
      </c>
      <c r="AMQ4" s="88" t="str">
        <f t="shared" si="282"/>
        <v>skill</v>
      </c>
      <c r="AMR4" s="88" t="str">
        <f t="shared" si="282"/>
        <v>skill</v>
      </c>
      <c r="AMS4" s="88" t="str">
        <f t="shared" si="282"/>
        <v>skill</v>
      </c>
      <c r="AMT4" s="88" t="str">
        <f t="shared" si="282"/>
        <v>skill</v>
      </c>
      <c r="AMU4" s="88" t="str">
        <f t="shared" si="282"/>
        <v>skill</v>
      </c>
      <c r="AMV4" s="88" t="str">
        <f t="shared" ref="AMV4:AMW4" si="283">"burst"</f>
        <v>burst</v>
      </c>
      <c r="AMW4" s="88" t="str">
        <f t="shared" si="283"/>
        <v>burst</v>
      </c>
      <c r="AMX4" s="88" t="str">
        <f t="shared" ref="AMX4:ANA4" si="284">"normal"</f>
        <v>normal</v>
      </c>
      <c r="AMY4" s="88" t="str">
        <f t="shared" si="284"/>
        <v>normal</v>
      </c>
      <c r="AMZ4" s="88" t="str">
        <f t="shared" si="284"/>
        <v>normal</v>
      </c>
      <c r="ANA4" s="88" t="str">
        <f t="shared" si="284"/>
        <v>normal</v>
      </c>
      <c r="ANB4" s="88" t="str">
        <f t="shared" ref="ANB4:ANC4" si="285">"charged"</f>
        <v>charged</v>
      </c>
      <c r="ANC4" s="88" t="str">
        <f t="shared" si="285"/>
        <v>charged</v>
      </c>
      <c r="AND4" s="88" t="str">
        <f t="shared" ref="AND4:ANF4" si="286">"plunge"</f>
        <v>plunge</v>
      </c>
      <c r="ANE4" s="88" t="str">
        <f t="shared" si="286"/>
        <v>plunge</v>
      </c>
      <c r="ANF4" s="88" t="str">
        <f t="shared" si="286"/>
        <v>plunge</v>
      </c>
      <c r="ANG4" s="88" t="str">
        <f t="shared" ref="ANG4:ANR4" si="287">"skill"</f>
        <v>skill</v>
      </c>
      <c r="ANH4" s="88" t="str">
        <f t="shared" si="287"/>
        <v>skill</v>
      </c>
      <c r="ANI4" s="88" t="str">
        <f t="shared" si="287"/>
        <v>skill</v>
      </c>
      <c r="ANJ4" s="88" t="str">
        <f t="shared" si="287"/>
        <v>skill</v>
      </c>
      <c r="ANK4" s="88" t="str">
        <f t="shared" si="287"/>
        <v>skill</v>
      </c>
      <c r="ANL4" s="88" t="str">
        <f t="shared" si="287"/>
        <v>skill</v>
      </c>
      <c r="ANM4" s="88" t="str">
        <f t="shared" si="287"/>
        <v>skill</v>
      </c>
      <c r="ANN4" s="88" t="str">
        <f t="shared" si="287"/>
        <v>skill</v>
      </c>
      <c r="ANO4" s="88" t="str">
        <f t="shared" si="287"/>
        <v>skill</v>
      </c>
      <c r="ANP4" s="88" t="str">
        <f t="shared" si="287"/>
        <v>skill</v>
      </c>
      <c r="ANQ4" s="88" t="str">
        <f t="shared" si="287"/>
        <v>skill</v>
      </c>
      <c r="ANR4" s="88" t="str">
        <f t="shared" si="287"/>
        <v>skill</v>
      </c>
      <c r="ANS4" s="88" t="str">
        <f>"burst"</f>
        <v>burst</v>
      </c>
      <c r="ANT4" s="88" t="str">
        <f t="shared" ref="ANT4:ANV4" si="288">"normal"</f>
        <v>normal</v>
      </c>
      <c r="ANU4" s="88" t="str">
        <f t="shared" si="288"/>
        <v>normal</v>
      </c>
      <c r="ANV4" s="88" t="str">
        <f t="shared" si="288"/>
        <v>normal</v>
      </c>
      <c r="ANW4" s="88" t="str">
        <f>"charged"</f>
        <v>charged</v>
      </c>
      <c r="ANX4" s="88" t="str">
        <f t="shared" ref="ANX4:ANZ4" si="289">"plunging"</f>
        <v>plunging</v>
      </c>
      <c r="ANY4" s="88" t="str">
        <f t="shared" si="289"/>
        <v>plunging</v>
      </c>
      <c r="ANZ4" s="88" t="str">
        <f t="shared" si="289"/>
        <v>plunging</v>
      </c>
      <c r="AOA4" s="88" t="str">
        <f t="shared" ref="AOA4:AOD4" si="290">"charged"</f>
        <v>charged</v>
      </c>
      <c r="AOB4" s="88" t="str">
        <f t="shared" si="290"/>
        <v>charged</v>
      </c>
      <c r="AOC4" s="88" t="str">
        <f t="shared" si="290"/>
        <v>charged</v>
      </c>
      <c r="AOD4" s="88" t="str">
        <f t="shared" si="290"/>
        <v>charged</v>
      </c>
      <c r="AOE4" s="88" t="str">
        <f t="shared" ref="AOE4:AOF4" si="291">"skill"</f>
        <v>skill</v>
      </c>
      <c r="AOF4" s="88" t="str">
        <f t="shared" si="291"/>
        <v>skill</v>
      </c>
      <c r="AOG4" s="88" t="str">
        <f t="shared" ref="AOG4:AOH4" si="292">"burst"</f>
        <v>burst</v>
      </c>
      <c r="AOH4" s="88" t="str">
        <f t="shared" si="292"/>
        <v>burst</v>
      </c>
      <c r="AOI4" s="88" t="str">
        <f t="shared" ref="AOI4:AOR4" si="293">"normal"</f>
        <v>normal</v>
      </c>
      <c r="AOJ4" s="88" t="str">
        <f t="shared" si="293"/>
        <v>normal</v>
      </c>
      <c r="AOK4" s="88" t="str">
        <f t="shared" si="293"/>
        <v>normal</v>
      </c>
      <c r="AOL4" s="88" t="str">
        <f t="shared" si="293"/>
        <v>normal</v>
      </c>
      <c r="AOM4" s="88" t="str">
        <f t="shared" si="293"/>
        <v>normal</v>
      </c>
      <c r="AON4" s="88" t="str">
        <f t="shared" si="293"/>
        <v>normal</v>
      </c>
      <c r="AOO4" s="88" t="str">
        <f t="shared" si="293"/>
        <v>normal</v>
      </c>
      <c r="AOP4" s="88" t="str">
        <f t="shared" si="293"/>
        <v>normal</v>
      </c>
      <c r="AOQ4" s="88" t="str">
        <f t="shared" si="293"/>
        <v>normal</v>
      </c>
      <c r="AOR4" s="88" t="str">
        <f t="shared" si="293"/>
        <v>normal</v>
      </c>
      <c r="AOS4" s="88" t="str">
        <f>"charged"</f>
        <v>charged</v>
      </c>
      <c r="AOT4" s="88" t="str">
        <f t="shared" ref="AOT4:AOV4" si="294">"plunging"</f>
        <v>plunging</v>
      </c>
      <c r="AOU4" s="88" t="str">
        <f t="shared" si="294"/>
        <v>plunging</v>
      </c>
      <c r="AOV4" s="88" t="str">
        <f t="shared" si="294"/>
        <v>plunging</v>
      </c>
      <c r="AOW4" s="88" t="str">
        <f t="shared" ref="AOW4:AOX4" si="295">"burst"</f>
        <v>burst</v>
      </c>
      <c r="AOX4" s="88" t="str">
        <f t="shared" si="295"/>
        <v>burst</v>
      </c>
      <c r="AOY4" s="88" t="str">
        <f t="shared" ref="AOY4:APA4" si="296">"normal"</f>
        <v>normal</v>
      </c>
      <c r="AOZ4" s="88" t="str">
        <f t="shared" si="296"/>
        <v>normal</v>
      </c>
      <c r="APA4" s="88" t="str">
        <f t="shared" si="296"/>
        <v>normal</v>
      </c>
      <c r="APB4" s="88" t="str">
        <f>"charged"</f>
        <v>charged</v>
      </c>
      <c r="APC4" s="88" t="str">
        <f t="shared" ref="APC4:APE4" si="297">"plunging"</f>
        <v>plunging</v>
      </c>
      <c r="APD4" s="88" t="str">
        <f t="shared" si="297"/>
        <v>plunging</v>
      </c>
      <c r="APE4" s="88" t="str">
        <f t="shared" si="297"/>
        <v>plunging</v>
      </c>
      <c r="APF4" s="88" t="str">
        <f>"charged"</f>
        <v>charged</v>
      </c>
      <c r="APG4" s="88" t="str">
        <f t="shared" ref="APG4:APJ4" si="298">"skill"</f>
        <v>skill</v>
      </c>
      <c r="APH4" s="88" t="str">
        <f t="shared" si="298"/>
        <v>skill</v>
      </c>
      <c r="API4" s="88" t="str">
        <f t="shared" si="298"/>
        <v>skill</v>
      </c>
      <c r="APJ4" s="88" t="str">
        <f t="shared" si="298"/>
        <v>skill</v>
      </c>
      <c r="APK4" s="88" t="str">
        <f t="shared" ref="APK4:APL4" si="299">"burst"</f>
        <v>burst</v>
      </c>
      <c r="APL4" s="88" t="str">
        <f t="shared" si="299"/>
        <v>burst</v>
      </c>
      <c r="APM4" s="88" t="str">
        <f t="shared" ref="APM4:APP4" si="300">"normal"</f>
        <v>normal</v>
      </c>
      <c r="APN4" s="88" t="str">
        <f t="shared" si="300"/>
        <v>normal</v>
      </c>
      <c r="APO4" s="88" t="str">
        <f t="shared" si="300"/>
        <v>normal</v>
      </c>
      <c r="APP4" s="88" t="str">
        <f t="shared" si="300"/>
        <v>normal</v>
      </c>
      <c r="APQ4" s="88" t="str">
        <f>"charged"</f>
        <v>charged</v>
      </c>
      <c r="APR4" s="88" t="str">
        <f t="shared" ref="APR4:APT4" si="301">"plunging"</f>
        <v>plunging</v>
      </c>
      <c r="APS4" s="88" t="str">
        <f t="shared" si="301"/>
        <v>plunging</v>
      </c>
      <c r="APT4" s="88" t="str">
        <f t="shared" si="301"/>
        <v>plunging</v>
      </c>
      <c r="APU4" s="88" t="str">
        <f>"normal"</f>
        <v>normal</v>
      </c>
      <c r="APV4" s="88" t="str">
        <f t="shared" ref="APV4:AQK4" si="302">"skill"</f>
        <v>skill</v>
      </c>
      <c r="APW4" s="88" t="str">
        <f t="shared" si="302"/>
        <v>skill</v>
      </c>
      <c r="APX4" s="88" t="str">
        <f t="shared" si="302"/>
        <v>skill</v>
      </c>
      <c r="APY4" s="88" t="str">
        <f t="shared" si="302"/>
        <v>skill</v>
      </c>
      <c r="APZ4" s="88" t="str">
        <f t="shared" si="302"/>
        <v>skill</v>
      </c>
      <c r="AQA4" s="88" t="str">
        <f t="shared" si="302"/>
        <v>skill</v>
      </c>
      <c r="AQB4" s="88" t="str">
        <f t="shared" si="302"/>
        <v>skill</v>
      </c>
      <c r="AQC4" s="88" t="str">
        <f t="shared" si="302"/>
        <v>skill</v>
      </c>
      <c r="AQD4" s="88" t="str">
        <f t="shared" si="302"/>
        <v>skill</v>
      </c>
      <c r="AQE4" s="88" t="str">
        <f t="shared" si="302"/>
        <v>skill</v>
      </c>
      <c r="AQF4" s="88" t="str">
        <f t="shared" si="302"/>
        <v>skill</v>
      </c>
      <c r="AQG4" s="88" t="str">
        <f t="shared" si="302"/>
        <v>skill</v>
      </c>
      <c r="AQH4" s="88" t="str">
        <f t="shared" si="302"/>
        <v>skill</v>
      </c>
      <c r="AQI4" s="88" t="str">
        <f t="shared" si="302"/>
        <v>skill</v>
      </c>
      <c r="AQJ4" s="88" t="str">
        <f t="shared" si="302"/>
        <v>skill</v>
      </c>
      <c r="AQK4" s="88" t="str">
        <f t="shared" si="302"/>
        <v>skill</v>
      </c>
      <c r="AQL4" s="88" t="str">
        <f>"burst"</f>
        <v>burst</v>
      </c>
    </row>
    <row r="5">
      <c r="A5" s="4" t="s">
        <v>251</v>
      </c>
      <c r="B5" s="88" t="str">
        <f>INDIRECT(ADDRESS(ROW() - (TemplateStats!$B2 + 18), 6))</f>
        <v>#VALUE!</v>
      </c>
      <c r="C5" s="88" t="str">
        <f>INDIRECT(ADDRESS(ROW() - (TemplateStats!$B2 + 18), 6))</f>
        <v>#VALUE!</v>
      </c>
      <c r="D5" s="88" t="str">
        <f>INDIRECT(ADDRESS(ROW() - (TemplateStats!$B2 + 18), 6))</f>
        <v>#VALUE!</v>
      </c>
      <c r="E5" s="88" t="str">
        <f>INDIRECT(ADDRESS(ROW() - (TemplateStats!$B2 + 18), 6))</f>
        <v>#VALUE!</v>
      </c>
      <c r="F5" s="88" t="str">
        <f>INDIRECT(ADDRESS(ROW() - (TemplateStats!$B2 + 18), 6))</f>
        <v>#VALUE!</v>
      </c>
      <c r="G5" s="88" t="str">
        <f>INDIRECT(ADDRESS(ROW() - (TemplateStats!$B2 + 18), 6))</f>
        <v>#VALUE!</v>
      </c>
      <c r="H5" s="88" t="str">
        <f>INDIRECT(ADDRESS(ROW() - (TemplateStats!$B2 + 18), 6))</f>
        <v>#VALUE!</v>
      </c>
      <c r="I5" s="88" t="str">
        <f>INDIRECT(ADDRESS(ROW() - (TemplateStats!$B2 + 18), 6))</f>
        <v>#VALUE!</v>
      </c>
      <c r="J5" s="88" t="str">
        <f>INDIRECT(ADDRESS(ROW() - (TemplateStats!$B2 + 18), 6))</f>
        <v>#VALUE!</v>
      </c>
      <c r="K5" s="88" t="str">
        <f>INDIRECT(ADDRESS(ROW() - (TemplateStats!$B2 + 18), 6))</f>
        <v>#VALUE!</v>
      </c>
      <c r="L5" s="88" t="str">
        <f>INDIRECT(ADDRESS(ROW() - (TemplateStats!$B2 + 18), 6))</f>
        <v>#VALUE!</v>
      </c>
      <c r="M5" s="88" t="str">
        <f>INDIRECT(ADDRESS(ROW() - (TemplateStats!$B2 + 17), 6))</f>
        <v>#VALUE!</v>
      </c>
      <c r="N5" s="88" t="str">
        <f>INDIRECT(ADDRESS(ROW() - (TemplateStats!$B2 + 16), 6))</f>
        <v>#VALUE!</v>
      </c>
      <c r="O5" s="88" t="str">
        <f>INDIRECT(ADDRESS(ROW() - (TemplateStats!$B2 + 16), 6))</f>
        <v>#VALUE!</v>
      </c>
      <c r="P5" s="88" t="str">
        <f>INDIRECT(ADDRESS(ROW() - (TemplateStats!$B2 + 18), 6))</f>
        <v>#VALUE!</v>
      </c>
      <c r="Q5" s="88" t="str">
        <f>INDIRECT(ADDRESS(ROW() - (TemplateStats!$B2 + 18), 6))</f>
        <v>#VALUE!</v>
      </c>
      <c r="R5" s="88" t="str">
        <f>INDIRECT(ADDRESS(ROW() - (TemplateStats!$B2 + 18), 6))</f>
        <v>#VALUE!</v>
      </c>
      <c r="S5" s="88" t="str">
        <f>INDIRECT(ADDRESS(ROW() - (TemplateStats!$B2 + 18), 6))</f>
        <v>#VALUE!</v>
      </c>
      <c r="T5" s="88" t="str">
        <f>INDIRECT(ADDRESS(ROW() - (TemplateStats!$B2 + 18), 6))</f>
        <v>#VALUE!</v>
      </c>
      <c r="U5" s="88" t="str">
        <f>INDIRECT(ADDRESS(ROW() - (TemplateStats!$B2 + 18), 6))</f>
        <v>#VALUE!</v>
      </c>
      <c r="V5" s="88" t="str">
        <f>INDIRECT(ADDRESS(ROW() - (TemplateStats!$B2 + 18), 6))</f>
        <v>#VALUE!</v>
      </c>
      <c r="W5" s="88" t="str">
        <f>INDIRECT(ADDRESS(ROW() - (TemplateStats!$B2 + 18), 6))</f>
        <v>#VALUE!</v>
      </c>
      <c r="X5" s="88" t="str">
        <f>INDIRECT(ADDRESS(ROW() - (TemplateStats!$B2 + 18), 6))</f>
        <v>#VALUE!</v>
      </c>
      <c r="Y5" s="88" t="str">
        <f>INDIRECT(ADDRESS(ROW() - (TemplateStats!$B2 + 18), 6))</f>
        <v>#VALUE!</v>
      </c>
      <c r="Z5" s="88" t="str">
        <f>INDIRECT(ADDRESS(ROW() - (TemplateStats!$B2 + 17), 6))</f>
        <v>#VALUE!</v>
      </c>
      <c r="AA5" s="88" t="str">
        <f>INDIRECT(ADDRESS(ROW() - (TemplateStats!$B2 + 17), 6))</f>
        <v>#VALUE!</v>
      </c>
      <c r="AB5" s="88" t="str">
        <f>INDIRECT(ADDRESS(ROW() - (TemplateStats!$B2 + 16), 6))</f>
        <v>#VALUE!</v>
      </c>
      <c r="AC5" s="88" t="str">
        <f>INDIRECT(ADDRESS(ROW() - (TemplateStats!$B2 + 16), 6))</f>
        <v>#VALUE!</v>
      </c>
      <c r="AD5" s="88" t="str">
        <f>INDIRECT(ADDRESS(ROW() - (TemplateStats!$B2 + 18), 6))</f>
        <v>#VALUE!</v>
      </c>
      <c r="AE5" s="88" t="str">
        <f>INDIRECT(ADDRESS(ROW() - (TemplateStats!$B2 + 18), 6))</f>
        <v>#VALUE!</v>
      </c>
      <c r="AF5" s="88" t="str">
        <f>INDIRECT(ADDRESS(ROW() - (TemplateStats!$B2 + 18), 6))</f>
        <v>#VALUE!</v>
      </c>
      <c r="AG5" s="88" t="str">
        <f>INDIRECT(ADDRESS(ROW() - (TemplateStats!$B2 + 18), 6))</f>
        <v>#VALUE!</v>
      </c>
      <c r="AH5" s="88" t="str">
        <f>INDIRECT(ADDRESS(ROW() - (TemplateStats!$B2 + 18), 6))</f>
        <v>#VALUE!</v>
      </c>
      <c r="AI5" s="88" t="str">
        <f>INDIRECT(ADDRESS(ROW() - (TemplateStats!$B2 + 18), 6))</f>
        <v>#VALUE!</v>
      </c>
      <c r="AJ5" s="88" t="str">
        <f>INDIRECT(ADDRESS(ROW() - (TemplateStats!$B2 + 18), 6))</f>
        <v>#VALUE!</v>
      </c>
      <c r="AK5" s="88" t="str">
        <f>INDIRECT(ADDRESS(ROW() - (TemplateStats!$B2 + 18), 6))</f>
        <v>#VALUE!</v>
      </c>
      <c r="AL5" s="88" t="str">
        <f>INDIRECT(ADDRESS(ROW() - (TemplateStats!$B2 + 18), 6))</f>
        <v>#VALUE!</v>
      </c>
      <c r="AM5" s="88" t="str">
        <f>INDIRECT(ADDRESS(ROW() - (TemplateStats!$B2 + 18), 6))</f>
        <v>#VALUE!</v>
      </c>
      <c r="AN5" s="88" t="str">
        <f>INDIRECT(ADDRESS(ROW() - (TemplateStats!$B2 + 17), 6))</f>
        <v>#VALUE!</v>
      </c>
      <c r="AO5" s="88" t="str">
        <f>INDIRECT(ADDRESS(ROW() - (TemplateStats!$B2 + 17), 6))</f>
        <v>#VALUE!</v>
      </c>
      <c r="AP5" s="88" t="str">
        <f>INDIRECT(ADDRESS(ROW() - (TemplateStats!$B2 + 16), 6))</f>
        <v>#VALUE!</v>
      </c>
      <c r="AQ5" s="88" t="str">
        <f>INDIRECT(ADDRESS(ROW() - (TemplateStats!$B2 + 18), 6))</f>
        <v>#VALUE!</v>
      </c>
      <c r="AR5" s="88" t="str">
        <f>INDIRECT(ADDRESS(ROW() - (TemplateStats!$B2 + 18), 6))</f>
        <v>#VALUE!</v>
      </c>
      <c r="AS5" s="88" t="str">
        <f>INDIRECT(ADDRESS(ROW() - (TemplateStats!$B2 + 18), 6))</f>
        <v>#VALUE!</v>
      </c>
      <c r="AT5" s="88" t="str">
        <f>INDIRECT(ADDRESS(ROW() - (TemplateStats!$B2 + 18), 6))</f>
        <v>#VALUE!</v>
      </c>
      <c r="AU5" s="88" t="str">
        <f>INDIRECT(ADDRESS(ROW() - (TemplateStats!$B2 + 18), 6))</f>
        <v>#VALUE!</v>
      </c>
      <c r="AV5" s="88" t="str">
        <f>INDIRECT(ADDRESS(ROW() - (TemplateStats!$B2 + 18), 6))</f>
        <v>#VALUE!</v>
      </c>
      <c r="AW5" s="88" t="str">
        <f>INDIRECT(ADDRESS(ROW() - (TemplateStats!$B2 + 18), 6))</f>
        <v>#VALUE!</v>
      </c>
      <c r="AX5" s="88" t="str">
        <f>INDIRECT(ADDRESS(ROW() - (TemplateStats!$B2 + 18), 6))</f>
        <v>#VALUE!</v>
      </c>
      <c r="AY5" s="88" t="str">
        <f>INDIRECT(ADDRESS(ROW() - (TemplateStats!$B2 + 18), 6))</f>
        <v>#VALUE!</v>
      </c>
      <c r="AZ5" s="88" t="str">
        <f>INDIRECT(ADDRESS(ROW() - (TemplateStats!$B2 + 18), 6))</f>
        <v>#VALUE!</v>
      </c>
      <c r="BA5" s="88" t="str">
        <f>INDIRECT(ADDRESS(ROW() - (TemplateStats!$B2 + 17), 6))</f>
        <v>#VALUE!</v>
      </c>
      <c r="BB5" s="88" t="str">
        <f>INDIRECT(ADDRESS(ROW() - (TemplateStats!$B2 + 16), 6))</f>
        <v>#VALUE!</v>
      </c>
      <c r="BC5" s="88" t="str">
        <f>INDIRECT(ADDRESS(ROW() - (TemplateStats!$B2 + 18), 6))</f>
        <v>#VALUE!</v>
      </c>
      <c r="BD5" s="88" t="str">
        <f>INDIRECT(ADDRESS(ROW() - (TemplateStats!$B2 + 18), 6))</f>
        <v>#VALUE!</v>
      </c>
      <c r="BE5" s="88" t="str">
        <f>INDIRECT(ADDRESS(ROW() - (TemplateStats!$B2 + 18), 6))</f>
        <v>#VALUE!</v>
      </c>
      <c r="BF5" s="88" t="str">
        <f>INDIRECT(ADDRESS(ROW() - (TemplateStats!$B2 + 18), 6))</f>
        <v>#VALUE!</v>
      </c>
      <c r="BG5" s="88" t="str">
        <f>INDIRECT(ADDRESS(ROW() - (TemplateStats!$B2 + 18), 6))</f>
        <v>#VALUE!</v>
      </c>
      <c r="BH5" s="88" t="str">
        <f>INDIRECT(ADDRESS(ROW() - (TemplateStats!$B2 + 18), 6))</f>
        <v>#VALUE!</v>
      </c>
      <c r="BI5" s="88" t="str">
        <f>INDIRECT(ADDRESS(ROW() - (TemplateStats!$B2 + 18), 6))</f>
        <v>#VALUE!</v>
      </c>
      <c r="BJ5" s="88" t="str">
        <f>INDIRECT(ADDRESS(ROW() - (TemplateStats!$B2 + 18), 6))</f>
        <v>#VALUE!</v>
      </c>
      <c r="BK5" s="88" t="str">
        <f>INDIRECT(ADDRESS(ROW() - (TemplateStats!$B2 + 18), 6))</f>
        <v>#VALUE!</v>
      </c>
      <c r="BL5" s="88" t="str">
        <f>INDIRECT(ADDRESS(ROW() - (TemplateStats!$B2 + 18), 6))</f>
        <v>#VALUE!</v>
      </c>
      <c r="BM5" s="88" t="str">
        <f>INDIRECT(ADDRESS(ROW() - (TemplateStats!$B2 + 18), 6))</f>
        <v>#VALUE!</v>
      </c>
      <c r="BN5" s="88" t="str">
        <f>INDIRECT(ADDRESS(ROW() - (TemplateStats!$B2 + 18), 6))</f>
        <v>#VALUE!</v>
      </c>
      <c r="BO5" s="10" t="str">
        <f>"-"</f>
        <v>-</v>
      </c>
      <c r="BP5" s="88" t="str">
        <f>INDIRECT(ADDRESS(ROW() - (TemplateStats!$B2 + 17), 6))</f>
        <v>#VALUE!</v>
      </c>
      <c r="BQ5" s="88" t="str">
        <f>INDIRECT(ADDRESS(ROW() - (TemplateStats!$B2 + 17), 6))</f>
        <v>#VALUE!</v>
      </c>
      <c r="BR5" s="88" t="str">
        <f>INDIRECT(ADDRESS(ROW() - (TemplateStats!$B2 + 17), 6))</f>
        <v>#VALUE!</v>
      </c>
      <c r="BS5" s="88" t="str">
        <f>INDIRECT(ADDRESS(ROW() - (TemplateStats!$B2 + 17), 6))</f>
        <v>#VALUE!</v>
      </c>
      <c r="BT5" s="88" t="str">
        <f>INDIRECT(ADDRESS(ROW() - (TemplateStats!$B2 + 17), 6))</f>
        <v>#VALUE!</v>
      </c>
      <c r="BU5" s="88" t="str">
        <f>INDIRECT(ADDRESS(ROW() - (TemplateStats!$B2 + 17), 6))</f>
        <v>#VALUE!</v>
      </c>
      <c r="BV5" s="88" t="str">
        <f>INDIRECT(ADDRESS(ROW() - (TemplateStats!$B2 + 17), 6))</f>
        <v>#VALUE!</v>
      </c>
      <c r="BW5" s="88" t="str">
        <f>INDIRECT(ADDRESS(ROW() - (TemplateStats!$B2 + 17), 6))</f>
        <v>#VALUE!</v>
      </c>
      <c r="BX5" s="88" t="str">
        <f>INDIRECT(ADDRESS(ROW() - (TemplateStats!$B2 + 16), 6))</f>
        <v>#VALUE!</v>
      </c>
      <c r="BY5" s="88" t="str">
        <f>INDIRECT(ADDRESS(ROW() - (TemplateStats!$B2 + 16), 6))</f>
        <v>#VALUE!</v>
      </c>
      <c r="BZ5" s="88" t="str">
        <f>INDIRECT(ADDRESS(ROW() - (TemplateStats!$B2 + 18), 6))</f>
        <v>#VALUE!</v>
      </c>
      <c r="CA5" s="88" t="str">
        <f>INDIRECT(ADDRESS(ROW() - (TemplateStats!$B2 + 18), 6))</f>
        <v>#VALUE!</v>
      </c>
      <c r="CB5" s="88" t="str">
        <f>INDIRECT(ADDRESS(ROW() - (TemplateStats!$B2 + 18), 6))</f>
        <v>#VALUE!</v>
      </c>
      <c r="CC5" s="88" t="str">
        <f>INDIRECT(ADDRESS(ROW() - (TemplateStats!$B2 + 18), 6))</f>
        <v>#VALUE!</v>
      </c>
      <c r="CD5" s="88" t="str">
        <f>INDIRECT(ADDRESS(ROW() - (TemplateStats!$B2 + 18), 6))</f>
        <v>#VALUE!</v>
      </c>
      <c r="CE5" s="88" t="str">
        <f>INDIRECT(ADDRESS(ROW() - (TemplateStats!$B2 + 18), 6))</f>
        <v>#VALUE!</v>
      </c>
      <c r="CF5" s="88" t="str">
        <f>INDIRECT(ADDRESS(ROW() - (TemplateStats!$B2 + 18), 6))</f>
        <v>#VALUE!</v>
      </c>
      <c r="CG5" s="88" t="str">
        <f>INDIRECT(ADDRESS(ROW() - (TemplateStats!$B2 + 18), 6))</f>
        <v>#VALUE!</v>
      </c>
      <c r="CH5" s="88" t="str">
        <f>INDIRECT(ADDRESS(ROW() - (TemplateStats!$B2 + 18), 6))</f>
        <v>#VALUE!</v>
      </c>
      <c r="CI5" s="88" t="str">
        <f>INDIRECT(ADDRESS(ROW() - (TemplateStats!$B2 + 17), 6))</f>
        <v>#VALUE!</v>
      </c>
      <c r="CJ5" s="88" t="str">
        <f>INDIRECT(ADDRESS(ROW() - (TemplateStats!$B2 + 16), 6))</f>
        <v>#VALUE!</v>
      </c>
      <c r="CK5" s="88" t="str">
        <f>INDIRECT(ADDRESS(ROW() - (TemplateStats!$B2 + 16), 6))</f>
        <v>#VALUE!</v>
      </c>
      <c r="CL5" s="88" t="str">
        <f>INDIRECT(ADDRESS(ROW() - (TemplateStats!$B2 + 18), 6))</f>
        <v>#VALUE!</v>
      </c>
      <c r="CM5" s="88" t="str">
        <f>INDIRECT(ADDRESS(ROW() - (TemplateStats!$B2 + 18), 6))</f>
        <v>#VALUE!</v>
      </c>
      <c r="CN5" s="88" t="str">
        <f>INDIRECT(ADDRESS(ROW() - (TemplateStats!$B2 + 18), 6))</f>
        <v>#VALUE!</v>
      </c>
      <c r="CO5" s="88" t="str">
        <f>INDIRECT(ADDRESS(ROW() - (TemplateStats!$B2 + 18), 6))</f>
        <v>#VALUE!</v>
      </c>
      <c r="CP5" s="88" t="str">
        <f>INDIRECT(ADDRESS(ROW() - (TemplateStats!$B2 + 18), 6))</f>
        <v>#VALUE!</v>
      </c>
      <c r="CQ5" s="88" t="str">
        <f>INDIRECT(ADDRESS(ROW() - (TemplateStats!$B2 + 18), 6))</f>
        <v>#VALUE!</v>
      </c>
      <c r="CR5" s="88" t="str">
        <f>INDIRECT(ADDRESS(ROW() - (TemplateStats!$B2 + 18), 6))</f>
        <v>#VALUE!</v>
      </c>
      <c r="CS5" s="88" t="str">
        <f>INDIRECT(ADDRESS(ROW() - (TemplateStats!$B2 + 18), 6))</f>
        <v>#VALUE!</v>
      </c>
      <c r="CT5" s="88" t="str">
        <f>INDIRECT(ADDRESS(ROW() - (TemplateStats!$B2 + 18), 6))</f>
        <v>#VALUE!</v>
      </c>
      <c r="CU5" s="88" t="str">
        <f>INDIRECT(ADDRESS(ROW() - (TemplateStats!$B2 + 17), 6))</f>
        <v>#VALUE!</v>
      </c>
      <c r="CV5" s="88" t="str">
        <f>INDIRECT(ADDRESS(ROW() - (TemplateStats!$B2 + 17), 6))</f>
        <v>#VALUE!</v>
      </c>
      <c r="CW5" s="88" t="str">
        <f>INDIRECT(ADDRESS(ROW() - (TemplateStats!$B2 + 17), 6))</f>
        <v>#VALUE!</v>
      </c>
      <c r="CX5" s="88" t="str">
        <f>INDIRECT(ADDRESS(ROW() - (TemplateStats!$B2 + 17), 6))</f>
        <v>#VALUE!</v>
      </c>
      <c r="CY5" s="88" t="str">
        <f>INDIRECT(ADDRESS(ROW() - (TemplateStats!$B2 + 16), 6))</f>
        <v>#VALUE!</v>
      </c>
      <c r="CZ5" s="88" t="str">
        <f>INDIRECT(ADDRESS(ROW() - (TemplateStats!$B2 + 18), 6))</f>
        <v>#VALUE!</v>
      </c>
      <c r="DA5" s="88" t="str">
        <f>INDIRECT(ADDRESS(ROW() - (TemplateStats!$B2 + 18), 6))</f>
        <v>#VALUE!</v>
      </c>
      <c r="DB5" s="88" t="str">
        <f>INDIRECT(ADDRESS(ROW() - (TemplateStats!$B2 + 18), 6))</f>
        <v>#VALUE!</v>
      </c>
      <c r="DC5" s="88" t="str">
        <f>INDIRECT(ADDRESS(ROW() - (TemplateStats!$B2 + 18), 6))</f>
        <v>#VALUE!</v>
      </c>
      <c r="DD5" s="88" t="str">
        <f>INDIRECT(ADDRESS(ROW() - (TemplateStats!$B2 + 18), 6))</f>
        <v>#VALUE!</v>
      </c>
      <c r="DE5" s="88" t="str">
        <f>INDIRECT(ADDRESS(ROW() - (TemplateStats!$B2 + 18), 6))</f>
        <v>#VALUE!</v>
      </c>
      <c r="DF5" s="88" t="str">
        <f>INDIRECT(ADDRESS(ROW() - (TemplateStats!$B2 + 18), 6))</f>
        <v>#VALUE!</v>
      </c>
      <c r="DG5" s="88" t="str">
        <f>INDIRECT(ADDRESS(ROW() - (TemplateStats!$B2 + 18), 6))</f>
        <v>#VALUE!</v>
      </c>
      <c r="DH5" s="88" t="str">
        <f>INDIRECT(ADDRESS(ROW() - (TemplateStats!$B2 + 17), 6))</f>
        <v>#VALUE!</v>
      </c>
      <c r="DI5" s="88" t="str">
        <f>INDIRECT(ADDRESS(ROW() - (TemplateStats!$B2 + 18), 6))</f>
        <v>#VALUE!</v>
      </c>
      <c r="DJ5" s="88" t="str">
        <f>INDIRECT(ADDRESS(ROW() - (TemplateStats!$B2 + 18), 6))</f>
        <v>#VALUE!</v>
      </c>
      <c r="DK5" s="88" t="str">
        <f>INDIRECT(ADDRESS(ROW() - (TemplateStats!$B2 + 18), 6))</f>
        <v>#VALUE!</v>
      </c>
      <c r="DL5" s="88" t="str">
        <f>INDIRECT(ADDRESS(ROW() - (TemplateStats!$B2 + 18), 6))</f>
        <v>#VALUE!</v>
      </c>
      <c r="DM5" s="88" t="str">
        <f>INDIRECT(ADDRESS(ROW() - (TemplateStats!$B2 + 18), 6))</f>
        <v>#VALUE!</v>
      </c>
      <c r="DN5" s="88" t="str">
        <f>INDIRECT(ADDRESS(ROW() - (TemplateStats!$B2 + 18), 6))</f>
        <v>#VALUE!</v>
      </c>
      <c r="DO5" s="88" t="str">
        <f>INDIRECT(ADDRESS(ROW() - (TemplateStats!$B2 + 18), 6))</f>
        <v>#VALUE!</v>
      </c>
      <c r="DP5" s="88" t="str">
        <f>INDIRECT(ADDRESS(ROW() - (TemplateStats!$B2 + 18), 6))</f>
        <v>#VALUE!</v>
      </c>
      <c r="DQ5" s="88" t="str">
        <f>INDIRECT(ADDRESS(ROW() - (TemplateStats!$B2 + 18), 6))</f>
        <v>#VALUE!</v>
      </c>
      <c r="DR5" s="88" t="str">
        <f>INDIRECT(ADDRESS(ROW() - (TemplateStats!$B2 + 18), 6))</f>
        <v>#VALUE!</v>
      </c>
      <c r="DS5" s="88" t="str">
        <f>INDIRECT(ADDRESS(ROW() - (TemplateStats!$B2 + 17), 6))</f>
        <v>#VALUE!</v>
      </c>
      <c r="DT5" s="88" t="str">
        <f>INDIRECT(ADDRESS(ROW() - (TemplateStats!$B2 + 17), 6))</f>
        <v>#VALUE!</v>
      </c>
      <c r="DU5" s="88" t="str">
        <f>INDIRECT(ADDRESS(ROW() - (TemplateStats!$B2 + 17), 6))</f>
        <v>#VALUE!</v>
      </c>
      <c r="DV5" s="88" t="str">
        <f>INDIRECT(ADDRESS(ROW() - (TemplateStats!$B2 + 16), 6))</f>
        <v>#VALUE!</v>
      </c>
      <c r="DW5" s="88" t="str">
        <f>INDIRECT(ADDRESS(ROW() - (TemplateStats!$B2 + 16), 6))</f>
        <v>#VALUE!</v>
      </c>
      <c r="DX5" s="88" t="str">
        <f>INDIRECT(ADDRESS(ROW() - (TemplateStats!$B2 + 18), 6))</f>
        <v>#VALUE!</v>
      </c>
      <c r="DY5" s="88" t="str">
        <f>INDIRECT(ADDRESS(ROW() - (TemplateStats!$B2 + 18), 6))</f>
        <v>#VALUE!</v>
      </c>
      <c r="DZ5" s="88" t="str">
        <f>INDIRECT(ADDRESS(ROW() - (TemplateStats!$B2 + 18), 6))</f>
        <v>#VALUE!</v>
      </c>
      <c r="EA5" s="88" t="str">
        <f>INDIRECT(ADDRESS(ROW() - (TemplateStats!$B2 + 18), 6))</f>
        <v>#VALUE!</v>
      </c>
      <c r="EB5" s="88" t="str">
        <f>INDIRECT(ADDRESS(ROW() - (TemplateStats!$B2 + 18), 6))</f>
        <v>#VALUE!</v>
      </c>
      <c r="EC5" s="88" t="str">
        <f>INDIRECT(ADDRESS(ROW() - (TemplateStats!$B2 + 18), 6))</f>
        <v>#VALUE!</v>
      </c>
      <c r="ED5" s="88" t="str">
        <f>INDIRECT(ADDRESS(ROW() - (TemplateStats!$B2 + 18), 6))</f>
        <v>#VALUE!</v>
      </c>
      <c r="EE5" s="88" t="str">
        <f>INDIRECT(ADDRESS(ROW() - (TemplateStats!$B2 + 18), 6))</f>
        <v>#VALUE!</v>
      </c>
      <c r="EF5" s="88" t="str">
        <f>INDIRECT(ADDRESS(ROW() - (TemplateStats!$B2 + 18), 6))</f>
        <v>#VALUE!</v>
      </c>
      <c r="EG5" s="88" t="str">
        <f>INDIRECT(ADDRESS(ROW() - (TemplateStats!$B2 + 18), 6))</f>
        <v>#VALUE!</v>
      </c>
      <c r="EH5" s="88" t="str">
        <f>INDIRECT(ADDRESS(ROW() - (TemplateStats!$B2 + 17), 6))</f>
        <v>#VALUE!</v>
      </c>
      <c r="EI5" s="88" t="str">
        <f>INDIRECT(ADDRESS(ROW() - (TemplateStats!$B2 + 17), 6))</f>
        <v>#VALUE!</v>
      </c>
      <c r="EJ5" s="88" t="str">
        <f>INDIRECT(ADDRESS(ROW() - (TemplateStats!$B2 + 17), 6))</f>
        <v>#VALUE!</v>
      </c>
      <c r="EK5" s="88" t="str">
        <f>INDIRECT(ADDRESS(ROW() - (TemplateStats!$B2 + 17), 6))</f>
        <v>#VALUE!</v>
      </c>
      <c r="EL5" s="88" t="str">
        <f>INDIRECT(ADDRESS(ROW() - (TemplateStats!$B2 + 17), 6))</f>
        <v>#VALUE!</v>
      </c>
      <c r="EM5" s="88" t="str">
        <f>INDIRECT(ADDRESS(ROW() - (TemplateStats!$B2 + 17), 6))</f>
        <v>#VALUE!</v>
      </c>
      <c r="EN5" s="88" t="str">
        <f>INDIRECT(ADDRESS(ROW() - (TemplateStats!$B2 + 16), 6))</f>
        <v>#VALUE!</v>
      </c>
      <c r="EO5" s="88" t="str">
        <f>INDIRECT(ADDRESS(ROW() - (TemplateStats!$B2 + 18), 6))</f>
        <v>#VALUE!</v>
      </c>
      <c r="EP5" s="88" t="str">
        <f>INDIRECT(ADDRESS(ROW() - (TemplateStats!$B2 + 18), 6))</f>
        <v>#VALUE!</v>
      </c>
      <c r="EQ5" s="88" t="str">
        <f>INDIRECT(ADDRESS(ROW() - (TemplateStats!$B2 + 18), 6))</f>
        <v>#VALUE!</v>
      </c>
      <c r="ER5" s="88" t="str">
        <f>INDIRECT(ADDRESS(ROW() - (TemplateStats!$B2 + 18), 6))</f>
        <v>#VALUE!</v>
      </c>
      <c r="ES5" s="88" t="str">
        <f>INDIRECT(ADDRESS(ROW() - (TemplateStats!$B2 + 18), 6))</f>
        <v>#VALUE!</v>
      </c>
      <c r="ET5" s="88" t="str">
        <f>INDIRECT(ADDRESS(ROW() - (TemplateStats!$B2 + 18), 6))</f>
        <v>#VALUE!</v>
      </c>
      <c r="EU5" s="88" t="str">
        <f>INDIRECT(ADDRESS(ROW() - (TemplateStats!$B2 + 18), 6))</f>
        <v>#VALUE!</v>
      </c>
      <c r="EV5" s="88" t="str">
        <f>INDIRECT(ADDRESS(ROW() - (TemplateStats!$B2 + 18), 6))</f>
        <v>#VALUE!</v>
      </c>
      <c r="EW5" s="88" t="str">
        <f>INDIRECT(ADDRESS(ROW() - (TemplateStats!$B2 + 18), 6))</f>
        <v>#VALUE!</v>
      </c>
      <c r="EX5" s="88" t="str">
        <f>INDIRECT(ADDRESS(ROW() - (TemplateStats!$B2 + 17), 6))</f>
        <v>#VALUE!</v>
      </c>
      <c r="EY5" s="88" t="str">
        <f>INDIRECT(ADDRESS(ROW() - (TemplateStats!$B2 + 16), 6))</f>
        <v>#VALUE!</v>
      </c>
      <c r="EZ5" s="88" t="str">
        <f>INDIRECT(ADDRESS(ROW() - (TemplateStats!$B2 + 18), 6))</f>
        <v>#VALUE!</v>
      </c>
      <c r="FA5" s="88" t="str">
        <f>INDIRECT(ADDRESS(ROW() - (TemplateStats!$B2 + 18), 6))</f>
        <v>#VALUE!</v>
      </c>
      <c r="FB5" s="88" t="str">
        <f>INDIRECT(ADDRESS(ROW() - (TemplateStats!$B2 + 18), 6))</f>
        <v>#VALUE!</v>
      </c>
      <c r="FC5" s="88" t="str">
        <f>INDIRECT(ADDRESS(ROW() - (TemplateStats!$B2 + 18), 6))</f>
        <v>#VALUE!</v>
      </c>
      <c r="FD5" s="88" t="str">
        <f>INDIRECT(ADDRESS(ROW() - (TemplateStats!$B2 + 18), 6))</f>
        <v>#VALUE!</v>
      </c>
      <c r="FE5" s="88" t="str">
        <f>INDIRECT(ADDRESS(ROW() - (TemplateStats!$B2 + 18), 6))</f>
        <v>#VALUE!</v>
      </c>
      <c r="FF5" s="88" t="str">
        <f>INDIRECT(ADDRESS(ROW() - (TemplateStats!$B2 + 18), 6))</f>
        <v>#VALUE!</v>
      </c>
      <c r="FG5" s="88" t="str">
        <f>INDIRECT(ADDRESS(ROW() - (TemplateStats!$B2 + 18), 6))</f>
        <v>#VALUE!</v>
      </c>
      <c r="FH5" s="88" t="str">
        <f>INDIRECT(ADDRESS(ROW() - (TemplateStats!$B2 + 18), 6))</f>
        <v>#VALUE!</v>
      </c>
      <c r="FI5" s="88" t="str">
        <f>INDIRECT(ADDRESS(ROW() - (TemplateStats!$B2 + 17), 6))</f>
        <v>#VALUE!</v>
      </c>
      <c r="FJ5" s="10" t="str">
        <f>"-"</f>
        <v>-</v>
      </c>
      <c r="FK5" s="88" t="str">
        <f>INDIRECT(ADDRESS(ROW() - (TemplateStats!$B2 + 16), 6))</f>
        <v>#VALUE!</v>
      </c>
      <c r="FL5" s="88" t="str">
        <f>INDIRECT(ADDRESS(ROW() - (TemplateStats!$B2 + 16), 6))</f>
        <v>#VALUE!</v>
      </c>
      <c r="FM5" s="88" t="str">
        <f>INDIRECT(ADDRESS(ROW() - (TemplateStats!$B2 + 18), 6))</f>
        <v>#VALUE!</v>
      </c>
      <c r="FN5" s="88" t="str">
        <f>INDIRECT(ADDRESS(ROW() - (TemplateStats!$B2 + 18), 6))</f>
        <v>#VALUE!</v>
      </c>
      <c r="FO5" s="88" t="str">
        <f>INDIRECT(ADDRESS(ROW() - (TemplateStats!$B2 + 18), 6))</f>
        <v>#VALUE!</v>
      </c>
      <c r="FP5" s="88" t="str">
        <f>INDIRECT(ADDRESS(ROW() - (TemplateStats!$B2 + 18), 6))</f>
        <v>#VALUE!</v>
      </c>
      <c r="FQ5" s="88" t="str">
        <f>INDIRECT(ADDRESS(ROW() - (TemplateStats!$B2 + 18), 6))</f>
        <v>#VALUE!</v>
      </c>
      <c r="FR5" s="88" t="str">
        <f>INDIRECT(ADDRESS(ROW() - (TemplateStats!$B2 + 18), 6))</f>
        <v>#VALUE!</v>
      </c>
      <c r="FS5" s="88" t="str">
        <f>INDIRECT(ADDRESS(ROW() - (TemplateStats!$B2 + 18), 6))</f>
        <v>#VALUE!</v>
      </c>
      <c r="FT5" s="88" t="str">
        <f>INDIRECT(ADDRESS(ROW() - (TemplateStats!$B2 + 18), 6))</f>
        <v>#VALUE!</v>
      </c>
      <c r="FU5" s="88" t="str">
        <f>INDIRECT(ADDRESS(ROW() - (TemplateStats!$B2 + 18), 6))</f>
        <v>#VALUE!</v>
      </c>
      <c r="FV5" s="88" t="str">
        <f>INDIRECT(ADDRESS(ROW() - (TemplateStats!$B2 + 17), 6))</f>
        <v>#VALUE!</v>
      </c>
      <c r="FW5" s="88" t="str">
        <f>INDIRECT(ADDRESS(ROW() - (TemplateStats!$B2 + 17), 6))</f>
        <v>#VALUE!</v>
      </c>
      <c r="FX5" s="88" t="str">
        <f>INDIRECT(ADDRESS(ROW() - (TemplateStats!$B2 + 17), 6))</f>
        <v>#VALUE!</v>
      </c>
      <c r="FY5" s="88" t="str">
        <f>INDIRECT(ADDRESS(ROW() - (TemplateStats!$B2 + 16), 6))</f>
        <v>#VALUE!</v>
      </c>
      <c r="FZ5" s="88" t="str">
        <f>INDIRECT(ADDRESS(ROW() - (TemplateStats!$B2 + 16), 6))</f>
        <v>#VALUE!</v>
      </c>
      <c r="GA5" s="88" t="str">
        <f>INDIRECT(ADDRESS(ROW() - (TemplateStats!$B2 + 16), 6))</f>
        <v>#VALUE!</v>
      </c>
      <c r="GB5" s="88" t="str">
        <f>INDIRECT(ADDRESS(ROW() - (TemplateStats!$B2 + 18), 6))</f>
        <v>#VALUE!</v>
      </c>
      <c r="GC5" s="88" t="str">
        <f>INDIRECT(ADDRESS(ROW() - (TemplateStats!$B2 + 18), 6))</f>
        <v>#VALUE!</v>
      </c>
      <c r="GD5" s="88" t="str">
        <f>INDIRECT(ADDRESS(ROW() - (TemplateStats!$B2 + 18), 6))</f>
        <v>#VALUE!</v>
      </c>
      <c r="GE5" s="88" t="str">
        <f>INDIRECT(ADDRESS(ROW() - (TemplateStats!$B2 + 18), 6))</f>
        <v>#VALUE!</v>
      </c>
      <c r="GF5" s="88" t="str">
        <f>INDIRECT(ADDRESS(ROW() - (TemplateStats!$B2 + 18), 6))</f>
        <v>#VALUE!</v>
      </c>
      <c r="GG5" s="88" t="str">
        <f>INDIRECT(ADDRESS(ROW() - (TemplateStats!$B2 + 18), 6))</f>
        <v>#VALUE!</v>
      </c>
      <c r="GH5" s="88" t="str">
        <f>INDIRECT(ADDRESS(ROW() - (TemplateStats!$B2 + 18), 6))</f>
        <v>#VALUE!</v>
      </c>
      <c r="GI5" s="88" t="str">
        <f>INDIRECT(ADDRESS(ROW() - (TemplateStats!$B2 + 18), 6))</f>
        <v>#VALUE!</v>
      </c>
      <c r="GJ5" s="88" t="str">
        <f>INDIRECT(ADDRESS(ROW() - (TemplateStats!$B2 + 18), 6))</f>
        <v>#VALUE!</v>
      </c>
      <c r="GK5" s="88" t="str">
        <f>INDIRECT(ADDRESS(ROW() - (TemplateStats!$B2 + 18), 6))</f>
        <v>#VALUE!</v>
      </c>
      <c r="GL5" s="88" t="str">
        <f>INDIRECT(ADDRESS(ROW() - (TemplateStats!$B2 + 17), 6))</f>
        <v>#VALUE!</v>
      </c>
      <c r="GM5" s="88" t="str">
        <f>INDIRECT(ADDRESS(ROW() - (TemplateStats!$B2 + 16), 6))</f>
        <v>#VALUE!</v>
      </c>
      <c r="GN5" s="88" t="str">
        <f>INDIRECT(ADDRESS(ROW() - (TemplateStats!$B2 + 16), 6))</f>
        <v>#VALUE!</v>
      </c>
      <c r="GO5" s="88" t="str">
        <f>INDIRECT(ADDRESS(ROW() - (TemplateStats!$B2 + 18), 6))</f>
        <v>#VALUE!</v>
      </c>
      <c r="GP5" s="88" t="str">
        <f>INDIRECT(ADDRESS(ROW() - (TemplateStats!$B2 + 18), 6))</f>
        <v>#VALUE!</v>
      </c>
      <c r="GQ5" s="88" t="str">
        <f>INDIRECT(ADDRESS(ROW() - (TemplateStats!$B2 + 18), 6))</f>
        <v>#VALUE!</v>
      </c>
      <c r="GR5" s="88" t="str">
        <f>INDIRECT(ADDRESS(ROW() - (TemplateStats!$B2 + 18), 6))</f>
        <v>#VALUE!</v>
      </c>
      <c r="GS5" s="88" t="str">
        <f>INDIRECT(ADDRESS(ROW() - (TemplateStats!$B2 + 18), 6))</f>
        <v>#VALUE!</v>
      </c>
      <c r="GT5" s="88" t="str">
        <f>INDIRECT(ADDRESS(ROW() - (TemplateStats!$B2 + 18), 6))</f>
        <v>#VALUE!</v>
      </c>
      <c r="GU5" s="88" t="str">
        <f>INDIRECT(ADDRESS(ROW() - (TemplateStats!$B2 + 18), 6))</f>
        <v>#VALUE!</v>
      </c>
      <c r="GV5" s="88" t="str">
        <f>INDIRECT(ADDRESS(ROW() - (TemplateStats!$B2 + 18), 6))</f>
        <v>#VALUE!</v>
      </c>
      <c r="GW5" s="88" t="str">
        <f>INDIRECT(ADDRESS(ROW() - (TemplateStats!$B2 + 18), 6))</f>
        <v>#VALUE!</v>
      </c>
      <c r="GX5" s="88" t="str">
        <f>INDIRECT(ADDRESS(ROW() - (TemplateStats!$B2 + 18), 6))</f>
        <v>#VALUE!</v>
      </c>
      <c r="GY5" s="88" t="str">
        <f>INDIRECT(ADDRESS(ROW() - (TemplateStats!$B2 + 18), 6))</f>
        <v>#VALUE!</v>
      </c>
      <c r="GZ5" s="88" t="str">
        <f>INDIRECT(ADDRESS(ROW() - (TemplateStats!$B2 + 18), 6))</f>
        <v>#VALUE!</v>
      </c>
      <c r="HA5" s="88" t="str">
        <f>INDIRECT(ADDRESS(ROW() - (TemplateStats!$B2 + 17), 6))</f>
        <v>#VALUE!</v>
      </c>
      <c r="HB5" s="88" t="str">
        <f>INDIRECT(ADDRESS(ROW() - (TemplateStats!$B2 + 16), 6))</f>
        <v>#VALUE!</v>
      </c>
      <c r="HC5" s="88" t="str">
        <f>INDIRECT(ADDRESS(ROW() - (TemplateStats!$B2 + 16), 6))</f>
        <v>#VALUE!</v>
      </c>
      <c r="HD5" s="88" t="str">
        <f>INDIRECT(ADDRESS(ROW() - (TemplateStats!$B2 + 18), 6))</f>
        <v>#VALUE!</v>
      </c>
      <c r="HE5" s="88" t="str">
        <f>INDIRECT(ADDRESS(ROW() - (TemplateStats!$B2 + 18), 6))</f>
        <v>#VALUE!</v>
      </c>
      <c r="HF5" s="88" t="str">
        <f>INDIRECT(ADDRESS(ROW() - (TemplateStats!$B2 + 18), 6))</f>
        <v>#VALUE!</v>
      </c>
      <c r="HG5" s="88" t="str">
        <f>INDIRECT(ADDRESS(ROW() - (TemplateStats!$B2 + 18), 6))</f>
        <v>#VALUE!</v>
      </c>
      <c r="HH5" s="88" t="str">
        <f>INDIRECT(ADDRESS(ROW() - (TemplateStats!$B2 + 18), 6))</f>
        <v>#VALUE!</v>
      </c>
      <c r="HI5" s="88" t="str">
        <f>INDIRECT(ADDRESS(ROW() - (TemplateStats!$B2 + 18), 6))</f>
        <v>#VALUE!</v>
      </c>
      <c r="HJ5" s="88" t="str">
        <f>INDIRECT(ADDRESS(ROW() - (TemplateStats!$B2 + 18), 6))</f>
        <v>#VALUE!</v>
      </c>
      <c r="HK5" s="88" t="str">
        <f>INDIRECT(ADDRESS(ROW() - (TemplateStats!$B2 + 18), 6))</f>
        <v>#VALUE!</v>
      </c>
      <c r="HL5" s="88" t="str">
        <f>INDIRECT(ADDRESS(ROW() - (TemplateStats!$B2 + 18), 6))</f>
        <v>#VALUE!</v>
      </c>
      <c r="HM5" s="88" t="str">
        <f>INDIRECT(ADDRESS(ROW() - (TemplateStats!$B2 + 17), 6))</f>
        <v>#VALUE!</v>
      </c>
      <c r="HN5" s="88" t="str">
        <f>INDIRECT(ADDRESS(ROW() - (TemplateStats!$B2 + 17), 6))</f>
        <v>#VALUE!</v>
      </c>
      <c r="HO5" s="88" t="str">
        <f>INDIRECT(ADDRESS(ROW() - (TemplateStats!$B2 + 16), 6))</f>
        <v>#VALUE!</v>
      </c>
      <c r="HP5" s="88" t="str">
        <f>INDIRECT(ADDRESS(ROW() - (TemplateStats!$B2 + 18), 6))</f>
        <v>#VALUE!</v>
      </c>
      <c r="HQ5" s="88" t="str">
        <f>INDIRECT(ADDRESS(ROW() - (TemplateStats!$B2 + 18), 6))</f>
        <v>#VALUE!</v>
      </c>
      <c r="HR5" s="88" t="str">
        <f>INDIRECT(ADDRESS(ROW() - (TemplateStats!$B2 + 18), 6))</f>
        <v>#VALUE!</v>
      </c>
      <c r="HS5" s="88" t="str">
        <f>INDIRECT(ADDRESS(ROW() - (TemplateStats!$B2 + 18), 6))</f>
        <v>#VALUE!</v>
      </c>
      <c r="HT5" s="88" t="str">
        <f>INDIRECT(ADDRESS(ROW() - (TemplateStats!$B2 + 18), 6))</f>
        <v>#VALUE!</v>
      </c>
      <c r="HU5" s="88" t="str">
        <f>INDIRECT(ADDRESS(ROW() - (TemplateStats!$B2 + 18), 6))</f>
        <v>#VALUE!</v>
      </c>
      <c r="HV5" s="88" t="str">
        <f>INDIRECT(ADDRESS(ROW() - (TemplateStats!$B2 + 18), 6))</f>
        <v>#VALUE!</v>
      </c>
      <c r="HW5" s="88" t="str">
        <f>INDIRECT(ADDRESS(ROW() - (TemplateStats!$B2 + 18), 6))</f>
        <v>#VALUE!</v>
      </c>
      <c r="HX5" s="88" t="str">
        <f>INDIRECT(ADDRESS(ROW() - (TemplateStats!$B2 + 18), 6))</f>
        <v>#VALUE!</v>
      </c>
      <c r="HY5" s="88" t="str">
        <f>INDIRECT(ADDRESS(ROW() - (TemplateStats!$B2 + 18), 6))</f>
        <v>#VALUE!</v>
      </c>
      <c r="HZ5" s="88" t="str">
        <f>INDIRECT(ADDRESS(ROW() - (TemplateStats!$B2 + 18), 6))</f>
        <v>#VALUE!</v>
      </c>
      <c r="IA5" s="88" t="str">
        <f>INDIRECT(ADDRESS(ROW() - (TemplateStats!$B2 + 18), 6))</f>
        <v>#VALUE!</v>
      </c>
      <c r="IB5" s="88" t="str">
        <f>INDIRECT(ADDRESS(ROW() - (TemplateStats!$B2 + 17), 6))</f>
        <v>#VALUE!</v>
      </c>
      <c r="IC5" s="88" t="str">
        <f>INDIRECT(ADDRESS(ROW() - (TemplateStats!$B2 + 16), 6))</f>
        <v>#VALUE!</v>
      </c>
      <c r="ID5" s="88" t="str">
        <f>INDIRECT(ADDRESS(ROW() - (TemplateStats!$B2 + 16), 6))</f>
        <v>#VALUE!</v>
      </c>
      <c r="IE5" s="88" t="str">
        <f>INDIRECT(ADDRESS(ROW() - (TemplateStats!$B2 + 18), 6))</f>
        <v>#VALUE!</v>
      </c>
      <c r="IF5" s="88" t="str">
        <f>INDIRECT(ADDRESS(ROW() - (TemplateStats!$B2 + 18), 6))</f>
        <v>#VALUE!</v>
      </c>
      <c r="IG5" s="88" t="str">
        <f>INDIRECT(ADDRESS(ROW() - (TemplateStats!$B2 + 18), 6))</f>
        <v>#VALUE!</v>
      </c>
      <c r="IH5" s="88" t="str">
        <f>INDIRECT(ADDRESS(ROW() - (TemplateStats!$B2 + 18), 6))</f>
        <v>#VALUE!</v>
      </c>
      <c r="II5" s="88" t="str">
        <f>INDIRECT(ADDRESS(ROW() - (TemplateStats!$B2 + 18), 6))</f>
        <v>#VALUE!</v>
      </c>
      <c r="IJ5" s="88" t="str">
        <f>INDIRECT(ADDRESS(ROW() - (TemplateStats!$B2 + 18), 6))</f>
        <v>#VALUE!</v>
      </c>
      <c r="IK5" s="88" t="str">
        <f>INDIRECT(ADDRESS(ROW() - (TemplateStats!$B2 + 18), 6))</f>
        <v>#VALUE!</v>
      </c>
      <c r="IL5" s="88" t="str">
        <f>INDIRECT(ADDRESS(ROW() - (TemplateStats!$B2 + 18), 6))</f>
        <v>#VALUE!</v>
      </c>
      <c r="IM5" s="88" t="str">
        <f>INDIRECT(ADDRESS(ROW() - (TemplateStats!$B2 + 18), 6))</f>
        <v>#VALUE!</v>
      </c>
      <c r="IN5" s="88" t="str">
        <f>INDIRECT(ADDRESS(ROW() - (TemplateStats!$B2 + 18), 6))</f>
        <v>#VALUE!</v>
      </c>
      <c r="IO5" s="88" t="str">
        <f>INDIRECT(ADDRESS(ROW() - (TemplateStats!$B2 + 17), 6))</f>
        <v>#VALUE!</v>
      </c>
      <c r="IP5" s="88" t="str">
        <f>INDIRECT(ADDRESS(ROW() - (TemplateStats!$B2 + 17), 6))</f>
        <v>#VALUE!</v>
      </c>
      <c r="IQ5" s="88" t="str">
        <f>INDIRECT(ADDRESS(ROW() - (TemplateStats!$B2 + 17), 6))</f>
        <v>#VALUE!</v>
      </c>
      <c r="IR5" s="88" t="str">
        <f>INDIRECT(ADDRESS(ROW() - (TemplateStats!$B2 + 16), 6))</f>
        <v>#VALUE!</v>
      </c>
      <c r="IS5" s="88" t="str">
        <f>INDIRECT(ADDRESS(ROW() - (TemplateStats!$B2 + 16), 6))</f>
        <v>#VALUE!</v>
      </c>
      <c r="IT5" s="196" t="str">
        <f>INDIRECT(ADDRESS(ROW() - (TemplateStats!$B2 + 16), 6))</f>
        <v>#VALUE!</v>
      </c>
      <c r="IU5" s="88" t="str">
        <f>INDIRECT(ADDRESS(ROW() - (TemplateStats!$B2 + 18), 6))</f>
        <v>#VALUE!</v>
      </c>
      <c r="IV5" s="88" t="str">
        <f>INDIRECT(ADDRESS(ROW() - (TemplateStats!$B2 + 18), 6))</f>
        <v>#VALUE!</v>
      </c>
      <c r="IW5" s="88" t="str">
        <f>INDIRECT(ADDRESS(ROW() - (TemplateStats!$B2 + 18), 6))</f>
        <v>#VALUE!</v>
      </c>
      <c r="IX5" s="88" t="str">
        <f>INDIRECT(ADDRESS(ROW() - (TemplateStats!$B2 + 18), 6))</f>
        <v>#VALUE!</v>
      </c>
      <c r="IY5" s="88" t="str">
        <f>INDIRECT(ADDRESS(ROW() - (TemplateStats!$B2 + 18), 6))</f>
        <v>#VALUE!</v>
      </c>
      <c r="IZ5" s="88" t="str">
        <f>INDIRECT(ADDRESS(ROW() - (TemplateStats!$B2 + 18), 6))</f>
        <v>#VALUE!</v>
      </c>
      <c r="JA5" s="88" t="str">
        <f>INDIRECT(ADDRESS(ROW() - (TemplateStats!$B2 + 18), 6))</f>
        <v>#VALUE!</v>
      </c>
      <c r="JB5" s="88" t="str">
        <f>INDIRECT(ADDRESS(ROW() - (TemplateStats!$B2 + 18), 6))</f>
        <v>#VALUE!</v>
      </c>
      <c r="JC5" s="88" t="str">
        <f>INDIRECT(ADDRESS(ROW() - (TemplateStats!$B2 + 18), 6))</f>
        <v>#VALUE!</v>
      </c>
      <c r="JD5" s="88" t="str">
        <f>INDIRECT(ADDRESS(ROW() - (TemplateStats!$B2 + 18), 6))</f>
        <v>#VALUE!</v>
      </c>
      <c r="JE5" s="88" t="str">
        <f>INDIRECT(ADDRESS(ROW() - (TemplateStats!$B2 + 17), 6))</f>
        <v>#VALUE!</v>
      </c>
      <c r="JF5" s="88" t="str">
        <f>INDIRECT(ADDRESS(ROW() - (TemplateStats!$B2 + 17), 6))</f>
        <v>#VALUE!</v>
      </c>
      <c r="JG5" s="10" t="str">
        <f>"-"</f>
        <v>-</v>
      </c>
      <c r="JH5" s="88" t="str">
        <f>INDIRECT(ADDRESS(ROW() - (TemplateStats!$B2 + 16), 6))</f>
        <v>#VALUE!</v>
      </c>
      <c r="JI5" s="88" t="str">
        <f>INDIRECT(ADDRESS(ROW() - (TemplateStats!$B2 + 18), 6))</f>
        <v>#VALUE!</v>
      </c>
      <c r="JJ5" s="88" t="str">
        <f>INDIRECT(ADDRESS(ROW() - (TemplateStats!$B2 + 18), 6))</f>
        <v>#VALUE!</v>
      </c>
      <c r="JK5" s="88" t="str">
        <f>INDIRECT(ADDRESS(ROW() - (TemplateStats!$B2 + 18), 6))</f>
        <v>#VALUE!</v>
      </c>
      <c r="JL5" s="88" t="str">
        <f>INDIRECT(ADDRESS(ROW() - (TemplateStats!$B2 + 18), 6))</f>
        <v>#VALUE!</v>
      </c>
      <c r="JM5" s="88" t="str">
        <f>INDIRECT(ADDRESS(ROW() - (TemplateStats!$B2 + 18), 6))</f>
        <v>#VALUE!</v>
      </c>
      <c r="JN5" s="88" t="str">
        <f>INDIRECT(ADDRESS(ROW() - (TemplateStats!$B2 + 18), 6))</f>
        <v>#VALUE!</v>
      </c>
      <c r="JO5" s="88" t="str">
        <f>INDIRECT(ADDRESS(ROW() - (TemplateStats!$B2 + 18), 6))</f>
        <v>#VALUE!</v>
      </c>
      <c r="JP5" s="88" t="str">
        <f>INDIRECT(ADDRESS(ROW() - (TemplateStats!$B2 + 18), 6))</f>
        <v>#VALUE!</v>
      </c>
      <c r="JQ5" s="88" t="str">
        <f>INDIRECT(ADDRESS(ROW() - (TemplateStats!$B2 + 18), 6))</f>
        <v>#VALUE!</v>
      </c>
      <c r="JR5" s="88" t="str">
        <f>INDIRECT(ADDRESS(ROW() - (TemplateStats!$B2 + 18), 6))</f>
        <v>#VALUE!</v>
      </c>
      <c r="JS5" s="88" t="str">
        <f>INDIRECT(ADDRESS(ROW() - (TemplateStats!$B2 + 18), 6))</f>
        <v>#VALUE!</v>
      </c>
      <c r="JT5" s="88" t="str">
        <f>INDIRECT(ADDRESS(ROW() - (TemplateStats!$B2 + 18), 6))</f>
        <v>#VALUE!</v>
      </c>
      <c r="JU5" s="88" t="str">
        <f>INDIRECT(ADDRESS(ROW() - (TemplateStats!$B2 + 18), 6))</f>
        <v>#VALUE!</v>
      </c>
      <c r="JV5" s="88" t="str">
        <f>INDIRECT(ADDRESS(ROW() - (TemplateStats!$B2 + 17), 6))</f>
        <v>#VALUE!</v>
      </c>
      <c r="JW5" s="88" t="str">
        <f>INDIRECT(ADDRESS(ROW() - (TemplateStats!$B2 + 16), 6))</f>
        <v>#VALUE!</v>
      </c>
      <c r="JX5" s="88" t="str">
        <f>INDIRECT(ADDRESS(ROW() - (TemplateStats!$B2 + 18), 6))</f>
        <v>#VALUE!</v>
      </c>
      <c r="JY5" s="88" t="str">
        <f>INDIRECT(ADDRESS(ROW() - (TemplateStats!$B2 + 18), 6))</f>
        <v>#VALUE!</v>
      </c>
      <c r="JZ5" s="88" t="str">
        <f>INDIRECT(ADDRESS(ROW() - (TemplateStats!$B2 + 18), 6))</f>
        <v>#VALUE!</v>
      </c>
      <c r="KA5" s="88" t="str">
        <f>INDIRECT(ADDRESS(ROW() - (TemplateStats!$B2 + 18), 6))</f>
        <v>#VALUE!</v>
      </c>
      <c r="KB5" s="88" t="str">
        <f>INDIRECT(ADDRESS(ROW() - (TemplateStats!$B2 + 18), 6))</f>
        <v>#VALUE!</v>
      </c>
      <c r="KC5" s="88" t="str">
        <f>INDIRECT(ADDRESS(ROW() - (TemplateStats!$B2 + 18), 6))</f>
        <v>#VALUE!</v>
      </c>
      <c r="KD5" s="88" t="str">
        <f>INDIRECT(ADDRESS(ROW() - (TemplateStats!$B2 + 18), 6))</f>
        <v>#VALUE!</v>
      </c>
      <c r="KE5" s="88" t="str">
        <f>INDIRECT(ADDRESS(ROW() - (TemplateStats!$B2 + 18), 6))</f>
        <v>#VALUE!</v>
      </c>
      <c r="KF5" s="88" t="str">
        <f>INDIRECT(ADDRESS(ROW() - (TemplateStats!$B2 + 18), 6))</f>
        <v>#VALUE!</v>
      </c>
      <c r="KG5" s="88" t="str">
        <f>INDIRECT(ADDRESS(ROW() - (TemplateStats!$B2 + 18), 6))</f>
        <v>#VALUE!</v>
      </c>
      <c r="KH5" s="88" t="str">
        <f>INDIRECT(ADDRESS(ROW() - (TemplateStats!$B2 + 18), 6))</f>
        <v>#VALUE!</v>
      </c>
      <c r="KI5" s="88" t="str">
        <f>INDIRECT(ADDRESS(ROW() - (TemplateStats!$B2 + 18), 6))</f>
        <v>#VALUE!</v>
      </c>
      <c r="KJ5" s="10" t="str">
        <f>"-"</f>
        <v>-</v>
      </c>
      <c r="KK5" s="88" t="str">
        <f>INDIRECT(ADDRESS(ROW() - (TemplateStats!$B2 + 17), 6))</f>
        <v>#VALUE!</v>
      </c>
      <c r="KL5" s="88" t="str">
        <f>INDIRECT(ADDRESS(ROW() - (TemplateStats!$B2 + 16), 6))</f>
        <v>#VALUE!</v>
      </c>
      <c r="KM5" s="88" t="str">
        <f>INDIRECT(ADDRESS(ROW() - (TemplateStats!$B2 + 18), 6))</f>
        <v>#VALUE!</v>
      </c>
      <c r="KN5" s="88" t="str">
        <f>INDIRECT(ADDRESS(ROW() - (TemplateStats!$B2 + 18), 6))</f>
        <v>#VALUE!</v>
      </c>
      <c r="KO5" s="88" t="str">
        <f>INDIRECT(ADDRESS(ROW() - (TemplateStats!$B2 + 18), 6))</f>
        <v>#VALUE!</v>
      </c>
      <c r="KP5" s="88" t="str">
        <f>INDIRECT(ADDRESS(ROW() - (TemplateStats!$B2 + 18), 6))</f>
        <v>#VALUE!</v>
      </c>
      <c r="KQ5" s="88" t="str">
        <f>INDIRECT(ADDRESS(ROW() - (TemplateStats!$B2 + 18), 6))</f>
        <v>#VALUE!</v>
      </c>
      <c r="KR5" s="88" t="str">
        <f>INDIRECT(ADDRESS(ROW() - (TemplateStats!$B2 + 18), 6))</f>
        <v>#VALUE!</v>
      </c>
      <c r="KS5" s="88" t="str">
        <f>INDIRECT(ADDRESS(ROW() - (TemplateStats!$B2 + 18), 6))</f>
        <v>#VALUE!</v>
      </c>
      <c r="KT5" s="88" t="str">
        <f>INDIRECT(ADDRESS(ROW() - (TemplateStats!$B2 + 18), 6))</f>
        <v>#VALUE!</v>
      </c>
      <c r="KU5" s="88" t="str">
        <f>INDIRECT(ADDRESS(ROW() - (TemplateStats!$B2 + 18), 6))</f>
        <v>#VALUE!</v>
      </c>
      <c r="KV5" s="88" t="str">
        <f>INDIRECT(ADDRESS(ROW() - (TemplateStats!$B2 + 17), 6))</f>
        <v>#VALUE!</v>
      </c>
      <c r="KW5" s="88" t="str">
        <f>INDIRECT(ADDRESS(ROW() - (TemplateStats!$B2 + 16), 6))</f>
        <v>#VALUE!</v>
      </c>
      <c r="KX5" s="88" t="str">
        <f>INDIRECT(ADDRESS(ROW() - (TemplateStats!$B2 + 16), 6))</f>
        <v>#VALUE!</v>
      </c>
      <c r="KY5" s="88" t="str">
        <f>INDIRECT(ADDRESS(ROW() - (TemplateStats!$B2 + 18), 6))</f>
        <v>#VALUE!</v>
      </c>
      <c r="KZ5" s="88" t="str">
        <f>INDIRECT(ADDRESS(ROW() - (TemplateStats!$B2 + 18), 6))</f>
        <v>#VALUE!</v>
      </c>
      <c r="LA5" s="88" t="str">
        <f>INDIRECT(ADDRESS(ROW() - (TemplateStats!$B2 + 18), 6))</f>
        <v>#VALUE!</v>
      </c>
      <c r="LB5" s="88" t="str">
        <f>INDIRECT(ADDRESS(ROW() - (TemplateStats!$B2 + 18), 6))</f>
        <v>#VALUE!</v>
      </c>
      <c r="LC5" s="88" t="str">
        <f>INDIRECT(ADDRESS(ROW() - (TemplateStats!$B2 + 18), 6))</f>
        <v>#VALUE!</v>
      </c>
      <c r="LD5" s="88" t="str">
        <f>INDIRECT(ADDRESS(ROW() - (TemplateStats!$B2 + 18), 6))</f>
        <v>#VALUE!</v>
      </c>
      <c r="LE5" s="88" t="str">
        <f>INDIRECT(ADDRESS(ROW() - (TemplateStats!$B2 + 18), 6))</f>
        <v>#VALUE!</v>
      </c>
      <c r="LF5" s="88" t="str">
        <f>INDIRECT(ADDRESS(ROW() - (TemplateStats!$B2 + 18), 6))</f>
        <v>#VALUE!</v>
      </c>
      <c r="LG5" s="88" t="str">
        <f>INDIRECT(ADDRESS(ROW() - (TemplateStats!$B2 + 18), 6))</f>
        <v>#VALUE!</v>
      </c>
      <c r="LH5" s="88" t="str">
        <f>INDIRECT(ADDRESS(ROW() - (TemplateStats!$B2 + 18), 6))</f>
        <v>#VALUE!</v>
      </c>
      <c r="LI5" s="88" t="str">
        <f>INDIRECT(ADDRESS(ROW() - (TemplateStats!$B2 + 18), 6))</f>
        <v>#VALUE!</v>
      </c>
      <c r="LJ5" s="88" t="str">
        <f>INDIRECT(ADDRESS(ROW() - (TemplateStats!$B2 + 17), 6))</f>
        <v>#VALUE!</v>
      </c>
      <c r="LK5" s="88" t="str">
        <f>INDIRECT(ADDRESS(ROW() - (TemplateStats!$B2 + 17), 6))</f>
        <v>#VALUE!</v>
      </c>
      <c r="LL5" s="88" t="str">
        <f>INDIRECT(ADDRESS(ROW() - (TemplateStats!$B2 + 17), 6))</f>
        <v>#VALUE!</v>
      </c>
      <c r="LM5" s="88" t="str">
        <f>INDIRECT(ADDRESS(ROW() - (TemplateStats!$B2 + 17), 6))</f>
        <v>#VALUE!</v>
      </c>
      <c r="LN5" s="88" t="str">
        <f>INDIRECT(ADDRESS(ROW() - (TemplateStats!$B2 + 17), 6))</f>
        <v>#VALUE!</v>
      </c>
      <c r="LO5" s="88" t="str">
        <f>INDIRECT(ADDRESS(ROW() - (TemplateStats!$B2 + 16), 6))</f>
        <v>#VALUE!</v>
      </c>
      <c r="LP5" s="88" t="str">
        <f>INDIRECT(ADDRESS(ROW() - (TemplateStats!$B2 + 16), 6))</f>
        <v>#VALUE!</v>
      </c>
      <c r="LQ5" s="88" t="str">
        <f>INDIRECT(ADDRESS(ROW() - (TemplateStats!$B2 + 18), 6))</f>
        <v>#VALUE!</v>
      </c>
      <c r="LR5" s="88" t="str">
        <f>INDIRECT(ADDRESS(ROW() - (TemplateStats!$B2 + 18), 6))</f>
        <v>#VALUE!</v>
      </c>
      <c r="LS5" s="88" t="str">
        <f>INDIRECT(ADDRESS(ROW() - (TemplateStats!$B2 + 18), 6))</f>
        <v>#VALUE!</v>
      </c>
      <c r="LT5" s="88" t="str">
        <f>INDIRECT(ADDRESS(ROW() - (TemplateStats!$B2 + 18), 6))</f>
        <v>#VALUE!</v>
      </c>
      <c r="LU5" s="88" t="str">
        <f>INDIRECT(ADDRESS(ROW() - (TemplateStats!$B2 + 18), 6))</f>
        <v>#VALUE!</v>
      </c>
      <c r="LV5" s="88" t="str">
        <f>INDIRECT(ADDRESS(ROW() - (TemplateStats!$B2 + 18), 6))</f>
        <v>#VALUE!</v>
      </c>
      <c r="LW5" s="88" t="str">
        <f>INDIRECT(ADDRESS(ROW() - (TemplateStats!$B2 + 18), 6))</f>
        <v>#VALUE!</v>
      </c>
      <c r="LX5" s="88" t="str">
        <f>INDIRECT(ADDRESS(ROW() - (TemplateStats!$B2 + 18), 6))</f>
        <v>#VALUE!</v>
      </c>
      <c r="LY5" s="88" t="str">
        <f>INDIRECT(ADDRESS(ROW() - (TemplateStats!$B2 + 18), 6))</f>
        <v>#VALUE!</v>
      </c>
      <c r="LZ5" s="88" t="str">
        <f>INDIRECT(ADDRESS(ROW() - (TemplateStats!$B2 + 18), 6))</f>
        <v>#VALUE!</v>
      </c>
      <c r="MA5" s="88" t="str">
        <f>INDIRECT(ADDRESS(ROW() - (TemplateStats!$B2 + 17), 6))</f>
        <v>#VALUE!</v>
      </c>
      <c r="MB5" s="88" t="str">
        <f>INDIRECT(ADDRESS(ROW() - (TemplateStats!$B2 + 18), 6))</f>
        <v>#VALUE!</v>
      </c>
      <c r="MC5" s="88" t="str">
        <f>INDIRECT(ADDRESS(ROW() - (TemplateStats!$B2 + 18), 6))</f>
        <v>#VALUE!</v>
      </c>
      <c r="MD5" s="88" t="str">
        <f>INDIRECT(ADDRESS(ROW() - (TemplateStats!$B2 + 18), 6))</f>
        <v>#VALUE!</v>
      </c>
      <c r="ME5" s="88" t="str">
        <f>INDIRECT(ADDRESS(ROW() - (TemplateStats!$B2 + 18), 6))</f>
        <v>#VALUE!</v>
      </c>
      <c r="MF5" s="88" t="str">
        <f>INDIRECT(ADDRESS(ROW() - (TemplateStats!$B2 + 18), 6))</f>
        <v>#VALUE!</v>
      </c>
      <c r="MG5" s="88" t="str">
        <f>INDIRECT(ADDRESS(ROW() - (TemplateStats!$B2 + 18), 6))</f>
        <v>#VALUE!</v>
      </c>
      <c r="MH5" s="88" t="str">
        <f>INDIRECT(ADDRESS(ROW() - (TemplateStats!$B2 + 18), 6))</f>
        <v>#VALUE!</v>
      </c>
      <c r="MI5" s="88" t="str">
        <f>INDIRECT(ADDRESS(ROW() - (TemplateStats!$B2 + 18), 6))</f>
        <v>#VALUE!</v>
      </c>
      <c r="MJ5" s="88" t="str">
        <f>INDIRECT(ADDRESS(ROW() - (TemplateStats!$B2 + 18), 6))</f>
        <v>#VALUE!</v>
      </c>
      <c r="MK5" s="88" t="str">
        <f>INDIRECT(ADDRESS(ROW() - (TemplateStats!$B2 + 17), 6))</f>
        <v>#VALUE!</v>
      </c>
      <c r="ML5" s="88" t="str">
        <f>INDIRECT(ADDRESS(ROW() - (TemplateStats!$B2 + 16), 6))</f>
        <v>#VALUE!</v>
      </c>
      <c r="MM5" s="88" t="str">
        <f>INDIRECT(ADDRESS(ROW() - (TemplateStats!$B2 + 16), 6))</f>
        <v>#VALUE!</v>
      </c>
      <c r="MN5" s="88" t="str">
        <f>INDIRECT(ADDRESS(ROW() - (TemplateStats!$B2 + 18), 6))</f>
        <v>#VALUE!</v>
      </c>
      <c r="MO5" s="88" t="str">
        <f>INDIRECT(ADDRESS(ROW() - (TemplateStats!$B2 + 18), 6))</f>
        <v>#VALUE!</v>
      </c>
      <c r="MP5" s="88" t="str">
        <f>INDIRECT(ADDRESS(ROW() - (TemplateStats!$B2 + 18), 6))</f>
        <v>#VALUE!</v>
      </c>
      <c r="MQ5" s="88" t="str">
        <f>INDIRECT(ADDRESS(ROW() - (TemplateStats!$B2 + 18), 6))</f>
        <v>#VALUE!</v>
      </c>
      <c r="MR5" s="88" t="str">
        <f>INDIRECT(ADDRESS(ROW() - (TemplateStats!$B2 + 18), 6))</f>
        <v>#VALUE!</v>
      </c>
      <c r="MS5" s="88" t="str">
        <f>INDIRECT(ADDRESS(ROW() - (TemplateStats!$B2 + 18), 6))</f>
        <v>#VALUE!</v>
      </c>
      <c r="MT5" s="88" t="str">
        <f>INDIRECT(ADDRESS(ROW() - (TemplateStats!$B2 + 18), 6))</f>
        <v>#VALUE!</v>
      </c>
      <c r="MU5" s="88" t="str">
        <f>INDIRECT(ADDRESS(ROW() - (TemplateStats!$B2 + 18), 6))</f>
        <v>#VALUE!</v>
      </c>
      <c r="MV5" s="88" t="str">
        <f>INDIRECT(ADDRESS(ROW() - (TemplateStats!$B2 + 18), 6))</f>
        <v>#VALUE!</v>
      </c>
      <c r="MW5" s="88" t="str">
        <f>INDIRECT(ADDRESS(ROW() - (TemplateStats!$B2 + 18), 6))</f>
        <v>#VALUE!</v>
      </c>
      <c r="MX5" s="88" t="str">
        <f>INDIRECT(ADDRESS(ROW() - (TemplateStats!$B2 + 17), 6))</f>
        <v>#VALUE!</v>
      </c>
      <c r="MY5" s="88" t="str">
        <f>INDIRECT(ADDRESS(ROW() - (TemplateStats!$B2 + 16), 6))</f>
        <v>#VALUE!</v>
      </c>
      <c r="MZ5" s="88" t="str">
        <f>INDIRECT(ADDRESS(ROW() - (TemplateStats!$B2 + 18), 6))</f>
        <v>#VALUE!</v>
      </c>
      <c r="NA5" s="88" t="str">
        <f>INDIRECT(ADDRESS(ROW() - (TemplateStats!$B2 + 18), 6))</f>
        <v>#VALUE!</v>
      </c>
      <c r="NB5" s="88" t="str">
        <f>INDIRECT(ADDRESS(ROW() - (TemplateStats!$B2 + 18), 6))</f>
        <v>#VALUE!</v>
      </c>
      <c r="NC5" s="88" t="str">
        <f>INDIRECT(ADDRESS(ROW() - (TemplateStats!$B2 + 18), 6))</f>
        <v>#VALUE!</v>
      </c>
      <c r="ND5" s="88" t="str">
        <f>INDIRECT(ADDRESS(ROW() - (TemplateStats!$B2 + 18), 6))</f>
        <v>#VALUE!</v>
      </c>
      <c r="NE5" s="88" t="str">
        <f>INDIRECT(ADDRESS(ROW() - (TemplateStats!$B2 + 18), 6))</f>
        <v>#VALUE!</v>
      </c>
      <c r="NF5" s="88" t="str">
        <f>INDIRECT(ADDRESS(ROW() - (TemplateStats!$B2 + 18), 6))</f>
        <v>#VALUE!</v>
      </c>
      <c r="NG5" s="88" t="str">
        <f>INDIRECT(ADDRESS(ROW() - (TemplateStats!$B2 + 18), 6))</f>
        <v>#VALUE!</v>
      </c>
      <c r="NH5" s="88" t="str">
        <f>INDIRECT(ADDRESS(ROW() - (TemplateStats!$B2 + 18), 6))</f>
        <v>#VALUE!</v>
      </c>
      <c r="NI5" s="88" t="str">
        <f>INDIRECT(ADDRESS(ROW() - (TemplateStats!$B2 + 18), 6))</f>
        <v>#VALUE!</v>
      </c>
      <c r="NJ5" s="88" t="str">
        <f>INDIRECT(ADDRESS(ROW() - (TemplateStats!$B2 + 18), 6))</f>
        <v>#VALUE!</v>
      </c>
      <c r="NK5" s="10" t="str">
        <f>"-"</f>
        <v>-</v>
      </c>
      <c r="NL5" s="88" t="str">
        <f>INDIRECT(ADDRESS(ROW() - (TemplateStats!$B2 + 17), 6))</f>
        <v>#VALUE!</v>
      </c>
      <c r="NM5" s="88" t="str">
        <f>INDIRECT(ADDRESS(ROW() - (TemplateStats!$B2 + 17), 6))</f>
        <v>#VALUE!</v>
      </c>
      <c r="NN5" s="88" t="str">
        <f>INDIRECT(ADDRESS(ROW() - (TemplateStats!$B2 + 16), 6))</f>
        <v>#VALUE!</v>
      </c>
      <c r="NO5" s="88" t="str">
        <f>INDIRECT(ADDRESS(ROW() - (TemplateStats!$B2 + 16), 6))</f>
        <v>#VALUE!</v>
      </c>
      <c r="NP5" s="88" t="str">
        <f>INDIRECT(ADDRESS(ROW() - (TemplateStats!$B2 + 16), 6))</f>
        <v>#VALUE!</v>
      </c>
      <c r="NQ5" s="88" t="str">
        <f>INDIRECT(ADDRESS(ROW() - (TemplateStats!$B2 + 18), 6))</f>
        <v>#VALUE!</v>
      </c>
      <c r="NR5" s="88" t="str">
        <f>INDIRECT(ADDRESS(ROW() - (TemplateStats!$B2 + 18), 6))</f>
        <v>#VALUE!</v>
      </c>
      <c r="NS5" s="88" t="str">
        <f>INDIRECT(ADDRESS(ROW() - (TemplateStats!$B2 + 18), 6))</f>
        <v>#VALUE!</v>
      </c>
      <c r="NT5" s="88" t="str">
        <f>INDIRECT(ADDRESS(ROW() - (TemplateStats!$B2 + 18), 6))</f>
        <v>#VALUE!</v>
      </c>
      <c r="NU5" s="88" t="str">
        <f>INDIRECT(ADDRESS(ROW() - (TemplateStats!$B2 + 18), 6))</f>
        <v>#VALUE!</v>
      </c>
      <c r="NV5" s="88" t="str">
        <f>INDIRECT(ADDRESS(ROW() - (TemplateStats!$B2 + 18), 6))</f>
        <v>#VALUE!</v>
      </c>
      <c r="NW5" s="88" t="str">
        <f>INDIRECT(ADDRESS(ROW() - (TemplateStats!$B2 + 18), 6))</f>
        <v>#VALUE!</v>
      </c>
      <c r="NX5" s="88" t="str">
        <f>INDIRECT(ADDRESS(ROW() - (TemplateStats!$B2 + 18), 6))</f>
        <v>#VALUE!</v>
      </c>
      <c r="NY5" s="88" t="str">
        <f>INDIRECT(ADDRESS(ROW() - (TemplateStats!$B2 + 18), 6))</f>
        <v>#VALUE!</v>
      </c>
      <c r="NZ5" s="88" t="str">
        <f>INDIRECT(ADDRESS(ROW() - (TemplateStats!$B2 + 18), 6))</f>
        <v>#VALUE!</v>
      </c>
      <c r="OA5" s="88" t="str">
        <f>INDIRECT(ADDRESS(ROW() - (TemplateStats!$B2 + 18), 6))</f>
        <v>#VALUE!</v>
      </c>
      <c r="OB5" s="88" t="str">
        <f>INDIRECT(ADDRESS(ROW() - (TemplateStats!$B2 + 17), 6))</f>
        <v>#VALUE!</v>
      </c>
      <c r="OC5" s="88" t="str">
        <f>INDIRECT(ADDRESS(ROW() - (TemplateStats!$B2 + 17), 6))</f>
        <v>#VALUE!</v>
      </c>
      <c r="OD5" s="88" t="str">
        <f>INDIRECT(ADDRESS(ROW() - (TemplateStats!$B2 + 17), 6))</f>
        <v>#VALUE!</v>
      </c>
      <c r="OE5" s="88" t="str">
        <f>INDIRECT(ADDRESS(ROW() - (TemplateStats!$B2 + 16), 6))</f>
        <v>#VALUE!</v>
      </c>
      <c r="OF5" s="88" t="str">
        <f>INDIRECT(ADDRESS(ROW() - (TemplateStats!$B2 + 16), 6))</f>
        <v>#VALUE!</v>
      </c>
      <c r="OG5" s="88" t="str">
        <f>INDIRECT(ADDRESS(ROW() - (TemplateStats!$B2 + 16), 6))</f>
        <v>#VALUE!</v>
      </c>
      <c r="OH5" s="88" t="str">
        <f>INDIRECT(ADDRESS(ROW() - (TemplateStats!$B2 + 18), 6))</f>
        <v>#VALUE!</v>
      </c>
      <c r="OI5" s="88" t="str">
        <f>INDIRECT(ADDRESS(ROW() - (TemplateStats!$B2 + 18), 6))</f>
        <v>#VALUE!</v>
      </c>
      <c r="OJ5" s="88" t="str">
        <f>INDIRECT(ADDRESS(ROW() - (TemplateStats!$B2 + 18), 6))</f>
        <v>#VALUE!</v>
      </c>
      <c r="OK5" s="88" t="str">
        <f>INDIRECT(ADDRESS(ROW() - (TemplateStats!$B2 + 18), 6))</f>
        <v>#VALUE!</v>
      </c>
      <c r="OL5" s="88" t="str">
        <f>INDIRECT(ADDRESS(ROW() - (TemplateStats!$B2 + 18), 6))</f>
        <v>#VALUE!</v>
      </c>
      <c r="OM5" s="88" t="str">
        <f>INDIRECT(ADDRESS(ROW() - (TemplateStats!$B2 + 18), 6))</f>
        <v>#VALUE!</v>
      </c>
      <c r="ON5" s="88" t="str">
        <f>INDIRECT(ADDRESS(ROW() - (TemplateStats!$B2 + 18), 6))</f>
        <v>#VALUE!</v>
      </c>
      <c r="OO5" s="88" t="str">
        <f>INDIRECT(ADDRESS(ROW() - (TemplateStats!$B2 + 17), 6))</f>
        <v>#VALUE!</v>
      </c>
      <c r="OP5" s="88" t="str">
        <f>INDIRECT(ADDRESS(ROW() - (TemplateStats!$B2 + 17), 6))</f>
        <v>#VALUE!</v>
      </c>
      <c r="OQ5" s="88" t="str">
        <f>INDIRECT(ADDRESS(ROW() - (TemplateStats!$B2 + 16), 6))</f>
        <v>#VALUE!</v>
      </c>
      <c r="OR5" s="88" t="str">
        <f>INDIRECT(ADDRESS(ROW() - (TemplateStats!$B2 + 18), 6))</f>
        <v>#VALUE!</v>
      </c>
      <c r="OS5" s="88" t="str">
        <f>INDIRECT(ADDRESS(ROW() - (TemplateStats!$B2 + 18), 6))</f>
        <v>#VALUE!</v>
      </c>
      <c r="OT5" s="88" t="str">
        <f>INDIRECT(ADDRESS(ROW() - (TemplateStats!$B2 + 18), 6))</f>
        <v>#VALUE!</v>
      </c>
      <c r="OU5" s="88" t="str">
        <f>INDIRECT(ADDRESS(ROW() - (TemplateStats!$B2 + 18), 6))</f>
        <v>#VALUE!</v>
      </c>
      <c r="OV5" s="88" t="str">
        <f>INDIRECT(ADDRESS(ROW() - (TemplateStats!$B2 + 18), 6))</f>
        <v>#VALUE!</v>
      </c>
      <c r="OW5" s="88" t="str">
        <f>INDIRECT(ADDRESS(ROW() - (TemplateStats!$B2 + 18), 6))</f>
        <v>#VALUE!</v>
      </c>
      <c r="OX5" s="88" t="str">
        <f>INDIRECT(ADDRESS(ROW() - (TemplateStats!$B2 + 18), 6))</f>
        <v>#VALUE!</v>
      </c>
      <c r="OY5" s="88" t="str">
        <f>INDIRECT(ADDRESS(ROW() - (TemplateStats!$B2 + 17), 6))</f>
        <v>#VALUE!</v>
      </c>
      <c r="OZ5" s="88" t="str">
        <f>INDIRECT(ADDRESS(ROW() - (TemplateStats!$B2 + 16), 6))</f>
        <v>#VALUE!</v>
      </c>
      <c r="PA5" s="88" t="str">
        <f>INDIRECT(ADDRESS(ROW() - (TemplateStats!$B2 + 17), 6))</f>
        <v>#VALUE!</v>
      </c>
      <c r="PB5" s="88" t="str">
        <f>INDIRECT(ADDRESS(ROW() - (TemplateStats!$B2 + 18), 6))</f>
        <v>#VALUE!</v>
      </c>
      <c r="PC5" s="88" t="str">
        <f>INDIRECT(ADDRESS(ROW() - (TemplateStats!$B2 + 18), 6))</f>
        <v>#VALUE!</v>
      </c>
      <c r="PD5" s="88" t="str">
        <f>INDIRECT(ADDRESS(ROW() - (TemplateStats!$B2 + 18), 6))</f>
        <v>#VALUE!</v>
      </c>
      <c r="PE5" s="88" t="str">
        <f>INDIRECT(ADDRESS(ROW() - (TemplateStats!$B2 + 18), 6))</f>
        <v>#VALUE!</v>
      </c>
      <c r="PF5" s="88" t="str">
        <f>INDIRECT(ADDRESS(ROW() - (TemplateStats!$B2 + 18), 6))</f>
        <v>#VALUE!</v>
      </c>
      <c r="PG5" s="88" t="str">
        <f>INDIRECT(ADDRESS(ROW() - (TemplateStats!$B2 + 18), 6))</f>
        <v>#VALUE!</v>
      </c>
      <c r="PH5" s="88" t="str">
        <f>INDIRECT(ADDRESS(ROW() - (TemplateStats!$B2 + 18), 6))</f>
        <v>#VALUE!</v>
      </c>
      <c r="PI5" s="88" t="str">
        <f>INDIRECT(ADDRESS(ROW() - (TemplateStats!$B2 + 18), 6))</f>
        <v>#VALUE!</v>
      </c>
      <c r="PJ5" s="88" t="str">
        <f>INDIRECT(ADDRESS(ROW() - (TemplateStats!$B2 + 18), 6))</f>
        <v>#VALUE!</v>
      </c>
      <c r="PK5" s="88" t="str">
        <f>INDIRECT(ADDRESS(ROW() - (TemplateStats!$B2 + 18), 6))</f>
        <v>#VALUE!</v>
      </c>
      <c r="PL5" s="88" t="str">
        <f>INDIRECT(ADDRESS(ROW() - (TemplateStats!$B2 + 18), 6))</f>
        <v>#VALUE!</v>
      </c>
      <c r="PM5" s="88" t="str">
        <f>INDIRECT(ADDRESS(ROW() - (TemplateStats!$B2 + 18), 6))</f>
        <v>#VALUE!</v>
      </c>
      <c r="PN5" s="88" t="str">
        <f>INDIRECT(ADDRESS(ROW() - (TemplateStats!$B2 + 17), 6))</f>
        <v>#VALUE!</v>
      </c>
      <c r="PO5" s="88" t="str">
        <f>INDIRECT(ADDRESS(ROW() - (TemplateStats!$B2 + 17), 6))</f>
        <v>#VALUE!</v>
      </c>
      <c r="PP5" s="88" t="str">
        <f>INDIRECT(ADDRESS(ROW() - (TemplateStats!$B2 + 17), 6))</f>
        <v>#VALUE!</v>
      </c>
      <c r="PQ5" s="88" t="str">
        <f>INDIRECT(ADDRESS(ROW() - (TemplateStats!$B2 + 17), 6))</f>
        <v>#VALUE!</v>
      </c>
      <c r="PR5" s="88" t="str">
        <f>INDIRECT(ADDRESS(ROW() - (TemplateStats!$B2 + 17), 6))</f>
        <v>#VALUE!</v>
      </c>
      <c r="PS5" s="10" t="str">
        <f>"-"</f>
        <v>-</v>
      </c>
      <c r="PT5" s="88" t="str">
        <f>INDIRECT(ADDRESS(ROW() - (TemplateStats!$B2 + 16), 6))</f>
        <v>#VALUE!</v>
      </c>
      <c r="PU5" s="88" t="str">
        <f>INDIRECT(ADDRESS(ROW() - (TemplateStats!$B2 + 18), 6))</f>
        <v>#VALUE!</v>
      </c>
      <c r="PV5" s="88" t="str">
        <f>INDIRECT(ADDRESS(ROW() - (TemplateStats!$B2 + 18), 6))</f>
        <v>#VALUE!</v>
      </c>
      <c r="PW5" s="88" t="str">
        <f>INDIRECT(ADDRESS(ROW() - (TemplateStats!$B2 + 18), 6))</f>
        <v>#VALUE!</v>
      </c>
      <c r="PX5" s="88" t="str">
        <f>INDIRECT(ADDRESS(ROW() - (TemplateStats!$B2 + 18), 6))</f>
        <v>#VALUE!</v>
      </c>
      <c r="PY5" s="88" t="str">
        <f>INDIRECT(ADDRESS(ROW() - (TemplateStats!$B2 + 18), 6))</f>
        <v>#VALUE!</v>
      </c>
      <c r="PZ5" s="88" t="str">
        <f>INDIRECT(ADDRESS(ROW() - (TemplateStats!$B2 + 18), 6))</f>
        <v>#VALUE!</v>
      </c>
      <c r="QA5" s="88" t="str">
        <f>INDIRECT(ADDRESS(ROW() - (TemplateStats!$B2 + 18), 6))</f>
        <v>#VALUE!</v>
      </c>
      <c r="QB5" s="88" t="str">
        <f>INDIRECT(ADDRESS(ROW() - (TemplateStats!$B2 + 18), 6))</f>
        <v>#VALUE!</v>
      </c>
      <c r="QC5" s="88" t="str">
        <f>INDIRECT(ADDRESS(ROW() - (TemplateStats!$B2 + 17), 6))</f>
        <v>#VALUE!</v>
      </c>
      <c r="QD5" s="88" t="str">
        <f>INDIRECT(ADDRESS(ROW() - (TemplateStats!$B2 + 17), 6))</f>
        <v>#VALUE!</v>
      </c>
      <c r="QE5" s="88" t="str">
        <f>INDIRECT(ADDRESS(ROW() - (TemplateStats!$B2 + 16), 6))</f>
        <v>#VALUE!</v>
      </c>
      <c r="QF5" s="88" t="str">
        <f>INDIRECT(ADDRESS(ROW() - (TemplateStats!$B2 + 18), 6))</f>
        <v>#VALUE!</v>
      </c>
      <c r="QG5" s="88" t="str">
        <f>INDIRECT(ADDRESS(ROW() - (TemplateStats!$B2 + 18), 6))</f>
        <v>#VALUE!</v>
      </c>
      <c r="QH5" s="88" t="str">
        <f>INDIRECT(ADDRESS(ROW() - (TemplateStats!$B2 + 18), 6))</f>
        <v>#VALUE!</v>
      </c>
      <c r="QI5" s="88" t="str">
        <f>INDIRECT(ADDRESS(ROW() - (TemplateStats!$B2 + 18), 6))</f>
        <v>#VALUE!</v>
      </c>
      <c r="QJ5" s="88" t="str">
        <f>INDIRECT(ADDRESS(ROW() - (TemplateStats!$B2 + 18), 6))</f>
        <v>#VALUE!</v>
      </c>
      <c r="QK5" s="88" t="str">
        <f>INDIRECT(ADDRESS(ROW() - (TemplateStats!$B2 + 18), 6))</f>
        <v>#VALUE!</v>
      </c>
      <c r="QL5" s="88" t="str">
        <f>INDIRECT(ADDRESS(ROW() - (TemplateStats!$B2 + 17), 6))</f>
        <v>#VALUE!</v>
      </c>
      <c r="QM5" s="88" t="str">
        <f>INDIRECT(ADDRESS(ROW() - (TemplateStats!$B2 + 16), 6))</f>
        <v>#VALUE!</v>
      </c>
      <c r="QN5" s="88" t="str">
        <f>INDIRECT(ADDRESS(ROW() - (TemplateStats!$B2 + 18), 6))</f>
        <v>#VALUE!</v>
      </c>
      <c r="QO5" s="88" t="str">
        <f>INDIRECT(ADDRESS(ROW() - (TemplateStats!$B2 + 18), 6))</f>
        <v>#VALUE!</v>
      </c>
      <c r="QP5" s="88" t="str">
        <f>INDIRECT(ADDRESS(ROW() - (TemplateStats!$B2 + 18), 6))</f>
        <v>#VALUE!</v>
      </c>
      <c r="QQ5" s="88" t="str">
        <f>INDIRECT(ADDRESS(ROW() - (TemplateStats!$B2 + 18), 6))</f>
        <v>#VALUE!</v>
      </c>
      <c r="QR5" s="88" t="str">
        <f>INDIRECT(ADDRESS(ROW() - (TemplateStats!$B2 + 18), 6))</f>
        <v>#VALUE!</v>
      </c>
      <c r="QS5" s="88" t="str">
        <f>INDIRECT(ADDRESS(ROW() - (TemplateStats!$B2 + 18), 6))</f>
        <v>#VALUE!</v>
      </c>
      <c r="QT5" s="88" t="str">
        <f>INDIRECT(ADDRESS(ROW() - (TemplateStats!$B2 + 18), 6))</f>
        <v>#VALUE!</v>
      </c>
      <c r="QU5" s="88" t="str">
        <f>INDIRECT(ADDRESS(ROW() - (TemplateStats!$B2 + 18), 6))</f>
        <v>#VALUE!</v>
      </c>
      <c r="QV5" s="88" t="str">
        <f>INDIRECT(ADDRESS(ROW() - (TemplateStats!$B2 + 18), 6))</f>
        <v>#VALUE!</v>
      </c>
      <c r="QW5" s="88" t="str">
        <f>INDIRECT(ADDRESS(ROW() - (TemplateStats!$B2 + 17), 6))</f>
        <v>#VALUE!</v>
      </c>
      <c r="QX5" s="88" t="str">
        <f>INDIRECT(ADDRESS(ROW() - (TemplateStats!$B2 + 16), 6))</f>
        <v>#VALUE!</v>
      </c>
      <c r="QY5" s="88" t="str">
        <f>INDIRECT(ADDRESS(ROW() - (TemplateStats!$B2 + 16), 6))</f>
        <v>#VALUE!</v>
      </c>
      <c r="QZ5" s="88" t="str">
        <f>INDIRECT(ADDRESS(ROW() - (TemplateStats!$B2 + 18), 6))</f>
        <v>#VALUE!</v>
      </c>
      <c r="RA5" s="88" t="str">
        <f>INDIRECT(ADDRESS(ROW() - (TemplateStats!$B2 + 18), 6))</f>
        <v>#VALUE!</v>
      </c>
      <c r="RB5" s="88" t="str">
        <f>INDIRECT(ADDRESS(ROW() - (TemplateStats!$B2 + 18), 6))</f>
        <v>#VALUE!</v>
      </c>
      <c r="RC5" s="88" t="str">
        <f>INDIRECT(ADDRESS(ROW() - (TemplateStats!$B2 + 18), 6))</f>
        <v>#VALUE!</v>
      </c>
      <c r="RD5" s="88" t="str">
        <f>INDIRECT(ADDRESS(ROW() - (TemplateStats!$B2 + 18), 6))</f>
        <v>#VALUE!</v>
      </c>
      <c r="RE5" s="88" t="str">
        <f>INDIRECT(ADDRESS(ROW() - (TemplateStats!$B2 + 18), 6))</f>
        <v>#VALUE!</v>
      </c>
      <c r="RF5" s="88" t="str">
        <f>INDIRECT(ADDRESS(ROW() - (TemplateStats!$B2 + 18), 6))</f>
        <v>#VALUE!</v>
      </c>
      <c r="RG5" s="88" t="str">
        <f>INDIRECT(ADDRESS(ROW() - (TemplateStats!$B2 + 18), 6))</f>
        <v>#VALUE!</v>
      </c>
      <c r="RH5" s="88" t="str">
        <f>INDIRECT(ADDRESS(ROW() - (TemplateStats!$B2 + 18), 6))</f>
        <v>#VALUE!</v>
      </c>
      <c r="RI5" s="88" t="str">
        <f>INDIRECT(ADDRESS(ROW() - (TemplateStats!$B2 + 17), 6))</f>
        <v>#VALUE!</v>
      </c>
      <c r="RJ5" s="88" t="str">
        <f>INDIRECT(ADDRESS(ROW() - (TemplateStats!$B2 + 17), 6))</f>
        <v>#VALUE!</v>
      </c>
      <c r="RK5" s="88" t="str">
        <f>INDIRECT(ADDRESS(ROW() - (TemplateStats!$B2 + 16), 6))</f>
        <v>#VALUE!</v>
      </c>
      <c r="RL5" s="88" t="str">
        <f>INDIRECT(ADDRESS(ROW() - (TemplateStats!$B2 + 18), 6))</f>
        <v>#VALUE!</v>
      </c>
      <c r="RM5" s="88" t="str">
        <f>INDIRECT(ADDRESS(ROW() - (TemplateStats!$B2 + 18), 6))</f>
        <v>#VALUE!</v>
      </c>
      <c r="RN5" s="88" t="str">
        <f>INDIRECT(ADDRESS(ROW() - (TemplateStats!$B2 + 18), 6))</f>
        <v>#VALUE!</v>
      </c>
      <c r="RO5" s="88" t="str">
        <f>INDIRECT(ADDRESS(ROW() - (TemplateStats!$B2 + 18), 6))</f>
        <v>#VALUE!</v>
      </c>
      <c r="RP5" s="88" t="str">
        <f>INDIRECT(ADDRESS(ROW() - (TemplateStats!$B2 + 18), 6))</f>
        <v>#VALUE!</v>
      </c>
      <c r="RQ5" s="88" t="str">
        <f>INDIRECT(ADDRESS(ROW() - (TemplateStats!$B2 + 18), 6))</f>
        <v>#VALUE!</v>
      </c>
      <c r="RR5" s="88" t="str">
        <f>INDIRECT(ADDRESS(ROW() - (TemplateStats!$B2 + 18), 6))</f>
        <v>#VALUE!</v>
      </c>
      <c r="RS5" s="88" t="str">
        <f>INDIRECT(ADDRESS(ROW() - (TemplateStats!$B2 + 18), 6))</f>
        <v>#VALUE!</v>
      </c>
      <c r="RT5" s="88" t="str">
        <f>INDIRECT(ADDRESS(ROW() - (TemplateStats!$B2 + 18), 6))</f>
        <v>#VALUE!</v>
      </c>
      <c r="RU5" s="88" t="str">
        <f>INDIRECT(ADDRESS(ROW() - (TemplateStats!$B2 + 17), 6))</f>
        <v>#VALUE!</v>
      </c>
      <c r="RV5" s="88" t="str">
        <f>INDIRECT(ADDRESS(ROW() - (TemplateStats!$B2 + 17), 6))</f>
        <v>#VALUE!</v>
      </c>
      <c r="RW5" s="88" t="str">
        <f>INDIRECT(ADDRESS(ROW() - (TemplateStats!$B2 + 16), 6))</f>
        <v>#VALUE!</v>
      </c>
      <c r="RX5" s="88" t="str">
        <f>INDIRECT(ADDRESS(ROW() - (TemplateStats!$B2 + 16), 6))</f>
        <v>#VALUE!</v>
      </c>
      <c r="RY5" s="88" t="str">
        <f>INDIRECT(ADDRESS(ROW() - (TemplateStats!$B2 + 16), 6))</f>
        <v>#VALUE!</v>
      </c>
      <c r="RZ5" s="88" t="str">
        <f>INDIRECT(ADDRESS(ROW() - (TemplateStats!$B2 + 16), 6))</f>
        <v>#VALUE!</v>
      </c>
      <c r="SA5" s="88" t="str">
        <f>INDIRECT(ADDRESS(ROW() - (TemplateStats!$B2 + 16), 6))</f>
        <v>#VALUE!</v>
      </c>
      <c r="SB5" s="88" t="str">
        <f>INDIRECT(ADDRESS(ROW() - (TemplateStats!$B2 + 16), 6))</f>
        <v>#VALUE!</v>
      </c>
      <c r="SC5" s="88" t="str">
        <f>INDIRECT(ADDRESS(ROW() - (TemplateStats!$B2 + 16), 6))</f>
        <v>#VALUE!</v>
      </c>
      <c r="SD5" s="88" t="str">
        <f>INDIRECT(ADDRESS(ROW() - (TemplateStats!$B2 + 16), 6))</f>
        <v>#VALUE!</v>
      </c>
      <c r="SE5" s="88" t="str">
        <f>INDIRECT(ADDRESS(ROW() - (TemplateStats!$B2 + 16), 6))</f>
        <v>#VALUE!</v>
      </c>
      <c r="SF5" s="88" t="str">
        <f>INDIRECT(ADDRESS(ROW() - (TemplateStats!$B2 + 16), 6))</f>
        <v>#VALUE!</v>
      </c>
      <c r="SG5" s="88" t="str">
        <f>INDIRECT(ADDRESS(ROW() - (TemplateStats!$B2 + 16), 6))</f>
        <v>#VALUE!</v>
      </c>
      <c r="SH5" s="88" t="str">
        <f>INDIRECT(ADDRESS(ROW() - (TemplateStats!$B2 + 16), 6))</f>
        <v>#VALUE!</v>
      </c>
      <c r="SI5" s="88" t="str">
        <f>INDIRECT(ADDRESS(ROW() - (TemplateStats!$B2 + 18), 6))</f>
        <v>#VALUE!</v>
      </c>
      <c r="SJ5" s="88" t="str">
        <f>INDIRECT(ADDRESS(ROW() - (TemplateStats!$B2 + 18), 6))</f>
        <v>#VALUE!</v>
      </c>
      <c r="SK5" s="88" t="str">
        <f>INDIRECT(ADDRESS(ROW() - (TemplateStats!$B2 + 18), 6))</f>
        <v>#VALUE!</v>
      </c>
      <c r="SL5" s="88" t="str">
        <f>INDIRECT(ADDRESS(ROW() - (TemplateStats!$B2 + 18), 6))</f>
        <v>#VALUE!</v>
      </c>
      <c r="SM5" s="88" t="str">
        <f>INDIRECT(ADDRESS(ROW() - (TemplateStats!$B2 + 18), 6))</f>
        <v>#VALUE!</v>
      </c>
      <c r="SN5" s="88" t="str">
        <f>INDIRECT(ADDRESS(ROW() - (TemplateStats!$B2 + 18), 6))</f>
        <v>#VALUE!</v>
      </c>
      <c r="SO5" s="88" t="str">
        <f>INDIRECT(ADDRESS(ROW() - (TemplateStats!$B2 + 18), 6))</f>
        <v>#VALUE!</v>
      </c>
      <c r="SP5" s="88" t="str">
        <f>INDIRECT(ADDRESS(ROW() - (TemplateStats!$B2 + 18), 6))</f>
        <v>#VALUE!</v>
      </c>
      <c r="SQ5" s="88" t="str">
        <f>INDIRECT(ADDRESS(ROW() - (TemplateStats!$B2 + 18), 6))</f>
        <v>#VALUE!</v>
      </c>
      <c r="SR5" s="88" t="str">
        <f>INDIRECT(ADDRESS(ROW() - (TemplateStats!$B2 + 17), 6))</f>
        <v>#VALUE!</v>
      </c>
      <c r="SS5" s="88" t="str">
        <f>INDIRECT(ADDRESS(ROW() - (TemplateStats!$B2 + 17), 6))</f>
        <v>#VALUE!</v>
      </c>
      <c r="ST5" s="88" t="str">
        <f>INDIRECT(ADDRESS(ROW() - (TemplateStats!$B2 + 16), 6))</f>
        <v>#VALUE!</v>
      </c>
      <c r="SU5" s="88" t="str">
        <f>INDIRECT(ADDRESS(ROW() - (TemplateStats!$B2 + 18), 6))</f>
        <v>#VALUE!</v>
      </c>
      <c r="SV5" s="88" t="str">
        <f>INDIRECT(ADDRESS(ROW() - (TemplateStats!$B2 + 18), 6))</f>
        <v>#VALUE!</v>
      </c>
      <c r="SW5" s="88" t="str">
        <f>INDIRECT(ADDRESS(ROW() - (TemplateStats!$B2 + 18), 6))</f>
        <v>#VALUE!</v>
      </c>
      <c r="SX5" s="88" t="str">
        <f>INDIRECT(ADDRESS(ROW() - (TemplateStats!$B2 + 18), 6))</f>
        <v>#VALUE!</v>
      </c>
      <c r="SY5" s="88" t="str">
        <f>INDIRECT(ADDRESS(ROW() - (TemplateStats!$B2 + 18), 6))</f>
        <v>#VALUE!</v>
      </c>
      <c r="SZ5" s="88" t="str">
        <f>INDIRECT(ADDRESS(ROW() - (TemplateStats!$B2 + 18), 6))</f>
        <v>#VALUE!</v>
      </c>
      <c r="TA5" s="88" t="str">
        <f>INDIRECT(ADDRESS(ROW() - (TemplateStats!$B2 + 18), 6))</f>
        <v>#VALUE!</v>
      </c>
      <c r="TB5" s="88" t="str">
        <f>INDIRECT(ADDRESS(ROW() - (TemplateStats!$B2 + 18), 6))</f>
        <v>#VALUE!</v>
      </c>
      <c r="TC5" s="88" t="str">
        <f>INDIRECT(ADDRESS(ROW() - (TemplateStats!$B2 + 18), 6))</f>
        <v>#VALUE!</v>
      </c>
      <c r="TD5" s="88" t="str">
        <f>INDIRECT(ADDRESS(ROW() - (TemplateStats!$B2 + 18), 6))</f>
        <v>#VALUE!</v>
      </c>
      <c r="TE5" s="88" t="str">
        <f>INDIRECT(ADDRESS(ROW() - (TemplateStats!$B2 + 18), 6))</f>
        <v>#VALUE!</v>
      </c>
      <c r="TF5" s="88" t="str">
        <f>INDIRECT(ADDRESS(ROW() - (TemplateStats!$B2 + 18), 6))</f>
        <v>#VALUE!</v>
      </c>
      <c r="TG5" s="88" t="str">
        <f>INDIRECT(ADDRESS(ROW() - (TemplateStats!$B2 + 18), 6))</f>
        <v>#VALUE!</v>
      </c>
      <c r="TH5" s="88" t="str">
        <f>INDIRECT(ADDRESS(ROW() - (TemplateStats!$B2 + 18), 6))</f>
        <v>#VALUE!</v>
      </c>
      <c r="TI5" s="88" t="str">
        <f>INDIRECT(ADDRESS(ROW() - (TemplateStats!$B2 + 17), 6))</f>
        <v>#VALUE!</v>
      </c>
      <c r="TJ5" s="88" t="str">
        <f>INDIRECT(ADDRESS(ROW() - (TemplateStats!$B2 + 17), 6))</f>
        <v>#VALUE!</v>
      </c>
      <c r="TK5" s="88" t="str">
        <f>INDIRECT(ADDRESS(ROW() - (TemplateStats!$B2 + 16), 6))</f>
        <v>#VALUE!</v>
      </c>
      <c r="TL5" s="88" t="str">
        <f>INDIRECT(ADDRESS(ROW() - (TemplateStats!$B2 + 16), 6))</f>
        <v>#VALUE!</v>
      </c>
      <c r="TM5" s="88" t="str">
        <f>INDIRECT(ADDRESS(ROW() - (TemplateStats!$B2 + 16), 6))</f>
        <v>#VALUE!</v>
      </c>
      <c r="TN5" s="88" t="str">
        <f>INDIRECT(ADDRESS(ROW() - (TemplateStats!$B2 + 18), 6))</f>
        <v>#VALUE!</v>
      </c>
      <c r="TO5" s="88" t="str">
        <f>INDIRECT(ADDRESS(ROW() - (TemplateStats!$B2 + 18), 6))</f>
        <v>#VALUE!</v>
      </c>
      <c r="TP5" s="88" t="str">
        <f>INDIRECT(ADDRESS(ROW() - (TemplateStats!$B2 + 18), 6))</f>
        <v>#VALUE!</v>
      </c>
      <c r="TQ5" s="88" t="str">
        <f>INDIRECT(ADDRESS(ROW() - (TemplateStats!$B2 + 18), 6))</f>
        <v>#VALUE!</v>
      </c>
      <c r="TR5" s="88" t="str">
        <f>INDIRECT(ADDRESS(ROW() - (TemplateStats!$B2 + 18), 6))</f>
        <v>#VALUE!</v>
      </c>
      <c r="TS5" s="88" t="str">
        <f>INDIRECT(ADDRESS(ROW() - (TemplateStats!$B2 + 18), 6))</f>
        <v>#VALUE!</v>
      </c>
      <c r="TT5" s="88" t="str">
        <f>INDIRECT(ADDRESS(ROW() - (TemplateStats!$B2 + 18), 6))</f>
        <v>#VALUE!</v>
      </c>
      <c r="TU5" s="88" t="str">
        <f>INDIRECT(ADDRESS(ROW() - (TemplateStats!$B2 + 18), 6))</f>
        <v>#VALUE!</v>
      </c>
      <c r="TV5" s="88" t="str">
        <f>INDIRECT(ADDRESS(ROW() - (TemplateStats!$B2 + 18), 6))</f>
        <v>#VALUE!</v>
      </c>
      <c r="TW5" s="88" t="str">
        <f>INDIRECT(ADDRESS(ROW() - (TemplateStats!$B2 + 18), 6))</f>
        <v>#VALUE!</v>
      </c>
      <c r="TX5" s="88" t="str">
        <f>INDIRECT(ADDRESS(ROW() - (TemplateStats!$B2 + 17), 6))</f>
        <v>#VALUE!</v>
      </c>
      <c r="TY5" s="88" t="str">
        <f>INDIRECT(ADDRESS(ROW() - (TemplateStats!$B2 + 16), 6))</f>
        <v>#VALUE!</v>
      </c>
      <c r="TZ5" s="88" t="str">
        <f>INDIRECT(ADDRESS(ROW() - (TemplateStats!$B2 + 16), 6))</f>
        <v>#VALUE!</v>
      </c>
      <c r="UA5" s="88" t="str">
        <f>INDIRECT(ADDRESS(ROW() - (TemplateStats!$B2 + 18), 6))</f>
        <v>#VALUE!</v>
      </c>
      <c r="UB5" s="88" t="str">
        <f>INDIRECT(ADDRESS(ROW() - (TemplateStats!$B2 + 18), 6))</f>
        <v>#VALUE!</v>
      </c>
      <c r="UC5" s="88" t="str">
        <f>INDIRECT(ADDRESS(ROW() - (TemplateStats!$B2 + 18), 6))</f>
        <v>#VALUE!</v>
      </c>
      <c r="UD5" s="88" t="str">
        <f>INDIRECT(ADDRESS(ROW() - (TemplateStats!$B2 + 18), 6))</f>
        <v>#VALUE!</v>
      </c>
      <c r="UE5" s="88" t="str">
        <f>INDIRECT(ADDRESS(ROW() - (TemplateStats!$B2 + 18), 6))</f>
        <v>#VALUE!</v>
      </c>
      <c r="UF5" s="88" t="str">
        <f>INDIRECT(ADDRESS(ROW() - (TemplateStats!$B2 + 18), 6))</f>
        <v>#VALUE!</v>
      </c>
      <c r="UG5" s="88" t="str">
        <f>INDIRECT(ADDRESS(ROW() - (TemplateStats!$B2 + 18), 6))</f>
        <v>#VALUE!</v>
      </c>
      <c r="UH5" s="88" t="str">
        <f>INDIRECT(ADDRESS(ROW() - (TemplateStats!$B2 + 18), 6))</f>
        <v>#VALUE!</v>
      </c>
      <c r="UI5" s="88" t="str">
        <f>INDIRECT(ADDRESS(ROW() - (TemplateStats!$B2 + 18), 6))</f>
        <v>#VALUE!</v>
      </c>
      <c r="UJ5" s="88" t="str">
        <f>INDIRECT(ADDRESS(ROW() - (TemplateStats!$B2 + 17), 6))</f>
        <v>#VALUE!</v>
      </c>
      <c r="UK5" s="88" t="str">
        <f>INDIRECT(ADDRESS(ROW() - (TemplateStats!$B2 + 17), 6))</f>
        <v>#VALUE!</v>
      </c>
      <c r="UL5" s="88" t="str">
        <f>INDIRECT(ADDRESS(ROW() - (TemplateStats!$B2 + 17), 6))</f>
        <v>#VALUE!</v>
      </c>
      <c r="UM5" s="88" t="str">
        <f>INDIRECT(ADDRESS(ROW() - (TemplateStats!$B2 + 17), 6))</f>
        <v>#VALUE!</v>
      </c>
      <c r="UN5" s="88" t="str">
        <f>INDIRECT(ADDRESS(ROW() - (TemplateStats!$B2 + 17), 6))</f>
        <v>#VALUE!</v>
      </c>
      <c r="UO5" s="88" t="str">
        <f>INDIRECT(ADDRESS(ROW() - (TemplateStats!$B2 + 16), 6))</f>
        <v>#VALUE!</v>
      </c>
      <c r="UP5" s="88" t="str">
        <f>INDIRECT(ADDRESS(ROW() - (TemplateStats!$B2 + 16), 6))</f>
        <v>#VALUE!</v>
      </c>
      <c r="UQ5" s="88" t="str">
        <f>INDIRECT(ADDRESS(ROW() - (TemplateStats!$B2 + 18), 6))</f>
        <v>#VALUE!</v>
      </c>
      <c r="UR5" s="88" t="str">
        <f>INDIRECT(ADDRESS(ROW() - (TemplateStats!$B2 + 18), 6))</f>
        <v>#VALUE!</v>
      </c>
      <c r="US5" s="88" t="str">
        <f>INDIRECT(ADDRESS(ROW() - (TemplateStats!$B2 + 18), 6))</f>
        <v>#VALUE!</v>
      </c>
      <c r="UT5" s="88" t="str">
        <f>INDIRECT(ADDRESS(ROW() - (TemplateStats!$B2 + 18), 6))</f>
        <v>#VALUE!</v>
      </c>
      <c r="UU5" s="88" t="str">
        <f>INDIRECT(ADDRESS(ROW() - (TemplateStats!$B2 + 18), 6))</f>
        <v>#VALUE!</v>
      </c>
      <c r="UV5" s="88" t="str">
        <f>INDIRECT(ADDRESS(ROW() - (TemplateStats!$B2 + 18), 6))</f>
        <v>#VALUE!</v>
      </c>
      <c r="UW5" s="88" t="str">
        <f>INDIRECT(ADDRESS(ROW() - (TemplateStats!$B2 + 18), 6))</f>
        <v>#VALUE!</v>
      </c>
      <c r="UX5" s="88" t="str">
        <f>INDIRECT(ADDRESS(ROW() - (TemplateStats!$B2 + 18), 6))</f>
        <v>#VALUE!</v>
      </c>
      <c r="UY5" s="88" t="str">
        <f>INDIRECT(ADDRESS(ROW() - (TemplateStats!$B2 + 18), 6))</f>
        <v>#VALUE!</v>
      </c>
      <c r="UZ5" s="88" t="str">
        <f>INDIRECT(ADDRESS(ROW() - (TemplateStats!$B2 + 17), 6))</f>
        <v>#VALUE!</v>
      </c>
      <c r="VA5" s="88" t="str">
        <f>INDIRECT(ADDRESS(ROW() - (TemplateStats!$B2 + 17), 6))</f>
        <v>#VALUE!</v>
      </c>
      <c r="VB5" s="88" t="str">
        <f>INDIRECT(ADDRESS(ROW() - (TemplateStats!$B2 + 16), 6))</f>
        <v>#VALUE!</v>
      </c>
      <c r="VC5" s="88" t="str">
        <f>INDIRECT(ADDRESS(ROW() - (TemplateStats!$B2 + 16), 6))</f>
        <v>#VALUE!</v>
      </c>
      <c r="VD5" s="88" t="str">
        <f>INDIRECT(ADDRESS(ROW() - (TemplateStats!$B2 + 18), 6))</f>
        <v>#VALUE!</v>
      </c>
      <c r="VE5" s="88" t="str">
        <f>INDIRECT(ADDRESS(ROW() - (TemplateStats!$B2 + 18), 6))</f>
        <v>#VALUE!</v>
      </c>
      <c r="VF5" s="88" t="str">
        <f>INDIRECT(ADDRESS(ROW() - (TemplateStats!$B2 + 18), 6))</f>
        <v>#VALUE!</v>
      </c>
      <c r="VG5" s="88" t="str">
        <f>INDIRECT(ADDRESS(ROW() - (TemplateStats!$B2 + 18), 6))</f>
        <v>#VALUE!</v>
      </c>
      <c r="VH5" s="88" t="str">
        <f>INDIRECT(ADDRESS(ROW() - (TemplateStats!$B2 + 18), 6))</f>
        <v>#VALUE!</v>
      </c>
      <c r="VI5" s="88" t="str">
        <f>INDIRECT(ADDRESS(ROW() - (TemplateStats!$B2 + 18), 6))</f>
        <v>#VALUE!</v>
      </c>
      <c r="VJ5" s="88" t="str">
        <f>INDIRECT(ADDRESS(ROW() - (TemplateStats!$B2 + 18), 6))</f>
        <v>#VALUE!</v>
      </c>
      <c r="VK5" s="88" t="str">
        <f>INDIRECT(ADDRESS(ROW() - (TemplateStats!$B2 + 18), 6))</f>
        <v>#VALUE!</v>
      </c>
      <c r="VL5" s="88" t="str">
        <f>INDIRECT(ADDRESS(ROW() - (TemplateStats!$B2 + 18), 6))</f>
        <v>#VALUE!</v>
      </c>
      <c r="VM5" s="88" t="str">
        <f>INDIRECT(ADDRESS(ROW() - (TemplateStats!$B2 + 17), 6))</f>
        <v>#VALUE!</v>
      </c>
      <c r="VN5" s="88" t="str">
        <f>INDIRECT(ADDRESS(ROW() - (TemplateStats!$B2 + 17), 6))</f>
        <v>#VALUE!</v>
      </c>
      <c r="VO5" s="88" t="str">
        <f>INDIRECT(ADDRESS(ROW() - (TemplateStats!$B2 + 16), 6))</f>
        <v>#VALUE!</v>
      </c>
      <c r="VP5" s="88" t="str">
        <f>INDIRECT(ADDRESS(ROW() - (TemplateStats!$B2 + 18), 6))</f>
        <v>#VALUE!</v>
      </c>
      <c r="VQ5" s="88" t="str">
        <f>INDIRECT(ADDRESS(ROW() - (TemplateStats!$B2 + 18), 6))</f>
        <v>#VALUE!</v>
      </c>
      <c r="VR5" s="88" t="str">
        <f>INDIRECT(ADDRESS(ROW() - (TemplateStats!$B2 + 18), 6))</f>
        <v>#VALUE!</v>
      </c>
      <c r="VS5" s="88" t="str">
        <f>INDIRECT(ADDRESS(ROW() - (TemplateStats!$B2 + 18), 6))</f>
        <v>#VALUE!</v>
      </c>
      <c r="VT5" s="88" t="str">
        <f>INDIRECT(ADDRESS(ROW() - (TemplateStats!$B2 + 18), 6))</f>
        <v>#VALUE!</v>
      </c>
      <c r="VU5" s="88" t="str">
        <f>INDIRECT(ADDRESS(ROW() - (TemplateStats!$B2 + 18), 6))</f>
        <v>#VALUE!</v>
      </c>
      <c r="VV5" s="88" t="str">
        <f>INDIRECT(ADDRESS(ROW() - (TemplateStats!$B2 + 18), 6))</f>
        <v>#VALUE!</v>
      </c>
      <c r="VW5" s="88" t="str">
        <f>INDIRECT(ADDRESS(ROW() - (TemplateStats!$B2 + 18), 6))</f>
        <v>#VALUE!</v>
      </c>
      <c r="VX5" s="88" t="str">
        <f>INDIRECT(ADDRESS(ROW() - (TemplateStats!$B2 + 17), 6))</f>
        <v>#VALUE!</v>
      </c>
      <c r="VY5" s="88" t="str">
        <f>INDIRECT(ADDRESS(ROW() - (TemplateStats!$B2 + 16), 6))</f>
        <v>#VALUE!</v>
      </c>
      <c r="VZ5" s="88" t="str">
        <f>INDIRECT(ADDRESS(ROW() - (TemplateStats!$B2 + 16), 6))</f>
        <v>#VALUE!</v>
      </c>
      <c r="WA5" s="88" t="str">
        <f>INDIRECT(ADDRESS(ROW() - (TemplateStats!$B2 + 18), 6))</f>
        <v>#VALUE!</v>
      </c>
      <c r="WB5" s="88" t="str">
        <f>INDIRECT(ADDRESS(ROW() - (TemplateStats!$B2 + 18), 6))</f>
        <v>#VALUE!</v>
      </c>
      <c r="WC5" s="88" t="str">
        <f>INDIRECT(ADDRESS(ROW() - (TemplateStats!$B2 + 18), 6))</f>
        <v>#VALUE!</v>
      </c>
      <c r="WD5" s="88" t="str">
        <f>INDIRECT(ADDRESS(ROW() - (TemplateStats!$B2 + 18), 6))</f>
        <v>#VALUE!</v>
      </c>
      <c r="WE5" s="88" t="str">
        <f>INDIRECT(ADDRESS(ROW() - (TemplateStats!$B2 + 18), 6))</f>
        <v>#VALUE!</v>
      </c>
      <c r="WF5" s="88" t="str">
        <f>INDIRECT(ADDRESS(ROW() - (TemplateStats!$B2 + 18), 6))</f>
        <v>#VALUE!</v>
      </c>
      <c r="WG5" s="88" t="str">
        <f>INDIRECT(ADDRESS(ROW() - (TemplateStats!$B2 + 18), 6))</f>
        <v>#VALUE!</v>
      </c>
      <c r="WH5" s="88" t="str">
        <f>INDIRECT(ADDRESS(ROW() - (TemplateStats!$B2 + 18), 6))</f>
        <v>#VALUE!</v>
      </c>
      <c r="WI5" s="88" t="str">
        <f>INDIRECT(ADDRESS(ROW() - (TemplateStats!$B2 + 18), 6))</f>
        <v>#VALUE!</v>
      </c>
      <c r="WJ5" s="88" t="str">
        <f>INDIRECT(ADDRESS(ROW() - (TemplateStats!$B2 + 18), 6))</f>
        <v>#VALUE!</v>
      </c>
      <c r="WK5" s="88" t="str">
        <f>INDIRECT(ADDRESS(ROW() - (TemplateStats!$B2 + 18), 6))</f>
        <v>#VALUE!</v>
      </c>
      <c r="WL5" s="88" t="str">
        <f>INDIRECT(ADDRESS(ROW() - (TemplateStats!$B2 + 18), 6))</f>
        <v>#VALUE!</v>
      </c>
      <c r="WM5" s="88" t="str">
        <f>INDIRECT(ADDRESS(ROW() - (TemplateStats!$B2 + 18), 6))</f>
        <v>#VALUE!</v>
      </c>
      <c r="WN5" s="88" t="str">
        <f>INDIRECT(ADDRESS(ROW() - (TemplateStats!$B2 + 17), 6))</f>
        <v>#VALUE!</v>
      </c>
      <c r="WO5" s="88" t="str">
        <f>INDIRECT(ADDRESS(ROW() - (TemplateStats!$B2 + 17), 6))</f>
        <v>#VALUE!</v>
      </c>
      <c r="WP5" s="88" t="str">
        <f>INDIRECT(ADDRESS(ROW() - (TemplateStats!$B2 + 17), 6))</f>
        <v>#VALUE!</v>
      </c>
      <c r="WQ5" s="88" t="str">
        <f>INDIRECT(ADDRESS(ROW() - (TemplateStats!$B2 + 17), 6))</f>
        <v>#VALUE!</v>
      </c>
      <c r="WR5" s="88" t="str">
        <f>INDIRECT(ADDRESS(ROW() - (TemplateStats!$B2 + 17), 6))</f>
        <v>#VALUE!</v>
      </c>
      <c r="WS5" s="88" t="str">
        <f>INDIRECT(ADDRESS(ROW() - (TemplateStats!$B2 + 17), 6))</f>
        <v>#VALUE!</v>
      </c>
      <c r="WT5" s="88" t="str">
        <f>INDIRECT(ADDRESS(ROW() - (TemplateStats!$B2 + 17), 6))</f>
        <v>#VALUE!</v>
      </c>
      <c r="WU5" s="88" t="str">
        <f>INDIRECT(ADDRESS(ROW() - (TemplateStats!$B2 + 17), 6))</f>
        <v>#VALUE!</v>
      </c>
      <c r="WV5" s="88" t="str">
        <f>INDIRECT(ADDRESS(ROW() - (TemplateStats!$B2 + 17), 6))</f>
        <v>#VALUE!</v>
      </c>
      <c r="WW5" s="88" t="str">
        <f>INDIRECT(ADDRESS(ROW() - (TemplateStats!$B2 + 17), 6))</f>
        <v>#VALUE!</v>
      </c>
      <c r="WX5" s="88" t="str">
        <f>INDIRECT(ADDRESS(ROW() - (TemplateStats!$B2 + 17), 6))</f>
        <v>#VALUE!</v>
      </c>
      <c r="WY5" s="88" t="str">
        <f>INDIRECT(ADDRESS(ROW() - (TemplateStats!$B2 + 16), 6))</f>
        <v>#VALUE!</v>
      </c>
      <c r="WZ5" s="88" t="str">
        <f>INDIRECT(ADDRESS(ROW() - (TemplateStats!$B2 + 16), 6))</f>
        <v>#VALUE!</v>
      </c>
      <c r="XA5" s="88" t="str">
        <f>INDIRECT(ADDRESS(ROW() - (TemplateStats!$B2 + 16), 6))</f>
        <v>#VALUE!</v>
      </c>
      <c r="XB5" s="88" t="str">
        <f>INDIRECT(ADDRESS(ROW() - (TemplateStats!$B2 + 18), 6))</f>
        <v>#VALUE!</v>
      </c>
      <c r="XC5" s="88" t="str">
        <f>INDIRECT(ADDRESS(ROW() - (TemplateStats!$B2 + 18), 6))</f>
        <v>#VALUE!</v>
      </c>
      <c r="XD5" s="88" t="str">
        <f>INDIRECT(ADDRESS(ROW() - (TemplateStats!$B2 + 18), 6))</f>
        <v>#VALUE!</v>
      </c>
      <c r="XE5" s="88" t="str">
        <f>INDIRECT(ADDRESS(ROW() - (TemplateStats!$B2 + 18), 6))</f>
        <v>#VALUE!</v>
      </c>
      <c r="XF5" s="88" t="str">
        <f>INDIRECT(ADDRESS(ROW() - (TemplateStats!$B2 + 18), 6))</f>
        <v>#VALUE!</v>
      </c>
      <c r="XG5" s="88" t="str">
        <f>INDIRECT(ADDRESS(ROW() - (TemplateStats!$B2 + 18), 6))</f>
        <v>#VALUE!</v>
      </c>
      <c r="XH5" s="88" t="str">
        <f>INDIRECT(ADDRESS(ROW() - (TemplateStats!$B2 + 18), 6))</f>
        <v>#VALUE!</v>
      </c>
      <c r="XI5" s="88" t="str">
        <f>INDIRECT(ADDRESS(ROW() - (TemplateStats!$B2 + 18), 6))</f>
        <v>#VALUE!</v>
      </c>
      <c r="XJ5" s="88" t="str">
        <f>INDIRECT(ADDRESS(ROW() - (TemplateStats!$B2 + 17), 6))</f>
        <v>#VALUE!</v>
      </c>
      <c r="XK5" s="88" t="str">
        <f>INDIRECT(ADDRESS(ROW() - (TemplateStats!$B2 + 16), 6))</f>
        <v>#VALUE!</v>
      </c>
      <c r="XL5" s="88" t="str">
        <f>INDIRECT(ADDRESS(ROW() - (TemplateStats!$B2 + 16), 6))</f>
        <v>#VALUE!</v>
      </c>
      <c r="XM5" s="88" t="str">
        <f>INDIRECT(ADDRESS(ROW() - (TemplateStats!$B2 + 18), 6))</f>
        <v>#VALUE!</v>
      </c>
      <c r="XN5" s="88" t="str">
        <f>INDIRECT(ADDRESS(ROW() - (TemplateStats!$B2 + 18), 6))</f>
        <v>#VALUE!</v>
      </c>
      <c r="XO5" s="88" t="str">
        <f>INDIRECT(ADDRESS(ROW() - (TemplateStats!$B2 + 18), 6))</f>
        <v>#VALUE!</v>
      </c>
      <c r="XP5" s="88" t="str">
        <f>INDIRECT(ADDRESS(ROW() - (TemplateStats!$B2 + 18), 6))</f>
        <v>#VALUE!</v>
      </c>
      <c r="XQ5" s="88" t="str">
        <f>INDIRECT(ADDRESS(ROW() - (TemplateStats!$B2 + 18), 6))</f>
        <v>#VALUE!</v>
      </c>
      <c r="XR5" s="88" t="str">
        <f>INDIRECT(ADDRESS(ROW() - (TemplateStats!$B2 + 18), 6))</f>
        <v>#VALUE!</v>
      </c>
      <c r="XS5" s="88" t="str">
        <f>INDIRECT(ADDRESS(ROW() - (TemplateStats!$B2 + 18), 6))</f>
        <v>#VALUE!</v>
      </c>
      <c r="XT5" s="88" t="str">
        <f>INDIRECT(ADDRESS(ROW() - (TemplateStats!$B2 + 18), 6))</f>
        <v>#VALUE!</v>
      </c>
      <c r="XU5" s="88" t="str">
        <f>INDIRECT(ADDRESS(ROW() - (TemplateStats!$B2 + 18), 6))</f>
        <v>#VALUE!</v>
      </c>
      <c r="XV5" s="88" t="str">
        <f>INDIRECT(ADDRESS(ROW() - (TemplateStats!$B2 + 18), 6))</f>
        <v>#VALUE!</v>
      </c>
      <c r="XW5" s="88" t="str">
        <f>INDIRECT(ADDRESS(ROW() - (TemplateStats!$B2 + 18), 6))</f>
        <v>#VALUE!</v>
      </c>
      <c r="XX5" s="88" t="str">
        <f>INDIRECT(ADDRESS(ROW() - (TemplateStats!$B2 + 17), 6))</f>
        <v>#VALUE!</v>
      </c>
      <c r="XY5" s="88" t="str">
        <f>INDIRECT(ADDRESS(ROW() - (TemplateStats!$B2 + 16), 6))</f>
        <v>#VALUE!</v>
      </c>
      <c r="XZ5" s="88" t="str">
        <f>INDIRECT(ADDRESS(ROW() - (TemplateStats!$B2 + 16), 6))</f>
        <v>#VALUE!</v>
      </c>
      <c r="YA5" s="88" t="str">
        <f>INDIRECT(ADDRESS(ROW() - (TemplateStats!$B2 + 18), 6))</f>
        <v>#VALUE!</v>
      </c>
      <c r="YB5" s="88" t="str">
        <f>INDIRECT(ADDRESS(ROW() - (TemplateStats!$B2 + 18), 6))</f>
        <v>#VALUE!</v>
      </c>
      <c r="YC5" s="88" t="str">
        <f>INDIRECT(ADDRESS(ROW() - (TemplateStats!$B2 + 18), 6))</f>
        <v>#VALUE!</v>
      </c>
      <c r="YD5" s="88" t="str">
        <f>INDIRECT(ADDRESS(ROW() - (TemplateStats!$B2 + 18), 6))</f>
        <v>#VALUE!</v>
      </c>
      <c r="YE5" s="88" t="str">
        <f>INDIRECT(ADDRESS(ROW() - (TemplateStats!$B2 + 18), 6))</f>
        <v>#VALUE!</v>
      </c>
      <c r="YF5" s="88" t="str">
        <f>INDIRECT(ADDRESS(ROW() - (TemplateStats!$B2 + 18), 6))</f>
        <v>#VALUE!</v>
      </c>
      <c r="YG5" s="88" t="str">
        <f>INDIRECT(ADDRESS(ROW() - (TemplateStats!$B2 + 18), 6))</f>
        <v>#VALUE!</v>
      </c>
      <c r="YH5" s="88" t="str">
        <f>INDIRECT(ADDRESS(ROW() - (TemplateStats!$B2 + 18), 6))</f>
        <v>#VALUE!</v>
      </c>
      <c r="YI5" s="88" t="str">
        <f>INDIRECT(ADDRESS(ROW() - (TemplateStats!$B2 + 18), 6))</f>
        <v>#VALUE!</v>
      </c>
      <c r="YJ5" s="88" t="str">
        <f>INDIRECT(ADDRESS(ROW() - (TemplateStats!$B2 + 18), 6))</f>
        <v>#VALUE!</v>
      </c>
      <c r="YK5" s="88" t="str">
        <f>INDIRECT(ADDRESS(ROW() - (TemplateStats!$B2 + 18), 6))</f>
        <v>#VALUE!</v>
      </c>
      <c r="YL5" s="88" t="str">
        <f>INDIRECT(ADDRESS(ROW() - (TemplateStats!$B2 + 17), 6))</f>
        <v>#VALUE!</v>
      </c>
      <c r="YM5" s="88" t="str">
        <f>INDIRECT(ADDRESS(ROW() - (TemplateStats!$B2 + 17), 6))</f>
        <v>#VALUE!</v>
      </c>
      <c r="YN5" s="88" t="str">
        <f>INDIRECT(ADDRESS(ROW() - (TemplateStats!$B2 + 16), 6))</f>
        <v>#VALUE!</v>
      </c>
      <c r="YO5" s="88" t="str">
        <f>INDIRECT(ADDRESS(ROW() - (TemplateStats!$B2 + 16), 6))</f>
        <v>#VALUE!</v>
      </c>
      <c r="YP5" s="88" t="str">
        <f>INDIRECT(ADDRESS(ROW() - (TemplateStats!$B2 + 18), 6))</f>
        <v>#VALUE!</v>
      </c>
      <c r="YQ5" s="88" t="str">
        <f>INDIRECT(ADDRESS(ROW() - (TemplateStats!$B2 + 18), 6))</f>
        <v>#VALUE!</v>
      </c>
      <c r="YR5" s="88" t="str">
        <f>INDIRECT(ADDRESS(ROW() - (TemplateStats!$B2 + 18), 6))</f>
        <v>#VALUE!</v>
      </c>
      <c r="YS5" s="88" t="str">
        <f>INDIRECT(ADDRESS(ROW() - (TemplateStats!$B2 + 18), 6))</f>
        <v>#VALUE!</v>
      </c>
      <c r="YT5" s="88" t="str">
        <f>INDIRECT(ADDRESS(ROW() - (TemplateStats!$B2 + 18), 6))</f>
        <v>#VALUE!</v>
      </c>
      <c r="YU5" s="88" t="str">
        <f>INDIRECT(ADDRESS(ROW() - (TemplateStats!$B2 + 18), 6))</f>
        <v>#VALUE!</v>
      </c>
      <c r="YV5" s="88" t="str">
        <f>INDIRECT(ADDRESS(ROW() - (TemplateStats!$B2 + 18), 6))</f>
        <v>#VALUE!</v>
      </c>
      <c r="YW5" s="88" t="str">
        <f>INDIRECT(ADDRESS(ROW() - (TemplateStats!$B2 + 18), 6))</f>
        <v>#VALUE!</v>
      </c>
      <c r="YX5" s="88" t="str">
        <f>INDIRECT(ADDRESS(ROW() - (TemplateStats!$B2 + 18), 6))</f>
        <v>#VALUE!</v>
      </c>
      <c r="YY5" s="88" t="str">
        <f>INDIRECT(ADDRESS(ROW() - (TemplateStats!$B2 + 17), 6))</f>
        <v>#VALUE!</v>
      </c>
      <c r="YZ5" s="88" t="str">
        <f>INDIRECT(ADDRESS(ROW() - (TemplateStats!$B2 + 16), 6))</f>
        <v>#VALUE!</v>
      </c>
      <c r="ZA5" s="88" t="str">
        <f>INDIRECT(ADDRESS(ROW() - (TemplateStats!$B2 + 16), 6))</f>
        <v>#VALUE!</v>
      </c>
      <c r="ZB5" s="88" t="str">
        <f>INDIRECT(ADDRESS(ROW() - (TemplateStats!$B2 + 16), 6))</f>
        <v>#VALUE!</v>
      </c>
      <c r="ZC5" s="88" t="str">
        <f>INDIRECT(ADDRESS(ROW() - (TemplateStats!$B2 + 16), 6))</f>
        <v>#VALUE!</v>
      </c>
      <c r="ZD5" s="88" t="str">
        <f>INDIRECT(ADDRESS(ROW() - (TemplateStats!$B2 + 18), 6))</f>
        <v>#VALUE!</v>
      </c>
      <c r="ZE5" s="88" t="str">
        <f>INDIRECT(ADDRESS(ROW() - (TemplateStats!$B2 + 18), 6))</f>
        <v>#VALUE!</v>
      </c>
      <c r="ZF5" s="88" t="str">
        <f>INDIRECT(ADDRESS(ROW() - (TemplateStats!$B2 + 18), 6))</f>
        <v>#VALUE!</v>
      </c>
      <c r="ZG5" s="88" t="str">
        <f>INDIRECT(ADDRESS(ROW() - (TemplateStats!$B2 + 18), 6))</f>
        <v>#VALUE!</v>
      </c>
      <c r="ZH5" s="88" t="str">
        <f>INDIRECT(ADDRESS(ROW() - (TemplateStats!$B2 + 18), 6))</f>
        <v>#VALUE!</v>
      </c>
      <c r="ZI5" s="88" t="str">
        <f>INDIRECT(ADDRESS(ROW() - (TemplateStats!$B2 + 18), 6))</f>
        <v>#VALUE!</v>
      </c>
      <c r="ZJ5" s="88" t="str">
        <f>INDIRECT(ADDRESS(ROW() - (TemplateStats!$B2 + 18), 6))</f>
        <v>#VALUE!</v>
      </c>
      <c r="ZK5" s="88" t="str">
        <f>INDIRECT(ADDRESS(ROW() - (TemplateStats!$B2 + 18), 6))</f>
        <v>#VALUE!</v>
      </c>
      <c r="ZL5" s="88" t="str">
        <f>INDIRECT(ADDRESS(ROW() - (TemplateStats!$B2 + 18), 6))</f>
        <v>#VALUE!</v>
      </c>
      <c r="ZM5" s="88" t="str">
        <f>INDIRECT(ADDRESS(ROW() - (TemplateStats!$B2 + 18), 6))</f>
        <v>#VALUE!</v>
      </c>
      <c r="ZN5" s="88" t="str">
        <f>INDIRECT(ADDRESS(ROW() - (TemplateStats!$B2 + 17), 6))</f>
        <v>#VALUE!</v>
      </c>
      <c r="ZO5" s="88" t="str">
        <f>INDIRECT(ADDRESS(ROW() - (TemplateStats!$B2 + 18), 6))</f>
        <v>#VALUE!</v>
      </c>
      <c r="ZP5" s="88" t="str">
        <f>INDIRECT(ADDRESS(ROW() - (TemplateStats!$B2 + 18), 6))</f>
        <v>#VALUE!</v>
      </c>
      <c r="ZQ5" s="88" t="str">
        <f>INDIRECT(ADDRESS(ROW() - (TemplateStats!$B2 + 18), 6))</f>
        <v>#VALUE!</v>
      </c>
      <c r="ZR5" s="88" t="str">
        <f>INDIRECT(ADDRESS(ROW() - (TemplateStats!$B2 + 18), 6))</f>
        <v>#VALUE!</v>
      </c>
      <c r="ZS5" s="88" t="str">
        <f>INDIRECT(ADDRESS(ROW() - (TemplateStats!$B2 + 18), 6))</f>
        <v>#VALUE!</v>
      </c>
      <c r="ZT5" s="88" t="str">
        <f>INDIRECT(ADDRESS(ROW() - (TemplateStats!$B2 + 18), 6))</f>
        <v>#VALUE!</v>
      </c>
      <c r="ZU5" s="88" t="str">
        <f>INDIRECT(ADDRESS(ROW() - (TemplateStats!$B2 + 18), 6))</f>
        <v>#VALUE!</v>
      </c>
      <c r="ZV5" s="88" t="str">
        <f>INDIRECT(ADDRESS(ROW() - (TemplateStats!$B2 + 18), 6))</f>
        <v>#VALUE!</v>
      </c>
      <c r="ZW5" s="88" t="str">
        <f>INDIRECT(ADDRESS(ROW() - (TemplateStats!$B2 + 18), 6))</f>
        <v>#VALUE!</v>
      </c>
      <c r="ZX5" s="88" t="str">
        <f>INDIRECT(ADDRESS(ROW() - (TemplateStats!$B2 + 18), 6))</f>
        <v>#VALUE!</v>
      </c>
      <c r="ZY5" s="88" t="str">
        <f>INDIRECT(ADDRESS(ROW() - (TemplateStats!$B2 + 17), 6))</f>
        <v>#VALUE!</v>
      </c>
      <c r="ZZ5" s="88" t="str">
        <f>INDIRECT(ADDRESS(ROW() - (TemplateStats!$B2 + 17), 6))</f>
        <v>#VALUE!</v>
      </c>
      <c r="AAA5" s="88" t="str">
        <f>INDIRECT(ADDRESS(ROW() - (TemplateStats!$B2 + 16), 6))</f>
        <v>#VALUE!</v>
      </c>
      <c r="AAB5" s="88" t="str">
        <f>INDIRECT(ADDRESS(ROW() - (TemplateStats!$B2 + 18), 6))</f>
        <v>#VALUE!</v>
      </c>
      <c r="AAC5" s="88" t="str">
        <f>INDIRECT(ADDRESS(ROW() - (TemplateStats!$B2 + 18), 6))</f>
        <v>#VALUE!</v>
      </c>
      <c r="AAD5" s="88" t="str">
        <f>INDIRECT(ADDRESS(ROW() - (TemplateStats!$B2 + 18), 6))</f>
        <v>#VALUE!</v>
      </c>
      <c r="AAE5" s="88" t="str">
        <f>INDIRECT(ADDRESS(ROW() - (TemplateStats!$B2 + 18), 6))</f>
        <v>#VALUE!</v>
      </c>
      <c r="AAF5" s="88" t="str">
        <f>INDIRECT(ADDRESS(ROW() - (TemplateStats!$B2 + 18), 6))</f>
        <v>#VALUE!</v>
      </c>
      <c r="AAG5" s="88" t="str">
        <f>INDIRECT(ADDRESS(ROW() - (TemplateStats!$B2 + 18), 6))</f>
        <v>#VALUE!</v>
      </c>
      <c r="AAH5" s="88" t="str">
        <f>INDIRECT(ADDRESS(ROW() - (TemplateStats!$B2 + 18), 6))</f>
        <v>#VALUE!</v>
      </c>
      <c r="AAI5" s="88" t="str">
        <f>INDIRECT(ADDRESS(ROW() - (TemplateStats!$B2 + 18), 6))</f>
        <v>#VALUE!</v>
      </c>
      <c r="AAJ5" s="88" t="str">
        <f>INDIRECT(ADDRESS(ROW() - (TemplateStats!$B2 + 18), 6))</f>
        <v>#VALUE!</v>
      </c>
      <c r="AAK5" s="88" t="str">
        <f>INDIRECT(ADDRESS(ROW() - (TemplateStats!$B2 + 17), 6))</f>
        <v>#VALUE!</v>
      </c>
      <c r="AAL5" s="88" t="str">
        <f>INDIRECT(ADDRESS(ROW() - (TemplateStats!$B2 + 17), 6))</f>
        <v>#VALUE!</v>
      </c>
      <c r="AAM5" s="88" t="str">
        <f>INDIRECT(ADDRESS(ROW() - (TemplateStats!$B2 + 16), 6))</f>
        <v>#VALUE!</v>
      </c>
      <c r="AAN5" s="88" t="str">
        <f>INDIRECT(ADDRESS(ROW() - (TemplateStats!$B2 + 16), 6))</f>
        <v>#VALUE!</v>
      </c>
      <c r="AAO5" s="88" t="str">
        <f>INDIRECT(ADDRESS(ROW() - (TemplateStats!$B2 + 18), 6))</f>
        <v>#VALUE!</v>
      </c>
      <c r="AAP5" s="88" t="str">
        <f>INDIRECT(ADDRESS(ROW() - (TemplateStats!$B2 + 18), 6))</f>
        <v>#VALUE!</v>
      </c>
      <c r="AAQ5" s="88" t="str">
        <f>INDIRECT(ADDRESS(ROW() - (TemplateStats!$B2 + 18), 6))</f>
        <v>#VALUE!</v>
      </c>
      <c r="AAR5" s="88" t="str">
        <f>INDIRECT(ADDRESS(ROW() - (TemplateStats!$B2 + 18), 6))</f>
        <v>#VALUE!</v>
      </c>
      <c r="AAS5" s="88" t="str">
        <f>INDIRECT(ADDRESS(ROW() - (TemplateStats!$B2 + 18), 6))</f>
        <v>#VALUE!</v>
      </c>
      <c r="AAT5" s="88" t="str">
        <f>INDIRECT(ADDRESS(ROW() - (TemplateStats!$B2 + 18), 6))</f>
        <v>#VALUE!</v>
      </c>
      <c r="AAU5" s="88" t="str">
        <f>INDIRECT(ADDRESS(ROW() - (TemplateStats!$B2 + 18), 6))</f>
        <v>#VALUE!</v>
      </c>
      <c r="AAV5" s="88" t="str">
        <f>INDIRECT(ADDRESS(ROW() - (TemplateStats!$B2 + 17), 6))</f>
        <v>#VALUE!</v>
      </c>
      <c r="AAW5" s="88" t="str">
        <f>INDIRECT(ADDRESS(ROW() - (TemplateStats!$B2 + 17), 6))</f>
        <v>#VALUE!</v>
      </c>
      <c r="AAX5" s="88" t="str">
        <f>INDIRECT(ADDRESS(ROW() - (TemplateStats!$B2 + 17), 6))</f>
        <v>#VALUE!</v>
      </c>
      <c r="AAY5" s="88" t="str">
        <f>INDIRECT(ADDRESS(ROW() - (TemplateStats!$B2 + 16), 6))</f>
        <v>#VALUE!</v>
      </c>
      <c r="AAZ5" s="88" t="str">
        <f>INDIRECT(ADDRESS(ROW() - (TemplateStats!$B2 + 16), 6))</f>
        <v>#VALUE!</v>
      </c>
      <c r="ABA5" s="88" t="str">
        <f>INDIRECT(ADDRESS(ROW() - (TemplateStats!$B2 + 18), 6))</f>
        <v>#VALUE!</v>
      </c>
      <c r="ABB5" s="88" t="str">
        <f>INDIRECT(ADDRESS(ROW() - (TemplateStats!$B2 + 18), 6))</f>
        <v>#VALUE!</v>
      </c>
      <c r="ABC5" s="88" t="str">
        <f>INDIRECT(ADDRESS(ROW() - (TemplateStats!$B2 + 18), 6))</f>
        <v>#VALUE!</v>
      </c>
      <c r="ABD5" s="88" t="str">
        <f>INDIRECT(ADDRESS(ROW() - (TemplateStats!$B2 + 18), 6))</f>
        <v>#VALUE!</v>
      </c>
      <c r="ABE5" s="88" t="str">
        <f>INDIRECT(ADDRESS(ROW() - (TemplateStats!$B2 + 18), 6))</f>
        <v>#VALUE!</v>
      </c>
      <c r="ABF5" s="88" t="str">
        <f>INDIRECT(ADDRESS(ROW() - (TemplateStats!$B2 + 18), 6))</f>
        <v>#VALUE!</v>
      </c>
      <c r="ABG5" s="88" t="str">
        <f>INDIRECT(ADDRESS(ROW() - (TemplateStats!$B2 + 18), 6))</f>
        <v>#VALUE!</v>
      </c>
      <c r="ABH5" s="88" t="str">
        <f>INDIRECT(ADDRESS(ROW() - (TemplateStats!$B2 + 18), 6))</f>
        <v>#VALUE!</v>
      </c>
      <c r="ABI5" s="88" t="str">
        <f>INDIRECT(ADDRESS(ROW() - (TemplateStats!$B2 + 18), 6))</f>
        <v>#VALUE!</v>
      </c>
      <c r="ABJ5" s="88" t="str">
        <f>INDIRECT(ADDRESS(ROW() - (TemplateStats!$B2 + 18), 6))</f>
        <v>#VALUE!</v>
      </c>
      <c r="ABK5" s="10" t="str">
        <f>"-"</f>
        <v>-</v>
      </c>
      <c r="ABL5" s="88" t="str">
        <f>INDIRECT(ADDRESS(ROW() - (TemplateStats!$B2 + 17), 6))</f>
        <v>#VALUE!</v>
      </c>
      <c r="ABM5" s="88" t="str">
        <f>INDIRECT(ADDRESS(ROW() - (TemplateStats!$B2 + 16), 6))</f>
        <v>#VALUE!</v>
      </c>
      <c r="ABN5" s="88" t="str">
        <f>INDIRECT(ADDRESS(ROW() - (TemplateStats!$B2 + 18), 6))</f>
        <v>#VALUE!</v>
      </c>
      <c r="ABO5" s="88" t="str">
        <f>INDIRECT(ADDRESS(ROW() - (TemplateStats!$B2 + 18), 6))</f>
        <v>#VALUE!</v>
      </c>
      <c r="ABP5" s="88" t="str">
        <f>INDIRECT(ADDRESS(ROW() - (TemplateStats!$B2 + 18), 6))</f>
        <v>#VALUE!</v>
      </c>
      <c r="ABQ5" s="88" t="str">
        <f>INDIRECT(ADDRESS(ROW() - (TemplateStats!$B2 + 18), 6))</f>
        <v>#VALUE!</v>
      </c>
      <c r="ABR5" s="88" t="str">
        <f>INDIRECT(ADDRESS(ROW() - (TemplateStats!$B2 + 18), 6))</f>
        <v>#VALUE!</v>
      </c>
      <c r="ABS5" s="88" t="str">
        <f>INDIRECT(ADDRESS(ROW() - (TemplateStats!$B2 + 18), 6))</f>
        <v>#VALUE!</v>
      </c>
      <c r="ABT5" s="88" t="str">
        <f>INDIRECT(ADDRESS(ROW() - (TemplateStats!$B2 + 18), 6))</f>
        <v>#VALUE!</v>
      </c>
      <c r="ABU5" s="88" t="str">
        <f>INDIRECT(ADDRESS(ROW() - (TemplateStats!$B2 + 18), 6))</f>
        <v>#VALUE!</v>
      </c>
      <c r="ABV5" s="88" t="str">
        <f>INDIRECT(ADDRESS(ROW() - (TemplateStats!$B2 + 18), 6))</f>
        <v>#VALUE!</v>
      </c>
      <c r="ABW5" s="88" t="str">
        <f>INDIRECT(ADDRESS(ROW() - (TemplateStats!$B2 + 18), 6))</f>
        <v>#VALUE!</v>
      </c>
      <c r="ABX5" s="88" t="str">
        <f>INDIRECT(ADDRESS(ROW() - (TemplateStats!$B2 + 17), 6))</f>
        <v>#VALUE!</v>
      </c>
      <c r="ABY5" s="88" t="str">
        <f>INDIRECT(ADDRESS(ROW() - (TemplateStats!$B2 + 16), 6))</f>
        <v>#VALUE!</v>
      </c>
      <c r="ABZ5" s="88" t="str">
        <f>INDIRECT(ADDRESS(ROW() - (TemplateStats!$B2 + 16), 6))</f>
        <v>#VALUE!</v>
      </c>
      <c r="ACA5" s="88" t="str">
        <f>INDIRECT(ADDRESS(ROW() - (TemplateStats!$B2 + 18), 6))</f>
        <v>#VALUE!</v>
      </c>
      <c r="ACB5" s="88" t="str">
        <f>INDIRECT(ADDRESS(ROW() - (TemplateStats!$B2 + 18), 6))</f>
        <v>#VALUE!</v>
      </c>
      <c r="ACC5" s="88" t="str">
        <f>INDIRECT(ADDRESS(ROW() - (TemplateStats!$B2 + 18), 6))</f>
        <v>#VALUE!</v>
      </c>
      <c r="ACD5" s="88" t="str">
        <f>INDIRECT(ADDRESS(ROW() - (TemplateStats!$B2 + 18), 6))</f>
        <v>#VALUE!</v>
      </c>
      <c r="ACE5" s="88" t="str">
        <f>INDIRECT(ADDRESS(ROW() - (TemplateStats!$B2 + 18), 6))</f>
        <v>#VALUE!</v>
      </c>
      <c r="ACF5" s="88" t="str">
        <f>INDIRECT(ADDRESS(ROW() - (TemplateStats!$B2 + 18), 6))</f>
        <v>#VALUE!</v>
      </c>
      <c r="ACG5" s="88" t="str">
        <f>INDIRECT(ADDRESS(ROW() - (TemplateStats!$B2 + 18), 6))</f>
        <v>#VALUE!</v>
      </c>
      <c r="ACH5" s="88" t="str">
        <f>INDIRECT(ADDRESS(ROW() - (TemplateStats!$B2 + 18), 6))</f>
        <v>#VALUE!</v>
      </c>
      <c r="ACI5" s="88" t="str">
        <f>INDIRECT(ADDRESS(ROW() - (TemplateStats!$B2 + 18), 6))</f>
        <v>#VALUE!</v>
      </c>
      <c r="ACJ5" s="88" t="str">
        <f>INDIRECT(ADDRESS(ROW() - (TemplateStats!$B2 + 18), 6))</f>
        <v>#VALUE!</v>
      </c>
      <c r="ACK5" s="88" t="str">
        <f>INDIRECT(ADDRESS(ROW() - (TemplateStats!$B2 + 18), 6))</f>
        <v>#VALUE!</v>
      </c>
      <c r="ACL5" s="88" t="str">
        <f>INDIRECT(ADDRESS(ROW() - (TemplateStats!$B2 + 16), 6))</f>
        <v>#VALUE!</v>
      </c>
      <c r="ACM5" s="88" t="str">
        <f>INDIRECT(ADDRESS(ROW() - (TemplateStats!$B2 + 16), 6))</f>
        <v>#VALUE!</v>
      </c>
      <c r="ACN5" s="88" t="str">
        <f>INDIRECT(ADDRESS(ROW() - (TemplateStats!$B2 + 18), 6))</f>
        <v>#VALUE!</v>
      </c>
      <c r="ACO5" s="88" t="str">
        <f>INDIRECT(ADDRESS(ROW() - (TemplateStats!$B2 + 18), 6))</f>
        <v>#VALUE!</v>
      </c>
      <c r="ACP5" s="88" t="str">
        <f>INDIRECT(ADDRESS(ROW() - (TemplateStats!$B2 + 18), 6))</f>
        <v>#VALUE!</v>
      </c>
      <c r="ACQ5" s="88" t="str">
        <f>INDIRECT(ADDRESS(ROW() - (TemplateStats!$B2 + 18), 6))</f>
        <v>#VALUE!</v>
      </c>
      <c r="ACR5" s="88" t="str">
        <f>INDIRECT(ADDRESS(ROW() - (TemplateStats!$B2 + 18), 6))</f>
        <v>#VALUE!</v>
      </c>
      <c r="ACS5" s="88" t="str">
        <f>INDIRECT(ADDRESS(ROW() - (TemplateStats!$B2 + 18), 6))</f>
        <v>#VALUE!</v>
      </c>
      <c r="ACT5" s="88" t="str">
        <f>INDIRECT(ADDRESS(ROW() - (TemplateStats!$B2 + 18), 6))</f>
        <v>#VALUE!</v>
      </c>
      <c r="ACU5" s="88" t="str">
        <f>INDIRECT(ADDRESS(ROW() - (TemplateStats!$B2 + 18), 6))</f>
        <v>#VALUE!</v>
      </c>
      <c r="ACV5" s="88" t="str">
        <f>INDIRECT(ADDRESS(ROW() - (TemplateStats!$B2 + 18), 6))</f>
        <v>#VALUE!</v>
      </c>
      <c r="ACW5" s="88" t="str">
        <f>INDIRECT(ADDRESS(ROW() - (TemplateStats!$B2 + 18), 6))</f>
        <v>#VALUE!</v>
      </c>
      <c r="ACX5" s="88" t="str">
        <f>INDIRECT(ADDRESS(ROW() - (TemplateStats!$B2 + 18), 6))</f>
        <v>#VALUE!</v>
      </c>
      <c r="ACY5" s="88" t="str">
        <f>INDIRECT(ADDRESS(ROW() - (TemplateStats!$B2 + 17), 6))</f>
        <v>#VALUE!</v>
      </c>
      <c r="ACZ5" s="88" t="str">
        <f>INDIRECT(ADDRESS(ROW() - (TemplateStats!$B2 + 17), 6))</f>
        <v>#VALUE!</v>
      </c>
      <c r="ADA5" s="88" t="str">
        <f>INDIRECT(ADDRESS(ROW() - (TemplateStats!$B2 + 17), 6))</f>
        <v>#VALUE!</v>
      </c>
      <c r="ADB5" s="88" t="str">
        <f>INDIRECT(ADDRESS(ROW() - (TemplateStats!$B2 + 16), 6))</f>
        <v>#VALUE!</v>
      </c>
      <c r="ADC5" s="88" t="str">
        <f>INDIRECT(ADDRESS(ROW() - (TemplateStats!$B2 + 18), 6))</f>
        <v>#VALUE!</v>
      </c>
      <c r="ADD5" s="88" t="str">
        <f>INDIRECT(ADDRESS(ROW() - (TemplateStats!$B2 + 18), 6))</f>
        <v>#VALUE!</v>
      </c>
      <c r="ADE5" s="88" t="str">
        <f>INDIRECT(ADDRESS(ROW() - (TemplateStats!$B2 + 18), 6))</f>
        <v>#VALUE!</v>
      </c>
      <c r="ADF5" s="88" t="str">
        <f>INDIRECT(ADDRESS(ROW() - (TemplateStats!$B2 + 18), 6))</f>
        <v>#VALUE!</v>
      </c>
      <c r="ADG5" s="88" t="str">
        <f>INDIRECT(ADDRESS(ROW() - (TemplateStats!$B2 + 18), 6))</f>
        <v>#VALUE!</v>
      </c>
      <c r="ADH5" s="88" t="str">
        <f>INDIRECT(ADDRESS(ROW() - (TemplateStats!$B2 + 18), 6))</f>
        <v>#VALUE!</v>
      </c>
      <c r="ADI5" s="88" t="str">
        <f>INDIRECT(ADDRESS(ROW() - (TemplateStats!$B2 + 18), 6))</f>
        <v>#VALUE!</v>
      </c>
      <c r="ADJ5" s="88" t="str">
        <f>INDIRECT(ADDRESS(ROW() - (TemplateStats!$B2 + 18), 6))</f>
        <v>#VALUE!</v>
      </c>
      <c r="ADK5" s="88" t="str">
        <f>INDIRECT(ADDRESS(ROW() - (TemplateStats!$B2 + 18), 6))</f>
        <v>#VALUE!</v>
      </c>
      <c r="ADL5" s="88" t="str">
        <f>INDIRECT(ADDRESS(ROW() - (TemplateStats!$B2 + 18), 6))</f>
        <v>#VALUE!</v>
      </c>
      <c r="ADM5" s="88" t="str">
        <f>INDIRECT(ADDRESS(ROW() - (TemplateStats!$B2 + 17), 6))</f>
        <v>#VALUE!</v>
      </c>
      <c r="ADN5" s="88" t="str">
        <f>INDIRECT(ADDRESS(ROW() - (TemplateStats!$B2 + 17), 6))</f>
        <v>#VALUE!</v>
      </c>
      <c r="ADO5" s="88" t="str">
        <f>INDIRECT(ADDRESS(ROW() - (TemplateStats!$B2 + 17), 6))</f>
        <v>#VALUE!</v>
      </c>
      <c r="ADP5" s="88" t="str">
        <f>INDIRECT(ADDRESS(ROW() - (TemplateStats!$B2 + 16), 6))</f>
        <v>#VALUE!</v>
      </c>
      <c r="ADQ5" s="88" t="str">
        <f>INDIRECT(ADDRESS(ROW() - (TemplateStats!$B2 + 18), 6))</f>
        <v>#VALUE!</v>
      </c>
      <c r="ADR5" s="88" t="str">
        <f>INDIRECT(ADDRESS(ROW() - (TemplateStats!$B2 + 18), 6))</f>
        <v>#VALUE!</v>
      </c>
      <c r="ADS5" s="88" t="str">
        <f>INDIRECT(ADDRESS(ROW() - (TemplateStats!$B2 + 18), 6))</f>
        <v>#VALUE!</v>
      </c>
      <c r="ADT5" s="88" t="str">
        <f>INDIRECT(ADDRESS(ROW() - (TemplateStats!$B2 + 18), 6))</f>
        <v>#VALUE!</v>
      </c>
      <c r="ADU5" s="88" t="str">
        <f>INDIRECT(ADDRESS(ROW() - (TemplateStats!$B2 + 18), 6))</f>
        <v>#VALUE!</v>
      </c>
      <c r="ADV5" s="88" t="str">
        <f>INDIRECT(ADDRESS(ROW() - (TemplateStats!$B2 + 18), 6))</f>
        <v>#VALUE!</v>
      </c>
      <c r="ADW5" s="88" t="str">
        <f>INDIRECT(ADDRESS(ROW() - (TemplateStats!$B2 + 18), 6))</f>
        <v>#VALUE!</v>
      </c>
      <c r="ADX5" s="88" t="str">
        <f>INDIRECT(ADDRESS(ROW() - (TemplateStats!$B2 + 18), 6))</f>
        <v>#VALUE!</v>
      </c>
      <c r="ADY5" s="88" t="str">
        <f>INDIRECT(ADDRESS(ROW() - (TemplateStats!$B2 + 17), 6))</f>
        <v>#VALUE!</v>
      </c>
      <c r="ADZ5" s="88" t="str">
        <f>INDIRECT(ADDRESS(ROW() - (TemplateStats!$B2 + 17), 6))</f>
        <v>#VALUE!</v>
      </c>
      <c r="AEA5" s="10" t="str">
        <f>"-"</f>
        <v>-</v>
      </c>
      <c r="AEB5" s="88" t="str">
        <f>INDIRECT(ADDRESS(ROW() - (TemplateStats!$B2 + 16), 6))</f>
        <v>#VALUE!</v>
      </c>
      <c r="AEC5" s="88" t="str">
        <f>INDIRECT(ADDRESS(ROW() - (TemplateStats!$B2 + 16), 6))</f>
        <v>#VALUE!</v>
      </c>
      <c r="AED5" s="88" t="str">
        <f>INDIRECT(ADDRESS(ROW() - (TemplateStats!$B2 + 16), 6))</f>
        <v>#VALUE!</v>
      </c>
      <c r="AEE5" s="88" t="str">
        <f>INDIRECT(ADDRESS(ROW() - (TemplateStats!$B2 + 16), 6))</f>
        <v>#VALUE!</v>
      </c>
      <c r="AEF5" s="88" t="str">
        <f>INDIRECT(ADDRESS(ROW() - (TemplateStats!$B2 + 16), 6))</f>
        <v>#VALUE!</v>
      </c>
      <c r="AEG5" s="88" t="str">
        <f>INDIRECT(ADDRESS(ROW() - (TemplateStats!$B2 + 16), 6))</f>
        <v>#VALUE!</v>
      </c>
      <c r="AEH5" s="88" t="str">
        <f>INDIRECT(ADDRESS(ROW() - (TemplateStats!$B2 + 16), 6))</f>
        <v>#VALUE!</v>
      </c>
      <c r="AEI5" s="88" t="str">
        <f>INDIRECT(ADDRESS(ROW() - (TemplateStats!$B2 + 16), 6))</f>
        <v>#VALUE!</v>
      </c>
      <c r="AEJ5" s="88" t="str">
        <f>INDIRECT(ADDRESS(ROW() - (TemplateStats!$B2 + 16), 6))</f>
        <v>#VALUE!</v>
      </c>
      <c r="AEK5" s="88" t="str">
        <f>INDIRECT(ADDRESS(ROW() - (TemplateStats!$B2 + 18), 6))</f>
        <v>#VALUE!</v>
      </c>
      <c r="AEL5" s="88" t="str">
        <f>INDIRECT(ADDRESS(ROW() - (TemplateStats!$B2 + 18), 6))</f>
        <v>#VALUE!</v>
      </c>
      <c r="AEM5" s="88" t="str">
        <f>INDIRECT(ADDRESS(ROW() - (TemplateStats!$B2 + 18), 6))</f>
        <v>#VALUE!</v>
      </c>
      <c r="AEN5" s="88" t="str">
        <f>INDIRECT(ADDRESS(ROW() - (TemplateStats!$B2 + 18), 6))</f>
        <v>#VALUE!</v>
      </c>
      <c r="AEO5" s="88" t="str">
        <f>INDIRECT(ADDRESS(ROW() - (TemplateStats!$B2 + 18), 6))</f>
        <v>#VALUE!</v>
      </c>
      <c r="AEP5" s="88" t="str">
        <f>INDIRECT(ADDRESS(ROW() - (TemplateStats!$B2 + 18), 6))</f>
        <v>#VALUE!</v>
      </c>
      <c r="AEQ5" s="88" t="str">
        <f>INDIRECT(ADDRESS(ROW() - (TemplateStats!$B2 + 18), 6))</f>
        <v>#VALUE!</v>
      </c>
      <c r="AER5" s="88" t="str">
        <f>INDIRECT(ADDRESS(ROW() - (TemplateStats!$B2 + 18), 6))</f>
        <v>#VALUE!</v>
      </c>
      <c r="AES5" s="88" t="str">
        <f>INDIRECT(ADDRESS(ROW() - (TemplateStats!$B2 + 17), 6))</f>
        <v>#VALUE!</v>
      </c>
      <c r="AET5" s="88" t="str">
        <f>INDIRECT(ADDRESS(ROW() - (TemplateStats!$B2 + 17), 6))</f>
        <v>#VALUE!</v>
      </c>
      <c r="AEU5" s="88" t="str">
        <f>INDIRECT(ADDRESS(ROW() - (TemplateStats!$B2 + 17), 6))</f>
        <v>#VALUE!</v>
      </c>
      <c r="AEV5" s="88" t="str">
        <f>INDIRECT(ADDRESS(ROW() - (TemplateStats!$B2 + 17), 6))</f>
        <v>#VALUE!</v>
      </c>
      <c r="AEW5" s="88" t="str">
        <f>INDIRECT(ADDRESS(ROW() - (TemplateStats!$B2 + 17), 6))</f>
        <v>#VALUE!</v>
      </c>
      <c r="AEX5" s="88" t="str">
        <f>INDIRECT(ADDRESS(ROW() - (TemplateStats!$B2 + 17), 6))</f>
        <v>#VALUE!</v>
      </c>
      <c r="AEY5" s="88" t="str">
        <f>INDIRECT(ADDRESS(ROW() - (TemplateStats!$B2 + 17), 6))</f>
        <v>#VALUE!</v>
      </c>
      <c r="AEZ5" s="88" t="str">
        <f>INDIRECT(ADDRESS(ROW() - (TemplateStats!$B2 + 16), 6))</f>
        <v>#VALUE!</v>
      </c>
      <c r="AFA5" s="88" t="str">
        <f>INDIRECT(ADDRESS(ROW() - (TemplateStats!$B2 + 16), 6))</f>
        <v>#VALUE!</v>
      </c>
      <c r="AFB5" s="88" t="str">
        <f>INDIRECT(ADDRESS(ROW() - (TemplateStats!$B2 + 18), 6))</f>
        <v>#VALUE!</v>
      </c>
      <c r="AFC5" s="88" t="str">
        <f>INDIRECT(ADDRESS(ROW() - (TemplateStats!$B2 + 18), 6))</f>
        <v>#VALUE!</v>
      </c>
      <c r="AFD5" s="88" t="str">
        <f>INDIRECT(ADDRESS(ROW() - (TemplateStats!$B2 + 18), 6))</f>
        <v>#VALUE!</v>
      </c>
      <c r="AFE5" s="88" t="str">
        <f>INDIRECT(ADDRESS(ROW() - (TemplateStats!$B2 + 18), 6))</f>
        <v>#VALUE!</v>
      </c>
      <c r="AFF5" s="88" t="str">
        <f>INDIRECT(ADDRESS(ROW() - (TemplateStats!$B2 + 18), 6))</f>
        <v>#VALUE!</v>
      </c>
      <c r="AFG5" s="88" t="str">
        <f>INDIRECT(ADDRESS(ROW() - (TemplateStats!$B2 + 18), 6))</f>
        <v>#VALUE!</v>
      </c>
      <c r="AFH5" s="88" t="str">
        <f>INDIRECT(ADDRESS(ROW() - (TemplateStats!$B2 + 18), 6))</f>
        <v>#VALUE!</v>
      </c>
      <c r="AFI5" s="88" t="str">
        <f>INDIRECT(ADDRESS(ROW() - (TemplateStats!$B2 + 18), 6))</f>
        <v>#VALUE!</v>
      </c>
      <c r="AFJ5" s="88" t="str">
        <f>INDIRECT(ADDRESS(ROW() - (TemplateStats!$B2 + 18), 6))</f>
        <v>#VALUE!</v>
      </c>
      <c r="AFK5" s="88" t="str">
        <f>INDIRECT(ADDRESS(ROW() - (TemplateStats!$B2 + 17), 6))</f>
        <v>#VALUE!</v>
      </c>
      <c r="AFL5" s="88" t="str">
        <f>INDIRECT(ADDRESS(ROW() - (TemplateStats!$B2 + 17), 6))</f>
        <v>#VALUE!</v>
      </c>
      <c r="AFM5" s="88" t="str">
        <f>INDIRECT(ADDRESS(ROW() - (TemplateStats!$B2 + 16), 6))</f>
        <v>#VALUE!</v>
      </c>
      <c r="AFN5" s="88" t="str">
        <f>INDIRECT(ADDRESS(ROW() - (TemplateStats!$B2 + 16), 6))</f>
        <v>#VALUE!</v>
      </c>
      <c r="AFO5" s="88" t="str">
        <f>INDIRECT(ADDRESS(ROW() - (TemplateStats!$B2 + 18), 6))</f>
        <v>#VALUE!</v>
      </c>
      <c r="AFP5" s="88" t="str">
        <f>INDIRECT(ADDRESS(ROW() - (TemplateStats!$B2 + 18), 6))</f>
        <v>#VALUE!</v>
      </c>
      <c r="AFQ5" s="88" t="str">
        <f>INDIRECT(ADDRESS(ROW() - (TemplateStats!$B2 + 18), 6))</f>
        <v>#VALUE!</v>
      </c>
      <c r="AFR5" s="88" t="str">
        <f>INDIRECT(ADDRESS(ROW() - (TemplateStats!$B2 + 18), 6))</f>
        <v>#VALUE!</v>
      </c>
      <c r="AFS5" s="88" t="str">
        <f>INDIRECT(ADDRESS(ROW() - (TemplateStats!$B2 + 18), 6))</f>
        <v>#VALUE!</v>
      </c>
      <c r="AFT5" s="88" t="str">
        <f>INDIRECT(ADDRESS(ROW() - (TemplateStats!$B2 + 18), 6))</f>
        <v>#VALUE!</v>
      </c>
      <c r="AFU5" s="88" t="str">
        <f>INDIRECT(ADDRESS(ROW() - (TemplateStats!$B2 + 18), 6))</f>
        <v>#VALUE!</v>
      </c>
      <c r="AFV5" s="88" t="str">
        <f>INDIRECT(ADDRESS(ROW() - (TemplateStats!$B2 + 18), 6))</f>
        <v>#VALUE!</v>
      </c>
      <c r="AFW5" s="88" t="str">
        <f>INDIRECT(ADDRESS(ROW() - (TemplateStats!$B2 + 17), 6))</f>
        <v>#VALUE!</v>
      </c>
      <c r="AFX5" s="88" t="str">
        <f>INDIRECT(ADDRESS(ROW() - (TemplateStats!$B2 + 17), 6))</f>
        <v>#VALUE!</v>
      </c>
      <c r="AFY5" s="88" t="str">
        <f>INDIRECT(ADDRESS(ROW() - (TemplateStats!$B2 + 16), 6))</f>
        <v>#VALUE!</v>
      </c>
      <c r="AFZ5" s="88" t="str">
        <f>INDIRECT(ADDRESS(ROW() - (TemplateStats!$B2 + 18), 6))</f>
        <v>#VALUE!</v>
      </c>
      <c r="AGA5" s="88" t="str">
        <f>INDIRECT(ADDRESS(ROW() - (TemplateStats!$B2 + 18), 6))</f>
        <v>#VALUE!</v>
      </c>
      <c r="AGB5" s="88" t="str">
        <f>INDIRECT(ADDRESS(ROW() - (TemplateStats!$B2 + 18), 6))</f>
        <v>#VALUE!</v>
      </c>
      <c r="AGC5" s="88" t="str">
        <f>INDIRECT(ADDRESS(ROW() - (TemplateStats!$B2 + 18), 6))</f>
        <v>#VALUE!</v>
      </c>
      <c r="AGD5" s="88" t="str">
        <f>INDIRECT(ADDRESS(ROW() - (TemplateStats!$B2 + 18), 6))</f>
        <v>#VALUE!</v>
      </c>
      <c r="AGE5" s="88" t="str">
        <f>INDIRECT(ADDRESS(ROW() - (TemplateStats!$B2 + 18), 6))</f>
        <v>#VALUE!</v>
      </c>
      <c r="AGF5" s="88" t="str">
        <f>INDIRECT(ADDRESS(ROW() - (TemplateStats!$B2 + 18), 6))</f>
        <v>#VALUE!</v>
      </c>
      <c r="AGG5" s="88" t="str">
        <f>INDIRECT(ADDRESS(ROW() - (TemplateStats!$B2 + 18), 6))</f>
        <v>#VALUE!</v>
      </c>
      <c r="AGH5" s="88" t="str">
        <f>INDIRECT(ADDRESS(ROW() - (TemplateStats!$B2 + 17), 6))</f>
        <v>#VALUE!</v>
      </c>
      <c r="AGI5" s="88" t="str">
        <f>INDIRECT(ADDRESS(ROW() - (TemplateStats!$B2 + 17), 6))</f>
        <v>#VALUE!</v>
      </c>
      <c r="AGJ5" s="88" t="str">
        <f>INDIRECT(ADDRESS(ROW() - (TemplateStats!$B2 + 17), 6))</f>
        <v>#VALUE!</v>
      </c>
      <c r="AGK5" s="88" t="str">
        <f>INDIRECT(ADDRESS(ROW() - (TemplateStats!$B2 + 18), 6))</f>
        <v>#VALUE!</v>
      </c>
      <c r="AGL5" s="88" t="str">
        <f>INDIRECT(ADDRESS(ROW() - (TemplateStats!$B2 + 18), 6))</f>
        <v>#VALUE!</v>
      </c>
      <c r="AGM5" s="88" t="str">
        <f>INDIRECT(ADDRESS(ROW() - (TemplateStats!$B2 + 18), 6))</f>
        <v>#VALUE!</v>
      </c>
      <c r="AGN5" s="88" t="str">
        <f>INDIRECT(ADDRESS(ROW() - (TemplateStats!$B2 + 18), 6))</f>
        <v>#VALUE!</v>
      </c>
      <c r="AGO5" s="88" t="str">
        <f>INDIRECT(ADDRESS(ROW() - (TemplateStats!$B2 + 18), 6))</f>
        <v>#VALUE!</v>
      </c>
      <c r="AGP5" s="88" t="str">
        <f>INDIRECT(ADDRESS(ROW() - (TemplateStats!$B2 + 18), 6))</f>
        <v>#VALUE!</v>
      </c>
      <c r="AGQ5" s="88" t="str">
        <f>INDIRECT(ADDRESS(ROW() - (TemplateStats!$B2 + 18), 6))</f>
        <v>#VALUE!</v>
      </c>
      <c r="AGR5" s="88" t="str">
        <f>INDIRECT(ADDRESS(ROW() - (TemplateStats!$B2 + 18), 6))</f>
        <v>#VALUE!</v>
      </c>
      <c r="AGS5" s="88" t="str">
        <f>INDIRECT(ADDRESS(ROW() - (TemplateStats!$B2 + 18), 6))</f>
        <v>#VALUE!</v>
      </c>
      <c r="AGT5" s="88" t="str">
        <f>INDIRECT(ADDRESS(ROW() - (TemplateStats!$B2 + 17), 6))</f>
        <v>#VALUE!</v>
      </c>
      <c r="AGU5" s="88" t="str">
        <f>INDIRECT(ADDRESS(ROW() - (TemplateStats!$B2 + 17), 6))</f>
        <v>#VALUE!</v>
      </c>
      <c r="AGV5" s="88" t="str">
        <f>INDIRECT(ADDRESS(ROW() - (TemplateStats!$B2 + 16), 6))</f>
        <v>#VALUE!</v>
      </c>
      <c r="AGW5" s="196" t="str">
        <f>INDIRECT(ADDRESS(ROW() - (TemplateStats!$B2 + 18), 6))</f>
        <v>#VALUE!</v>
      </c>
      <c r="AGX5" s="196" t="str">
        <f>INDIRECT(ADDRESS(ROW() - (TemplateStats!$B2 + 18), 6))</f>
        <v>#VALUE!</v>
      </c>
      <c r="AGY5" s="196" t="str">
        <f>INDIRECT(ADDRESS(ROW() - (TemplateStats!$B2 + 18), 6))</f>
        <v>#VALUE!</v>
      </c>
      <c r="AGZ5" s="196" t="str">
        <f>INDIRECT(ADDRESS(ROW() - (TemplateStats!$B2 + 18), 6))</f>
        <v>#VALUE!</v>
      </c>
      <c r="AHA5" s="88" t="str">
        <f>INDIRECT(ADDRESS(ROW() - (TemplateStats!$B2 + 18), 6))</f>
        <v>#VALUE!</v>
      </c>
      <c r="AHB5" s="88" t="str">
        <f>INDIRECT(ADDRESS(ROW() - (TemplateStats!$B2 + 18), 6))</f>
        <v>#VALUE!</v>
      </c>
      <c r="AHC5" s="88" t="str">
        <f>INDIRECT(ADDRESS(ROW() - (TemplateStats!$B2 + 18), 6))</f>
        <v>#VALUE!</v>
      </c>
      <c r="AHD5" s="88" t="str">
        <f>INDIRECT(ADDRESS(ROW() - (TemplateStats!$B2 + 18), 6))</f>
        <v>#VALUE!</v>
      </c>
      <c r="AHE5" s="88" t="str">
        <f>INDIRECT(ADDRESS(ROW() - (TemplateStats!$B2 + 18), 6))</f>
        <v>#VALUE!</v>
      </c>
      <c r="AHF5" s="88" t="str">
        <f>INDIRECT(ADDRESS(ROW() - (TemplateStats!$B2 + 18), 6))</f>
        <v>#VALUE!</v>
      </c>
      <c r="AHG5" s="88" t="str">
        <f>INDIRECT(ADDRESS(ROW() - (TemplateStats!$B2 + 18), 6))</f>
        <v>#VALUE!</v>
      </c>
      <c r="AHH5" s="88" t="str">
        <f>INDIRECT(ADDRESS(ROW() - (TemplateStats!$B2 + 17), 6))</f>
        <v>#VALUE!</v>
      </c>
      <c r="AHI5" s="88" t="str">
        <f>INDIRECT(ADDRESS(ROW() - (TemplateStats!$B2 + 16), 6))</f>
        <v>#VALUE!</v>
      </c>
      <c r="AHJ5" s="88" t="str">
        <f>"-"</f>
        <v>-</v>
      </c>
      <c r="AHK5" s="88" t="str">
        <f>INDIRECT(ADDRESS(ROW() - (TemplateStats!$B2 + 18), 6))</f>
        <v>#VALUE!</v>
      </c>
      <c r="AHL5" s="88" t="str">
        <f>INDIRECT(ADDRESS(ROW() - (TemplateStats!$B2 + 18), 6))</f>
        <v>#VALUE!</v>
      </c>
      <c r="AHM5" s="88" t="str">
        <f>INDIRECT(ADDRESS(ROW() - (TemplateStats!$B2 + 18), 6))</f>
        <v>#VALUE!</v>
      </c>
      <c r="AHN5" s="88" t="str">
        <f>INDIRECT(ADDRESS(ROW() - (TemplateStats!$B2 + 18), 6))</f>
        <v>#VALUE!</v>
      </c>
      <c r="AHO5" s="88" t="str">
        <f>INDIRECT(ADDRESS(ROW() - (TemplateStats!$B2 + 18), 6))</f>
        <v>#VALUE!</v>
      </c>
      <c r="AHP5" s="88" t="str">
        <f>INDIRECT(ADDRESS(ROW() - (TemplateStats!$B2 + 18), 6))</f>
        <v>#VALUE!</v>
      </c>
      <c r="AHQ5" s="88" t="str">
        <f>INDIRECT(ADDRESS(ROW() - (TemplateStats!$B2 + 18), 6))</f>
        <v>#VALUE!</v>
      </c>
      <c r="AHR5" s="88" t="str">
        <f>INDIRECT(ADDRESS(ROW() - (TemplateStats!$B2 + 18), 6))</f>
        <v>#VALUE!</v>
      </c>
      <c r="AHS5" s="88" t="str">
        <f>INDIRECT(ADDRESS(ROW() - (TemplateStats!$B2 + 18), 6))</f>
        <v>#VALUE!</v>
      </c>
      <c r="AHT5" s="88" t="str">
        <f>INDIRECT(ADDRESS(ROW() - (TemplateStats!$B2 + 17), 6))</f>
        <v>#VALUE!</v>
      </c>
      <c r="AHU5" s="88" t="str">
        <f>INDIRECT(ADDRESS(ROW() - (TemplateStats!$B2 + 17), 6))</f>
        <v>#VALUE!</v>
      </c>
      <c r="AHV5" s="88" t="str">
        <f>INDIRECT(ADDRESS(ROW() - (TemplateStats!$B2 + 17), 6))</f>
        <v>#VALUE!</v>
      </c>
      <c r="AHW5" s="88" t="str">
        <f>INDIRECT(ADDRESS(ROW() - (TemplateStats!$B2 + 17), 6))</f>
        <v>#VALUE!</v>
      </c>
      <c r="AHX5" s="88" t="str">
        <f>INDIRECT(ADDRESS(ROW() - (TemplateStats!$B2 + 16), 6))</f>
        <v>#VALUE!</v>
      </c>
      <c r="AHY5" s="88" t="str">
        <f>INDIRECT(ADDRESS(ROW() - (TemplateStats!$B2 + 18), 6))</f>
        <v>#VALUE!</v>
      </c>
      <c r="AHZ5" s="88" t="str">
        <f>INDIRECT(ADDRESS(ROW() - (TemplateStats!$B2 + 18), 6))</f>
        <v>#VALUE!</v>
      </c>
      <c r="AIA5" s="88" t="str">
        <f>INDIRECT(ADDRESS(ROW() - (TemplateStats!$B2 + 18), 6))</f>
        <v>#VALUE!</v>
      </c>
      <c r="AIB5" s="88" t="str">
        <f>INDIRECT(ADDRESS(ROW() - (TemplateStats!$B2 + 18), 6))</f>
        <v>#VALUE!</v>
      </c>
      <c r="AIC5" s="88" t="str">
        <f>INDIRECT(ADDRESS(ROW() - (TemplateStats!$B2 + 18), 6))</f>
        <v>#VALUE!</v>
      </c>
      <c r="AID5" s="88" t="str">
        <f>INDIRECT(ADDRESS(ROW() - (TemplateStats!$B2 + 18), 6))</f>
        <v>#VALUE!</v>
      </c>
      <c r="AIE5" s="88" t="str">
        <f>INDIRECT(ADDRESS(ROW() - (TemplateStats!$B2 + 18), 6))</f>
        <v>#VALUE!</v>
      </c>
      <c r="AIF5" s="88" t="str">
        <f>INDIRECT(ADDRESS(ROW() - (TemplateStats!$B2 + 18), 6))</f>
        <v>#VALUE!</v>
      </c>
      <c r="AIG5" s="88" t="str">
        <f>INDIRECT(ADDRESS(ROW() - (TemplateStats!$B2 + 18), 6))</f>
        <v>#VALUE!</v>
      </c>
      <c r="AIH5" s="88" t="str">
        <f>INDIRECT(ADDRESS(ROW() - (TemplateStats!$B2 + 17), 6))</f>
        <v>#VALUE!</v>
      </c>
      <c r="AII5" s="88" t="str">
        <f>INDIRECT(ADDRESS(ROW() - (TemplateStats!$B2 + 17), 6))</f>
        <v>#VALUE!</v>
      </c>
      <c r="AIJ5" s="88" t="str">
        <f>INDIRECT(ADDRESS(ROW() - (TemplateStats!$B2 + 16), 6))</f>
        <v>#VALUE!</v>
      </c>
      <c r="AIK5" s="88" t="str">
        <f>INDIRECT(ADDRESS(ROW() - (TemplateStats!$B2 + 18), 6))</f>
        <v>#VALUE!</v>
      </c>
      <c r="AIL5" s="88" t="str">
        <f>INDIRECT(ADDRESS(ROW() - (TemplateStats!$B2 + 18), 6))</f>
        <v>#VALUE!</v>
      </c>
      <c r="AIM5" s="88" t="str">
        <f>INDIRECT(ADDRESS(ROW() - (TemplateStats!$B2 + 18), 6))</f>
        <v>#VALUE!</v>
      </c>
      <c r="AIN5" s="88" t="str">
        <f>INDIRECT(ADDRESS(ROW() - (TemplateStats!$B2 + 18), 6))</f>
        <v>#VALUE!</v>
      </c>
      <c r="AIO5" s="88" t="str">
        <f>INDIRECT(ADDRESS(ROW() - (TemplateStats!$B2 + 18), 6))</f>
        <v>#VALUE!</v>
      </c>
      <c r="AIP5" s="88" t="str">
        <f>INDIRECT(ADDRESS(ROW() - (TemplateStats!$B2 + 18), 6))</f>
        <v>#VALUE!</v>
      </c>
      <c r="AIQ5" s="88" t="str">
        <f>INDIRECT(ADDRESS(ROW() - (TemplateStats!$B2 + 18), 6))</f>
        <v>#VALUE!</v>
      </c>
      <c r="AIR5" s="88" t="str">
        <f>INDIRECT(ADDRESS(ROW() - (TemplateStats!$B2 + 18), 6))</f>
        <v>#VALUE!</v>
      </c>
      <c r="AIS5" s="88" t="str">
        <f>INDIRECT(ADDRESS(ROW() - (TemplateStats!$B2 + 18), 6))</f>
        <v>#VALUE!</v>
      </c>
      <c r="AIT5" s="88" t="str">
        <f>INDIRECT(ADDRESS(ROW() - (TemplateStats!$B2 + 17), 6))</f>
        <v>#VALUE!</v>
      </c>
      <c r="AIU5" s="88" t="str">
        <f>INDIRECT(ADDRESS(ROW() - (TemplateStats!$B2 + 17), 6))</f>
        <v>#VALUE!</v>
      </c>
      <c r="AIV5" s="88" t="str">
        <f>INDIRECT(ADDRESS(ROW() - (TemplateStats!$B2 + 17), 6))</f>
        <v>#VALUE!</v>
      </c>
      <c r="AIW5" s="88" t="str">
        <f>INDIRECT(ADDRESS(ROW() - (TemplateStats!$B2 + 18), 6))</f>
        <v>#VALUE!</v>
      </c>
      <c r="AIX5" s="88" t="str">
        <f>INDIRECT(ADDRESS(ROW() - (TemplateStats!$B2 + 18), 6))</f>
        <v>#VALUE!</v>
      </c>
      <c r="AIY5" s="88" t="str">
        <f>INDIRECT(ADDRESS(ROW() - (TemplateStats!$B2 + 18), 6))</f>
        <v>#VALUE!</v>
      </c>
      <c r="AIZ5" s="88" t="str">
        <f>INDIRECT(ADDRESS(ROW() - (TemplateStats!$B2 + 18), 6))</f>
        <v>#VALUE!</v>
      </c>
      <c r="AJA5" s="88" t="str">
        <f>INDIRECT(ADDRESS(ROW() - (TemplateStats!$B2 + 18), 6))</f>
        <v>#VALUE!</v>
      </c>
      <c r="AJB5" s="88" t="str">
        <f>INDIRECT(ADDRESS(ROW() - (TemplateStats!$B2 + 18), 6))</f>
        <v>#VALUE!</v>
      </c>
      <c r="AJC5" s="88" t="str">
        <f>INDIRECT(ADDRESS(ROW() - (TemplateStats!$B2 + 18), 6))</f>
        <v>#VALUE!</v>
      </c>
      <c r="AJD5" s="88" t="str">
        <f>INDIRECT(ADDRESS(ROW() - (TemplateStats!$B2 + 18), 6))</f>
        <v>#VALUE!</v>
      </c>
      <c r="AJE5" s="88" t="str">
        <f>INDIRECT(ADDRESS(ROW() - (TemplateStats!$B2 + 18), 6))</f>
        <v>#VALUE!</v>
      </c>
      <c r="AJF5" s="88" t="str">
        <f>INDIRECT(ADDRESS(ROW() - (TemplateStats!$B2 + 17), 6))</f>
        <v>#VALUE!</v>
      </c>
      <c r="AJG5" s="88" t="str">
        <f>INDIRECT(ADDRESS(ROW() - (TemplateStats!$B2 + 17), 6))</f>
        <v>#VALUE!</v>
      </c>
      <c r="AJH5" s="88" t="str">
        <f>INDIRECT(ADDRESS(ROW() - (TemplateStats!$B2 + 17), 6))</f>
        <v>#VALUE!</v>
      </c>
      <c r="AJI5" s="88" t="str">
        <f>INDIRECT(ADDRESS(ROW() - (TemplateStats!$B2 + 16), 6))</f>
        <v>#VALUE!</v>
      </c>
      <c r="AJJ5" s="88" t="str">
        <f>INDIRECT(ADDRESS(ROW() - (TemplateStats!$B2 + 16), 6))</f>
        <v>#VALUE!</v>
      </c>
      <c r="AJK5" s="88" t="str">
        <f>INDIRECT(ADDRESS(ROW() - (TemplateStats!$B2 + 18), 6))</f>
        <v>#VALUE!</v>
      </c>
      <c r="AJL5" s="88" t="str">
        <f>INDIRECT(ADDRESS(ROW() - (TemplateStats!$B2 + 18), 6))</f>
        <v>#VALUE!</v>
      </c>
      <c r="AJM5" s="88" t="str">
        <f>INDIRECT(ADDRESS(ROW() - (TemplateStats!$B2 + 18), 6))</f>
        <v>#VALUE!</v>
      </c>
      <c r="AJN5" s="88" t="str">
        <f>INDIRECT(ADDRESS(ROW() - (TemplateStats!$B2 + 18), 6))</f>
        <v>#VALUE!</v>
      </c>
      <c r="AJO5" s="88" t="str">
        <f>INDIRECT(ADDRESS(ROW() - (TemplateStats!$B2 + 18), 6))</f>
        <v>#VALUE!</v>
      </c>
      <c r="AJP5" s="88" t="str">
        <f>INDIRECT(ADDRESS(ROW() - (TemplateStats!$B2 + 18), 6))</f>
        <v>#VALUE!</v>
      </c>
      <c r="AJQ5" s="88" t="str">
        <f>INDIRECT(ADDRESS(ROW() - (TemplateStats!$B2 + 18), 6))</f>
        <v>#VALUE!</v>
      </c>
      <c r="AJR5" s="88" t="str">
        <f>INDIRECT(ADDRESS(ROW() - (TemplateStats!$B2 + 18), 6))</f>
        <v>#VALUE!</v>
      </c>
      <c r="AJS5" s="88" t="str">
        <f>INDIRECT(ADDRESS(ROW() - (TemplateStats!$B2 + 17), 6))</f>
        <v>#VALUE!</v>
      </c>
      <c r="AJT5" s="88" t="str">
        <f>INDIRECT(ADDRESS(ROW() - (TemplateStats!$B2 + 16), 6))</f>
        <v>#VALUE!</v>
      </c>
      <c r="AJU5" s="88" t="str">
        <f>INDIRECT(ADDRESS(ROW() - (TemplateStats!$B2 + 18), 6))</f>
        <v>#VALUE!</v>
      </c>
      <c r="AJV5" s="88" t="str">
        <f>INDIRECT(ADDRESS(ROW() - (TemplateStats!$B2 + 18), 6))</f>
        <v>#VALUE!</v>
      </c>
      <c r="AJW5" s="88" t="str">
        <f>INDIRECT(ADDRESS(ROW() - (TemplateStats!$B2 + 18), 6))</f>
        <v>#VALUE!</v>
      </c>
      <c r="AJX5" s="88" t="str">
        <f>INDIRECT(ADDRESS(ROW() - (TemplateStats!$B2 + 18), 6))</f>
        <v>#VALUE!</v>
      </c>
      <c r="AJY5" s="88" t="str">
        <f>INDIRECT(ADDRESS(ROW() - (TemplateStats!$B2 + 18), 6))</f>
        <v>#VALUE!</v>
      </c>
      <c r="AJZ5" s="88" t="str">
        <f>INDIRECT(ADDRESS(ROW() - (TemplateStats!$B2 + 18), 6))</f>
        <v>#VALUE!</v>
      </c>
      <c r="AKA5" s="88" t="str">
        <f>INDIRECT(ADDRESS(ROW() - (TemplateStats!$B2 + 18), 6))</f>
        <v>#VALUE!</v>
      </c>
      <c r="AKB5" s="88" t="str">
        <f>INDIRECT(ADDRESS(ROW() - (TemplateStats!$B2 + 18), 6))</f>
        <v>#VALUE!</v>
      </c>
      <c r="AKC5" s="88" t="str">
        <f>INDIRECT(ADDRESS(ROW() - (TemplateStats!$B2 + 18), 6))</f>
        <v>#VALUE!</v>
      </c>
      <c r="AKD5" s="88" t="str">
        <f>INDIRECT(ADDRESS(ROW() - (TemplateStats!$B2 + 17), 6))</f>
        <v>#VALUE!</v>
      </c>
      <c r="AKE5" s="88" t="str">
        <f>INDIRECT(ADDRESS(ROW() - (TemplateStats!$B2 + 16), 6))</f>
        <v>#VALUE!</v>
      </c>
      <c r="AKF5" s="88" t="str">
        <f>INDIRECT(ADDRESS(ROW() - (TemplateStats!$B2 + 18), 6))</f>
        <v>#VALUE!</v>
      </c>
      <c r="AKG5" s="88" t="str">
        <f>INDIRECT(ADDRESS(ROW() - (TemplateStats!$B2 + 18), 6))</f>
        <v>#VALUE!</v>
      </c>
      <c r="AKH5" s="88" t="str">
        <f>INDIRECT(ADDRESS(ROW() - (TemplateStats!$B2 + 18), 6))</f>
        <v>#VALUE!</v>
      </c>
      <c r="AKI5" s="88" t="str">
        <f>INDIRECT(ADDRESS(ROW() - (TemplateStats!$B2 + 18), 6))</f>
        <v>#VALUE!</v>
      </c>
      <c r="AKJ5" s="88" t="str">
        <f>INDIRECT(ADDRESS(ROW() - (TemplateStats!$B2 + 18), 6))</f>
        <v>#VALUE!</v>
      </c>
      <c r="AKK5" s="88" t="str">
        <f>INDIRECT(ADDRESS(ROW() - (TemplateStats!$B2 + 18), 6))</f>
        <v>#VALUE!</v>
      </c>
      <c r="AKL5" s="88" t="str">
        <f>INDIRECT(ADDRESS(ROW() - (TemplateStats!$B2 + 18), 6))</f>
        <v>#VALUE!</v>
      </c>
      <c r="AKM5" s="88" t="str">
        <f>INDIRECT(ADDRESS(ROW() - (TemplateStats!$B2 + 18), 6))</f>
        <v>#VALUE!</v>
      </c>
      <c r="AKN5" s="88" t="str">
        <f>INDIRECT(ADDRESS(ROW() - (TemplateStats!$B2 + 18), 6))</f>
        <v>#VALUE!</v>
      </c>
      <c r="AKO5" s="88" t="str">
        <f>INDIRECT(ADDRESS(ROW() - (TemplateStats!$B2 + 18), 6))</f>
        <v>#VALUE!</v>
      </c>
      <c r="AKP5" s="88" t="str">
        <f>INDIRECT(ADDRESS(ROW() - (TemplateStats!$B2 + 17), 6))</f>
        <v>#VALUE!</v>
      </c>
      <c r="AKQ5" s="88" t="str">
        <f>INDIRECT(ADDRESS(ROW() - (TemplateStats!$B2 + 17), 6))</f>
        <v>#VALUE!</v>
      </c>
      <c r="AKR5" s="88" t="str">
        <f>INDIRECT(ADDRESS(ROW() - (TemplateStats!$B2 + 17), 6))</f>
        <v>#VALUE!</v>
      </c>
      <c r="AKS5" s="88" t="str">
        <f>INDIRECT(ADDRESS(ROW() - (TemplateStats!$B2 + 16), 6))</f>
        <v>#VALUE!</v>
      </c>
      <c r="AKT5" s="88" t="str">
        <f>INDIRECT(ADDRESS(ROW() - (TemplateStats!$B2 + 16), 6))</f>
        <v>#VALUE!</v>
      </c>
      <c r="AKU5" s="88" t="str">
        <f>INDIRECT(ADDRESS(ROW() - (TemplateStats!$B2 + 18), 6))</f>
        <v>#VALUE!</v>
      </c>
      <c r="AKV5" s="88" t="str">
        <f>INDIRECT(ADDRESS(ROW() - (TemplateStats!$B2 + 18), 6))</f>
        <v>#VALUE!</v>
      </c>
      <c r="AKW5" s="88" t="str">
        <f>INDIRECT(ADDRESS(ROW() - (TemplateStats!$B2 + 18), 6))</f>
        <v>#VALUE!</v>
      </c>
      <c r="AKX5" s="88" t="str">
        <f>INDIRECT(ADDRESS(ROW() - (TemplateStats!$B2 + 18), 6))</f>
        <v>#VALUE!</v>
      </c>
      <c r="AKY5" s="88" t="str">
        <f>INDIRECT(ADDRESS(ROW() - (TemplateStats!$B2 + 18), 6))</f>
        <v>#VALUE!</v>
      </c>
      <c r="AKZ5" s="88" t="str">
        <f>INDIRECT(ADDRESS(ROW() - (TemplateStats!$B2 + 18), 6))</f>
        <v>#VALUE!</v>
      </c>
      <c r="ALA5" s="88" t="str">
        <f>INDIRECT(ADDRESS(ROW() - (TemplateStats!$B2 + 18), 6))</f>
        <v>#VALUE!</v>
      </c>
      <c r="ALB5" s="88" t="str">
        <f>INDIRECT(ADDRESS(ROW() - (TemplateStats!$B2 + 18), 6))</f>
        <v>#VALUE!</v>
      </c>
      <c r="ALC5" s="88" t="str">
        <f>INDIRECT(ADDRESS(ROW() - (TemplateStats!$B2 + 18), 6))</f>
        <v>#VALUE!</v>
      </c>
      <c r="ALD5" s="88" t="str">
        <f>INDIRECT(ADDRESS(ROW() - (TemplateStats!$B2 + 18), 6))</f>
        <v>#VALUE!</v>
      </c>
      <c r="ALE5" s="88" t="str">
        <f>INDIRECT(ADDRESS(ROW() - (TemplateStats!$B2 + 18), 6))</f>
        <v>#VALUE!</v>
      </c>
      <c r="ALF5" s="88" t="str">
        <f>INDIRECT(ADDRESS(ROW() - (TemplateStats!$B2 + 18), 6))</f>
        <v>#VALUE!</v>
      </c>
      <c r="ALG5" s="88" t="str">
        <f>INDIRECT(ADDRESS(ROW() - (TemplateStats!$B2 + 17), 6))</f>
        <v>#VALUE!</v>
      </c>
      <c r="ALH5" s="88" t="str">
        <f>INDIRECT(ADDRESS(ROW() - (TemplateStats!$B2 + 17), 6))</f>
        <v>#VALUE!</v>
      </c>
      <c r="ALI5" s="88" t="str">
        <f>INDIRECT(ADDRESS(ROW() - (TemplateStats!$B2 + 17), 6))</f>
        <v>#VALUE!</v>
      </c>
      <c r="ALJ5" s="88" t="str">
        <f>INDIRECT(ADDRESS(ROW() - (TemplateStats!$B2 + 17), 6))</f>
        <v>#VALUE!</v>
      </c>
      <c r="ALK5" s="88" t="str">
        <f>INDIRECT(ADDRESS(ROW() - (TemplateStats!$B2 + 17), 6))</f>
        <v>#VALUE!</v>
      </c>
      <c r="ALL5" s="88" t="str">
        <f>INDIRECT(ADDRESS(ROW() - (TemplateStats!$B2 + 16), 6))</f>
        <v>#VALUE!</v>
      </c>
      <c r="ALM5" s="88" t="str">
        <f>INDIRECT(ADDRESS(ROW() - (TemplateStats!$B2 + 18), 6))</f>
        <v>#VALUE!</v>
      </c>
      <c r="ALN5" s="88" t="str">
        <f>INDIRECT(ADDRESS(ROW() - (TemplateStats!$B2 + 18), 6))</f>
        <v>#VALUE!</v>
      </c>
      <c r="ALO5" s="88" t="str">
        <f>INDIRECT(ADDRESS(ROW() - (TemplateStats!$B2 + 18), 6))</f>
        <v>#VALUE!</v>
      </c>
      <c r="ALP5" s="88" t="str">
        <f>INDIRECT(ADDRESS(ROW() - (TemplateStats!$B2 + 18), 6))</f>
        <v>#VALUE!</v>
      </c>
      <c r="ALQ5" s="88" t="str">
        <f>INDIRECT(ADDRESS(ROW() - (TemplateStats!$B2 + 18), 6))</f>
        <v>#VALUE!</v>
      </c>
      <c r="ALR5" s="88" t="str">
        <f>INDIRECT(ADDRESS(ROW() - (TemplateStats!$B2 + 18), 6))</f>
        <v>#VALUE!</v>
      </c>
      <c r="ALS5" s="88" t="str">
        <f>INDIRECT(ADDRESS(ROW() - (TemplateStats!$B2 + 18), 6))</f>
        <v>#VALUE!</v>
      </c>
      <c r="ALT5" s="88" t="str">
        <f>INDIRECT(ADDRESS(ROW() - (TemplateStats!$B2 + 18), 6))</f>
        <v>#VALUE!</v>
      </c>
      <c r="ALU5" s="88" t="str">
        <f>INDIRECT(ADDRESS(ROW() - (TemplateStats!$B2 + 18), 6))</f>
        <v>#VALUE!</v>
      </c>
      <c r="ALV5" s="88" t="str">
        <f>INDIRECT(ADDRESS(ROW() - (TemplateStats!$B2 + 18), 6))</f>
        <v>#VALUE!</v>
      </c>
      <c r="ALW5" s="88" t="str">
        <f>INDIRECT(ADDRESS(ROW() - (TemplateStats!$B2 + 17), 6))</f>
        <v>#VALUE!</v>
      </c>
      <c r="ALX5" s="88" t="str">
        <f>INDIRECT(ADDRESS(ROW() - (TemplateStats!$B2 + 17), 6))</f>
        <v>#VALUE!</v>
      </c>
      <c r="ALY5" s="88" t="str">
        <f>INDIRECT(ADDRESS(ROW() - (TemplateStats!$B2 + 16), 6))</f>
        <v>#VALUE!</v>
      </c>
      <c r="ALZ5" s="88" t="str">
        <f>INDIRECT(ADDRESS(ROW() - (TemplateStats!$B2 + 16), 6))</f>
        <v>#VALUE!</v>
      </c>
      <c r="AMA5" s="88" t="str">
        <f>INDIRECT(ADDRESS(ROW() - (TemplateStats!$B2 + 16), 6))</f>
        <v>#VALUE!</v>
      </c>
      <c r="AMB5" s="88" t="str">
        <f>INDIRECT(ADDRESS(ROW() - (TemplateStats!$B2 + 18), 6))</f>
        <v>#VALUE!</v>
      </c>
      <c r="AMC5" s="88" t="str">
        <f>INDIRECT(ADDRESS(ROW() - (TemplateStats!$B2 + 18), 6))</f>
        <v>#VALUE!</v>
      </c>
      <c r="AMD5" s="88" t="str">
        <f>INDIRECT(ADDRESS(ROW() - (TemplateStats!$B2 + 18), 6))</f>
        <v>#VALUE!</v>
      </c>
      <c r="AME5" s="88" t="str">
        <f>INDIRECT(ADDRESS(ROW() - (TemplateStats!$B2 + 18), 6))</f>
        <v>#VALUE!</v>
      </c>
      <c r="AMF5" s="88" t="str">
        <f>INDIRECT(ADDRESS(ROW() - (TemplateStats!$B2 + 18), 6))</f>
        <v>#VALUE!</v>
      </c>
      <c r="AMG5" s="88" t="str">
        <f>INDIRECT(ADDRESS(ROW() - (TemplateStats!$B2 + 18), 6))</f>
        <v>#VALUE!</v>
      </c>
      <c r="AMH5" s="88" t="str">
        <f>INDIRECT(ADDRESS(ROW() - (TemplateStats!$B2 + 18), 6))</f>
        <v>#VALUE!</v>
      </c>
      <c r="AMI5" s="88" t="str">
        <f>INDIRECT(ADDRESS(ROW() - (TemplateStats!$B2 + 18), 6))</f>
        <v>#VALUE!</v>
      </c>
      <c r="AMJ5" s="88" t="str">
        <f>INDIRECT(ADDRESS(ROW() - (TemplateStats!$B2 + 18), 6))</f>
        <v>#VALUE!</v>
      </c>
      <c r="AMK5" s="88" t="str">
        <f>INDIRECT(ADDRESS(ROW() - (TemplateStats!$B2 + 18), 6))</f>
        <v>#VALUE!</v>
      </c>
      <c r="AML5" s="88" t="str">
        <f>INDIRECT(ADDRESS(ROW() - (TemplateStats!$B2 + 18), 6))</f>
        <v>#VALUE!</v>
      </c>
      <c r="AMM5" s="88" t="str">
        <f>INDIRECT(ADDRESS(ROW() - (TemplateStats!$B2 + 18), 6))</f>
        <v>#VALUE!</v>
      </c>
      <c r="AMN5" s="88" t="str">
        <f>INDIRECT(ADDRESS(ROW() - (TemplateStats!$B2 + 18), 6))</f>
        <v>#VALUE!</v>
      </c>
      <c r="AMO5" s="88" t="str">
        <f>INDIRECT(ADDRESS(ROW() - (TemplateStats!$B2 + 18), 6))</f>
        <v>#VALUE!</v>
      </c>
      <c r="AMP5" s="88" t="str">
        <f>INDIRECT(ADDRESS(ROW() - (TemplateStats!$B2 + 18), 6))</f>
        <v>#VALUE!</v>
      </c>
      <c r="AMQ5" s="88" t="str">
        <f>INDIRECT(ADDRESS(ROW() - (TemplateStats!$B2 + 18), 6))</f>
        <v>#VALUE!</v>
      </c>
      <c r="AMR5" s="88" t="str">
        <f>INDIRECT(ADDRESS(ROW() - (TemplateStats!$B2 + 18), 6))</f>
        <v>#VALUE!</v>
      </c>
      <c r="AMS5" s="88" t="str">
        <f>INDIRECT(ADDRESS(ROW() - (TemplateStats!$B2 + 18), 6))</f>
        <v>#VALUE!</v>
      </c>
      <c r="AMT5" s="88" t="str">
        <f>INDIRECT(ADDRESS(ROW() - (TemplateStats!$B2 + 18), 6))</f>
        <v>#VALUE!</v>
      </c>
      <c r="AMU5" s="88" t="str">
        <f>INDIRECT(ADDRESS(ROW() - (TemplateStats!$B2 + 18), 6))</f>
        <v>#VALUE!</v>
      </c>
      <c r="AMV5" s="88" t="str">
        <f>INDIRECT(ADDRESS(ROW() - (TemplateStats!$B2 + 16), 6))</f>
        <v>#VALUE!</v>
      </c>
      <c r="AMW5" s="88" t="str">
        <f>INDIRECT(ADDRESS(ROW() - (TemplateStats!$B2 + 16), 6))</f>
        <v>#VALUE!</v>
      </c>
      <c r="AMX5" s="88" t="str">
        <f>INDIRECT(ADDRESS(ROW() - (TemplateStats!$B2 + 18), 6))</f>
        <v>#VALUE!</v>
      </c>
      <c r="AMY5" s="88" t="str">
        <f>INDIRECT(ADDRESS(ROW() - (TemplateStats!$B2 + 18), 6))</f>
        <v>#VALUE!</v>
      </c>
      <c r="AMZ5" s="88" t="str">
        <f>INDIRECT(ADDRESS(ROW() - (TemplateStats!$B2 + 18), 6))</f>
        <v>#VALUE!</v>
      </c>
      <c r="ANA5" s="88" t="str">
        <f>INDIRECT(ADDRESS(ROW() - (TemplateStats!$B2 + 18), 6))</f>
        <v>#VALUE!</v>
      </c>
      <c r="ANB5" s="88" t="str">
        <f>INDIRECT(ADDRESS(ROW() - (TemplateStats!$B2 + 18), 6))</f>
        <v>#VALUE!</v>
      </c>
      <c r="ANC5" s="88" t="str">
        <f>INDIRECT(ADDRESS(ROW() - (TemplateStats!$B2 + 18), 6))</f>
        <v>#VALUE!</v>
      </c>
      <c r="AND5" s="88" t="str">
        <f>INDIRECT(ADDRESS(ROW() - (TemplateStats!$B2 + 18), 6))</f>
        <v>#VALUE!</v>
      </c>
      <c r="ANE5" s="88" t="str">
        <f>INDIRECT(ADDRESS(ROW() - (TemplateStats!$B2 + 18), 6))</f>
        <v>#VALUE!</v>
      </c>
      <c r="ANF5" s="88" t="str">
        <f>INDIRECT(ADDRESS(ROW() - (TemplateStats!$B2 + 18), 6))</f>
        <v>#VALUE!</v>
      </c>
      <c r="ANG5" s="88" t="str">
        <f>INDIRECT(ADDRESS(ROW() - (TemplateStats!$B2 + 18), 6))</f>
        <v>#VALUE!</v>
      </c>
      <c r="ANH5" s="88" t="str">
        <f>INDIRECT(ADDRESS(ROW() - (TemplateStats!$B2 + 18), 6))</f>
        <v>#VALUE!</v>
      </c>
      <c r="ANI5" s="88" t="str">
        <f>INDIRECT(ADDRESS(ROW() - (TemplateStats!$B2 + 18), 6))</f>
        <v>#VALUE!</v>
      </c>
      <c r="ANJ5" s="88" t="str">
        <f>INDIRECT(ADDRESS(ROW() - (TemplateStats!$B2 + 18), 6))</f>
        <v>#VALUE!</v>
      </c>
      <c r="ANK5" s="88" t="str">
        <f>INDIRECT(ADDRESS(ROW() - (TemplateStats!$B2 + 18), 6))</f>
        <v>#VALUE!</v>
      </c>
      <c r="ANL5" s="88" t="str">
        <f>INDIRECT(ADDRESS(ROW() - (TemplateStats!$B2 + 18), 6))</f>
        <v>#VALUE!</v>
      </c>
      <c r="ANM5" s="88" t="str">
        <f>INDIRECT(ADDRESS(ROW() - (TemplateStats!$B2 + 18), 6))</f>
        <v>#VALUE!</v>
      </c>
      <c r="ANN5" s="88" t="str">
        <f>INDIRECT(ADDRESS(ROW() - (TemplateStats!$B2 + 18), 6))</f>
        <v>#VALUE!</v>
      </c>
      <c r="ANO5" s="88" t="str">
        <f>INDIRECT(ADDRESS(ROW() - (TemplateStats!$B2 + 18), 6))</f>
        <v>#VALUE!</v>
      </c>
      <c r="ANP5" s="88" t="str">
        <f>INDIRECT(ADDRESS(ROW() - (TemplateStats!$B2 + 18), 6))</f>
        <v>#VALUE!</v>
      </c>
      <c r="ANQ5" s="88" t="str">
        <f>INDIRECT(ADDRESS(ROW() - (TemplateStats!$B2 + 18), 6))</f>
        <v>#VALUE!</v>
      </c>
      <c r="ANR5" s="88" t="str">
        <f>INDIRECT(ADDRESS(ROW() - (TemplateStats!$B2 + 18), 6))</f>
        <v>#VALUE!</v>
      </c>
      <c r="ANS5" s="88" t="str">
        <f>INDIRECT(ADDRESS(ROW() - (TemplateStats!$B2 + 16), 6))</f>
        <v>#VALUE!</v>
      </c>
      <c r="ANT5" s="88" t="str">
        <f>INDIRECT(ADDRESS(ROW() - (TemplateStats!$B2 + 18), 6))</f>
        <v>#VALUE!</v>
      </c>
      <c r="ANU5" s="88" t="str">
        <f>INDIRECT(ADDRESS(ROW() - (TemplateStats!$B2 + 18), 6))</f>
        <v>#VALUE!</v>
      </c>
      <c r="ANV5" s="88" t="str">
        <f>INDIRECT(ADDRESS(ROW() - (TemplateStats!$B2 + 18), 6))</f>
        <v>#VALUE!</v>
      </c>
      <c r="ANW5" s="88" t="str">
        <f>INDIRECT(ADDRESS(ROW() - (TemplateStats!$B2 + 18), 6))</f>
        <v>#VALUE!</v>
      </c>
      <c r="ANX5" s="88" t="str">
        <f>INDIRECT(ADDRESS(ROW() - (TemplateStats!$B2 + 18), 6))</f>
        <v>#VALUE!</v>
      </c>
      <c r="ANY5" s="88" t="str">
        <f>INDIRECT(ADDRESS(ROW() - (TemplateStats!$B2 + 18), 6))</f>
        <v>#VALUE!</v>
      </c>
      <c r="ANZ5" s="88" t="str">
        <f>INDIRECT(ADDRESS(ROW() - (TemplateStats!$B2 + 18), 6))</f>
        <v>#VALUE!</v>
      </c>
      <c r="AOA5" s="88" t="str">
        <f>INDIRECT(ADDRESS(ROW() - (TemplateStats!$B2 + 18), 6))</f>
        <v>#VALUE!</v>
      </c>
      <c r="AOB5" s="88" t="str">
        <f>INDIRECT(ADDRESS(ROW() - (TemplateStats!$B2 + 18), 6))</f>
        <v>#VALUE!</v>
      </c>
      <c r="AOC5" s="88" t="str">
        <f>INDIRECT(ADDRESS(ROW() - (TemplateStats!$B2 + 18), 6))</f>
        <v>#VALUE!</v>
      </c>
      <c r="AOD5" s="88" t="str">
        <f>INDIRECT(ADDRESS(ROW() - (TemplateStats!$B2 + 18), 6))</f>
        <v>#VALUE!</v>
      </c>
      <c r="AOE5" s="88" t="str">
        <f>INDIRECT(ADDRESS(ROW() - (TemplateStats!$B2 + 18), 6))</f>
        <v>#VALUE!</v>
      </c>
      <c r="AOF5" s="88" t="str">
        <f>INDIRECT(ADDRESS(ROW() - (TemplateStats!$B2 + 18), 6))</f>
        <v>#VALUE!</v>
      </c>
      <c r="AOG5" s="88" t="str">
        <f>INDIRECT(ADDRESS(ROW() - (TemplateStats!$B2 + 16), 6))</f>
        <v>#VALUE!</v>
      </c>
      <c r="AOH5" s="88" t="str">
        <f>INDIRECT(ADDRESS(ROW() - (TemplateStats!$B2 + 16), 6))</f>
        <v>#VALUE!</v>
      </c>
      <c r="AOI5" s="88" t="str">
        <f>INDIRECT(ADDRESS(ROW() - (TemplateStats!$B2 + 18), 6))</f>
        <v>#VALUE!</v>
      </c>
      <c r="AOJ5" s="88" t="str">
        <f>INDIRECT(ADDRESS(ROW() - (TemplateStats!$B2 + 18), 6))</f>
        <v>#VALUE!</v>
      </c>
      <c r="AOK5" s="88" t="str">
        <f>INDIRECT(ADDRESS(ROW() - (TemplateStats!$B2 + 18), 6))</f>
        <v>#VALUE!</v>
      </c>
      <c r="AOL5" s="88" t="str">
        <f>INDIRECT(ADDRESS(ROW() - (TemplateStats!$B2 + 18), 6))</f>
        <v>#VALUE!</v>
      </c>
      <c r="AOM5" s="88" t="str">
        <f>INDIRECT(ADDRESS(ROW() - (TemplateStats!$B2 + 18), 6))</f>
        <v>#VALUE!</v>
      </c>
      <c r="AON5" s="88" t="str">
        <f>INDIRECT(ADDRESS(ROW() - (TemplateStats!$B2 + 18), 6))</f>
        <v>#VALUE!</v>
      </c>
      <c r="AOO5" s="88" t="str">
        <f>INDIRECT(ADDRESS(ROW() - (TemplateStats!$B2 + 18), 6))</f>
        <v>#VALUE!</v>
      </c>
      <c r="AOP5" s="88" t="str">
        <f>INDIRECT(ADDRESS(ROW() - (TemplateStats!$B2 + 18), 6))</f>
        <v>#VALUE!</v>
      </c>
      <c r="AOQ5" s="88" t="str">
        <f>INDIRECT(ADDRESS(ROW() - (TemplateStats!$B2 + 18), 6))</f>
        <v>#VALUE!</v>
      </c>
      <c r="AOR5" s="88" t="str">
        <f>INDIRECT(ADDRESS(ROW() - (TemplateStats!$B2 + 18), 6))</f>
        <v>#VALUE!</v>
      </c>
      <c r="AOS5" s="88" t="str">
        <f>INDIRECT(ADDRESS(ROW() - (TemplateStats!$B2 + 18), 6))</f>
        <v>#VALUE!</v>
      </c>
      <c r="AOT5" s="88" t="str">
        <f>INDIRECT(ADDRESS(ROW() - (TemplateStats!$B2 + 18), 6))</f>
        <v>#VALUE!</v>
      </c>
      <c r="AOU5" s="88" t="str">
        <f>INDIRECT(ADDRESS(ROW() - (TemplateStats!$B2 + 18), 6))</f>
        <v>#VALUE!</v>
      </c>
      <c r="AOV5" s="88" t="str">
        <f>INDIRECT(ADDRESS(ROW() - (TemplateStats!$B2 + 18), 6))</f>
        <v>#VALUE!</v>
      </c>
      <c r="AOW5" s="88" t="str">
        <f>INDIRECT(ADDRESS(ROW() - (TemplateStats!$B2 + 16), 6))</f>
        <v>#VALUE!</v>
      </c>
      <c r="AOX5" s="88" t="str">
        <f>INDIRECT(ADDRESS(ROW() - (TemplateStats!$B2 + 16), 6))</f>
        <v>#VALUE!</v>
      </c>
      <c r="AOY5" s="88" t="str">
        <f>INDIRECT(ADDRESS(ROW() - (TemplateStats!$B2 + 18), 6))</f>
        <v>#VALUE!</v>
      </c>
      <c r="AOZ5" s="88" t="str">
        <f>INDIRECT(ADDRESS(ROW() - (TemplateStats!$B2 + 18), 6))</f>
        <v>#VALUE!</v>
      </c>
      <c r="APA5" s="88" t="str">
        <f>INDIRECT(ADDRESS(ROW() - (TemplateStats!$B2 + 18), 6))</f>
        <v>#VALUE!</v>
      </c>
      <c r="APB5" s="88" t="str">
        <f>INDIRECT(ADDRESS(ROW() - (TemplateStats!$B2 + 18), 6))</f>
        <v>#VALUE!</v>
      </c>
      <c r="APC5" s="88" t="str">
        <f>INDIRECT(ADDRESS(ROW() - (TemplateStats!$B2 + 18), 6))</f>
        <v>#VALUE!</v>
      </c>
      <c r="APD5" s="88" t="str">
        <f>INDIRECT(ADDRESS(ROW() - (TemplateStats!$B2 + 18), 6))</f>
        <v>#VALUE!</v>
      </c>
      <c r="APE5" s="88" t="str">
        <f>INDIRECT(ADDRESS(ROW() - (TemplateStats!$B2 + 18), 6))</f>
        <v>#VALUE!</v>
      </c>
      <c r="APF5" s="88" t="str">
        <f>INDIRECT(ADDRESS(ROW() - (TemplateStats!$B2 + 18), 6))</f>
        <v>#VALUE!</v>
      </c>
      <c r="APG5" s="88" t="str">
        <f>INDIRECT(ADDRESS(ROW() - (TemplateStats!$B2 + 17), 6))</f>
        <v>#VALUE!</v>
      </c>
      <c r="APH5" s="88" t="str">
        <f>INDIRECT(ADDRESS(ROW() - (TemplateStats!$B2 + 17), 6))</f>
        <v>#VALUE!</v>
      </c>
      <c r="API5" s="88" t="str">
        <f>INDIRECT(ADDRESS(ROW() - (TemplateStats!$B2 + 17), 6))</f>
        <v>#VALUE!</v>
      </c>
      <c r="APJ5" s="88" t="str">
        <f>INDIRECT(ADDRESS(ROW() - (TemplateStats!$B2 + 17), 6))</f>
        <v>#VALUE!</v>
      </c>
      <c r="APK5" s="88" t="str">
        <f>INDIRECT(ADDRESS(ROW() - (TemplateStats!$B2 + 16), 6))</f>
        <v>#VALUE!</v>
      </c>
      <c r="APL5" s="88" t="str">
        <f>INDIRECT(ADDRESS(ROW() - (TemplateStats!$B2 + 16), 6))</f>
        <v>#VALUE!</v>
      </c>
      <c r="APM5" s="88" t="str">
        <f>INDIRECT(ADDRESS(ROW() - (TemplateStats!$B2 + 18), 6))</f>
        <v>#VALUE!</v>
      </c>
      <c r="APN5" s="88" t="str">
        <f>INDIRECT(ADDRESS(ROW() - (TemplateStats!$B2 + 18), 6))</f>
        <v>#VALUE!</v>
      </c>
      <c r="APO5" s="88" t="str">
        <f>INDIRECT(ADDRESS(ROW() - (TemplateStats!$B2 + 18), 6))</f>
        <v>#VALUE!</v>
      </c>
      <c r="APP5" s="88" t="str">
        <f>INDIRECT(ADDRESS(ROW() - (TemplateStats!$B2 + 18), 6))</f>
        <v>#VALUE!</v>
      </c>
      <c r="APQ5" s="88" t="str">
        <f>INDIRECT(ADDRESS(ROW() - (TemplateStats!$B2 + 18), 6))</f>
        <v>#VALUE!</v>
      </c>
      <c r="APR5" s="88" t="str">
        <f>INDIRECT(ADDRESS(ROW() - (TemplateStats!$B2 + 18), 6))</f>
        <v>#VALUE!</v>
      </c>
      <c r="APS5" s="88" t="str">
        <f>INDIRECT(ADDRESS(ROW() - (TemplateStats!$B2 + 18), 6))</f>
        <v>#VALUE!</v>
      </c>
      <c r="APT5" s="88" t="str">
        <f>INDIRECT(ADDRESS(ROW() - (TemplateStats!$B2 + 18), 6))</f>
        <v>#VALUE!</v>
      </c>
      <c r="APU5" s="88" t="str">
        <f>INDIRECT(ADDRESS(ROW() - (TemplateStats!$B2 + 18), 6))</f>
        <v>#VALUE!</v>
      </c>
      <c r="APV5" s="88" t="str">
        <f>INDIRECT(ADDRESS(ROW() - (TemplateStats!$B2 + 18), 6))</f>
        <v>#VALUE!</v>
      </c>
      <c r="APW5" s="88" t="str">
        <f>INDIRECT(ADDRESS(ROW() - (TemplateStats!$B2 + 17), 6))</f>
        <v>#VALUE!</v>
      </c>
      <c r="APX5" s="88" t="str">
        <f>INDIRECT(ADDRESS(ROW() - (TemplateStats!$B2 + 17), 6))</f>
        <v>#VALUE!</v>
      </c>
      <c r="APY5" s="88" t="str">
        <f>INDIRECT(ADDRESS(ROW() - (TemplateStats!$B2 + 17), 6))</f>
        <v>#VALUE!</v>
      </c>
      <c r="APZ5" s="88" t="str">
        <f>INDIRECT(ADDRESS(ROW() - (TemplateStats!$B2 + 17), 6))</f>
        <v>#VALUE!</v>
      </c>
      <c r="AQA5" s="88" t="str">
        <f>INDIRECT(ADDRESS(ROW() - (TemplateStats!$B2 + 17), 6))</f>
        <v>#VALUE!</v>
      </c>
      <c r="AQB5" s="88" t="str">
        <f>INDIRECT(ADDRESS(ROW() - (TemplateStats!$B2 + 17), 6))</f>
        <v>#VALUE!</v>
      </c>
      <c r="AQC5" s="88" t="str">
        <f>INDIRECT(ADDRESS(ROW() - (TemplateStats!$B2 + 17), 6))</f>
        <v>#VALUE!</v>
      </c>
      <c r="AQD5" s="88" t="str">
        <f>INDIRECT(ADDRESS(ROW() - (TemplateStats!$B2 + 17), 6))</f>
        <v>#VALUE!</v>
      </c>
      <c r="AQE5" s="88" t="str">
        <f>INDIRECT(ADDRESS(ROW() - (TemplateStats!$B2 + 17), 6))</f>
        <v>#VALUE!</v>
      </c>
      <c r="AQF5" s="88" t="str">
        <f>INDIRECT(ADDRESS(ROW() - (TemplateStats!$B2 + 17), 6))</f>
        <v>#VALUE!</v>
      </c>
      <c r="AQG5" s="88" t="str">
        <f>INDIRECT(ADDRESS(ROW() - (TemplateStats!$B2 + 17), 6))</f>
        <v>#VALUE!</v>
      </c>
      <c r="AQH5" s="88" t="str">
        <f>INDIRECT(ADDRESS(ROW() - (TemplateStats!$B2 + 17), 6))</f>
        <v>#VALUE!</v>
      </c>
      <c r="AQI5" s="88" t="str">
        <f>INDIRECT(ADDRESS(ROW() - (TemplateStats!$B2 + 17), 6))</f>
        <v>#VALUE!</v>
      </c>
      <c r="AQJ5" s="88" t="str">
        <f>INDIRECT(ADDRESS(ROW() - (TemplateStats!$B2 + 17), 6))</f>
        <v>#VALUE!</v>
      </c>
      <c r="AQK5" s="88" t="str">
        <f>INDIRECT(ADDRESS(ROW() - (TemplateStats!$B2 + 17), 6))</f>
        <v>#VALUE!</v>
      </c>
      <c r="AQL5" s="88" t="str">
        <f>INDIRECT(ADDRESS(ROW() - (TemplateStats!$B2 + 16), 6))</f>
        <v>#VALUE!</v>
      </c>
    </row>
    <row r="6">
      <c r="A6" s="4" t="s">
        <v>252</v>
      </c>
      <c r="B6" s="10" t="str">
        <f t="shared" ref="B6:O6" si="303">"Pyro"</f>
        <v>Pyro</v>
      </c>
      <c r="C6" s="10" t="str">
        <f t="shared" si="303"/>
        <v>Pyro</v>
      </c>
      <c r="D6" s="10" t="str">
        <f t="shared" si="303"/>
        <v>Pyro</v>
      </c>
      <c r="E6" s="10" t="str">
        <f t="shared" si="303"/>
        <v>Pyro</v>
      </c>
      <c r="F6" s="10" t="str">
        <f t="shared" si="303"/>
        <v>Pyro</v>
      </c>
      <c r="G6" s="10" t="str">
        <f t="shared" si="303"/>
        <v>Pyro</v>
      </c>
      <c r="H6" s="10" t="str">
        <f t="shared" si="303"/>
        <v>Pyro</v>
      </c>
      <c r="I6" s="10" t="str">
        <f t="shared" si="303"/>
        <v>Pyro</v>
      </c>
      <c r="J6" s="10" t="str">
        <f t="shared" si="303"/>
        <v>Pyro</v>
      </c>
      <c r="K6" s="10" t="str">
        <f t="shared" si="303"/>
        <v>Pyro</v>
      </c>
      <c r="L6" s="10" t="str">
        <f t="shared" si="303"/>
        <v>Pyro</v>
      </c>
      <c r="M6" s="10" t="str">
        <f t="shared" si="303"/>
        <v>Pyro</v>
      </c>
      <c r="N6" s="10" t="str">
        <f t="shared" si="303"/>
        <v>Pyro</v>
      </c>
      <c r="O6" s="10" t="str">
        <f t="shared" si="303"/>
        <v>Pyro</v>
      </c>
      <c r="P6" s="10" t="str">
        <f t="shared" ref="P6:Y6" si="304">"Physical"</f>
        <v>Physical</v>
      </c>
      <c r="Q6" s="10" t="str">
        <f t="shared" si="304"/>
        <v>Physical</v>
      </c>
      <c r="R6" s="10" t="str">
        <f t="shared" si="304"/>
        <v>Physical</v>
      </c>
      <c r="S6" s="10" t="str">
        <f t="shared" si="304"/>
        <v>Physical</v>
      </c>
      <c r="T6" s="10" t="str">
        <f t="shared" si="304"/>
        <v>Physical</v>
      </c>
      <c r="U6" s="10" t="str">
        <f t="shared" si="304"/>
        <v>Physical</v>
      </c>
      <c r="V6" s="10" t="str">
        <f t="shared" si="304"/>
        <v>Physical</v>
      </c>
      <c r="W6" s="10" t="str">
        <f t="shared" si="304"/>
        <v>Physical</v>
      </c>
      <c r="X6" s="10" t="str">
        <f t="shared" si="304"/>
        <v>Physical</v>
      </c>
      <c r="Y6" s="10" t="str">
        <f t="shared" si="304"/>
        <v>Physical</v>
      </c>
      <c r="Z6" s="10" t="str">
        <f t="shared" ref="Z6:AC6" si="305">"Geo"</f>
        <v>Geo</v>
      </c>
      <c r="AA6" s="10" t="str">
        <f t="shared" si="305"/>
        <v>Geo</v>
      </c>
      <c r="AB6" s="10" t="str">
        <f t="shared" si="305"/>
        <v>Geo</v>
      </c>
      <c r="AC6" s="10" t="str">
        <f t="shared" si="305"/>
        <v>Geo</v>
      </c>
      <c r="AD6" s="10" t="str">
        <f t="shared" ref="AD6:AH6" si="306">"Cryo"</f>
        <v>Cryo</v>
      </c>
      <c r="AE6" s="10" t="str">
        <f t="shared" si="306"/>
        <v>Cryo</v>
      </c>
      <c r="AF6" s="10" t="str">
        <f t="shared" si="306"/>
        <v>Cryo</v>
      </c>
      <c r="AG6" s="10" t="str">
        <f t="shared" si="306"/>
        <v>Cryo</v>
      </c>
      <c r="AH6" s="10" t="str">
        <f t="shared" si="306"/>
        <v>Cryo</v>
      </c>
      <c r="AI6" s="10" t="str">
        <f>"Physical"</f>
        <v>Physical</v>
      </c>
      <c r="AJ6" s="10" t="str">
        <f>"Cryo"</f>
        <v>Cryo</v>
      </c>
      <c r="AK6" s="10" t="str">
        <f t="shared" ref="AK6:AM6" si="307">"Physical"</f>
        <v>Physical</v>
      </c>
      <c r="AL6" s="10" t="str">
        <f t="shared" si="307"/>
        <v>Physical</v>
      </c>
      <c r="AM6" s="10" t="str">
        <f t="shared" si="307"/>
        <v>Physical</v>
      </c>
      <c r="AN6" s="10" t="str">
        <f t="shared" ref="AN6:AP6" si="308">"Cryo"</f>
        <v>Cryo</v>
      </c>
      <c r="AO6" s="10" t="str">
        <f t="shared" si="308"/>
        <v>Cryo</v>
      </c>
      <c r="AP6" s="10" t="str">
        <f t="shared" si="308"/>
        <v>Cryo</v>
      </c>
      <c r="AQ6" s="10" t="str">
        <f t="shared" ref="AQ6:AV6" si="309">"Physical"</f>
        <v>Physical</v>
      </c>
      <c r="AR6" s="10" t="str">
        <f t="shared" si="309"/>
        <v>Physical</v>
      </c>
      <c r="AS6" s="10" t="str">
        <f t="shared" si="309"/>
        <v>Physical</v>
      </c>
      <c r="AT6" s="10" t="str">
        <f t="shared" si="309"/>
        <v>Physical</v>
      </c>
      <c r="AU6" s="10" t="str">
        <f t="shared" si="309"/>
        <v>Physical</v>
      </c>
      <c r="AV6" s="10" t="str">
        <f t="shared" si="309"/>
        <v>Physical</v>
      </c>
      <c r="AW6" s="10" t="str">
        <f>"Pyro"</f>
        <v>Pyro</v>
      </c>
      <c r="AX6" s="10" t="str">
        <f t="shared" ref="AX6:AZ6" si="310">"Physical"</f>
        <v>Physical</v>
      </c>
      <c r="AY6" s="10" t="str">
        <f t="shared" si="310"/>
        <v>Physical</v>
      </c>
      <c r="AZ6" s="10" t="str">
        <f t="shared" si="310"/>
        <v>Physical</v>
      </c>
      <c r="BA6" s="10" t="str">
        <f t="shared" ref="BA6:BB6" si="311">"Pyro"</f>
        <v>Pyro</v>
      </c>
      <c r="BB6" s="10" t="str">
        <f t="shared" si="311"/>
        <v>Pyro</v>
      </c>
      <c r="BC6" s="10" t="str">
        <f t="shared" ref="BC6:BN6" si="312">"Physical"</f>
        <v>Physical</v>
      </c>
      <c r="BD6" s="10" t="str">
        <f t="shared" si="312"/>
        <v>Physical</v>
      </c>
      <c r="BE6" s="10" t="str">
        <f t="shared" si="312"/>
        <v>Physical</v>
      </c>
      <c r="BF6" s="10" t="str">
        <f t="shared" si="312"/>
        <v>Physical</v>
      </c>
      <c r="BG6" s="10" t="str">
        <f t="shared" si="312"/>
        <v>Physical</v>
      </c>
      <c r="BH6" s="10" t="str">
        <f t="shared" si="312"/>
        <v>Physical</v>
      </c>
      <c r="BI6" s="10" t="str">
        <f t="shared" si="312"/>
        <v>Physical</v>
      </c>
      <c r="BJ6" s="10" t="str">
        <f t="shared" si="312"/>
        <v>Physical</v>
      </c>
      <c r="BK6" s="10" t="str">
        <f t="shared" si="312"/>
        <v>Physical</v>
      </c>
      <c r="BL6" s="10" t="str">
        <f t="shared" si="312"/>
        <v>Physical</v>
      </c>
      <c r="BM6" s="10" t="str">
        <f t="shared" si="312"/>
        <v>Physical</v>
      </c>
      <c r="BN6" s="10" t="str">
        <f t="shared" si="312"/>
        <v>Physical</v>
      </c>
      <c r="BO6" s="10" t="str">
        <f t="shared" ref="BO6:BP6" si="313">"Anemo"</f>
        <v>Anemo</v>
      </c>
      <c r="BP6" s="10" t="str">
        <f t="shared" si="313"/>
        <v>Anemo</v>
      </c>
      <c r="BQ6" s="10" t="str">
        <f>"Pyro"</f>
        <v>Pyro</v>
      </c>
      <c r="BR6" s="10" t="str">
        <f>"Anemo"</f>
        <v>Anemo</v>
      </c>
      <c r="BS6" s="10" t="str">
        <f>"Pyro"</f>
        <v>Pyro</v>
      </c>
      <c r="BT6" s="10" t="str">
        <f>"Anemo"</f>
        <v>Anemo</v>
      </c>
      <c r="BU6" s="10" t="str">
        <f>"Pyro"</f>
        <v>Pyro</v>
      </c>
      <c r="BV6" s="10" t="str">
        <f>"Anemo"</f>
        <v>Anemo</v>
      </c>
      <c r="BW6" s="10" t="str">
        <f>"Pyro"</f>
        <v>Pyro</v>
      </c>
      <c r="BX6" s="10" t="str">
        <f>"Anemo"</f>
        <v>Anemo</v>
      </c>
      <c r="BY6" s="10" t="str">
        <f>"Pyro"</f>
        <v>Pyro</v>
      </c>
      <c r="BZ6" s="10" t="str">
        <f t="shared" ref="BZ6:CK6" si="314">"Cryo"</f>
        <v>Cryo</v>
      </c>
      <c r="CA6" s="10" t="str">
        <f t="shared" si="314"/>
        <v>Cryo</v>
      </c>
      <c r="CB6" s="10" t="str">
        <f t="shared" si="314"/>
        <v>Cryo</v>
      </c>
      <c r="CC6" s="10" t="str">
        <f t="shared" si="314"/>
        <v>Cryo</v>
      </c>
      <c r="CD6" s="10" t="str">
        <f t="shared" si="314"/>
        <v>Cryo</v>
      </c>
      <c r="CE6" s="10" t="str">
        <f t="shared" si="314"/>
        <v>Cryo</v>
      </c>
      <c r="CF6" s="10" t="str">
        <f t="shared" si="314"/>
        <v>Cryo</v>
      </c>
      <c r="CG6" s="10" t="str">
        <f t="shared" si="314"/>
        <v>Cryo</v>
      </c>
      <c r="CH6" s="10" t="str">
        <f t="shared" si="314"/>
        <v>Cryo</v>
      </c>
      <c r="CI6" s="10" t="str">
        <f t="shared" si="314"/>
        <v>Cryo</v>
      </c>
      <c r="CJ6" s="10" t="str">
        <f t="shared" si="314"/>
        <v>Cryo</v>
      </c>
      <c r="CK6" s="10" t="str">
        <f t="shared" si="314"/>
        <v>Cryo</v>
      </c>
      <c r="CL6" s="10" t="str">
        <f t="shared" ref="CL6:CT6" si="315">"Physical"</f>
        <v>Physical</v>
      </c>
      <c r="CM6" s="10" t="str">
        <f t="shared" si="315"/>
        <v>Physical</v>
      </c>
      <c r="CN6" s="10" t="str">
        <f t="shared" si="315"/>
        <v>Physical</v>
      </c>
      <c r="CO6" s="10" t="str">
        <f t="shared" si="315"/>
        <v>Physical</v>
      </c>
      <c r="CP6" s="10" t="str">
        <f t="shared" si="315"/>
        <v>Physical</v>
      </c>
      <c r="CQ6" s="10" t="str">
        <f t="shared" si="315"/>
        <v>Physical</v>
      </c>
      <c r="CR6" s="10" t="str">
        <f t="shared" si="315"/>
        <v>Physical</v>
      </c>
      <c r="CS6" s="10" t="str">
        <f t="shared" si="315"/>
        <v>Physical</v>
      </c>
      <c r="CT6" s="10" t="str">
        <f t="shared" si="315"/>
        <v>Physical</v>
      </c>
      <c r="CU6" s="10" t="str">
        <f t="shared" ref="CU6:DH6" si="316">"Hydro"</f>
        <v>Hydro</v>
      </c>
      <c r="CV6" s="10" t="str">
        <f t="shared" si="316"/>
        <v>Hydro</v>
      </c>
      <c r="CW6" s="10" t="str">
        <f t="shared" si="316"/>
        <v>Hydro</v>
      </c>
      <c r="CX6" s="10" t="str">
        <f t="shared" si="316"/>
        <v>Hydro</v>
      </c>
      <c r="CY6" s="10" t="str">
        <f t="shared" si="316"/>
        <v>Hydro</v>
      </c>
      <c r="CZ6" s="10" t="str">
        <f t="shared" si="316"/>
        <v>Hydro</v>
      </c>
      <c r="DA6" s="10" t="str">
        <f t="shared" si="316"/>
        <v>Hydro</v>
      </c>
      <c r="DB6" s="10" t="str">
        <f t="shared" si="316"/>
        <v>Hydro</v>
      </c>
      <c r="DC6" s="10" t="str">
        <f t="shared" si="316"/>
        <v>Hydro</v>
      </c>
      <c r="DD6" s="10" t="str">
        <f t="shared" si="316"/>
        <v>Hydro</v>
      </c>
      <c r="DE6" s="10" t="str">
        <f t="shared" si="316"/>
        <v>Hydro</v>
      </c>
      <c r="DF6" s="10" t="str">
        <f t="shared" si="316"/>
        <v>Hydro</v>
      </c>
      <c r="DG6" s="10" t="str">
        <f t="shared" si="316"/>
        <v>Hydro</v>
      </c>
      <c r="DH6" s="10" t="str">
        <f t="shared" si="316"/>
        <v>Hydro</v>
      </c>
      <c r="DI6" s="10" t="str">
        <f t="shared" ref="DI6:DR6" si="317">"Physical"</f>
        <v>Physical</v>
      </c>
      <c r="DJ6" s="10" t="str">
        <f t="shared" si="317"/>
        <v>Physical</v>
      </c>
      <c r="DK6" s="10" t="str">
        <f t="shared" si="317"/>
        <v>Physical</v>
      </c>
      <c r="DL6" s="10" t="str">
        <f t="shared" si="317"/>
        <v>Physical</v>
      </c>
      <c r="DM6" s="10" t="str">
        <f t="shared" si="317"/>
        <v>Physical</v>
      </c>
      <c r="DN6" s="10" t="str">
        <f t="shared" si="317"/>
        <v>Physical</v>
      </c>
      <c r="DO6" s="10" t="str">
        <f t="shared" si="317"/>
        <v>Physical</v>
      </c>
      <c r="DP6" s="10" t="str">
        <f t="shared" si="317"/>
        <v>Physical</v>
      </c>
      <c r="DQ6" s="10" t="str">
        <f t="shared" si="317"/>
        <v>Physical</v>
      </c>
      <c r="DR6" s="10" t="str">
        <f t="shared" si="317"/>
        <v>Physical</v>
      </c>
      <c r="DS6" s="10" t="str">
        <f t="shared" ref="DS6:DW6" si="318">"Electro"</f>
        <v>Electro</v>
      </c>
      <c r="DT6" s="10" t="str">
        <f t="shared" si="318"/>
        <v>Electro</v>
      </c>
      <c r="DU6" s="10" t="str">
        <f t="shared" si="318"/>
        <v>Electro</v>
      </c>
      <c r="DV6" s="10" t="str">
        <f t="shared" si="318"/>
        <v>Electro</v>
      </c>
      <c r="DW6" s="10" t="str">
        <f t="shared" si="318"/>
        <v>Electro</v>
      </c>
      <c r="DX6" s="10" t="str">
        <f t="shared" ref="DX6:EG6" si="319">"Physical"</f>
        <v>Physical</v>
      </c>
      <c r="DY6" s="10" t="str">
        <f t="shared" si="319"/>
        <v>Physical</v>
      </c>
      <c r="DZ6" s="10" t="str">
        <f t="shared" si="319"/>
        <v>Physical</v>
      </c>
      <c r="EA6" s="10" t="str">
        <f t="shared" si="319"/>
        <v>Physical</v>
      </c>
      <c r="EB6" s="10" t="str">
        <f t="shared" si="319"/>
        <v>Physical</v>
      </c>
      <c r="EC6" s="10" t="str">
        <f t="shared" si="319"/>
        <v>Physical</v>
      </c>
      <c r="ED6" s="10" t="str">
        <f t="shared" si="319"/>
        <v>Physical</v>
      </c>
      <c r="EE6" s="10" t="str">
        <f t="shared" si="319"/>
        <v>Physical</v>
      </c>
      <c r="EF6" s="10" t="str">
        <f t="shared" si="319"/>
        <v>Physical</v>
      </c>
      <c r="EG6" s="10" t="str">
        <f t="shared" si="319"/>
        <v>Physical</v>
      </c>
      <c r="EH6" s="10" t="str">
        <f t="shared" ref="EH6:EN6" si="320">"Pyro"</f>
        <v>Pyro</v>
      </c>
      <c r="EI6" s="10" t="str">
        <f t="shared" si="320"/>
        <v>Pyro</v>
      </c>
      <c r="EJ6" s="10" t="str">
        <f t="shared" si="320"/>
        <v>Pyro</v>
      </c>
      <c r="EK6" s="10" t="str">
        <f t="shared" si="320"/>
        <v>Pyro</v>
      </c>
      <c r="EL6" s="10" t="str">
        <f t="shared" si="320"/>
        <v>Pyro</v>
      </c>
      <c r="EM6" s="10" t="str">
        <f t="shared" si="320"/>
        <v>Pyro</v>
      </c>
      <c r="EN6" s="10" t="str">
        <f t="shared" si="320"/>
        <v>Pyro</v>
      </c>
      <c r="EO6" s="10" t="str">
        <f t="shared" ref="EO6:EY6" si="321">"Cryo"</f>
        <v>Cryo</v>
      </c>
      <c r="EP6" s="10" t="str">
        <f t="shared" si="321"/>
        <v>Cryo</v>
      </c>
      <c r="EQ6" s="10" t="str">
        <f t="shared" si="321"/>
        <v>Cryo</v>
      </c>
      <c r="ER6" s="10" t="str">
        <f t="shared" si="321"/>
        <v>Cryo</v>
      </c>
      <c r="ES6" s="10" t="str">
        <f t="shared" si="321"/>
        <v>Cryo</v>
      </c>
      <c r="ET6" s="10" t="str">
        <f t="shared" si="321"/>
        <v>Cryo</v>
      </c>
      <c r="EU6" s="10" t="str">
        <f t="shared" si="321"/>
        <v>Cryo</v>
      </c>
      <c r="EV6" s="10" t="str">
        <f t="shared" si="321"/>
        <v>Cryo</v>
      </c>
      <c r="EW6" s="10" t="str">
        <f t="shared" si="321"/>
        <v>Cryo</v>
      </c>
      <c r="EX6" s="10" t="str">
        <f t="shared" si="321"/>
        <v>Cryo</v>
      </c>
      <c r="EY6" s="10" t="str">
        <f t="shared" si="321"/>
        <v>Cryo</v>
      </c>
      <c r="EZ6" s="10" t="str">
        <f t="shared" ref="EZ6:FD6" si="322">"Physical"</f>
        <v>Physical</v>
      </c>
      <c r="FA6" s="10" t="str">
        <f t="shared" si="322"/>
        <v>Physical</v>
      </c>
      <c r="FB6" s="10" t="str">
        <f t="shared" si="322"/>
        <v>Physical</v>
      </c>
      <c r="FC6" s="10" t="str">
        <f t="shared" si="322"/>
        <v>Physical</v>
      </c>
      <c r="FD6" s="10" t="str">
        <f t="shared" si="322"/>
        <v>Physical</v>
      </c>
      <c r="FE6" s="10" t="str">
        <f>"Dendro"</f>
        <v>Dendro</v>
      </c>
      <c r="FF6" s="10" t="str">
        <f t="shared" ref="FF6:FG6" si="323">"Physical"</f>
        <v>Physical</v>
      </c>
      <c r="FG6" s="10" t="str">
        <f t="shared" si="323"/>
        <v>Physical</v>
      </c>
      <c r="FH6" s="10" t="str">
        <f>" "</f>
        <v> </v>
      </c>
      <c r="FI6" s="10" t="str">
        <f t="shared" ref="FI6:FL6" si="324">"Dendro"</f>
        <v>Dendro</v>
      </c>
      <c r="FJ6" s="10" t="str">
        <f t="shared" si="324"/>
        <v>Dendro</v>
      </c>
      <c r="FK6" s="10" t="str">
        <f t="shared" si="324"/>
        <v>Dendro</v>
      </c>
      <c r="FL6" s="10" t="str">
        <f t="shared" si="324"/>
        <v>Dendro</v>
      </c>
      <c r="FM6" s="10" t="str">
        <f t="shared" ref="FM6:GA6" si="325">"Pyro"</f>
        <v>Pyro</v>
      </c>
      <c r="FN6" s="10" t="str">
        <f t="shared" si="325"/>
        <v>Pyro</v>
      </c>
      <c r="FO6" s="10" t="str">
        <f t="shared" si="325"/>
        <v>Pyro</v>
      </c>
      <c r="FP6" s="10" t="str">
        <f t="shared" si="325"/>
        <v>Pyro</v>
      </c>
      <c r="FQ6" s="10" t="str">
        <f t="shared" si="325"/>
        <v>Pyro</v>
      </c>
      <c r="FR6" s="10" t="str">
        <f t="shared" si="325"/>
        <v>Pyro</v>
      </c>
      <c r="FS6" s="10" t="str">
        <f t="shared" si="325"/>
        <v>Pyro</v>
      </c>
      <c r="FT6" s="10" t="str">
        <f t="shared" si="325"/>
        <v>Pyro</v>
      </c>
      <c r="FU6" s="10" t="str">
        <f t="shared" si="325"/>
        <v>Pyro</v>
      </c>
      <c r="FV6" s="10" t="str">
        <f t="shared" si="325"/>
        <v>Pyro</v>
      </c>
      <c r="FW6" s="10" t="str">
        <f t="shared" si="325"/>
        <v>Pyro</v>
      </c>
      <c r="FX6" s="10" t="str">
        <f t="shared" si="325"/>
        <v>Pyro</v>
      </c>
      <c r="FY6" s="10" t="str">
        <f t="shared" si="325"/>
        <v>Pyro</v>
      </c>
      <c r="FZ6" s="10" t="str">
        <f t="shared" si="325"/>
        <v>Pyro</v>
      </c>
      <c r="GA6" s="10" t="str">
        <f t="shared" si="325"/>
        <v>Pyro</v>
      </c>
      <c r="GB6" s="10" t="str">
        <f t="shared" ref="GB6:GG6" si="326">"Physical"</f>
        <v>Physical</v>
      </c>
      <c r="GC6" s="10" t="str">
        <f t="shared" si="326"/>
        <v>Physical</v>
      </c>
      <c r="GD6" s="10" t="str">
        <f t="shared" si="326"/>
        <v>Physical</v>
      </c>
      <c r="GE6" s="10" t="str">
        <f t="shared" si="326"/>
        <v>Physical</v>
      </c>
      <c r="GF6" s="10" t="str">
        <f t="shared" si="326"/>
        <v>Physical</v>
      </c>
      <c r="GG6" s="10" t="str">
        <f t="shared" si="326"/>
        <v>Physical</v>
      </c>
      <c r="GH6" s="10" t="str">
        <f>"Cryo"</f>
        <v>Cryo</v>
      </c>
      <c r="GI6" s="10" t="str">
        <f t="shared" ref="GI6:GK6" si="327">"Physical"</f>
        <v>Physical</v>
      </c>
      <c r="GJ6" s="10" t="str">
        <f t="shared" si="327"/>
        <v>Physical</v>
      </c>
      <c r="GK6" s="10" t="str">
        <f t="shared" si="327"/>
        <v>Physical</v>
      </c>
      <c r="GL6" s="10" t="str">
        <f t="shared" ref="GL6:GN6" si="328">"Cryo"</f>
        <v>Cryo</v>
      </c>
      <c r="GM6" s="10" t="str">
        <f t="shared" si="328"/>
        <v>Cryo</v>
      </c>
      <c r="GN6" s="10" t="str">
        <f t="shared" si="328"/>
        <v>Cryo</v>
      </c>
      <c r="GO6" s="10" t="str">
        <f t="shared" ref="GO6:GZ6" si="329">"Physical"</f>
        <v>Physical</v>
      </c>
      <c r="GP6" s="10" t="str">
        <f t="shared" si="329"/>
        <v>Physical</v>
      </c>
      <c r="GQ6" s="10" t="str">
        <f t="shared" si="329"/>
        <v>Physical</v>
      </c>
      <c r="GR6" s="10" t="str">
        <f t="shared" si="329"/>
        <v>Physical</v>
      </c>
      <c r="GS6" s="10" t="str">
        <f t="shared" si="329"/>
        <v>Physical</v>
      </c>
      <c r="GT6" s="10" t="str">
        <f t="shared" si="329"/>
        <v>Physical</v>
      </c>
      <c r="GU6" s="10" t="str">
        <f t="shared" si="329"/>
        <v>Physical</v>
      </c>
      <c r="GV6" s="10" t="str">
        <f t="shared" si="329"/>
        <v>Physical</v>
      </c>
      <c r="GW6" s="10" t="str">
        <f t="shared" si="329"/>
        <v>Physical</v>
      </c>
      <c r="GX6" s="10" t="str">
        <f t="shared" si="329"/>
        <v>Physical</v>
      </c>
      <c r="GY6" s="10" t="str">
        <f t="shared" si="329"/>
        <v>Physical</v>
      </c>
      <c r="GZ6" s="10" t="str">
        <f t="shared" si="329"/>
        <v>Physical</v>
      </c>
      <c r="HA6" s="10" t="str">
        <f t="shared" ref="HA6:HC6" si="330">"Dendro"</f>
        <v>Dendro</v>
      </c>
      <c r="HB6" s="10" t="str">
        <f t="shared" si="330"/>
        <v>Dendro</v>
      </c>
      <c r="HC6" s="10" t="str">
        <f t="shared" si="330"/>
        <v>Dendro</v>
      </c>
      <c r="HD6" s="10" t="str">
        <f t="shared" ref="HD6:HL6" si="331">"Physical"</f>
        <v>Physical</v>
      </c>
      <c r="HE6" s="10" t="str">
        <f t="shared" si="331"/>
        <v>Physical</v>
      </c>
      <c r="HF6" s="10" t="str">
        <f t="shared" si="331"/>
        <v>Physical</v>
      </c>
      <c r="HG6" s="10" t="str">
        <f t="shared" si="331"/>
        <v>Physical</v>
      </c>
      <c r="HH6" s="10" t="str">
        <f t="shared" si="331"/>
        <v>Physical</v>
      </c>
      <c r="HI6" s="10" t="str">
        <f t="shared" si="331"/>
        <v>Physical</v>
      </c>
      <c r="HJ6" s="10" t="str">
        <f t="shared" si="331"/>
        <v>Physical</v>
      </c>
      <c r="HK6" s="10" t="str">
        <f t="shared" si="331"/>
        <v>Physical</v>
      </c>
      <c r="HL6" s="10" t="str">
        <f t="shared" si="331"/>
        <v>Physical</v>
      </c>
      <c r="HM6" s="10" t="str">
        <f t="shared" ref="HM6:HO6" si="332">"Electro"</f>
        <v>Electro</v>
      </c>
      <c r="HN6" s="10" t="str">
        <f t="shared" si="332"/>
        <v>Electro</v>
      </c>
      <c r="HO6" s="10" t="str">
        <f t="shared" si="332"/>
        <v>Electro</v>
      </c>
      <c r="HP6" s="10" t="str">
        <f t="shared" ref="HP6:IA6" si="333">"Physical"</f>
        <v>Physical</v>
      </c>
      <c r="HQ6" s="10" t="str">
        <f t="shared" si="333"/>
        <v>Physical</v>
      </c>
      <c r="HR6" s="10" t="str">
        <f t="shared" si="333"/>
        <v>Physical</v>
      </c>
      <c r="HS6" s="10" t="str">
        <f t="shared" si="333"/>
        <v>Physical</v>
      </c>
      <c r="HT6" s="10" t="str">
        <f t="shared" si="333"/>
        <v>Physical</v>
      </c>
      <c r="HU6" s="10" t="str">
        <f t="shared" si="333"/>
        <v>Physical</v>
      </c>
      <c r="HV6" s="10" t="str">
        <f t="shared" si="333"/>
        <v>Physical</v>
      </c>
      <c r="HW6" s="10" t="str">
        <f t="shared" si="333"/>
        <v>Physical</v>
      </c>
      <c r="HX6" s="10" t="str">
        <f t="shared" si="333"/>
        <v>Physical</v>
      </c>
      <c r="HY6" s="10" t="str">
        <f t="shared" si="333"/>
        <v>Physical</v>
      </c>
      <c r="HZ6" s="10" t="str">
        <f t="shared" si="333"/>
        <v>Physical</v>
      </c>
      <c r="IA6" s="10" t="str">
        <f t="shared" si="333"/>
        <v>Physical</v>
      </c>
      <c r="IB6" s="10" t="str">
        <f t="shared" ref="IB6:ID6" si="334">"Electro"</f>
        <v>Electro</v>
      </c>
      <c r="IC6" s="10" t="str">
        <f t="shared" si="334"/>
        <v>Electro</v>
      </c>
      <c r="ID6" s="10" t="str">
        <f t="shared" si="334"/>
        <v>Electro</v>
      </c>
      <c r="IE6" s="10" t="str">
        <f t="shared" ref="IE6:IN6" si="335">"Physical"</f>
        <v>Physical</v>
      </c>
      <c r="IF6" s="10" t="str">
        <f t="shared" si="335"/>
        <v>Physical</v>
      </c>
      <c r="IG6" s="10" t="str">
        <f t="shared" si="335"/>
        <v>Physical</v>
      </c>
      <c r="IH6" s="10" t="str">
        <f t="shared" si="335"/>
        <v>Physical</v>
      </c>
      <c r="II6" s="10" t="str">
        <f t="shared" si="335"/>
        <v>Physical</v>
      </c>
      <c r="IJ6" s="10" t="str">
        <f t="shared" si="335"/>
        <v>Physical</v>
      </c>
      <c r="IK6" s="10" t="str">
        <f t="shared" si="335"/>
        <v>Physical</v>
      </c>
      <c r="IL6" s="10" t="str">
        <f t="shared" si="335"/>
        <v>Physical</v>
      </c>
      <c r="IM6" s="10" t="str">
        <f t="shared" si="335"/>
        <v>Physical</v>
      </c>
      <c r="IN6" s="10" t="str">
        <f t="shared" si="335"/>
        <v>Physical</v>
      </c>
      <c r="IO6" s="10" t="str">
        <f t="shared" ref="IO6:IR6" si="336">"Cryo"</f>
        <v>Cryo</v>
      </c>
      <c r="IP6" s="10" t="str">
        <f t="shared" si="336"/>
        <v>Cryo</v>
      </c>
      <c r="IQ6" s="10" t="str">
        <f t="shared" si="336"/>
        <v>Cryo</v>
      </c>
      <c r="IR6" s="10" t="str">
        <f t="shared" si="336"/>
        <v>Cryo</v>
      </c>
      <c r="IS6" s="10" t="str">
        <f t="shared" ref="IS6:IZ6" si="337">"Physical"</f>
        <v>Physical</v>
      </c>
      <c r="IT6" s="179" t="str">
        <f t="shared" si="337"/>
        <v>Physical</v>
      </c>
      <c r="IU6" s="10" t="str">
        <f t="shared" si="337"/>
        <v>Physical</v>
      </c>
      <c r="IV6" s="10" t="str">
        <f t="shared" si="337"/>
        <v>Physical</v>
      </c>
      <c r="IW6" s="10" t="str">
        <f t="shared" si="337"/>
        <v>Physical</v>
      </c>
      <c r="IX6" s="10" t="str">
        <f t="shared" si="337"/>
        <v>Physical</v>
      </c>
      <c r="IY6" s="10" t="str">
        <f t="shared" si="337"/>
        <v>Physical</v>
      </c>
      <c r="IZ6" s="10" t="str">
        <f t="shared" si="337"/>
        <v>Physical</v>
      </c>
      <c r="JA6" s="10" t="str">
        <f>"Electro"</f>
        <v>Electro</v>
      </c>
      <c r="JB6" s="10" t="str">
        <f t="shared" ref="JB6:JD6" si="338">"Physical"</f>
        <v>Physical</v>
      </c>
      <c r="JC6" s="10" t="str">
        <f t="shared" si="338"/>
        <v>Physical</v>
      </c>
      <c r="JD6" s="10" t="str">
        <f t="shared" si="338"/>
        <v>Physical</v>
      </c>
      <c r="JE6" s="10" t="str">
        <f t="shared" ref="JE6:JH6" si="339">"Electro"</f>
        <v>Electro</v>
      </c>
      <c r="JF6" s="10" t="str">
        <f t="shared" si="339"/>
        <v>Electro</v>
      </c>
      <c r="JG6" s="10" t="str">
        <f t="shared" si="339"/>
        <v>Electro</v>
      </c>
      <c r="JH6" s="10" t="str">
        <f t="shared" si="339"/>
        <v>Electro</v>
      </c>
      <c r="JI6" s="10" t="str">
        <f t="shared" ref="JI6:JO6" si="340">"Physical"</f>
        <v>Physical</v>
      </c>
      <c r="JJ6" s="10" t="str">
        <f t="shared" si="340"/>
        <v>Physical</v>
      </c>
      <c r="JK6" s="10" t="str">
        <f t="shared" si="340"/>
        <v>Physical</v>
      </c>
      <c r="JL6" s="10" t="str">
        <f t="shared" si="340"/>
        <v>Physical</v>
      </c>
      <c r="JM6" s="10" t="str">
        <f t="shared" si="340"/>
        <v>Physical</v>
      </c>
      <c r="JN6" s="10" t="str">
        <f t="shared" si="340"/>
        <v>Physical</v>
      </c>
      <c r="JO6" s="10" t="str">
        <f t="shared" si="340"/>
        <v>Physical</v>
      </c>
      <c r="JP6" s="10" t="str">
        <f t="shared" ref="JP6:JR6" si="341">"Cryo"</f>
        <v>Cryo</v>
      </c>
      <c r="JQ6" s="10" t="str">
        <f t="shared" si="341"/>
        <v>Cryo</v>
      </c>
      <c r="JR6" s="10" t="str">
        <f t="shared" si="341"/>
        <v>Cryo</v>
      </c>
      <c r="JS6" s="10" t="str">
        <f t="shared" ref="JS6:JU6" si="342">"Physical"</f>
        <v>Physical</v>
      </c>
      <c r="JT6" s="10" t="str">
        <f t="shared" si="342"/>
        <v>Physical</v>
      </c>
      <c r="JU6" s="10" t="str">
        <f t="shared" si="342"/>
        <v>Physical</v>
      </c>
      <c r="JV6" s="10" t="str">
        <f t="shared" ref="JV6:JW6" si="343">"Cryo"</f>
        <v>Cryo</v>
      </c>
      <c r="JW6" s="10" t="str">
        <f t="shared" si="343"/>
        <v>Cryo</v>
      </c>
      <c r="JX6" s="10" t="str">
        <f t="shared" ref="JX6:KI6" si="344">"Physical"</f>
        <v>Physical</v>
      </c>
      <c r="JY6" s="10" t="str">
        <f t="shared" si="344"/>
        <v>Physical</v>
      </c>
      <c r="JZ6" s="10" t="str">
        <f t="shared" si="344"/>
        <v>Physical</v>
      </c>
      <c r="KA6" s="10" t="str">
        <f t="shared" si="344"/>
        <v>Physical</v>
      </c>
      <c r="KB6" s="10" t="str">
        <f t="shared" si="344"/>
        <v>Physical</v>
      </c>
      <c r="KC6" s="10" t="str">
        <f t="shared" si="344"/>
        <v>Physical</v>
      </c>
      <c r="KD6" s="10" t="str">
        <f t="shared" si="344"/>
        <v>Physical</v>
      </c>
      <c r="KE6" s="10" t="str">
        <f t="shared" si="344"/>
        <v>Physical</v>
      </c>
      <c r="KF6" s="10" t="str">
        <f t="shared" si="344"/>
        <v>Physical</v>
      </c>
      <c r="KG6" s="10" t="str">
        <f t="shared" si="344"/>
        <v>Physical</v>
      </c>
      <c r="KH6" s="10" t="str">
        <f t="shared" si="344"/>
        <v>Physical</v>
      </c>
      <c r="KI6" s="10" t="str">
        <f t="shared" si="344"/>
        <v>Physical</v>
      </c>
      <c r="KJ6" s="10" t="str">
        <f t="shared" ref="KJ6:KL6" si="345">"Geo"</f>
        <v>Geo</v>
      </c>
      <c r="KK6" s="10" t="str">
        <f t="shared" si="345"/>
        <v>Geo</v>
      </c>
      <c r="KL6" s="10" t="str">
        <f t="shared" si="345"/>
        <v>Geo</v>
      </c>
      <c r="KM6" s="10" t="str">
        <f t="shared" ref="KM6:KQ6" si="346">"Physical"</f>
        <v>Physical</v>
      </c>
      <c r="KN6" s="10" t="str">
        <f t="shared" si="346"/>
        <v>Physical</v>
      </c>
      <c r="KO6" s="10" t="str">
        <f t="shared" si="346"/>
        <v>Physical</v>
      </c>
      <c r="KP6" s="10" t="str">
        <f t="shared" si="346"/>
        <v>Physical</v>
      </c>
      <c r="KQ6" s="10" t="str">
        <f t="shared" si="346"/>
        <v>Physical</v>
      </c>
      <c r="KR6" s="10" t="str">
        <f>"Geo"</f>
        <v>Geo</v>
      </c>
      <c r="KS6" s="10" t="str">
        <f t="shared" ref="KS6:KU6" si="347">"Physical"</f>
        <v>Physical</v>
      </c>
      <c r="KT6" s="10" t="str">
        <f t="shared" si="347"/>
        <v>Physical</v>
      </c>
      <c r="KU6" s="10" t="str">
        <f t="shared" si="347"/>
        <v>Physical</v>
      </c>
      <c r="KV6" s="10" t="str">
        <f t="shared" ref="KV6:KX6" si="348">"Geo"</f>
        <v>Geo</v>
      </c>
      <c r="KW6" s="10" t="str">
        <f t="shared" si="348"/>
        <v>Geo</v>
      </c>
      <c r="KX6" s="10" t="str">
        <f t="shared" si="348"/>
        <v>Geo</v>
      </c>
      <c r="KY6" s="10" t="str">
        <f t="shared" ref="KY6:LO6" si="349">"Anemo"</f>
        <v>Anemo</v>
      </c>
      <c r="KZ6" s="10" t="str">
        <f t="shared" si="349"/>
        <v>Anemo</v>
      </c>
      <c r="LA6" s="10" t="str">
        <f t="shared" si="349"/>
        <v>Anemo</v>
      </c>
      <c r="LB6" s="10" t="str">
        <f t="shared" si="349"/>
        <v>Anemo</v>
      </c>
      <c r="LC6" s="10" t="str">
        <f t="shared" si="349"/>
        <v>Anemo</v>
      </c>
      <c r="LD6" s="10" t="str">
        <f t="shared" si="349"/>
        <v>Anemo</v>
      </c>
      <c r="LE6" s="10" t="str">
        <f t="shared" si="349"/>
        <v>Anemo</v>
      </c>
      <c r="LF6" s="10" t="str">
        <f t="shared" si="349"/>
        <v>Anemo</v>
      </c>
      <c r="LG6" s="10" t="str">
        <f t="shared" si="349"/>
        <v>Anemo</v>
      </c>
      <c r="LH6" s="10" t="str">
        <f t="shared" si="349"/>
        <v>Anemo</v>
      </c>
      <c r="LI6" s="10" t="str">
        <f t="shared" si="349"/>
        <v>Anemo</v>
      </c>
      <c r="LJ6" s="10" t="str">
        <f t="shared" si="349"/>
        <v>Anemo</v>
      </c>
      <c r="LK6" s="10" t="str">
        <f t="shared" si="349"/>
        <v>Anemo</v>
      </c>
      <c r="LL6" s="10" t="str">
        <f t="shared" si="349"/>
        <v>Anemo</v>
      </c>
      <c r="LM6" s="10" t="str">
        <f t="shared" si="349"/>
        <v>Anemo</v>
      </c>
      <c r="LN6" s="10" t="str">
        <f t="shared" si="349"/>
        <v>Anemo</v>
      </c>
      <c r="LO6" s="10" t="str">
        <f t="shared" si="349"/>
        <v>Anemo</v>
      </c>
      <c r="LP6" s="10" t="str">
        <f>"Pyro"</f>
        <v>Pyro</v>
      </c>
      <c r="LQ6" s="10" t="str">
        <f t="shared" ref="LQ6:MA6" si="350">"Geo"</f>
        <v>Geo</v>
      </c>
      <c r="LR6" s="10" t="str">
        <f t="shared" si="350"/>
        <v>Geo</v>
      </c>
      <c r="LS6" s="10" t="str">
        <f t="shared" si="350"/>
        <v>Geo</v>
      </c>
      <c r="LT6" s="10" t="str">
        <f t="shared" si="350"/>
        <v>Geo</v>
      </c>
      <c r="LU6" s="10" t="str">
        <f t="shared" si="350"/>
        <v>Geo</v>
      </c>
      <c r="LV6" s="10" t="str">
        <f t="shared" si="350"/>
        <v>Geo</v>
      </c>
      <c r="LW6" s="10" t="str">
        <f t="shared" si="350"/>
        <v>Geo</v>
      </c>
      <c r="LX6" s="10" t="str">
        <f t="shared" si="350"/>
        <v>Geo</v>
      </c>
      <c r="LY6" s="10" t="str">
        <f t="shared" si="350"/>
        <v>Geo</v>
      </c>
      <c r="LZ6" s="10" t="str">
        <f t="shared" si="350"/>
        <v>Geo</v>
      </c>
      <c r="MA6" s="10" t="str">
        <f t="shared" si="350"/>
        <v>Geo</v>
      </c>
      <c r="MB6" s="10" t="str">
        <f t="shared" ref="MB6:MJ6" si="351">"Physical"</f>
        <v>Physical</v>
      </c>
      <c r="MC6" s="10" t="str">
        <f t="shared" si="351"/>
        <v>Physical</v>
      </c>
      <c r="MD6" s="10" t="str">
        <f t="shared" si="351"/>
        <v>Physical</v>
      </c>
      <c r="ME6" s="10" t="str">
        <f t="shared" si="351"/>
        <v>Physical</v>
      </c>
      <c r="MF6" s="10" t="str">
        <f t="shared" si="351"/>
        <v>Physical</v>
      </c>
      <c r="MG6" s="10" t="str">
        <f t="shared" si="351"/>
        <v>Physical</v>
      </c>
      <c r="MH6" s="10" t="str">
        <f t="shared" si="351"/>
        <v>Physical</v>
      </c>
      <c r="MI6" s="10" t="str">
        <f t="shared" si="351"/>
        <v>Physical</v>
      </c>
      <c r="MJ6" s="10" t="str">
        <f t="shared" si="351"/>
        <v>Physical</v>
      </c>
      <c r="MK6" s="10" t="str">
        <f t="shared" ref="MK6:MM6" si="352">"Anemo"</f>
        <v>Anemo</v>
      </c>
      <c r="ML6" s="10" t="str">
        <f t="shared" si="352"/>
        <v>Anemo</v>
      </c>
      <c r="MM6" s="10" t="str">
        <f t="shared" si="352"/>
        <v>Anemo</v>
      </c>
      <c r="MN6" s="10" t="str">
        <f t="shared" ref="MN6:MW6" si="353">"Physical"</f>
        <v>Physical</v>
      </c>
      <c r="MO6" s="10" t="str">
        <f t="shared" si="353"/>
        <v>Physical</v>
      </c>
      <c r="MP6" s="10" t="str">
        <f t="shared" si="353"/>
        <v>Physical</v>
      </c>
      <c r="MQ6" s="10" t="str">
        <f t="shared" si="353"/>
        <v>Physical</v>
      </c>
      <c r="MR6" s="10" t="str">
        <f t="shared" si="353"/>
        <v>Physical</v>
      </c>
      <c r="MS6" s="10" t="str">
        <f t="shared" si="353"/>
        <v>Physical</v>
      </c>
      <c r="MT6" s="10" t="str">
        <f t="shared" si="353"/>
        <v>Physical</v>
      </c>
      <c r="MU6" s="10" t="str">
        <f t="shared" si="353"/>
        <v>Physical</v>
      </c>
      <c r="MV6" s="10" t="str">
        <f t="shared" si="353"/>
        <v>Physical</v>
      </c>
      <c r="MW6" s="10" t="str">
        <f t="shared" si="353"/>
        <v>Physical</v>
      </c>
      <c r="MX6" s="10" t="str">
        <f t="shared" ref="MX6:MY6" si="354">"Cryo"</f>
        <v>Cryo</v>
      </c>
      <c r="MY6" s="10" t="str">
        <f t="shared" si="354"/>
        <v>Cryo</v>
      </c>
      <c r="MZ6" s="10" t="str">
        <f t="shared" ref="MZ6:NG6" si="355">"Physical"</f>
        <v>Physical</v>
      </c>
      <c r="NA6" s="10" t="str">
        <f t="shared" si="355"/>
        <v>Physical</v>
      </c>
      <c r="NB6" s="10" t="str">
        <f t="shared" si="355"/>
        <v>Physical</v>
      </c>
      <c r="NC6" s="10" t="str">
        <f t="shared" si="355"/>
        <v>Physical</v>
      </c>
      <c r="ND6" s="10" t="str">
        <f t="shared" si="355"/>
        <v>Physical</v>
      </c>
      <c r="NE6" s="10" t="str">
        <f t="shared" si="355"/>
        <v>Physical</v>
      </c>
      <c r="NF6" s="10" t="str">
        <f t="shared" si="355"/>
        <v>Physical</v>
      </c>
      <c r="NG6" s="10" t="str">
        <f t="shared" si="355"/>
        <v>Physical</v>
      </c>
      <c r="NH6" s="10" t="str">
        <f t="shared" ref="NH6:NJ6" si="356">"Anemo"</f>
        <v>Anemo</v>
      </c>
      <c r="NI6" s="10" t="str">
        <f t="shared" si="356"/>
        <v>Anemo</v>
      </c>
      <c r="NJ6" s="10" t="str">
        <f t="shared" si="356"/>
        <v>Anemo</v>
      </c>
      <c r="NK6" s="10" t="str">
        <f>"Pyro"</f>
        <v>Pyro</v>
      </c>
      <c r="NL6" s="10" t="str">
        <f t="shared" ref="NL6:NO6" si="357">"Anemo"</f>
        <v>Anemo</v>
      </c>
      <c r="NM6" s="10" t="str">
        <f t="shared" si="357"/>
        <v>Anemo</v>
      </c>
      <c r="NN6" s="10" t="str">
        <f t="shared" si="357"/>
        <v>Anemo</v>
      </c>
      <c r="NO6" s="10" t="str">
        <f t="shared" si="357"/>
        <v>Anemo</v>
      </c>
      <c r="NP6" s="10" t="str">
        <f>"Pyro"</f>
        <v>Pyro</v>
      </c>
      <c r="NQ6" s="10" t="str">
        <f t="shared" ref="NQ6:OG6" si="358">"Electro"</f>
        <v>Electro</v>
      </c>
      <c r="NR6" s="10" t="str">
        <f t="shared" si="358"/>
        <v>Electro</v>
      </c>
      <c r="NS6" s="10" t="str">
        <f t="shared" si="358"/>
        <v>Electro</v>
      </c>
      <c r="NT6" s="10" t="str">
        <f t="shared" si="358"/>
        <v>Electro</v>
      </c>
      <c r="NU6" s="10" t="str">
        <f t="shared" si="358"/>
        <v>Electro</v>
      </c>
      <c r="NV6" s="10" t="str">
        <f t="shared" si="358"/>
        <v>Electro</v>
      </c>
      <c r="NW6" s="10" t="str">
        <f t="shared" si="358"/>
        <v>Electro</v>
      </c>
      <c r="NX6" s="10" t="str">
        <f t="shared" si="358"/>
        <v>Electro</v>
      </c>
      <c r="NY6" s="10" t="str">
        <f t="shared" si="358"/>
        <v>Electro</v>
      </c>
      <c r="NZ6" s="10" t="str">
        <f t="shared" si="358"/>
        <v>Electro</v>
      </c>
      <c r="OA6" s="10" t="str">
        <f t="shared" si="358"/>
        <v>Electro</v>
      </c>
      <c r="OB6" s="10" t="str">
        <f t="shared" si="358"/>
        <v>Electro</v>
      </c>
      <c r="OC6" s="10" t="str">
        <f t="shared" si="358"/>
        <v>Electro</v>
      </c>
      <c r="OD6" s="10" t="str">
        <f t="shared" si="358"/>
        <v>Electro</v>
      </c>
      <c r="OE6" s="10" t="str">
        <f t="shared" si="358"/>
        <v>Electro</v>
      </c>
      <c r="OF6" s="10" t="str">
        <f t="shared" si="358"/>
        <v>Electro</v>
      </c>
      <c r="OG6" s="10" t="str">
        <f t="shared" si="358"/>
        <v>Electro</v>
      </c>
      <c r="OH6" s="10" t="str">
        <f t="shared" ref="OH6:OQ6" si="359">"Pyro"</f>
        <v>Pyro</v>
      </c>
      <c r="OI6" s="10" t="str">
        <f t="shared" si="359"/>
        <v>Pyro</v>
      </c>
      <c r="OJ6" s="10" t="str">
        <f t="shared" si="359"/>
        <v>Pyro</v>
      </c>
      <c r="OK6" s="10" t="str">
        <f t="shared" si="359"/>
        <v>Pyro</v>
      </c>
      <c r="OL6" s="10" t="str">
        <f t="shared" si="359"/>
        <v>Pyro</v>
      </c>
      <c r="OM6" s="10" t="str">
        <f t="shared" si="359"/>
        <v>Pyro</v>
      </c>
      <c r="ON6" s="10" t="str">
        <f t="shared" si="359"/>
        <v>Pyro</v>
      </c>
      <c r="OO6" s="10" t="str">
        <f t="shared" si="359"/>
        <v>Pyro</v>
      </c>
      <c r="OP6" s="10" t="str">
        <f t="shared" si="359"/>
        <v>Pyro</v>
      </c>
      <c r="OQ6" s="10" t="str">
        <f t="shared" si="359"/>
        <v>Pyro</v>
      </c>
      <c r="OR6" s="10" t="str">
        <f t="shared" ref="OR6:PE6" si="360">"Hydro"</f>
        <v>Hydro</v>
      </c>
      <c r="OS6" s="10" t="str">
        <f t="shared" si="360"/>
        <v>Hydro</v>
      </c>
      <c r="OT6" s="10" t="str">
        <f t="shared" si="360"/>
        <v>Hydro</v>
      </c>
      <c r="OU6" s="10" t="str">
        <f t="shared" si="360"/>
        <v>Hydro</v>
      </c>
      <c r="OV6" s="10" t="str">
        <f t="shared" si="360"/>
        <v>Hydro</v>
      </c>
      <c r="OW6" s="10" t="str">
        <f t="shared" si="360"/>
        <v>Hydro</v>
      </c>
      <c r="OX6" s="10" t="str">
        <f t="shared" si="360"/>
        <v>Hydro</v>
      </c>
      <c r="OY6" s="10" t="str">
        <f t="shared" si="360"/>
        <v>Hydro</v>
      </c>
      <c r="OZ6" s="10" t="str">
        <f t="shared" si="360"/>
        <v>Hydro</v>
      </c>
      <c r="PA6" s="10" t="str">
        <f t="shared" si="360"/>
        <v>Hydro</v>
      </c>
      <c r="PB6" s="10" t="str">
        <f t="shared" si="360"/>
        <v>Hydro</v>
      </c>
      <c r="PC6" s="10" t="str">
        <f t="shared" si="360"/>
        <v>Hydro</v>
      </c>
      <c r="PD6" s="10" t="str">
        <f t="shared" si="360"/>
        <v>Hydro</v>
      </c>
      <c r="PE6" s="10" t="str">
        <f t="shared" si="360"/>
        <v>Hydro</v>
      </c>
      <c r="PF6" s="10" t="str">
        <f t="shared" ref="PF6:PT6" si="361">"Electro"</f>
        <v>Electro</v>
      </c>
      <c r="PG6" s="10" t="str">
        <f t="shared" si="361"/>
        <v>Electro</v>
      </c>
      <c r="PH6" s="10" t="str">
        <f t="shared" si="361"/>
        <v>Electro</v>
      </c>
      <c r="PI6" s="10" t="str">
        <f t="shared" si="361"/>
        <v>Electro</v>
      </c>
      <c r="PJ6" s="10" t="str">
        <f t="shared" si="361"/>
        <v>Electro</v>
      </c>
      <c r="PK6" s="10" t="str">
        <f t="shared" si="361"/>
        <v>Electro</v>
      </c>
      <c r="PL6" s="10" t="str">
        <f t="shared" si="361"/>
        <v>Electro</v>
      </c>
      <c r="PM6" s="10" t="str">
        <f t="shared" si="361"/>
        <v>Electro</v>
      </c>
      <c r="PN6" s="10" t="str">
        <f t="shared" si="361"/>
        <v>Electro</v>
      </c>
      <c r="PO6" s="10" t="str">
        <f t="shared" si="361"/>
        <v>Electro</v>
      </c>
      <c r="PP6" s="10" t="str">
        <f t="shared" si="361"/>
        <v>Electro</v>
      </c>
      <c r="PQ6" s="10" t="str">
        <f t="shared" si="361"/>
        <v>Electro</v>
      </c>
      <c r="PR6" s="10" t="str">
        <f t="shared" si="361"/>
        <v>Electro</v>
      </c>
      <c r="PS6" s="10" t="str">
        <f t="shared" si="361"/>
        <v>Electro</v>
      </c>
      <c r="PT6" s="10" t="str">
        <f t="shared" si="361"/>
        <v>Electro</v>
      </c>
      <c r="PU6" s="10" t="str">
        <f t="shared" ref="PU6:QE6" si="362">"Hydro"</f>
        <v>Hydro</v>
      </c>
      <c r="PV6" s="10" t="str">
        <f t="shared" si="362"/>
        <v>Hydro</v>
      </c>
      <c r="PW6" s="10" t="str">
        <f t="shared" si="362"/>
        <v>Hydro</v>
      </c>
      <c r="PX6" s="10" t="str">
        <f t="shared" si="362"/>
        <v>Hydro</v>
      </c>
      <c r="PY6" s="10" t="str">
        <f t="shared" si="362"/>
        <v>Hydro</v>
      </c>
      <c r="PZ6" s="10" t="str">
        <f t="shared" si="362"/>
        <v>Hydro</v>
      </c>
      <c r="QA6" s="10" t="str">
        <f t="shared" si="362"/>
        <v>Hydro</v>
      </c>
      <c r="QB6" s="10" t="str">
        <f t="shared" si="362"/>
        <v>Hydro</v>
      </c>
      <c r="QC6" s="10" t="str">
        <f t="shared" si="362"/>
        <v>Hydro</v>
      </c>
      <c r="QD6" s="10" t="str">
        <f t="shared" si="362"/>
        <v>Hydro</v>
      </c>
      <c r="QE6" s="10" t="str">
        <f t="shared" si="362"/>
        <v>Hydro</v>
      </c>
      <c r="QF6" s="10" t="str">
        <f t="shared" ref="QF6:QY6" si="363">"Geo"</f>
        <v>Geo</v>
      </c>
      <c r="QG6" s="10" t="str">
        <f t="shared" si="363"/>
        <v>Geo</v>
      </c>
      <c r="QH6" s="10" t="str">
        <f t="shared" si="363"/>
        <v>Geo</v>
      </c>
      <c r="QI6" s="10" t="str">
        <f t="shared" si="363"/>
        <v>Geo</v>
      </c>
      <c r="QJ6" s="10" t="str">
        <f t="shared" si="363"/>
        <v>Geo</v>
      </c>
      <c r="QK6" s="10" t="str">
        <f t="shared" si="363"/>
        <v>Geo</v>
      </c>
      <c r="QL6" s="10" t="str">
        <f t="shared" si="363"/>
        <v>Geo</v>
      </c>
      <c r="QM6" s="10" t="str">
        <f t="shared" si="363"/>
        <v>Geo</v>
      </c>
      <c r="QN6" s="10" t="str">
        <f t="shared" si="363"/>
        <v>Geo</v>
      </c>
      <c r="QO6" s="10" t="str">
        <f t="shared" si="363"/>
        <v>Geo</v>
      </c>
      <c r="QP6" s="10" t="str">
        <f t="shared" si="363"/>
        <v>Geo</v>
      </c>
      <c r="QQ6" s="10" t="str">
        <f t="shared" si="363"/>
        <v>Geo</v>
      </c>
      <c r="QR6" s="10" t="str">
        <f t="shared" si="363"/>
        <v>Geo</v>
      </c>
      <c r="QS6" s="10" t="str">
        <f t="shared" si="363"/>
        <v>Geo</v>
      </c>
      <c r="QT6" s="10" t="str">
        <f t="shared" si="363"/>
        <v>Geo</v>
      </c>
      <c r="QU6" s="10" t="str">
        <f t="shared" si="363"/>
        <v>Geo</v>
      </c>
      <c r="QV6" s="10" t="str">
        <f t="shared" si="363"/>
        <v>Geo</v>
      </c>
      <c r="QW6" s="10" t="str">
        <f t="shared" si="363"/>
        <v>Geo</v>
      </c>
      <c r="QX6" s="10" t="str">
        <f t="shared" si="363"/>
        <v>Geo</v>
      </c>
      <c r="QY6" s="10" t="str">
        <f t="shared" si="363"/>
        <v>Geo</v>
      </c>
      <c r="QZ6" s="10" t="str">
        <f t="shared" ref="QZ6:RH6" si="364">"Physical"</f>
        <v>Physical</v>
      </c>
      <c r="RA6" s="10" t="str">
        <f t="shared" si="364"/>
        <v>Physical</v>
      </c>
      <c r="RB6" s="10" t="str">
        <f t="shared" si="364"/>
        <v>Physical</v>
      </c>
      <c r="RC6" s="10" t="str">
        <f t="shared" si="364"/>
        <v>Physical</v>
      </c>
      <c r="RD6" s="10" t="str">
        <f t="shared" si="364"/>
        <v>Physical</v>
      </c>
      <c r="RE6" s="10" t="str">
        <f t="shared" si="364"/>
        <v>Physical</v>
      </c>
      <c r="RF6" s="10" t="str">
        <f t="shared" si="364"/>
        <v>Physical</v>
      </c>
      <c r="RG6" s="10" t="str">
        <f t="shared" si="364"/>
        <v>Physical</v>
      </c>
      <c r="RH6" s="10" t="str">
        <f t="shared" si="364"/>
        <v>Physical</v>
      </c>
      <c r="RI6" s="10" t="str">
        <f t="shared" ref="RI6:RK6" si="365">"Cryo"</f>
        <v>Cryo</v>
      </c>
      <c r="RJ6" s="10" t="str">
        <f t="shared" si="365"/>
        <v>Cryo</v>
      </c>
      <c r="RK6" s="10" t="str">
        <f t="shared" si="365"/>
        <v>Cryo</v>
      </c>
      <c r="RL6" s="10" t="str">
        <f t="shared" ref="RL6:RT6" si="366">"Physical"</f>
        <v>Physical</v>
      </c>
      <c r="RM6" s="10" t="str">
        <f t="shared" si="366"/>
        <v>Physical</v>
      </c>
      <c r="RN6" s="10" t="str">
        <f t="shared" si="366"/>
        <v>Physical</v>
      </c>
      <c r="RO6" s="10" t="str">
        <f t="shared" si="366"/>
        <v>Physical</v>
      </c>
      <c r="RP6" s="10" t="str">
        <f t="shared" si="366"/>
        <v>Physical</v>
      </c>
      <c r="RQ6" s="10" t="str">
        <f t="shared" si="366"/>
        <v>Physical</v>
      </c>
      <c r="RR6" s="10" t="str">
        <f t="shared" si="366"/>
        <v>Physical</v>
      </c>
      <c r="RS6" s="10" t="str">
        <f t="shared" si="366"/>
        <v>Physical</v>
      </c>
      <c r="RT6" s="10" t="str">
        <f t="shared" si="366"/>
        <v>Physical</v>
      </c>
      <c r="RU6" s="10" t="str">
        <f t="shared" ref="RU6:SH6" si="367">"Electro"</f>
        <v>Electro</v>
      </c>
      <c r="RV6" s="10" t="str">
        <f t="shared" si="367"/>
        <v>Electro</v>
      </c>
      <c r="RW6" s="10" t="str">
        <f t="shared" si="367"/>
        <v>Electro</v>
      </c>
      <c r="RX6" s="10" t="str">
        <f t="shared" si="367"/>
        <v>Electro</v>
      </c>
      <c r="RY6" s="10" t="str">
        <f t="shared" si="367"/>
        <v>Electro</v>
      </c>
      <c r="RZ6" s="10" t="str">
        <f t="shared" si="367"/>
        <v>Electro</v>
      </c>
      <c r="SA6" s="10" t="str">
        <f t="shared" si="367"/>
        <v>Electro</v>
      </c>
      <c r="SB6" s="10" t="str">
        <f t="shared" si="367"/>
        <v>Electro</v>
      </c>
      <c r="SC6" s="10" t="str">
        <f t="shared" si="367"/>
        <v>Electro</v>
      </c>
      <c r="SD6" s="10" t="str">
        <f t="shared" si="367"/>
        <v>Electro</v>
      </c>
      <c r="SE6" s="10" t="str">
        <f t="shared" si="367"/>
        <v>Electro</v>
      </c>
      <c r="SF6" s="10" t="str">
        <f t="shared" si="367"/>
        <v>Electro</v>
      </c>
      <c r="SG6" s="10" t="str">
        <f t="shared" si="367"/>
        <v>Electro</v>
      </c>
      <c r="SH6" s="10" t="str">
        <f t="shared" si="367"/>
        <v>Electro</v>
      </c>
      <c r="SI6" s="10" t="str">
        <f t="shared" ref="SI6:SQ6" si="368">"Physical"</f>
        <v>Physical</v>
      </c>
      <c r="SJ6" s="10" t="str">
        <f t="shared" si="368"/>
        <v>Physical</v>
      </c>
      <c r="SK6" s="10" t="str">
        <f t="shared" si="368"/>
        <v>Physical</v>
      </c>
      <c r="SL6" s="10" t="str">
        <f t="shared" si="368"/>
        <v>Physical</v>
      </c>
      <c r="SM6" s="10" t="str">
        <f t="shared" si="368"/>
        <v>Physical</v>
      </c>
      <c r="SN6" s="10" t="str">
        <f t="shared" si="368"/>
        <v>Physical</v>
      </c>
      <c r="SO6" s="10" t="str">
        <f t="shared" si="368"/>
        <v>Physical</v>
      </c>
      <c r="SP6" s="10" t="str">
        <f t="shared" si="368"/>
        <v>Physical</v>
      </c>
      <c r="SQ6" s="10" t="str">
        <f t="shared" si="368"/>
        <v>Physical</v>
      </c>
      <c r="SR6" s="10" t="str">
        <f t="shared" ref="SR6:SX6" si="369">"Electro"</f>
        <v>Electro</v>
      </c>
      <c r="SS6" s="10" t="str">
        <f t="shared" si="369"/>
        <v>Electro</v>
      </c>
      <c r="ST6" s="10" t="str">
        <f t="shared" si="369"/>
        <v>Electro</v>
      </c>
      <c r="SU6" s="10" t="str">
        <f t="shared" si="369"/>
        <v>Electro</v>
      </c>
      <c r="SV6" s="10" t="str">
        <f t="shared" si="369"/>
        <v>Electro</v>
      </c>
      <c r="SW6" s="10" t="str">
        <f t="shared" si="369"/>
        <v>Electro</v>
      </c>
      <c r="SX6" s="10" t="str">
        <f t="shared" si="369"/>
        <v>Electro</v>
      </c>
      <c r="SY6" s="10" t="str">
        <f t="shared" ref="SY6:TH6" si="370">"Physical"</f>
        <v>Physical</v>
      </c>
      <c r="SZ6" s="10" t="str">
        <f t="shared" si="370"/>
        <v>Physical</v>
      </c>
      <c r="TA6" s="10" t="str">
        <f t="shared" si="370"/>
        <v>Physical</v>
      </c>
      <c r="TB6" s="10" t="str">
        <f t="shared" si="370"/>
        <v>Physical</v>
      </c>
      <c r="TC6" s="10" t="str">
        <f t="shared" si="370"/>
        <v>Physical</v>
      </c>
      <c r="TD6" s="10" t="str">
        <f t="shared" si="370"/>
        <v>Physical</v>
      </c>
      <c r="TE6" s="10" t="str">
        <f t="shared" si="370"/>
        <v>Physical</v>
      </c>
      <c r="TF6" s="10" t="str">
        <f t="shared" si="370"/>
        <v>Physical</v>
      </c>
      <c r="TG6" s="10" t="str">
        <f t="shared" si="370"/>
        <v>Physical</v>
      </c>
      <c r="TH6" s="10" t="str">
        <f t="shared" si="370"/>
        <v>Physical</v>
      </c>
      <c r="TI6" s="10" t="str">
        <f t="shared" ref="TI6:TM6" si="371">"Cryo"</f>
        <v>Cryo</v>
      </c>
      <c r="TJ6" s="10" t="str">
        <f t="shared" si="371"/>
        <v>Cryo</v>
      </c>
      <c r="TK6" s="10" t="str">
        <f t="shared" si="371"/>
        <v>Cryo</v>
      </c>
      <c r="TL6" s="10" t="str">
        <f t="shared" si="371"/>
        <v>Cryo</v>
      </c>
      <c r="TM6" s="10" t="str">
        <f t="shared" si="371"/>
        <v>Cryo</v>
      </c>
      <c r="TN6" s="10" t="str">
        <f t="shared" ref="TN6:TS6" si="372">"Physical"</f>
        <v>Physical</v>
      </c>
      <c r="TO6" s="10" t="str">
        <f t="shared" si="372"/>
        <v>Physical</v>
      </c>
      <c r="TP6" s="10" t="str">
        <f t="shared" si="372"/>
        <v>Physical</v>
      </c>
      <c r="TQ6" s="10" t="str">
        <f t="shared" si="372"/>
        <v>Physical</v>
      </c>
      <c r="TR6" s="10" t="str">
        <f t="shared" si="372"/>
        <v>Physical</v>
      </c>
      <c r="TS6" s="10" t="str">
        <f t="shared" si="372"/>
        <v>Physical</v>
      </c>
      <c r="TT6" s="10" t="str">
        <f>"Electro"</f>
        <v>Electro</v>
      </c>
      <c r="TU6" s="10" t="str">
        <f t="shared" ref="TU6:TW6" si="373">"Physical"</f>
        <v>Physical</v>
      </c>
      <c r="TV6" s="10" t="str">
        <f t="shared" si="373"/>
        <v>Physical</v>
      </c>
      <c r="TW6" s="10" t="str">
        <f t="shared" si="373"/>
        <v>Physical</v>
      </c>
      <c r="TX6" s="10" t="str">
        <f t="shared" ref="TX6:TZ6" si="374">"Electro"</f>
        <v>Electro</v>
      </c>
      <c r="TY6" s="10" t="str">
        <f t="shared" si="374"/>
        <v>Electro</v>
      </c>
      <c r="TZ6" s="10" t="str">
        <f t="shared" si="374"/>
        <v>Electro</v>
      </c>
      <c r="UA6" s="10" t="str">
        <f t="shared" ref="UA6:UI6" si="375">"Physical"</f>
        <v>Physical</v>
      </c>
      <c r="UB6" s="10" t="str">
        <f t="shared" si="375"/>
        <v>Physical</v>
      </c>
      <c r="UC6" s="10" t="str">
        <f t="shared" si="375"/>
        <v>Physical</v>
      </c>
      <c r="UD6" s="10" t="str">
        <f t="shared" si="375"/>
        <v>Physical</v>
      </c>
      <c r="UE6" s="10" t="str">
        <f t="shared" si="375"/>
        <v>Physical</v>
      </c>
      <c r="UF6" s="10" t="str">
        <f t="shared" si="375"/>
        <v>Physical</v>
      </c>
      <c r="UG6" s="10" t="str">
        <f t="shared" si="375"/>
        <v>Physical</v>
      </c>
      <c r="UH6" s="10" t="str">
        <f t="shared" si="375"/>
        <v>Physical</v>
      </c>
      <c r="UI6" s="10" t="str">
        <f t="shared" si="375"/>
        <v>Physical</v>
      </c>
      <c r="UJ6" s="10" t="str">
        <f t="shared" ref="UJ6:UL6" si="376">"Anemo"</f>
        <v>Anemo</v>
      </c>
      <c r="UK6" s="10" t="str">
        <f t="shared" si="376"/>
        <v>Anemo</v>
      </c>
      <c r="UL6" s="10" t="str">
        <f t="shared" si="376"/>
        <v>Anemo</v>
      </c>
      <c r="UM6" s="10" t="str">
        <f t="shared" ref="UM6:UN6" si="377">"Pyro"</f>
        <v>Pyro</v>
      </c>
      <c r="UN6" s="10" t="str">
        <f t="shared" si="377"/>
        <v>Pyro</v>
      </c>
      <c r="UO6" s="10" t="str">
        <f t="shared" ref="UO6:UP6" si="378">"Anemo"</f>
        <v>Anemo</v>
      </c>
      <c r="UP6" s="10" t="str">
        <f t="shared" si="378"/>
        <v>Anemo</v>
      </c>
      <c r="UQ6" s="10" t="str">
        <f t="shared" ref="UQ6:UY6" si="379">"Physical"</f>
        <v>Physical</v>
      </c>
      <c r="UR6" s="10" t="str">
        <f t="shared" si="379"/>
        <v>Physical</v>
      </c>
      <c r="US6" s="10" t="str">
        <f t="shared" si="379"/>
        <v>Physical</v>
      </c>
      <c r="UT6" s="10" t="str">
        <f t="shared" si="379"/>
        <v>Physical</v>
      </c>
      <c r="UU6" s="10" t="str">
        <f t="shared" si="379"/>
        <v>Physical</v>
      </c>
      <c r="UV6" s="10" t="str">
        <f t="shared" si="379"/>
        <v>Physical</v>
      </c>
      <c r="UW6" s="10" t="str">
        <f t="shared" si="379"/>
        <v>Physical</v>
      </c>
      <c r="UX6" s="10" t="str">
        <f t="shared" si="379"/>
        <v>Physical</v>
      </c>
      <c r="UY6" s="10" t="str">
        <f t="shared" si="379"/>
        <v>Physical</v>
      </c>
      <c r="UZ6" s="10" t="str">
        <f t="shared" ref="UZ6:VC6" si="380">"Cryo"</f>
        <v>Cryo</v>
      </c>
      <c r="VA6" s="10" t="str">
        <f t="shared" si="380"/>
        <v>Cryo</v>
      </c>
      <c r="VB6" s="10" t="str">
        <f t="shared" si="380"/>
        <v>Cryo</v>
      </c>
      <c r="VC6" s="10" t="str">
        <f t="shared" si="380"/>
        <v>Cryo</v>
      </c>
      <c r="VD6" s="10" t="str">
        <f t="shared" ref="VD6:VL6" si="381">"Physical"</f>
        <v>Physical</v>
      </c>
      <c r="VE6" s="10" t="str">
        <f t="shared" si="381"/>
        <v>Physical</v>
      </c>
      <c r="VF6" s="10" t="str">
        <f t="shared" si="381"/>
        <v>Physical</v>
      </c>
      <c r="VG6" s="10" t="str">
        <f t="shared" si="381"/>
        <v>Physical</v>
      </c>
      <c r="VH6" s="10" t="str">
        <f t="shared" si="381"/>
        <v>Physical</v>
      </c>
      <c r="VI6" s="10" t="str">
        <f t="shared" si="381"/>
        <v>Physical</v>
      </c>
      <c r="VJ6" s="10" t="str">
        <f t="shared" si="381"/>
        <v>Physical</v>
      </c>
      <c r="VK6" s="10" t="str">
        <f t="shared" si="381"/>
        <v>Physical</v>
      </c>
      <c r="VL6" s="10" t="str">
        <f t="shared" si="381"/>
        <v>Physical</v>
      </c>
      <c r="VM6" s="10" t="str">
        <f t="shared" ref="VM6:VO6" si="382">"Electro"</f>
        <v>Electro</v>
      </c>
      <c r="VN6" s="10" t="str">
        <f t="shared" si="382"/>
        <v>Electro</v>
      </c>
      <c r="VO6" s="10" t="str">
        <f t="shared" si="382"/>
        <v>Electro</v>
      </c>
      <c r="VP6" s="10" t="str">
        <f t="shared" ref="VP6:VY6" si="383">"Anemo"</f>
        <v>Anemo</v>
      </c>
      <c r="VQ6" s="10" t="str">
        <f t="shared" si="383"/>
        <v>Anemo</v>
      </c>
      <c r="VR6" s="10" t="str">
        <f t="shared" si="383"/>
        <v>Anemo</v>
      </c>
      <c r="VS6" s="10" t="str">
        <f t="shared" si="383"/>
        <v>Anemo</v>
      </c>
      <c r="VT6" s="10" t="str">
        <f t="shared" si="383"/>
        <v>Anemo</v>
      </c>
      <c r="VU6" s="10" t="str">
        <f t="shared" si="383"/>
        <v>Anemo</v>
      </c>
      <c r="VV6" s="10" t="str">
        <f t="shared" si="383"/>
        <v>Anemo</v>
      </c>
      <c r="VW6" s="10" t="str">
        <f t="shared" si="383"/>
        <v>Anemo</v>
      </c>
      <c r="VX6" s="10" t="str">
        <f t="shared" si="383"/>
        <v>Anemo</v>
      </c>
      <c r="VY6" s="10" t="str">
        <f t="shared" si="383"/>
        <v>Anemo</v>
      </c>
      <c r="VZ6" s="10" t="str">
        <f>"Pyro"</f>
        <v>Pyro</v>
      </c>
      <c r="WA6" s="10" t="str">
        <f t="shared" ref="WA6:WG6" si="384">"Physical"</f>
        <v>Physical</v>
      </c>
      <c r="WB6" s="10" t="str">
        <f t="shared" si="384"/>
        <v>Physical</v>
      </c>
      <c r="WC6" s="10" t="str">
        <f t="shared" si="384"/>
        <v>Physical</v>
      </c>
      <c r="WD6" s="10" t="str">
        <f t="shared" si="384"/>
        <v>Physical</v>
      </c>
      <c r="WE6" s="10" t="str">
        <f t="shared" si="384"/>
        <v>Physical</v>
      </c>
      <c r="WF6" s="10" t="str">
        <f t="shared" si="384"/>
        <v>Physical</v>
      </c>
      <c r="WG6" s="10" t="str">
        <f t="shared" si="384"/>
        <v>Physical</v>
      </c>
      <c r="WH6" s="10" t="str">
        <f t="shared" ref="WH6:WJ6" si="385">"Hydro"</f>
        <v>Hydro</v>
      </c>
      <c r="WI6" s="10" t="str">
        <f t="shared" si="385"/>
        <v>Hydro</v>
      </c>
      <c r="WJ6" s="10" t="str">
        <f t="shared" si="385"/>
        <v>Hydro</v>
      </c>
      <c r="WK6" s="10" t="str">
        <f t="shared" ref="WK6:WM6" si="386">"Physical"</f>
        <v>Physical</v>
      </c>
      <c r="WL6" s="10" t="str">
        <f t="shared" si="386"/>
        <v>Physical</v>
      </c>
      <c r="WM6" s="10" t="str">
        <f t="shared" si="386"/>
        <v>Physical</v>
      </c>
      <c r="WN6" s="10" t="str">
        <f t="shared" ref="WN6:XA6" si="387">"Hydro"</f>
        <v>Hydro</v>
      </c>
      <c r="WO6" s="10" t="str">
        <f t="shared" si="387"/>
        <v>Hydro</v>
      </c>
      <c r="WP6" s="10" t="str">
        <f t="shared" si="387"/>
        <v>Hydro</v>
      </c>
      <c r="WQ6" s="10" t="str">
        <f t="shared" si="387"/>
        <v>Hydro</v>
      </c>
      <c r="WR6" s="10" t="str">
        <f t="shared" si="387"/>
        <v>Hydro</v>
      </c>
      <c r="WS6" s="10" t="str">
        <f t="shared" si="387"/>
        <v>Hydro</v>
      </c>
      <c r="WT6" s="10" t="str">
        <f t="shared" si="387"/>
        <v>Hydro</v>
      </c>
      <c r="WU6" s="10" t="str">
        <f t="shared" si="387"/>
        <v>Hydro</v>
      </c>
      <c r="WV6" s="10" t="str">
        <f t="shared" si="387"/>
        <v>Hydro</v>
      </c>
      <c r="WW6" s="10" t="str">
        <f t="shared" si="387"/>
        <v>Hydro</v>
      </c>
      <c r="WX6" s="10" t="str">
        <f t="shared" si="387"/>
        <v>Hydro</v>
      </c>
      <c r="WY6" s="10" t="str">
        <f t="shared" si="387"/>
        <v>Hydro</v>
      </c>
      <c r="WZ6" s="10" t="str">
        <f t="shared" si="387"/>
        <v>Hydro</v>
      </c>
      <c r="XA6" s="10" t="str">
        <f t="shared" si="387"/>
        <v>Hydro</v>
      </c>
      <c r="XB6" s="10" t="str">
        <f t="shared" ref="XB6:XI6" si="388">"Physical"</f>
        <v>Physical</v>
      </c>
      <c r="XC6" s="10" t="str">
        <f t="shared" si="388"/>
        <v>Physical</v>
      </c>
      <c r="XD6" s="10" t="str">
        <f t="shared" si="388"/>
        <v>Physical</v>
      </c>
      <c r="XE6" s="10" t="str">
        <f t="shared" si="388"/>
        <v>Physical</v>
      </c>
      <c r="XF6" s="10" t="str">
        <f t="shared" si="388"/>
        <v>Physical</v>
      </c>
      <c r="XG6" s="10" t="str">
        <f t="shared" si="388"/>
        <v>Physical</v>
      </c>
      <c r="XH6" s="10" t="str">
        <f t="shared" si="388"/>
        <v>Physical</v>
      </c>
      <c r="XI6" s="10" t="str">
        <f t="shared" si="388"/>
        <v>Physical</v>
      </c>
      <c r="XJ6" s="10" t="str">
        <f t="shared" ref="XJ6:XL6" si="389">"Pyro"</f>
        <v>Pyro</v>
      </c>
      <c r="XK6" s="10" t="str">
        <f t="shared" si="389"/>
        <v>Pyro</v>
      </c>
      <c r="XL6" s="10" t="str">
        <f t="shared" si="389"/>
        <v>Pyro</v>
      </c>
      <c r="XM6" s="10" t="str">
        <f t="shared" ref="XM6:XQ6" si="390">"Physical"</f>
        <v>Physical</v>
      </c>
      <c r="XN6" s="10" t="str">
        <f t="shared" si="390"/>
        <v>Physical</v>
      </c>
      <c r="XO6" s="10" t="str">
        <f t="shared" si="390"/>
        <v>Physical</v>
      </c>
      <c r="XP6" s="10" t="str">
        <f t="shared" si="390"/>
        <v>Physical</v>
      </c>
      <c r="XQ6" s="10" t="str">
        <f t="shared" si="390"/>
        <v>Physical</v>
      </c>
      <c r="XR6" s="10" t="str">
        <f t="shared" ref="XR6:XT6" si="391">"Dendro"</f>
        <v>Dendro</v>
      </c>
      <c r="XS6" s="10" t="str">
        <f t="shared" si="391"/>
        <v>Dendro</v>
      </c>
      <c r="XT6" s="10" t="str">
        <f t="shared" si="391"/>
        <v>Dendro</v>
      </c>
      <c r="XU6" s="10" t="str">
        <f t="shared" ref="XU6:XW6" si="392">"Physical"</f>
        <v>Physical</v>
      </c>
      <c r="XV6" s="10" t="str">
        <f t="shared" si="392"/>
        <v>Physical</v>
      </c>
      <c r="XW6" s="10" t="str">
        <f t="shared" si="392"/>
        <v>Physical</v>
      </c>
      <c r="XX6" s="10" t="str">
        <f t="shared" ref="XX6:XZ6" si="393">"Dendro"</f>
        <v>Dendro</v>
      </c>
      <c r="XY6" s="10" t="str">
        <f t="shared" si="393"/>
        <v>Dendro</v>
      </c>
      <c r="XZ6" s="10" t="str">
        <f t="shared" si="393"/>
        <v>Dendro</v>
      </c>
      <c r="YA6" s="10" t="str">
        <f t="shared" ref="YA6:YG6" si="394">"Physical"</f>
        <v>Physical</v>
      </c>
      <c r="YB6" s="10" t="str">
        <f t="shared" si="394"/>
        <v>Physical</v>
      </c>
      <c r="YC6" s="10" t="str">
        <f t="shared" si="394"/>
        <v>Physical</v>
      </c>
      <c r="YD6" s="10" t="str">
        <f t="shared" si="394"/>
        <v>Physical</v>
      </c>
      <c r="YE6" s="10" t="str">
        <f t="shared" si="394"/>
        <v>Physical</v>
      </c>
      <c r="YF6" s="10" t="str">
        <f t="shared" si="394"/>
        <v>Physical</v>
      </c>
      <c r="YG6" s="10" t="str">
        <f t="shared" si="394"/>
        <v>Physical</v>
      </c>
      <c r="YH6" s="10" t="str">
        <f>"Anemo"</f>
        <v>Anemo</v>
      </c>
      <c r="YI6" s="10" t="str">
        <f t="shared" ref="YI6:YK6" si="395">"Physical"</f>
        <v>Physical</v>
      </c>
      <c r="YJ6" s="10" t="str">
        <f t="shared" si="395"/>
        <v>Physical</v>
      </c>
      <c r="YK6" s="10" t="str">
        <f t="shared" si="395"/>
        <v>Physical</v>
      </c>
      <c r="YL6" s="10" t="str">
        <f t="shared" ref="YL6:YN6" si="396">"Anemo"</f>
        <v>Anemo</v>
      </c>
      <c r="YM6" s="10" t="str">
        <f t="shared" si="396"/>
        <v>Anemo</v>
      </c>
      <c r="YN6" s="10" t="str">
        <f t="shared" si="396"/>
        <v>Anemo</v>
      </c>
      <c r="YO6" s="10" t="str">
        <f>"Pyro"</f>
        <v>Pyro</v>
      </c>
      <c r="YP6" s="10" t="str">
        <f t="shared" ref="YP6:YX6" si="397">"Physical"</f>
        <v>Physical</v>
      </c>
      <c r="YQ6" s="10" t="str">
        <f t="shared" si="397"/>
        <v>Physical</v>
      </c>
      <c r="YR6" s="10" t="str">
        <f t="shared" si="397"/>
        <v>Physical</v>
      </c>
      <c r="YS6" s="10" t="str">
        <f t="shared" si="397"/>
        <v>Physical</v>
      </c>
      <c r="YT6" s="10" t="str">
        <f t="shared" si="397"/>
        <v>Physical</v>
      </c>
      <c r="YU6" s="10" t="str">
        <f t="shared" si="397"/>
        <v>Physical</v>
      </c>
      <c r="YV6" s="10" t="str">
        <f t="shared" si="397"/>
        <v>Physical</v>
      </c>
      <c r="YW6" s="10" t="str">
        <f t="shared" si="397"/>
        <v>Physical</v>
      </c>
      <c r="YX6" s="10" t="str">
        <f t="shared" si="397"/>
        <v>Physical</v>
      </c>
      <c r="YY6" s="10" t="str">
        <f t="shared" ref="YY6:ZC6" si="398">"Pyro"</f>
        <v>Pyro</v>
      </c>
      <c r="YZ6" s="10" t="str">
        <f t="shared" si="398"/>
        <v>Pyro</v>
      </c>
      <c r="ZA6" s="10" t="str">
        <f t="shared" si="398"/>
        <v>Pyro</v>
      </c>
      <c r="ZB6" s="10" t="str">
        <f t="shared" si="398"/>
        <v>Pyro</v>
      </c>
      <c r="ZC6" s="10" t="str">
        <f t="shared" si="398"/>
        <v>Pyro</v>
      </c>
      <c r="ZD6" s="10" t="str">
        <f t="shared" ref="ZD6:ZN6" si="399">"Anemo"</f>
        <v>Anemo</v>
      </c>
      <c r="ZE6" s="10" t="str">
        <f t="shared" si="399"/>
        <v>Anemo</v>
      </c>
      <c r="ZF6" s="10" t="str">
        <f t="shared" si="399"/>
        <v>Anemo</v>
      </c>
      <c r="ZG6" s="10" t="str">
        <f t="shared" si="399"/>
        <v>Anemo</v>
      </c>
      <c r="ZH6" s="10" t="str">
        <f t="shared" si="399"/>
        <v>Anemo</v>
      </c>
      <c r="ZI6" s="10" t="str">
        <f t="shared" si="399"/>
        <v>Anemo</v>
      </c>
      <c r="ZJ6" s="10" t="str">
        <f t="shared" si="399"/>
        <v>Anemo</v>
      </c>
      <c r="ZK6" s="10" t="str">
        <f t="shared" si="399"/>
        <v>Anemo</v>
      </c>
      <c r="ZL6" s="10" t="str">
        <f t="shared" si="399"/>
        <v>Anemo</v>
      </c>
      <c r="ZM6" s="10" t="str">
        <f t="shared" si="399"/>
        <v>Anemo</v>
      </c>
      <c r="ZN6" s="10" t="str">
        <f t="shared" si="399"/>
        <v>Anemo</v>
      </c>
      <c r="ZO6" s="10" t="str">
        <f t="shared" ref="ZO6:ZX6" si="400">"Physical"</f>
        <v>Physical</v>
      </c>
      <c r="ZP6" s="10" t="str">
        <f t="shared" si="400"/>
        <v>Physical</v>
      </c>
      <c r="ZQ6" s="10" t="str">
        <f t="shared" si="400"/>
        <v>Physical</v>
      </c>
      <c r="ZR6" s="10" t="str">
        <f t="shared" si="400"/>
        <v>Physical</v>
      </c>
      <c r="ZS6" s="10" t="str">
        <f t="shared" si="400"/>
        <v>Physical</v>
      </c>
      <c r="ZT6" s="10" t="str">
        <f t="shared" si="400"/>
        <v>Physical</v>
      </c>
      <c r="ZU6" s="10" t="str">
        <f t="shared" si="400"/>
        <v>Physical</v>
      </c>
      <c r="ZV6" s="10" t="str">
        <f t="shared" si="400"/>
        <v>Physical</v>
      </c>
      <c r="ZW6" s="10" t="str">
        <f t="shared" si="400"/>
        <v>Physical</v>
      </c>
      <c r="ZX6" s="10" t="str">
        <f t="shared" si="400"/>
        <v>Physical</v>
      </c>
      <c r="ZY6" s="10" t="str">
        <f t="shared" ref="ZY6:AAA6" si="401">"Hydro"</f>
        <v>Hydro</v>
      </c>
      <c r="ZZ6" s="10" t="str">
        <f t="shared" si="401"/>
        <v>Hydro</v>
      </c>
      <c r="AAA6" s="10" t="str">
        <f t="shared" si="401"/>
        <v>Hydro</v>
      </c>
      <c r="AAB6" s="10" t="str">
        <f t="shared" ref="AAB6:AAJ6" si="402">"Physical"</f>
        <v>Physical</v>
      </c>
      <c r="AAC6" s="10" t="str">
        <f t="shared" si="402"/>
        <v>Physical</v>
      </c>
      <c r="AAD6" s="10" t="str">
        <f t="shared" si="402"/>
        <v>Physical</v>
      </c>
      <c r="AAE6" s="10" t="str">
        <f t="shared" si="402"/>
        <v>Physical</v>
      </c>
      <c r="AAF6" s="10" t="str">
        <f t="shared" si="402"/>
        <v>Physical</v>
      </c>
      <c r="AAG6" s="10" t="str">
        <f t="shared" si="402"/>
        <v>Physical</v>
      </c>
      <c r="AAH6" s="10" t="str">
        <f t="shared" si="402"/>
        <v>Physical</v>
      </c>
      <c r="AAI6" s="10" t="str">
        <f t="shared" si="402"/>
        <v>Physical</v>
      </c>
      <c r="AAJ6" s="10" t="str">
        <f t="shared" si="402"/>
        <v>Physical</v>
      </c>
      <c r="AAK6" s="10" t="str">
        <f t="shared" ref="AAK6:AAL6" si="403">"Pyro"</f>
        <v>Pyro</v>
      </c>
      <c r="AAL6" s="10" t="str">
        <f t="shared" si="403"/>
        <v>Pyro</v>
      </c>
      <c r="AAM6" s="10" t="str">
        <f>"Physical"</f>
        <v>Physical</v>
      </c>
      <c r="AAN6" s="10" t="str">
        <f>"Pyro"</f>
        <v>Pyro</v>
      </c>
      <c r="AAO6" s="10" t="str">
        <f t="shared" ref="AAO6:AAZ6" si="404">"Electro"</f>
        <v>Electro</v>
      </c>
      <c r="AAP6" s="10" t="str">
        <f t="shared" si="404"/>
        <v>Electro</v>
      </c>
      <c r="AAQ6" s="10" t="str">
        <f t="shared" si="404"/>
        <v>Electro</v>
      </c>
      <c r="AAR6" s="10" t="str">
        <f t="shared" si="404"/>
        <v>Electro</v>
      </c>
      <c r="AAS6" s="10" t="str">
        <f t="shared" si="404"/>
        <v>Electro</v>
      </c>
      <c r="AAT6" s="10" t="str">
        <f t="shared" si="404"/>
        <v>Electro</v>
      </c>
      <c r="AAU6" s="10" t="str">
        <f t="shared" si="404"/>
        <v>Electro</v>
      </c>
      <c r="AAV6" s="10" t="str">
        <f t="shared" si="404"/>
        <v>Electro</v>
      </c>
      <c r="AAW6" s="10" t="str">
        <f t="shared" si="404"/>
        <v>Electro</v>
      </c>
      <c r="AAX6" s="10" t="str">
        <f t="shared" si="404"/>
        <v>Electro</v>
      </c>
      <c r="AAY6" s="10" t="str">
        <f t="shared" si="404"/>
        <v>Electro</v>
      </c>
      <c r="AAZ6" s="10" t="str">
        <f t="shared" si="404"/>
        <v>Electro</v>
      </c>
      <c r="ABA6" s="10" t="str">
        <f t="shared" ref="ABA6:ABM6" si="405">"Pyro"</f>
        <v>Pyro</v>
      </c>
      <c r="ABB6" s="10" t="str">
        <f t="shared" si="405"/>
        <v>Pyro</v>
      </c>
      <c r="ABC6" s="10" t="str">
        <f t="shared" si="405"/>
        <v>Pyro</v>
      </c>
      <c r="ABD6" s="10" t="str">
        <f t="shared" si="405"/>
        <v>Pyro</v>
      </c>
      <c r="ABE6" s="10" t="str">
        <f t="shared" si="405"/>
        <v>Pyro</v>
      </c>
      <c r="ABF6" s="10" t="str">
        <f t="shared" si="405"/>
        <v>Pyro</v>
      </c>
      <c r="ABG6" s="10" t="str">
        <f t="shared" si="405"/>
        <v>Pyro</v>
      </c>
      <c r="ABH6" s="10" t="str">
        <f t="shared" si="405"/>
        <v>Pyro</v>
      </c>
      <c r="ABI6" s="10" t="str">
        <f t="shared" si="405"/>
        <v>Pyro</v>
      </c>
      <c r="ABJ6" s="10" t="str">
        <f t="shared" si="405"/>
        <v>Pyro</v>
      </c>
      <c r="ABK6" s="10" t="str">
        <f t="shared" si="405"/>
        <v>Pyro</v>
      </c>
      <c r="ABL6" s="10" t="str">
        <f t="shared" si="405"/>
        <v>Pyro</v>
      </c>
      <c r="ABM6" s="10" t="str">
        <f t="shared" si="405"/>
        <v>Pyro</v>
      </c>
      <c r="ABN6" s="10" t="str">
        <f t="shared" ref="ABN6:ABR6" si="406">"Physical"</f>
        <v>Physical</v>
      </c>
      <c r="ABO6" s="10" t="str">
        <f t="shared" si="406"/>
        <v>Physical</v>
      </c>
      <c r="ABP6" s="10" t="str">
        <f t="shared" si="406"/>
        <v>Physical</v>
      </c>
      <c r="ABQ6" s="10" t="str">
        <f t="shared" si="406"/>
        <v>Physical</v>
      </c>
      <c r="ABR6" s="10" t="str">
        <f t="shared" si="406"/>
        <v>Physical</v>
      </c>
      <c r="ABS6" s="10" t="str">
        <f t="shared" ref="ABS6:ABT6" si="407">"Hydro"</f>
        <v>Hydro</v>
      </c>
      <c r="ABT6" s="10" t="str">
        <f t="shared" si="407"/>
        <v>Hydro</v>
      </c>
      <c r="ABU6" s="10" t="str">
        <f t="shared" ref="ABU6:ABW6" si="408">"Physical"</f>
        <v>Physical</v>
      </c>
      <c r="ABV6" s="10" t="str">
        <f t="shared" si="408"/>
        <v>Physical</v>
      </c>
      <c r="ABW6" s="10" t="str">
        <f t="shared" si="408"/>
        <v>Physical</v>
      </c>
      <c r="ABX6" s="10" t="str">
        <f t="shared" ref="ABX6:ABZ6" si="409">"Hydro"</f>
        <v>Hydro</v>
      </c>
      <c r="ABY6" s="10" t="str">
        <f t="shared" si="409"/>
        <v>Hydro</v>
      </c>
      <c r="ABZ6" s="10" t="str">
        <f t="shared" si="409"/>
        <v>Hydro</v>
      </c>
      <c r="ACA6" s="10" t="str">
        <f t="shared" ref="ACA6:ACE6" si="410">"Pyro"</f>
        <v>Pyro</v>
      </c>
      <c r="ACB6" s="10" t="str">
        <f t="shared" si="410"/>
        <v>Pyro</v>
      </c>
      <c r="ACC6" s="10" t="str">
        <f t="shared" si="410"/>
        <v>Pyro</v>
      </c>
      <c r="ACD6" s="10" t="str">
        <f t="shared" si="410"/>
        <v>Pyro</v>
      </c>
      <c r="ACE6" s="10" t="str">
        <f t="shared" si="410"/>
        <v>Pyro</v>
      </c>
      <c r="ACF6" s="10" t="str">
        <f>"Physical"</f>
        <v>Physical</v>
      </c>
      <c r="ACG6" s="10" t="str">
        <f t="shared" ref="ACG6:ACH6" si="411">"Pyro"</f>
        <v>Pyro</v>
      </c>
      <c r="ACH6" s="10" t="str">
        <f t="shared" si="411"/>
        <v>Pyro</v>
      </c>
      <c r="ACI6" s="10" t="str">
        <f t="shared" ref="ACI6:ACK6" si="412">"Physical"</f>
        <v>Physical</v>
      </c>
      <c r="ACJ6" s="10" t="str">
        <f t="shared" si="412"/>
        <v>Physical</v>
      </c>
      <c r="ACK6" s="10" t="str">
        <f t="shared" si="412"/>
        <v>Physical</v>
      </c>
      <c r="ACL6" s="10" t="str">
        <f t="shared" ref="ACL6:ACM6" si="413">"Pyro"</f>
        <v>Pyro</v>
      </c>
      <c r="ACM6" s="10" t="str">
        <f t="shared" si="413"/>
        <v>Pyro</v>
      </c>
      <c r="ACN6" s="10" t="str">
        <f t="shared" ref="ACN6:ACX6" si="414">"Physical"</f>
        <v>Physical</v>
      </c>
      <c r="ACO6" s="10" t="str">
        <f t="shared" si="414"/>
        <v>Physical</v>
      </c>
      <c r="ACP6" s="10" t="str">
        <f t="shared" si="414"/>
        <v>Physical</v>
      </c>
      <c r="ACQ6" s="10" t="str">
        <f t="shared" si="414"/>
        <v>Physical</v>
      </c>
      <c r="ACR6" s="10" t="str">
        <f t="shared" si="414"/>
        <v>Physical</v>
      </c>
      <c r="ACS6" s="10" t="str">
        <f t="shared" si="414"/>
        <v>Physical</v>
      </c>
      <c r="ACT6" s="10" t="str">
        <f t="shared" si="414"/>
        <v>Physical</v>
      </c>
      <c r="ACU6" s="10" t="str">
        <f t="shared" si="414"/>
        <v>Physical</v>
      </c>
      <c r="ACV6" s="10" t="str">
        <f t="shared" si="414"/>
        <v>Physical</v>
      </c>
      <c r="ACW6" s="10" t="str">
        <f t="shared" si="414"/>
        <v>Physical</v>
      </c>
      <c r="ACX6" s="10" t="str">
        <f t="shared" si="414"/>
        <v>Physical</v>
      </c>
      <c r="ACY6" s="10" t="str">
        <f t="shared" ref="ACY6:ADB6" si="415">"Geo"</f>
        <v>Geo</v>
      </c>
      <c r="ACZ6" s="10" t="str">
        <f t="shared" si="415"/>
        <v>Geo</v>
      </c>
      <c r="ADA6" s="10" t="str">
        <f t="shared" si="415"/>
        <v>Geo</v>
      </c>
      <c r="ADB6" s="10" t="str">
        <f t="shared" si="415"/>
        <v>Geo</v>
      </c>
      <c r="ADC6" s="10" t="str">
        <f t="shared" ref="ADC6:ADL6" si="416">"Physical"</f>
        <v>Physical</v>
      </c>
      <c r="ADD6" s="10" t="str">
        <f t="shared" si="416"/>
        <v>Physical</v>
      </c>
      <c r="ADE6" s="10" t="str">
        <f t="shared" si="416"/>
        <v>Physical</v>
      </c>
      <c r="ADF6" s="10" t="str">
        <f t="shared" si="416"/>
        <v>Physical</v>
      </c>
      <c r="ADG6" s="10" t="str">
        <f t="shared" si="416"/>
        <v>Physical</v>
      </c>
      <c r="ADH6" s="10" t="str">
        <f t="shared" si="416"/>
        <v>Physical</v>
      </c>
      <c r="ADI6" s="10" t="str">
        <f t="shared" si="416"/>
        <v>Physical</v>
      </c>
      <c r="ADJ6" s="10" t="str">
        <f t="shared" si="416"/>
        <v>Physical</v>
      </c>
      <c r="ADK6" s="10" t="str">
        <f t="shared" si="416"/>
        <v>Physical</v>
      </c>
      <c r="ADL6" s="10" t="str">
        <f t="shared" si="416"/>
        <v>Physical</v>
      </c>
      <c r="ADM6" s="10" t="str">
        <f t="shared" ref="ADM6:ADP6" si="417">"Geo"</f>
        <v>Geo</v>
      </c>
      <c r="ADN6" s="10" t="str">
        <f t="shared" si="417"/>
        <v>Geo</v>
      </c>
      <c r="ADO6" s="10" t="str">
        <f t="shared" si="417"/>
        <v>Geo</v>
      </c>
      <c r="ADP6" s="10" t="str">
        <f t="shared" si="417"/>
        <v>Geo</v>
      </c>
      <c r="ADQ6" s="10" t="str">
        <f t="shared" ref="ADQ6:ADX6" si="418">"Physical"</f>
        <v>Physical</v>
      </c>
      <c r="ADR6" s="10" t="str">
        <f t="shared" si="418"/>
        <v>Physical</v>
      </c>
      <c r="ADS6" s="10" t="str">
        <f t="shared" si="418"/>
        <v>Physical</v>
      </c>
      <c r="ADT6" s="10" t="str">
        <f t="shared" si="418"/>
        <v>Physical</v>
      </c>
      <c r="ADU6" s="10" t="str">
        <f t="shared" si="418"/>
        <v>Physical</v>
      </c>
      <c r="ADV6" s="10" t="str">
        <f t="shared" si="418"/>
        <v>Physical</v>
      </c>
      <c r="ADW6" s="10" t="str">
        <f t="shared" si="418"/>
        <v>Physical</v>
      </c>
      <c r="ADX6" s="10" t="str">
        <f t="shared" si="418"/>
        <v>Physical</v>
      </c>
      <c r="ADY6" s="10" t="str">
        <f t="shared" ref="ADY6:AEJ6" si="419">"Electro"</f>
        <v>Electro</v>
      </c>
      <c r="ADZ6" s="10" t="str">
        <f t="shared" si="419"/>
        <v>Electro</v>
      </c>
      <c r="AEA6" s="10" t="str">
        <f t="shared" si="419"/>
        <v>Electro</v>
      </c>
      <c r="AEB6" s="10" t="str">
        <f t="shared" si="419"/>
        <v>Electro</v>
      </c>
      <c r="AEC6" s="10" t="str">
        <f t="shared" si="419"/>
        <v>Electro</v>
      </c>
      <c r="AED6" s="10" t="str">
        <f t="shared" si="419"/>
        <v>Electro</v>
      </c>
      <c r="AEE6" s="10" t="str">
        <f t="shared" si="419"/>
        <v>Electro</v>
      </c>
      <c r="AEF6" s="10" t="str">
        <f t="shared" si="419"/>
        <v>Electro</v>
      </c>
      <c r="AEG6" s="10" t="str">
        <f t="shared" si="419"/>
        <v>Electro</v>
      </c>
      <c r="AEH6" s="10" t="str">
        <f t="shared" si="419"/>
        <v>Electro</v>
      </c>
      <c r="AEI6" s="10" t="str">
        <f t="shared" si="419"/>
        <v>Electro</v>
      </c>
      <c r="AEJ6" s="10" t="str">
        <f t="shared" si="419"/>
        <v>Electro</v>
      </c>
      <c r="AEK6" s="10" t="str">
        <f t="shared" ref="AEK6:AER6" si="420">"Physical"</f>
        <v>Physical</v>
      </c>
      <c r="AEL6" s="10" t="str">
        <f t="shared" si="420"/>
        <v>Physical</v>
      </c>
      <c r="AEM6" s="10" t="str">
        <f t="shared" si="420"/>
        <v>Physical</v>
      </c>
      <c r="AEN6" s="10" t="str">
        <f t="shared" si="420"/>
        <v>Physical</v>
      </c>
      <c r="AEO6" s="10" t="str">
        <f t="shared" si="420"/>
        <v>Physical</v>
      </c>
      <c r="AEP6" s="10" t="str">
        <f t="shared" si="420"/>
        <v>Physical</v>
      </c>
      <c r="AEQ6" s="10" t="str">
        <f t="shared" si="420"/>
        <v>Physical</v>
      </c>
      <c r="AER6" s="10" t="str">
        <f t="shared" si="420"/>
        <v>Physical</v>
      </c>
      <c r="AES6" s="10" t="str">
        <f t="shared" ref="AES6:AFN6" si="421">"Hydro"</f>
        <v>Hydro</v>
      </c>
      <c r="AET6" s="10" t="str">
        <f t="shared" si="421"/>
        <v>Hydro</v>
      </c>
      <c r="AEU6" s="10" t="str">
        <f t="shared" si="421"/>
        <v>Hydro</v>
      </c>
      <c r="AEV6" s="10" t="str">
        <f t="shared" si="421"/>
        <v>Hydro</v>
      </c>
      <c r="AEW6" s="10" t="str">
        <f t="shared" si="421"/>
        <v>Hydro</v>
      </c>
      <c r="AEX6" s="10" t="str">
        <f t="shared" si="421"/>
        <v>Hydro</v>
      </c>
      <c r="AEY6" s="10" t="str">
        <f t="shared" si="421"/>
        <v>Hydro</v>
      </c>
      <c r="AEZ6" s="10" t="str">
        <f t="shared" si="421"/>
        <v>Hydro</v>
      </c>
      <c r="AFA6" s="10" t="str">
        <f t="shared" si="421"/>
        <v>Hydro</v>
      </c>
      <c r="AFB6" s="10" t="str">
        <f t="shared" si="421"/>
        <v>Hydro</v>
      </c>
      <c r="AFC6" s="10" t="str">
        <f t="shared" si="421"/>
        <v>Hydro</v>
      </c>
      <c r="AFD6" s="10" t="str">
        <f t="shared" si="421"/>
        <v>Hydro</v>
      </c>
      <c r="AFE6" s="10" t="str">
        <f t="shared" si="421"/>
        <v>Hydro</v>
      </c>
      <c r="AFF6" s="10" t="str">
        <f t="shared" si="421"/>
        <v>Hydro</v>
      </c>
      <c r="AFG6" s="10" t="str">
        <f t="shared" si="421"/>
        <v>Hydro</v>
      </c>
      <c r="AFH6" s="10" t="str">
        <f t="shared" si="421"/>
        <v>Hydro</v>
      </c>
      <c r="AFI6" s="10" t="str">
        <f t="shared" si="421"/>
        <v>Hydro</v>
      </c>
      <c r="AFJ6" s="10" t="str">
        <f t="shared" si="421"/>
        <v>Hydro</v>
      </c>
      <c r="AFK6" s="10" t="str">
        <f t="shared" si="421"/>
        <v>Hydro</v>
      </c>
      <c r="AFL6" s="10" t="str">
        <f t="shared" si="421"/>
        <v>Hydro</v>
      </c>
      <c r="AFM6" s="10" t="str">
        <f t="shared" si="421"/>
        <v>Hydro</v>
      </c>
      <c r="AFN6" s="10" t="str">
        <f t="shared" si="421"/>
        <v>Hydro</v>
      </c>
      <c r="AFO6" s="88" t="str">
        <f t="shared" ref="AFO6:AFV6" si="422">"Physical"</f>
        <v>Physical</v>
      </c>
      <c r="AFP6" s="88" t="str">
        <f t="shared" si="422"/>
        <v>Physical</v>
      </c>
      <c r="AFQ6" s="88" t="str">
        <f t="shared" si="422"/>
        <v>Physical</v>
      </c>
      <c r="AFR6" s="88" t="str">
        <f t="shared" si="422"/>
        <v>Physical</v>
      </c>
      <c r="AFS6" s="88" t="str">
        <f t="shared" si="422"/>
        <v>Physical</v>
      </c>
      <c r="AFT6" s="88" t="str">
        <f t="shared" si="422"/>
        <v>Physical</v>
      </c>
      <c r="AFU6" s="88" t="str">
        <f t="shared" si="422"/>
        <v>Physical</v>
      </c>
      <c r="AFV6" s="88" t="str">
        <f t="shared" si="422"/>
        <v>Physical</v>
      </c>
      <c r="AFW6" s="88" t="str">
        <f t="shared" ref="AFW6:AFY6" si="423">"Cryo"</f>
        <v>Cryo</v>
      </c>
      <c r="AFX6" s="88" t="str">
        <f t="shared" si="423"/>
        <v>Cryo</v>
      </c>
      <c r="AFY6" s="88" t="str">
        <f t="shared" si="423"/>
        <v>Cryo</v>
      </c>
      <c r="AFZ6" s="88" t="str">
        <f t="shared" ref="AFZ6:AGJ6" si="424">"Dendro"</f>
        <v>Dendro</v>
      </c>
      <c r="AGA6" s="88" t="str">
        <f t="shared" si="424"/>
        <v>Dendro</v>
      </c>
      <c r="AGB6" s="88" t="str">
        <f t="shared" si="424"/>
        <v>Dendro</v>
      </c>
      <c r="AGC6" s="88" t="str">
        <f t="shared" si="424"/>
        <v>Dendro</v>
      </c>
      <c r="AGD6" s="88" t="str">
        <f t="shared" si="424"/>
        <v>Dendro</v>
      </c>
      <c r="AGE6" s="88" t="str">
        <f t="shared" si="424"/>
        <v>Dendro</v>
      </c>
      <c r="AGF6" s="88" t="str">
        <f t="shared" si="424"/>
        <v>Dendro</v>
      </c>
      <c r="AGG6" s="88" t="str">
        <f t="shared" si="424"/>
        <v>Dendro</v>
      </c>
      <c r="AGH6" s="88" t="str">
        <f t="shared" si="424"/>
        <v>Dendro</v>
      </c>
      <c r="AGI6" s="88" t="str">
        <f t="shared" si="424"/>
        <v>Dendro</v>
      </c>
      <c r="AGJ6" s="88" t="str">
        <f t="shared" si="424"/>
        <v>Dendro</v>
      </c>
      <c r="AGK6" s="88" t="str">
        <f t="shared" ref="AGK6:AGO6" si="425">"Physical"</f>
        <v>Physical</v>
      </c>
      <c r="AGL6" s="88" t="str">
        <f t="shared" si="425"/>
        <v>Physical</v>
      </c>
      <c r="AGM6" s="88" t="str">
        <f t="shared" si="425"/>
        <v>Physical</v>
      </c>
      <c r="AGN6" s="88" t="str">
        <f t="shared" si="425"/>
        <v>Physical</v>
      </c>
      <c r="AGO6" s="88" t="str">
        <f t="shared" si="425"/>
        <v>Physical</v>
      </c>
      <c r="AGP6" s="88" t="str">
        <f>"Anemo"</f>
        <v>Anemo</v>
      </c>
      <c r="AGQ6" s="88" t="str">
        <f t="shared" ref="AGQ6:AGS6" si="426">"Physical"</f>
        <v>Physical</v>
      </c>
      <c r="AGR6" s="88" t="str">
        <f t="shared" si="426"/>
        <v>Physical</v>
      </c>
      <c r="AGS6" s="88" t="str">
        <f t="shared" si="426"/>
        <v>Physical</v>
      </c>
      <c r="AGT6" s="88" t="str">
        <f t="shared" ref="AGT6:AHJ6" si="427">"Anemo"</f>
        <v>Anemo</v>
      </c>
      <c r="AGU6" s="88" t="str">
        <f t="shared" si="427"/>
        <v>Anemo</v>
      </c>
      <c r="AGV6" s="88" t="str">
        <f t="shared" si="427"/>
        <v>Anemo</v>
      </c>
      <c r="AGW6" s="195" t="str">
        <f t="shared" si="427"/>
        <v>Anemo</v>
      </c>
      <c r="AGX6" s="195" t="str">
        <f t="shared" si="427"/>
        <v>Anemo</v>
      </c>
      <c r="AGY6" s="195" t="str">
        <f t="shared" si="427"/>
        <v>Anemo</v>
      </c>
      <c r="AGZ6" s="195" t="str">
        <f t="shared" si="427"/>
        <v>Anemo</v>
      </c>
      <c r="AHA6" s="88" t="str">
        <f t="shared" si="427"/>
        <v>Anemo</v>
      </c>
      <c r="AHB6" s="88" t="str">
        <f t="shared" si="427"/>
        <v>Anemo</v>
      </c>
      <c r="AHC6" s="88" t="str">
        <f t="shared" si="427"/>
        <v>Anemo</v>
      </c>
      <c r="AHD6" s="88" t="str">
        <f t="shared" si="427"/>
        <v>Anemo</v>
      </c>
      <c r="AHE6" s="88" t="str">
        <f t="shared" si="427"/>
        <v>Anemo</v>
      </c>
      <c r="AHF6" s="88" t="str">
        <f t="shared" si="427"/>
        <v>Anemo</v>
      </c>
      <c r="AHG6" s="88" t="str">
        <f t="shared" si="427"/>
        <v>Anemo</v>
      </c>
      <c r="AHH6" s="88" t="str">
        <f t="shared" si="427"/>
        <v>Anemo</v>
      </c>
      <c r="AHI6" s="88" t="str">
        <f t="shared" si="427"/>
        <v>Anemo</v>
      </c>
      <c r="AHJ6" s="88" t="str">
        <f t="shared" si="427"/>
        <v>Anemo</v>
      </c>
      <c r="AHK6" s="88" t="str">
        <f t="shared" ref="AHK6:AHX6" si="428">"Dendro"</f>
        <v>Dendro</v>
      </c>
      <c r="AHL6" s="88" t="str">
        <f t="shared" si="428"/>
        <v>Dendro</v>
      </c>
      <c r="AHM6" s="88" t="str">
        <f t="shared" si="428"/>
        <v>Dendro</v>
      </c>
      <c r="AHN6" s="88" t="str">
        <f t="shared" si="428"/>
        <v>Dendro</v>
      </c>
      <c r="AHO6" s="88" t="str">
        <f t="shared" si="428"/>
        <v>Dendro</v>
      </c>
      <c r="AHP6" s="88" t="str">
        <f t="shared" si="428"/>
        <v>Dendro</v>
      </c>
      <c r="AHQ6" s="88" t="str">
        <f t="shared" si="428"/>
        <v>Dendro</v>
      </c>
      <c r="AHR6" s="88" t="str">
        <f t="shared" si="428"/>
        <v>Dendro</v>
      </c>
      <c r="AHS6" s="88" t="str">
        <f t="shared" si="428"/>
        <v>Dendro</v>
      </c>
      <c r="AHT6" s="88" t="str">
        <f t="shared" si="428"/>
        <v>Dendro</v>
      </c>
      <c r="AHU6" s="88" t="str">
        <f t="shared" si="428"/>
        <v>Dendro</v>
      </c>
      <c r="AHV6" s="88" t="str">
        <f t="shared" si="428"/>
        <v>Dendro</v>
      </c>
      <c r="AHW6" s="88" t="str">
        <f t="shared" si="428"/>
        <v>Dendro</v>
      </c>
      <c r="AHX6" s="88" t="str">
        <f t="shared" si="428"/>
        <v>Dendro</v>
      </c>
      <c r="AHY6" s="88" t="str">
        <f t="shared" ref="AHY6:AIG6" si="429">"Physical"</f>
        <v>Physical</v>
      </c>
      <c r="AHZ6" s="88" t="str">
        <f t="shared" si="429"/>
        <v>Physical</v>
      </c>
      <c r="AIA6" s="88" t="str">
        <f t="shared" si="429"/>
        <v>Physical</v>
      </c>
      <c r="AIB6" s="88" t="str">
        <f t="shared" si="429"/>
        <v>Physical</v>
      </c>
      <c r="AIC6" s="88" t="str">
        <f t="shared" si="429"/>
        <v>Physical</v>
      </c>
      <c r="AID6" s="88" t="str">
        <f t="shared" si="429"/>
        <v>Physical</v>
      </c>
      <c r="AIE6" s="88" t="str">
        <f t="shared" si="429"/>
        <v>Physical</v>
      </c>
      <c r="AIF6" s="88" t="str">
        <f t="shared" si="429"/>
        <v>Physical</v>
      </c>
      <c r="AIG6" s="88" t="str">
        <f t="shared" si="429"/>
        <v>Physical</v>
      </c>
      <c r="AIH6" s="88" t="str">
        <f t="shared" ref="AIH6:AIJ6" si="430">"Dendro"</f>
        <v>Dendro</v>
      </c>
      <c r="AII6" s="88" t="str">
        <f t="shared" si="430"/>
        <v>Dendro</v>
      </c>
      <c r="AIJ6" s="88" t="str">
        <f t="shared" si="430"/>
        <v>Dendro</v>
      </c>
      <c r="AIK6" s="88" t="str">
        <f t="shared" ref="AIK6:AIS6" si="431">"Physical"</f>
        <v>Physical</v>
      </c>
      <c r="AIL6" s="88" t="str">
        <f t="shared" si="431"/>
        <v>Physical</v>
      </c>
      <c r="AIM6" s="88" t="str">
        <f t="shared" si="431"/>
        <v>Physical</v>
      </c>
      <c r="AIN6" s="88" t="str">
        <f t="shared" si="431"/>
        <v>Physical</v>
      </c>
      <c r="AIO6" s="88" t="str">
        <f t="shared" si="431"/>
        <v>Physical</v>
      </c>
      <c r="AIP6" s="88" t="str">
        <f t="shared" si="431"/>
        <v>Physical</v>
      </c>
      <c r="AIQ6" s="88" t="str">
        <f t="shared" si="431"/>
        <v>Physical</v>
      </c>
      <c r="AIR6" s="88" t="str">
        <f t="shared" si="431"/>
        <v>Physical</v>
      </c>
      <c r="AIS6" s="88" t="str">
        <f t="shared" si="431"/>
        <v>Physical</v>
      </c>
      <c r="AIT6" s="88" t="str">
        <f t="shared" ref="AIT6:AIV6" si="432">"Cryo"</f>
        <v>Cryo</v>
      </c>
      <c r="AIU6" s="88" t="str">
        <f t="shared" si="432"/>
        <v>Cryo</v>
      </c>
      <c r="AIV6" s="88" t="str">
        <f t="shared" si="432"/>
        <v>Cryo</v>
      </c>
      <c r="AIW6" s="88" t="str">
        <f t="shared" ref="AIW6:AJE6" si="433">"Physical"</f>
        <v>Physical</v>
      </c>
      <c r="AIX6" s="88" t="str">
        <f t="shared" si="433"/>
        <v>Physical</v>
      </c>
      <c r="AIY6" s="88" t="str">
        <f t="shared" si="433"/>
        <v>Physical</v>
      </c>
      <c r="AIZ6" s="88" t="str">
        <f t="shared" si="433"/>
        <v>Physical</v>
      </c>
      <c r="AJA6" s="88" t="str">
        <f t="shared" si="433"/>
        <v>Physical</v>
      </c>
      <c r="AJB6" s="88" t="str">
        <f t="shared" si="433"/>
        <v>Physical</v>
      </c>
      <c r="AJC6" s="88" t="str">
        <f t="shared" si="433"/>
        <v>Physical</v>
      </c>
      <c r="AJD6" s="88" t="str">
        <f t="shared" si="433"/>
        <v>Physical</v>
      </c>
      <c r="AJE6" s="88" t="str">
        <f t="shared" si="433"/>
        <v>Physical</v>
      </c>
      <c r="AJF6" s="88" t="str">
        <f t="shared" ref="AJF6:AJJ6" si="434">"Pyro"</f>
        <v>Pyro</v>
      </c>
      <c r="AJG6" s="88" t="str">
        <f t="shared" si="434"/>
        <v>Pyro</v>
      </c>
      <c r="AJH6" s="88" t="str">
        <f t="shared" si="434"/>
        <v>Pyro</v>
      </c>
      <c r="AJI6" s="88" t="str">
        <f t="shared" si="434"/>
        <v>Pyro</v>
      </c>
      <c r="AJJ6" s="88" t="str">
        <f t="shared" si="434"/>
        <v>Pyro</v>
      </c>
      <c r="AJK6" s="88" t="str">
        <f t="shared" ref="AJK6:AKE6" si="435">"Dendro"</f>
        <v>Dendro</v>
      </c>
      <c r="AJL6" s="88" t="str">
        <f t="shared" si="435"/>
        <v>Dendro</v>
      </c>
      <c r="AJM6" s="88" t="str">
        <f t="shared" si="435"/>
        <v>Dendro</v>
      </c>
      <c r="AJN6" s="88" t="str">
        <f t="shared" si="435"/>
        <v>Dendro</v>
      </c>
      <c r="AJO6" s="88" t="str">
        <f t="shared" si="435"/>
        <v>Dendro</v>
      </c>
      <c r="AJP6" s="88" t="str">
        <f t="shared" si="435"/>
        <v>Dendro</v>
      </c>
      <c r="AJQ6" s="88" t="str">
        <f t="shared" si="435"/>
        <v>Dendro</v>
      </c>
      <c r="AJR6" s="88" t="str">
        <f t="shared" si="435"/>
        <v>Dendro</v>
      </c>
      <c r="AJS6" s="88" t="str">
        <f t="shared" si="435"/>
        <v>Dendro</v>
      </c>
      <c r="AJT6" s="88" t="str">
        <f t="shared" si="435"/>
        <v>Dendro</v>
      </c>
      <c r="AJU6" s="88" t="str">
        <f t="shared" si="435"/>
        <v>Dendro</v>
      </c>
      <c r="AJV6" s="88" t="str">
        <f t="shared" si="435"/>
        <v>Dendro</v>
      </c>
      <c r="AJW6" s="88" t="str">
        <f t="shared" si="435"/>
        <v>Dendro</v>
      </c>
      <c r="AJX6" s="88" t="str">
        <f t="shared" si="435"/>
        <v>Dendro</v>
      </c>
      <c r="AJY6" s="88" t="str">
        <f t="shared" si="435"/>
        <v>Dendro</v>
      </c>
      <c r="AJZ6" s="88" t="str">
        <f t="shared" si="435"/>
        <v>Dendro</v>
      </c>
      <c r="AKA6" s="88" t="str">
        <f t="shared" si="435"/>
        <v>Dendro</v>
      </c>
      <c r="AKB6" s="88" t="str">
        <f t="shared" si="435"/>
        <v>Dendro</v>
      </c>
      <c r="AKC6" s="88" t="str">
        <f t="shared" si="435"/>
        <v>Dendro</v>
      </c>
      <c r="AKD6" s="88" t="str">
        <f t="shared" si="435"/>
        <v>Dendro</v>
      </c>
      <c r="AKE6" s="88" t="str">
        <f t="shared" si="435"/>
        <v>Dendro</v>
      </c>
      <c r="AKF6" s="88" t="str">
        <f t="shared" ref="AKF6:AKO6" si="436">"Physical"</f>
        <v>Physical</v>
      </c>
      <c r="AKG6" s="88" t="str">
        <f t="shared" si="436"/>
        <v>Physical</v>
      </c>
      <c r="AKH6" s="88" t="str">
        <f t="shared" si="436"/>
        <v>Physical</v>
      </c>
      <c r="AKI6" s="88" t="str">
        <f t="shared" si="436"/>
        <v>Physical</v>
      </c>
      <c r="AKJ6" s="88" t="str">
        <f t="shared" si="436"/>
        <v>Physical</v>
      </c>
      <c r="AKK6" s="88" t="str">
        <f t="shared" si="436"/>
        <v>Physical</v>
      </c>
      <c r="AKL6" s="88" t="str">
        <f t="shared" si="436"/>
        <v>Physical</v>
      </c>
      <c r="AKM6" s="88" t="str">
        <f t="shared" si="436"/>
        <v>Physical</v>
      </c>
      <c r="AKN6" s="88" t="str">
        <f t="shared" si="436"/>
        <v>Physical</v>
      </c>
      <c r="AKO6" s="88" t="str">
        <f t="shared" si="436"/>
        <v>Physical</v>
      </c>
      <c r="AKP6" s="88" t="str">
        <f t="shared" ref="AKP6:AKT6" si="437">"Dendro"</f>
        <v>Dendro</v>
      </c>
      <c r="AKQ6" s="88" t="str">
        <f t="shared" si="437"/>
        <v>Dendro</v>
      </c>
      <c r="AKR6" s="88" t="str">
        <f t="shared" si="437"/>
        <v>Dendro</v>
      </c>
      <c r="AKS6" s="88" t="str">
        <f t="shared" si="437"/>
        <v>Dendro</v>
      </c>
      <c r="AKT6" s="88" t="str">
        <f t="shared" si="437"/>
        <v>Dendro</v>
      </c>
      <c r="AKU6" s="10" t="str">
        <f t="shared" ref="AKU6:ALF6" si="438">"Physical"</f>
        <v>Physical</v>
      </c>
      <c r="AKV6" s="10" t="str">
        <f t="shared" si="438"/>
        <v>Physical</v>
      </c>
      <c r="AKW6" s="10" t="str">
        <f t="shared" si="438"/>
        <v>Physical</v>
      </c>
      <c r="AKX6" s="10" t="str">
        <f t="shared" si="438"/>
        <v>Physical</v>
      </c>
      <c r="AKY6" s="10" t="str">
        <f t="shared" si="438"/>
        <v>Physical</v>
      </c>
      <c r="AKZ6" s="10" t="str">
        <f t="shared" si="438"/>
        <v>Physical</v>
      </c>
      <c r="ALA6" s="10" t="str">
        <f t="shared" si="438"/>
        <v>Physical</v>
      </c>
      <c r="ALB6" s="10" t="str">
        <f t="shared" si="438"/>
        <v>Physical</v>
      </c>
      <c r="ALC6" s="10" t="str">
        <f t="shared" si="438"/>
        <v>Physical</v>
      </c>
      <c r="ALD6" s="10" t="str">
        <f t="shared" si="438"/>
        <v>Physical</v>
      </c>
      <c r="ALE6" s="10" t="str">
        <f t="shared" si="438"/>
        <v>Physical</v>
      </c>
      <c r="ALF6" s="10" t="str">
        <f t="shared" si="438"/>
        <v>Physical</v>
      </c>
      <c r="ALG6" s="88" t="str">
        <f t="shared" ref="ALG6:ALL6" si="439">"Hydro"</f>
        <v>Hydro</v>
      </c>
      <c r="ALH6" s="88" t="str">
        <f t="shared" si="439"/>
        <v>Hydro</v>
      </c>
      <c r="ALI6" s="88" t="str">
        <f t="shared" si="439"/>
        <v>Hydro</v>
      </c>
      <c r="ALJ6" s="88" t="str">
        <f t="shared" si="439"/>
        <v>Hydro</v>
      </c>
      <c r="ALK6" s="88" t="str">
        <f t="shared" si="439"/>
        <v>Hydro</v>
      </c>
      <c r="ALL6" s="88" t="str">
        <f t="shared" si="439"/>
        <v>Hydro</v>
      </c>
      <c r="ALM6" s="88" t="str">
        <f t="shared" ref="ALM6:ALZ6" si="440">"Anemo"</f>
        <v>Anemo</v>
      </c>
      <c r="ALN6" s="88" t="str">
        <f t="shared" si="440"/>
        <v>Anemo</v>
      </c>
      <c r="ALO6" s="88" t="str">
        <f t="shared" si="440"/>
        <v>Anemo</v>
      </c>
      <c r="ALP6" s="88" t="str">
        <f t="shared" si="440"/>
        <v>Anemo</v>
      </c>
      <c r="ALQ6" s="88" t="str">
        <f t="shared" si="440"/>
        <v>Anemo</v>
      </c>
      <c r="ALR6" s="88" t="str">
        <f t="shared" si="440"/>
        <v>Anemo</v>
      </c>
      <c r="ALS6" s="88" t="str">
        <f t="shared" si="440"/>
        <v>Anemo</v>
      </c>
      <c r="ALT6" s="88" t="str">
        <f t="shared" si="440"/>
        <v>Anemo</v>
      </c>
      <c r="ALU6" s="88" t="str">
        <f t="shared" si="440"/>
        <v>Anemo</v>
      </c>
      <c r="ALV6" s="88" t="str">
        <f t="shared" si="440"/>
        <v>Anemo</v>
      </c>
      <c r="ALW6" s="88" t="str">
        <f t="shared" si="440"/>
        <v>Anemo</v>
      </c>
      <c r="ALX6" s="88" t="str">
        <f t="shared" si="440"/>
        <v>Anemo</v>
      </c>
      <c r="ALY6" s="88" t="str">
        <f t="shared" si="440"/>
        <v>Anemo</v>
      </c>
      <c r="ALZ6" s="88" t="str">
        <f t="shared" si="440"/>
        <v>Anemo</v>
      </c>
      <c r="AMA6" s="88" t="str">
        <f>"Pyro"</f>
        <v>Pyro</v>
      </c>
      <c r="AMB6" s="88" t="str">
        <f t="shared" ref="AMB6:AMG6" si="441">"Physical"</f>
        <v>Physical</v>
      </c>
      <c r="AMC6" s="88" t="str">
        <f t="shared" si="441"/>
        <v>Physical</v>
      </c>
      <c r="AMD6" s="88" t="str">
        <f t="shared" si="441"/>
        <v>Physical</v>
      </c>
      <c r="AME6" s="88" t="str">
        <f t="shared" si="441"/>
        <v>Physical</v>
      </c>
      <c r="AMF6" s="88" t="str">
        <f t="shared" si="441"/>
        <v>Physical</v>
      </c>
      <c r="AMG6" s="88" t="str">
        <f t="shared" si="441"/>
        <v>Physical</v>
      </c>
      <c r="AMH6" s="88" t="str">
        <f t="shared" ref="AMH6:AML6" si="442">"Pyro"</f>
        <v>Pyro</v>
      </c>
      <c r="AMI6" s="88" t="str">
        <f t="shared" si="442"/>
        <v>Pyro</v>
      </c>
      <c r="AMJ6" s="88" t="str">
        <f t="shared" si="442"/>
        <v>Pyro</v>
      </c>
      <c r="AMK6" s="88" t="str">
        <f t="shared" si="442"/>
        <v>Pyro</v>
      </c>
      <c r="AML6" s="88" t="str">
        <f t="shared" si="442"/>
        <v>Pyro</v>
      </c>
      <c r="AMM6" s="88" t="str">
        <f t="shared" ref="AMM6:AMO6" si="443">"Physical"</f>
        <v>Physical</v>
      </c>
      <c r="AMN6" s="88" t="str">
        <f t="shared" si="443"/>
        <v>Physical</v>
      </c>
      <c r="AMO6" s="88" t="str">
        <f t="shared" si="443"/>
        <v>Physical</v>
      </c>
      <c r="AMP6" s="88" t="str">
        <f t="shared" ref="AMP6:AMW6" si="444">"Pyro"</f>
        <v>Pyro</v>
      </c>
      <c r="AMQ6" s="88" t="str">
        <f t="shared" si="444"/>
        <v>Pyro</v>
      </c>
      <c r="AMR6" s="88" t="str">
        <f t="shared" si="444"/>
        <v>Pyro</v>
      </c>
      <c r="AMS6" s="88" t="str">
        <f t="shared" si="444"/>
        <v>Pyro</v>
      </c>
      <c r="AMT6" s="88" t="str">
        <f t="shared" si="444"/>
        <v>Pyro</v>
      </c>
      <c r="AMU6" s="88" t="str">
        <f t="shared" si="444"/>
        <v>Pyro</v>
      </c>
      <c r="AMV6" s="88" t="str">
        <f t="shared" si="444"/>
        <v>Pyro</v>
      </c>
      <c r="AMW6" s="88" t="str">
        <f t="shared" si="444"/>
        <v>Pyro</v>
      </c>
      <c r="AMX6" s="88" t="str">
        <f t="shared" ref="AMX6:ANF6" si="445">"Physical"</f>
        <v>Physical</v>
      </c>
      <c r="AMY6" s="88" t="str">
        <f t="shared" si="445"/>
        <v>Physical</v>
      </c>
      <c r="AMZ6" s="88" t="str">
        <f t="shared" si="445"/>
        <v>Physical</v>
      </c>
      <c r="ANA6" s="88" t="str">
        <f t="shared" si="445"/>
        <v>Physical</v>
      </c>
      <c r="ANB6" s="88" t="str">
        <f t="shared" si="445"/>
        <v>Physical</v>
      </c>
      <c r="ANC6" s="88" t="str">
        <f t="shared" si="445"/>
        <v>Physical</v>
      </c>
      <c r="AND6" s="88" t="str">
        <f t="shared" si="445"/>
        <v>Physical</v>
      </c>
      <c r="ANE6" s="88" t="str">
        <f t="shared" si="445"/>
        <v>Physical</v>
      </c>
      <c r="ANF6" s="88" t="str">
        <f t="shared" si="445"/>
        <v>Physical</v>
      </c>
      <c r="ANG6" s="88" t="str">
        <f t="shared" ref="ANG6:ANK6" si="446">"Cryo"</f>
        <v>Cryo</v>
      </c>
      <c r="ANH6" s="88" t="str">
        <f t="shared" si="446"/>
        <v>Cryo</v>
      </c>
      <c r="ANI6" s="88" t="str">
        <f t="shared" si="446"/>
        <v>Cryo</v>
      </c>
      <c r="ANJ6" s="88" t="str">
        <f t="shared" si="446"/>
        <v>Cryo</v>
      </c>
      <c r="ANK6" s="88" t="str">
        <f t="shared" si="446"/>
        <v>Cryo</v>
      </c>
      <c r="ANL6" s="88" t="str">
        <f>"Physical"</f>
        <v>Physical</v>
      </c>
      <c r="ANM6" s="88" t="str">
        <f>"Cryo"</f>
        <v>Cryo</v>
      </c>
      <c r="ANN6" s="88" t="str">
        <f>"Physical"</f>
        <v>Physical</v>
      </c>
      <c r="ANO6" s="88" t="str">
        <f>"Cryo"</f>
        <v>Cryo</v>
      </c>
      <c r="ANP6" s="88" t="str">
        <f t="shared" ref="ANP6:ANQ6" si="447">"Physical"</f>
        <v>Physical</v>
      </c>
      <c r="ANQ6" s="88" t="str">
        <f t="shared" si="447"/>
        <v>Physical</v>
      </c>
      <c r="ANR6" s="88" t="str">
        <f t="shared" ref="ANR6:ANS6" si="448">"Cryo"</f>
        <v>Cryo</v>
      </c>
      <c r="ANS6" s="88" t="str">
        <f t="shared" si="448"/>
        <v>Cryo</v>
      </c>
      <c r="ANT6" s="88" t="str">
        <f t="shared" ref="ANT6:AOH6" si="449">"Hydro"</f>
        <v>Hydro</v>
      </c>
      <c r="ANU6" s="88" t="str">
        <f t="shared" si="449"/>
        <v>Hydro</v>
      </c>
      <c r="ANV6" s="88" t="str">
        <f t="shared" si="449"/>
        <v>Hydro</v>
      </c>
      <c r="ANW6" s="88" t="str">
        <f t="shared" si="449"/>
        <v>Hydro</v>
      </c>
      <c r="ANX6" s="88" t="str">
        <f t="shared" si="449"/>
        <v>Hydro</v>
      </c>
      <c r="ANY6" s="88" t="str">
        <f t="shared" si="449"/>
        <v>Hydro</v>
      </c>
      <c r="ANZ6" s="88" t="str">
        <f t="shared" si="449"/>
        <v>Hydro</v>
      </c>
      <c r="AOA6" s="88" t="str">
        <f t="shared" si="449"/>
        <v>Hydro</v>
      </c>
      <c r="AOB6" s="88" t="str">
        <f t="shared" si="449"/>
        <v>Hydro</v>
      </c>
      <c r="AOC6" s="88" t="str">
        <f t="shared" si="449"/>
        <v>Hydro</v>
      </c>
      <c r="AOD6" s="88" t="str">
        <f t="shared" si="449"/>
        <v>Hydro</v>
      </c>
      <c r="AOE6" s="88" t="str">
        <f t="shared" si="449"/>
        <v>Hydro</v>
      </c>
      <c r="AOF6" s="88" t="str">
        <f t="shared" si="449"/>
        <v>Hydro</v>
      </c>
      <c r="AOG6" s="88" t="str">
        <f t="shared" si="449"/>
        <v>Hydro</v>
      </c>
      <c r="AOH6" s="88" t="str">
        <f t="shared" si="449"/>
        <v>Hydro</v>
      </c>
      <c r="AOI6" s="88" t="str">
        <f t="shared" ref="AOI6:APL6" si="450">"Cryo"</f>
        <v>Cryo</v>
      </c>
      <c r="AOJ6" s="88" t="str">
        <f t="shared" si="450"/>
        <v>Cryo</v>
      </c>
      <c r="AOK6" s="88" t="str">
        <f t="shared" si="450"/>
        <v>Cryo</v>
      </c>
      <c r="AOL6" s="88" t="str">
        <f t="shared" si="450"/>
        <v>Cryo</v>
      </c>
      <c r="AOM6" s="88" t="str">
        <f t="shared" si="450"/>
        <v>Cryo</v>
      </c>
      <c r="AON6" s="88" t="str">
        <f t="shared" si="450"/>
        <v>Cryo</v>
      </c>
      <c r="AOO6" s="88" t="str">
        <f t="shared" si="450"/>
        <v>Cryo</v>
      </c>
      <c r="AOP6" s="88" t="str">
        <f t="shared" si="450"/>
        <v>Cryo</v>
      </c>
      <c r="AOQ6" s="88" t="str">
        <f t="shared" si="450"/>
        <v>Cryo</v>
      </c>
      <c r="AOR6" s="88" t="str">
        <f t="shared" si="450"/>
        <v>Cryo</v>
      </c>
      <c r="AOS6" s="88" t="str">
        <f t="shared" si="450"/>
        <v>Cryo</v>
      </c>
      <c r="AOT6" s="88" t="str">
        <f t="shared" si="450"/>
        <v>Cryo</v>
      </c>
      <c r="AOU6" s="88" t="str">
        <f t="shared" si="450"/>
        <v>Cryo</v>
      </c>
      <c r="AOV6" s="88" t="str">
        <f t="shared" si="450"/>
        <v>Cryo</v>
      </c>
      <c r="AOW6" s="88" t="str">
        <f t="shared" si="450"/>
        <v>Cryo</v>
      </c>
      <c r="AOX6" s="88" t="str">
        <f t="shared" si="450"/>
        <v>Cryo</v>
      </c>
      <c r="AOY6" s="88" t="str">
        <f t="shared" si="450"/>
        <v>Cryo</v>
      </c>
      <c r="AOZ6" s="88" t="str">
        <f t="shared" si="450"/>
        <v>Cryo</v>
      </c>
      <c r="APA6" s="88" t="str">
        <f t="shared" si="450"/>
        <v>Cryo</v>
      </c>
      <c r="APB6" s="88" t="str">
        <f t="shared" si="450"/>
        <v>Cryo</v>
      </c>
      <c r="APC6" s="88" t="str">
        <f t="shared" si="450"/>
        <v>Cryo</v>
      </c>
      <c r="APD6" s="88" t="str">
        <f t="shared" si="450"/>
        <v>Cryo</v>
      </c>
      <c r="APE6" s="88" t="str">
        <f t="shared" si="450"/>
        <v>Cryo</v>
      </c>
      <c r="APF6" s="88" t="str">
        <f t="shared" si="450"/>
        <v>Cryo</v>
      </c>
      <c r="APG6" s="88" t="str">
        <f t="shared" si="450"/>
        <v>Cryo</v>
      </c>
      <c r="APH6" s="88" t="str">
        <f t="shared" si="450"/>
        <v>Cryo</v>
      </c>
      <c r="API6" s="88" t="str">
        <f t="shared" si="450"/>
        <v>Cryo</v>
      </c>
      <c r="APJ6" s="88" t="str">
        <f t="shared" si="450"/>
        <v>Cryo</v>
      </c>
      <c r="APK6" s="88" t="str">
        <f t="shared" si="450"/>
        <v>Cryo</v>
      </c>
      <c r="APL6" s="88" t="str">
        <f t="shared" si="450"/>
        <v>Cryo</v>
      </c>
      <c r="APM6" s="88" t="str">
        <f t="shared" ref="APM6:APT6" si="451">"Physical"</f>
        <v>Physical</v>
      </c>
      <c r="APN6" s="88" t="str">
        <f t="shared" si="451"/>
        <v>Physical</v>
      </c>
      <c r="APO6" s="88" t="str">
        <f t="shared" si="451"/>
        <v>Physical</v>
      </c>
      <c r="APP6" s="88" t="str">
        <f t="shared" si="451"/>
        <v>Physical</v>
      </c>
      <c r="APQ6" s="88" t="str">
        <f t="shared" si="451"/>
        <v>Physical</v>
      </c>
      <c r="APR6" s="88" t="str">
        <f t="shared" si="451"/>
        <v>Physical</v>
      </c>
      <c r="APS6" s="88" t="str">
        <f t="shared" si="451"/>
        <v>Physical</v>
      </c>
      <c r="APT6" s="88" t="str">
        <f t="shared" si="451"/>
        <v>Physical</v>
      </c>
      <c r="APU6" s="88" t="str">
        <f t="shared" ref="APU6:AQL6" si="452">"Hydro"</f>
        <v>Hydro</v>
      </c>
      <c r="APV6" s="88" t="str">
        <f t="shared" si="452"/>
        <v>Hydro</v>
      </c>
      <c r="APW6" s="88" t="str">
        <f t="shared" si="452"/>
        <v>Hydro</v>
      </c>
      <c r="APX6" s="88" t="str">
        <f t="shared" si="452"/>
        <v>Hydro</v>
      </c>
      <c r="APY6" s="88" t="str">
        <f t="shared" si="452"/>
        <v>Hydro</v>
      </c>
      <c r="APZ6" s="88" t="str">
        <f t="shared" si="452"/>
        <v>Hydro</v>
      </c>
      <c r="AQA6" s="88" t="str">
        <f t="shared" si="452"/>
        <v>Hydro</v>
      </c>
      <c r="AQB6" s="88" t="str">
        <f t="shared" si="452"/>
        <v>Hydro</v>
      </c>
      <c r="AQC6" s="88" t="str">
        <f t="shared" si="452"/>
        <v>Hydro</v>
      </c>
      <c r="AQD6" s="88" t="str">
        <f t="shared" si="452"/>
        <v>Hydro</v>
      </c>
      <c r="AQE6" s="88" t="str">
        <f t="shared" si="452"/>
        <v>Hydro</v>
      </c>
      <c r="AQF6" s="88" t="str">
        <f t="shared" si="452"/>
        <v>Hydro</v>
      </c>
      <c r="AQG6" s="88" t="str">
        <f t="shared" si="452"/>
        <v>Hydro</v>
      </c>
      <c r="AQH6" s="88" t="str">
        <f t="shared" si="452"/>
        <v>Hydro</v>
      </c>
      <c r="AQI6" s="88" t="str">
        <f t="shared" si="452"/>
        <v>Hydro</v>
      </c>
      <c r="AQJ6" s="88" t="str">
        <f t="shared" si="452"/>
        <v>Hydro</v>
      </c>
      <c r="AQK6" s="88" t="str">
        <f t="shared" si="452"/>
        <v>Hydro</v>
      </c>
      <c r="AQL6" s="88" t="str">
        <f t="shared" si="452"/>
        <v>Hydro</v>
      </c>
    </row>
    <row r="7">
      <c r="A7" s="4" t="s">
        <v>253</v>
      </c>
      <c r="B7" s="88" t="str">
        <f> IF(INDIRECT(ADDRESS(ROW() - 2, COLUMN())) = 1, 46.8864, IF(INDIRECT(ADDRESS(ROW() - 2, COLUMN())) = 2, 50.0832, IF(INDIRECT(ADDRESS(ROW() - 2, COLUMN())) = 3, 53.28, IF(INDIRECT(ADDRESS(ROW() - 2, COLUMN())) = 4, 57.5424, IF(INDIRECT(ADDRESS(ROW() - 2, COLUMN())) = 5, 60.7392, IF(INDIRECT(ADDRESS(ROW() - 2, COLUMN())) = 6, 64.4688, IF(INDIRECT(ADDRESS(ROW() - 2, COLUMN())) = 7, 69.264, IF(INDIRECT(ADDRESS(ROW() - 2, COLUMN())) = 8, 74.0592, IF(INDIRECT(ADDRESS(ROW() - 2, COLUMN())) = 9, 78.8544, IF(INDIRECT(ADDRESS(ROW() - 2, COLUMN())) = 10, 83.6496, IF(INDIRECT(ADDRESS(ROW() - 2, COLUMN())) = 11, 88.4448,0)))))))))))</f>
        <v>#VALUE!</v>
      </c>
      <c r="C7" s="88" t="str">
        <f> IF(INDIRECT(ADDRESS(ROW() - 2, COLUMN())) = 1, 48.2539, IF(INDIRECT(ADDRESS(ROW() - 2, COLUMN())) = 2, 51.544, IF(INDIRECT(ADDRESS(ROW() - 2, COLUMN())) = 3, 54.834, IF(INDIRECT(ADDRESS(ROW() - 2, COLUMN())) = 4, 59.2207, IF(INDIRECT(ADDRESS(ROW() - 2, COLUMN())) = 5, 62.5108, IF(INDIRECT(ADDRESS(ROW() - 2, COLUMN())) = 6, 66.3491, IF(INDIRECT(ADDRESS(ROW() - 2, COLUMN())) = 7, 71.2842, IF(INDIRECT(ADDRESS(ROW() - 2, COLUMN())) = 8, 76.2193, IF(INDIRECT(ADDRESS(ROW() - 2, COLUMN())) = 9, 81.1543, IF(INDIRECT(ADDRESS(ROW() - 2, COLUMN())) = 10, 86.0894, IF(INDIRECT(ADDRESS(ROW() - 2, COLUMN())) = 11, 91.0244,0)))))))))))</f>
        <v>#VALUE!</v>
      </c>
      <c r="D7" s="88" t="str">
        <f> IF(INDIRECT(ADDRESS(ROW() - 2, COLUMN())) = 1, 46.8864, IF(INDIRECT(ADDRESS(ROW() - 2, COLUMN())) = 2, 50.0832, IF(INDIRECT(ADDRESS(ROW() - 2, COLUMN())) = 3, 53.28, IF(INDIRECT(ADDRESS(ROW() - 2, COLUMN())) = 4, 57.5424, IF(INDIRECT(ADDRESS(ROW() - 2, COLUMN())) = 5, 60.7392, IF(INDIRECT(ADDRESS(ROW() - 2, COLUMN())) = 6, 64.4688, IF(INDIRECT(ADDRESS(ROW() - 2, COLUMN())) = 7, 69.264, IF(INDIRECT(ADDRESS(ROW() - 2, COLUMN())) = 8, 74.0592, IF(INDIRECT(ADDRESS(ROW() - 2, COLUMN())) = 9, 78.8544, IF(INDIRECT(ADDRESS(ROW() - 2, COLUMN())) = 10, 83.6496, IF(INDIRECT(ADDRESS(ROW() - 2, COLUMN())) = 11, 88.4448,0)))))))))))</f>
        <v>#VALUE!</v>
      </c>
      <c r="E7" s="88" t="str">
        <f> IF(INDIRECT(ADDRESS(ROW() - 2, COLUMN())) = 1, 65.641, IF(INDIRECT(ADDRESS(ROW() - 2, COLUMN())) = 2, 70.1165, IF(INDIRECT(ADDRESS(ROW() - 2, COLUMN())) = 3, 74.592, IF(INDIRECT(ADDRESS(ROW() - 2, COLUMN())) = 4, 80.5594, IF(INDIRECT(ADDRESS(ROW() - 2, COLUMN())) = 5, 85.0349, IF(INDIRECT(ADDRESS(ROW() - 2, COLUMN())) = 6, 90.2563, IF(INDIRECT(ADDRESS(ROW() - 2, COLUMN())) = 7, 96.9696, IF(INDIRECT(ADDRESS(ROW() - 2, COLUMN())) = 8, 103.6829, IF(INDIRECT(ADDRESS(ROW() - 2, COLUMN())) = 9, 110.3962, IF(INDIRECT(ADDRESS(ROW() - 2, COLUMN())) = 10, 117.1094, IF(INDIRECT(ADDRESS(ROW() - 2, COLUMN())) = 11, 123.8227,0)))))))))))</f>
        <v>#VALUE!</v>
      </c>
      <c r="F7" s="88" t="str">
        <f> IF(INDIRECT(ADDRESS(ROW() - 2, COLUMN())) = 1, 33.2737, IF(INDIRECT(ADDRESS(ROW() - 2, COLUMN())) = 2, 35.5423, IF(INDIRECT(ADDRESS(ROW() - 2, COLUMN())) = 3, 37.811, IF(INDIRECT(ADDRESS(ROW() - 2, COLUMN())) = 4, 40.8359, IF(INDIRECT(ADDRESS(ROW() - 2, COLUMN())) = 5, 43.1045, IF(INDIRECT(ADDRESS(ROW() - 2, COLUMN())) = 6, 45.7513, IF(INDIRECT(ADDRESS(ROW() - 2, COLUMN())) = 7, 49.1543, IF(INDIRECT(ADDRESS(ROW() - 2, COLUMN())) = 8, 52.5573, IF(INDIRECT(ADDRESS(ROW() - 2, COLUMN())) = 9, 55.9603, IF(INDIRECT(ADDRESS(ROW() - 2, COLUMN())) = 10, 59.3632999999999, IF(INDIRECT(ADDRESS(ROW() - 2, COLUMN())) = 11, 62.7662999999999,0)))))))))))</f>
        <v>#VALUE!</v>
      </c>
      <c r="G7" s="88" t="str">
        <f> IF(INDIRECT(ADDRESS(ROW() - 2, COLUMN())) = 1, 35.1999999999999, IF(INDIRECT(ADDRESS(ROW() - 2, COLUMN())) = 2, 37.6, IF(INDIRECT(ADDRESS(ROW() - 2, COLUMN())) = 3, 40, IF(INDIRECT(ADDRESS(ROW() - 2, COLUMN())) = 4, 43.2, IF(INDIRECT(ADDRESS(ROW() - 2, COLUMN())) = 5, 45.6, IF(INDIRECT(ADDRESS(ROW() - 2, COLUMN())) = 6, 48.4, IF(INDIRECT(ADDRESS(ROW() - 2, COLUMN())) = 7, 52, IF(INDIRECT(ADDRESS(ROW() - 2, COLUMN())) = 8, 55.6, IF(INDIRECT(ADDRESS(ROW() - 2, COLUMN())) = 9, 59.1999999999999, IF(INDIRECT(ADDRESS(ROW() - 2, COLUMN())) = 10, 62.8, IF(INDIRECT(ADDRESS(ROW() - 2, COLUMN())) = 11, 66.4,0)))))))))))</f>
        <v>#VALUE!</v>
      </c>
      <c r="H7" s="88" t="str">
        <f> IF(INDIRECT(ADDRESS(ROW() - 2, COLUMN())) = 1, 85.9584, IF(INDIRECT(ADDRESS(ROW() - 2, COLUMN())) = 2, 91.8192, IF(INDIRECT(ADDRESS(ROW() - 2, COLUMN())) = 3, 97.68, IF(INDIRECT(ADDRESS(ROW() - 2, COLUMN())) = 4, 105.4944, IF(INDIRECT(ADDRESS(ROW() - 2, COLUMN())) = 5, 111.3552, IF(INDIRECT(ADDRESS(ROW() - 2, COLUMN())) = 6, 118.1928, IF(INDIRECT(ADDRESS(ROW() - 2, COLUMN())) = 7, 126.984, IF(INDIRECT(ADDRESS(ROW() - 2, COLUMN())) = 8, 135.7752, IF(INDIRECT(ADDRESS(ROW() - 2, COLUMN())) = 9, 144.5664, IF(INDIRECT(ADDRESS(ROW() - 2, COLUMN())) = 10, 153.3576, IF(INDIRECT(ADDRESS(ROW() - 2, COLUMN())) = 11, 162.1488,0)))))))))))</f>
        <v>#VALUE!</v>
      </c>
      <c r="I7" s="88" t="str">
        <f> IF(INDIRECT(ADDRESS(ROW() - 2, COLUMN())) = 1, 135.959999999999, IF(INDIRECT(ADDRESS(ROW() - 2, COLUMN())) = 2, 145.23, IF(INDIRECT(ADDRESS(ROW() - 2, COLUMN())) = 3, 154.5, IF(INDIRECT(ADDRESS(ROW() - 2, COLUMN())) = 4, 166.86, IF(INDIRECT(ADDRESS(ROW() - 2, COLUMN())) = 5, 176.13, IF(INDIRECT(ADDRESS(ROW() - 2, COLUMN())) = 6, 186.945, IF(INDIRECT(ADDRESS(ROW() - 2, COLUMN())) = 7, 200.85, IF(INDIRECT(ADDRESS(ROW() - 2, COLUMN())) = 8, 214.755, IF(INDIRECT(ADDRESS(ROW() - 2, COLUMN())) = 9, 228.66, IF(INDIRECT(ADDRESS(ROW() - 2, COLUMN())) = 10, 242.565, IF(INDIRECT(ADDRESS(ROW() - 2, COLUMN())) = 11, 256.47,0)))))))))))</f>
        <v>#VALUE!</v>
      </c>
      <c r="J7" s="88" t="str">
        <f> IF(INDIRECT(ADDRESS(ROW() - 2, COLUMN())) = 1, 65.4192, IF(INDIRECT(ADDRESS(ROW() - 2, COLUMN())) = 2, 69.8796, IF(INDIRECT(ADDRESS(ROW() - 2, COLUMN())) = 3, 74.3399999999999, IF(INDIRECT(ADDRESS(ROW() - 2, COLUMN())) = 4, 80.2872, IF(INDIRECT(ADDRESS(ROW() - 2, COLUMN())) = 5, 84.7476, IF(INDIRECT(ADDRESS(ROW() - 2, COLUMN())) = 6, 89.9514, IF(INDIRECT(ADDRESS(ROW() - 2, COLUMN())) = 7, 96.642, IF(INDIRECT(ADDRESS(ROW() - 2, COLUMN())) = 8, 103.3326, IF(INDIRECT(ADDRESS(ROW() - 2, COLUMN())) = 9, 110.0232, IF(INDIRECT(ADDRESS(ROW() - 2, COLUMN())) = 10, 116.7138, IF(INDIRECT(ADDRESS(ROW() - 2, COLUMN())) = 11, 123.4044,0)))))))))))</f>
        <v>#VALUE!</v>
      </c>
      <c r="K7" s="88" t="str">
        <f> IF(INDIRECT(ADDRESS(ROW() - 2, COLUMN())) = 1, 130.8107, IF(INDIRECT(ADDRESS(ROW() - 2, COLUMN())) = 2, 139.7296, IF(INDIRECT(ADDRESS(ROW() - 2, COLUMN())) = 3, 148.6485, IF(INDIRECT(ADDRESS(ROW() - 2, COLUMN())) = 4, 160.5404, IF(INDIRECT(ADDRESS(ROW() - 2, COLUMN())) = 5, 169.4593, IF(INDIRECT(ADDRESS(ROW() - 2, COLUMN())) = 6, 179.8647, IF(INDIRECT(ADDRESS(ROW() - 2, COLUMN())) = 7, 193.2431, IF(INDIRECT(ADDRESS(ROW() - 2, COLUMN())) = 8, 206.6214, IF(INDIRECT(ADDRESS(ROW() - 2, COLUMN())) = 9, 219.9998, IF(INDIRECT(ADDRESS(ROW() - 2, COLUMN())) = 10, 233.3781, IF(INDIRECT(ADDRESS(ROW() - 2, COLUMN())) = 11, 246.7565,0)))))))))))</f>
        <v>#VALUE!</v>
      </c>
      <c r="L7" s="88" t="str">
        <f> IF(INDIRECT(ADDRESS(ROW() - 2, COLUMN())) = 1, 163.3896, IF(INDIRECT(ADDRESS(ROW() - 2, COLUMN())) = 2, 174.5298, IF(INDIRECT(ADDRESS(ROW() - 2, COLUMN())) = 3, 185.67, IF(INDIRECT(ADDRESS(ROW() - 2, COLUMN())) = 4, 200.5236, IF(INDIRECT(ADDRESS(ROW() - 2, COLUMN())) = 5, 211.6638, IF(INDIRECT(ADDRESS(ROW() - 2, COLUMN())) = 6, 224.6607, IF(INDIRECT(ADDRESS(ROW() - 2, COLUMN())) = 7, 241.371, IF(INDIRECT(ADDRESS(ROW() - 2, COLUMN())) = 8, 258.0813, IF(INDIRECT(ADDRESS(ROW() - 2, COLUMN())) = 9, 274.7916, IF(INDIRECT(ADDRESS(ROW() - 2, COLUMN())) = 10, 291.5019, IF(INDIRECT(ADDRESS(ROW() - 2, COLUMN())) = 11, 308.2122,0)))))))))))</f>
        <v>#VALUE!</v>
      </c>
      <c r="M7" s="88" t="str">
        <f> IF(INDIRECT(ADDRESS(ROW() - 2, COLUMN())) = 1, 64, IF(INDIRECT(ADDRESS(ROW() - 2, COLUMN())) = 2, 68.8, IF(INDIRECT(ADDRESS(ROW() - 2, COLUMN())) = 3, 73.6, IF(INDIRECT(ADDRESS(ROW() - 2, COLUMN())) = 4, 80, IF(INDIRECT(ADDRESS(ROW() - 2, COLUMN())) = 5, 84.8, IF(INDIRECT(ADDRESS(ROW() - 2, COLUMN())) = 6, 89.6, IF(INDIRECT(ADDRESS(ROW() - 2, COLUMN())) = 7, 96, IF(INDIRECT(ADDRESS(ROW() - 2, COLUMN())) = 8, 102.4, IF(INDIRECT(ADDRESS(ROW() - 2, COLUMN())) = 9, 108.8, IF(INDIRECT(ADDRESS(ROW() - 2, COLUMN())) = 10, 115.199999999999, IF(INDIRECT(ADDRESS(ROW() - 2, COLUMN())) = 11, 121.6, IF(INDIRECT(ADDRESS(ROW() - 2, COLUMN())) = 12, 128, IF(INDIRECT(ADDRESS(ROW() - 2, COLUMN())) = 13, 136,0)))))))))))))</f>
        <v>#VALUE!</v>
      </c>
      <c r="N7" s="88" t="str">
        <f> IF(INDIRECT(ADDRESS(ROW() - 2, COLUMN())) = 1, 303.272, IF(INDIRECT(ADDRESS(ROW() - 2, COLUMN())) = 2, 321.431999999999, IF(INDIRECT(ADDRESS(ROW() - 2, COLUMN())) = 3, 339.592, IF(INDIRECT(ADDRESS(ROW() - 2, COLUMN())) = 4, 363.2, IF(INDIRECT(ADDRESS(ROW() - 2, COLUMN())) = 5, 381.36, IF(INDIRECT(ADDRESS(ROW() - 2, COLUMN())) = 6, 399.52, IF(INDIRECT(ADDRESS(ROW() - 2, COLUMN())) = 7, 423.128, IF(INDIRECT(ADDRESS(ROW() - 2, COLUMN())) = 8, 446.736, IF(INDIRECT(ADDRESS(ROW() - 2, COLUMN())) = 9, 470.343999999999, IF(INDIRECT(ADDRESS(ROW() - 2, COLUMN())) = 10, 493.952, IF(INDIRECT(ADDRESS(ROW() - 2, COLUMN())) = 11, 517.56, IF(INDIRECT(ADDRESS(ROW() - 2, COLUMN())) = 12, 541.168, IF(INDIRECT(ADDRESS(ROW() - 2, COLUMN())) = 13, 564.776,0)))))))))))))</f>
        <v>#VALUE!</v>
      </c>
      <c r="O7" s="88" t="str">
        <f> IF(INDIRECT(ADDRESS(ROW() - 2, COLUMN())) = 1, 379.09, IF(INDIRECT(ADDRESS(ROW() - 2, COLUMN())) = 2, 401.79, IF(INDIRECT(ADDRESS(ROW() - 2, COLUMN())) = 3, 424.49, IF(INDIRECT(ADDRESS(ROW() - 2, COLUMN())) = 4, 454, IF(INDIRECT(ADDRESS(ROW() - 2, COLUMN())) = 5, 476.7, IF(INDIRECT(ADDRESS(ROW() - 2, COLUMN())) = 6, 499.4, IF(INDIRECT(ADDRESS(ROW() - 2, COLUMN())) = 7, 528.91, IF(INDIRECT(ADDRESS(ROW() - 2, COLUMN())) = 8, 558.42, IF(INDIRECT(ADDRESS(ROW() - 2, COLUMN())) = 9, 587.93, IF(INDIRECT(ADDRESS(ROW() - 2, COLUMN())) = 10, 617.44, IF(INDIRECT(ADDRESS(ROW() - 2, COLUMN())) = 11, 646.95, IF(INDIRECT(ADDRESS(ROW() - 2, COLUMN())) = 12, 676.459999999999, IF(INDIRECT(ADDRESS(ROW() - 2, COLUMN())) = 13, 705.97,0)))))))))))))</f>
        <v>#VALUE!</v>
      </c>
      <c r="P7" s="88" t="str">
        <f t="shared" ref="P7:Q7" si="453"> IF(INDIRECT(ADDRESS(ROW() - 2, COLUMN())) = 1, 36.7392, IF(INDIRECT(ADDRESS(ROW() - 2, COLUMN())) = 2, 39.7296, IF(INDIRECT(ADDRESS(ROW() - 2, COLUMN())) = 3, 42.72, IF(INDIRECT(ADDRESS(ROW() - 2, COLUMN())) = 4, 46.992, IF(INDIRECT(ADDRESS(ROW() - 2, COLUMN())) = 5, 49.9824, IF(INDIRECT(ADDRESS(ROW() - 2, COLUMN())) = 6, 53.4, IF(INDIRECT(ADDRESS(ROW() - 2, COLUMN())) = 7, 58.0991999999999, IF(INDIRECT(ADDRESS(ROW() - 2, COLUMN())) = 8, 62.7984, IF(INDIRECT(ADDRESS(ROW() - 2, COLUMN())) = 9, 67.4976, IF(INDIRECT(ADDRESS(ROW() - 2, COLUMN())) = 10, 72.624, IF(INDIRECT(ADDRESS(ROW() - 2, COLUMN())) = 11, 78.498,0)))))))))))</f>
        <v>#VALUE!</v>
      </c>
      <c r="Q7" s="88" t="str">
        <f t="shared" si="453"/>
        <v>#VALUE!</v>
      </c>
      <c r="R7" s="88" t="str">
        <f> IF(INDIRECT(ADDRESS(ROW() - 2, COLUMN())) = 1, 47.4548, IF(INDIRECT(ADDRESS(ROW() - 2, COLUMN())) = 2, 51.3174, IF(INDIRECT(ADDRESS(ROW() - 2, COLUMN())) = 3, 55.1799999999999, IF(INDIRECT(ADDRESS(ROW() - 2, COLUMN())) = 4, 60.6979999999999, IF(INDIRECT(ADDRESS(ROW() - 2, COLUMN())) = 5, 64.5606, IF(INDIRECT(ADDRESS(ROW() - 2, COLUMN())) = 6, 68.975, IF(INDIRECT(ADDRESS(ROW() - 2, COLUMN())) = 7, 75.0448, IF(INDIRECT(ADDRESS(ROW() - 2, COLUMN())) = 8, 81.1146, IF(INDIRECT(ADDRESS(ROW() - 2, COLUMN())) = 9, 87.1844, IF(INDIRECT(ADDRESS(ROW() - 2, COLUMN())) = 10, 93.806, IF(INDIRECT(ADDRESS(ROW() - 2, COLUMN())) = 11, 101.3932,0)))))))))))</f>
        <v>#VALUE!</v>
      </c>
      <c r="S7" s="88" t="str">
        <f> IF(INDIRECT(ADDRESS(ROW() - 2, COLUMN())) = 1, 49.751, IF(INDIRECT(ADDRESS(ROW() - 2, COLUMN())) = 2, 53.8004999999999, IF(INDIRECT(ADDRESS(ROW() - 2, COLUMN())) = 3, 57.85, IF(INDIRECT(ADDRESS(ROW() - 2, COLUMN())) = 4, 63.635, IF(INDIRECT(ADDRESS(ROW() - 2, COLUMN())) = 5, 67.6845, IF(INDIRECT(ADDRESS(ROW() - 2, COLUMN())) = 6, 72.3125, IF(INDIRECT(ADDRESS(ROW() - 2, COLUMN())) = 7, 78.676, IF(INDIRECT(ADDRESS(ROW() - 2, COLUMN())) = 8, 85.0395, IF(INDIRECT(ADDRESS(ROW() - 2, COLUMN())) = 9, 91.403, IF(INDIRECT(ADDRESS(ROW() - 2, COLUMN())) = 10, 98.345, IF(INDIRECT(ADDRESS(ROW() - 2, COLUMN())) = 11, 106.2994,0)))))))))))</f>
        <v>#VALUE!</v>
      </c>
      <c r="T7" s="88" t="str">
        <f> IF(INDIRECT(ADDRESS(ROW() - 2, COLUMN())) = 1, 62.0739, IF(INDIRECT(ADDRESS(ROW() - 2, COLUMN())) = 2, 67.1265, IF(INDIRECT(ADDRESS(ROW() - 2, COLUMN())) = 3, 72.179, IF(INDIRECT(ADDRESS(ROW() - 2, COLUMN())) = 4, 79.3969, IF(INDIRECT(ADDRESS(ROW() - 2, COLUMN())) = 5, 84.4494, IF(INDIRECT(ADDRESS(ROW() - 2, COLUMN())) = 6, 90.2238, IF(INDIRECT(ADDRESS(ROW() - 2, COLUMN())) = 7, 98.1634, IF(INDIRECT(ADDRESS(ROW() - 2, COLUMN())) = 8, 106.1031, IF(INDIRECT(ADDRESS(ROW() - 2, COLUMN())) = 9, 114.0428, IF(INDIRECT(ADDRESS(ROW() - 2, COLUMN())) = 10, 122.7043, IF(INDIRECT(ADDRESS(ROW() - 2, COLUMN())) = 11, 132.6289,0)))))))))))</f>
        <v>#VALUE!</v>
      </c>
      <c r="U7" s="88" t="str">
        <f> IF(INDIRECT(ADDRESS(ROW() - 2, COLUMN())) = 1, 47.3, IF(INDIRECT(ADDRESS(ROW() - 2, COLUMN())) = 2, 51.15, IF(INDIRECT(ADDRESS(ROW() - 2, COLUMN())) = 3, 55, IF(INDIRECT(ADDRESS(ROW() - 2, COLUMN())) = 4, 60.5, IF(INDIRECT(ADDRESS(ROW() - 2, COLUMN())) = 5, 64.35, IF(INDIRECT(ADDRESS(ROW() - 2, COLUMN())) = 6, 68.75, IF(INDIRECT(ADDRESS(ROW() - 2, COLUMN())) = 7, 74.8, IF(INDIRECT(ADDRESS(ROW() - 2, COLUMN())) = 8, 80.85, IF(INDIRECT(ADDRESS(ROW() - 2, COLUMN())) = 9, 86.9, IF(INDIRECT(ADDRESS(ROW() - 2, COLUMN())) = 10, 93.5, IF(INDIRECT(ADDRESS(ROW() - 2, COLUMN())) = 11, 101.0625,0)))))))))))</f>
        <v>#VALUE!</v>
      </c>
      <c r="V7" s="88" t="str">
        <f> IF(INDIRECT(ADDRESS(ROW() - 2, COLUMN())) = 1, 60.1999999999999, IF(INDIRECT(ADDRESS(ROW() - 2, COLUMN())) = 2, 65.1, IF(INDIRECT(ADDRESS(ROW() - 2, COLUMN())) = 3, 70, IF(INDIRECT(ADDRESS(ROW() - 2, COLUMN())) = 4, 77, IF(INDIRECT(ADDRESS(ROW() - 2, COLUMN())) = 5, 81.8999999999999, IF(INDIRECT(ADDRESS(ROW() - 2, COLUMN())) = 6, 87.5, IF(INDIRECT(ADDRESS(ROW() - 2, COLUMN())) = 7, 95.1999999999999, IF(INDIRECT(ADDRESS(ROW() - 2, COLUMN())) = 8, 102.899999999999, IF(INDIRECT(ADDRESS(ROW() - 2, COLUMN())) = 9, 110.6, IF(INDIRECT(ADDRESS(ROW() - 2, COLUMN())) = 10, 119, IF(INDIRECT(ADDRESS(ROW() - 2, COLUMN())) = 11, 128.625,0)))))))))))</f>
        <v>#VALUE!</v>
      </c>
      <c r="W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X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Y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Z7" s="88" t="str">
        <f> IF(INDIRECT(ADDRESS(ROW() - 2, COLUMN())) = 1, 130.4, IF(INDIRECT(ADDRESS(ROW() - 2, COLUMN())) = 2, 140.18, IF(INDIRECT(ADDRESS(ROW() - 2, COLUMN())) = 3, 149.96, IF(INDIRECT(ADDRESS(ROW() - 2, COLUMN())) = 4, 163, IF(INDIRECT(ADDRESS(ROW() - 2, COLUMN())) = 5, 172.78, IF(INDIRECT(ADDRESS(ROW() - 2, COLUMN())) = 6, 182.56, IF(INDIRECT(ADDRESS(ROW() - 2, COLUMN())) = 7, 195.6, IF(INDIRECT(ADDRESS(ROW() - 2, COLUMN())) = 8, 208.64, IF(INDIRECT(ADDRESS(ROW() - 2, COLUMN())) = 9, 221.68, IF(INDIRECT(ADDRESS(ROW() - 2, COLUMN())) = 10, 234.72, IF(INDIRECT(ADDRESS(ROW() - 2, COLUMN())) = 11, 247.76, IF(INDIRECT(ADDRESS(ROW() - 2, COLUMN())) = 12, 260.8, IF(INDIRECT(ADDRESS(ROW() - 2, COLUMN())) = 13, 277.099999999999,0)))))))))))))</f>
        <v>#VALUE!</v>
      </c>
      <c r="AB7" s="88" t="str">
        <f> IF(INDIRECT(ADDRESS(ROW() - 2, COLUMN())) = 1, 367.2, IF(INDIRECT(ADDRESS(ROW() - 2, COLUMN())) = 2, 394.74, IF(INDIRECT(ADDRESS(ROW() - 2, COLUMN())) = 3, 422.28, IF(INDIRECT(ADDRESS(ROW() - 2, COLUMN())) = 4, 459, IF(INDIRECT(ADDRESS(ROW() - 2, COLUMN())) = 5, 486.54, IF(INDIRECT(ADDRESS(ROW() - 2, COLUMN())) = 6, 514.079999999999, IF(INDIRECT(ADDRESS(ROW() - 2, COLUMN())) = 7, 550.8, IF(INDIRECT(ADDRESS(ROW() - 2, COLUMN())) = 8, 587.52, IF(INDIRECT(ADDRESS(ROW() - 2, COLUMN())) = 9, 624.24, IF(INDIRECT(ADDRESS(ROW() - 2, COLUMN())) = 10, 660.96, IF(INDIRECT(ADDRESS(ROW() - 2, COLUMN())) = 11, 697.68, IF(INDIRECT(ADDRESS(ROW() - 2, COLUMN())) = 12, 734.4, IF(INDIRECT(ADDRESS(ROW() - 2, COLUMN())) = 13, 780.3,0)))))))))))))</f>
        <v>#VALUE!</v>
      </c>
      <c r="AC7" s="88" t="str">
        <f> IF(INDIRECT(ADDRESS(ROW() - 2, COLUMN())) = 1, 72, IF(INDIRECT(ADDRESS(ROW() - 2, COLUMN())) = 2, 77.4, IF(INDIRECT(ADDRESS(ROW() - 2, COLUMN())) = 3, 82.8, IF(INDIRECT(ADDRESS(ROW() - 2, COLUMN())) = 4, 90, IF(INDIRECT(ADDRESS(ROW() - 2, COLUMN())) = 5, 95.3999999999999, IF(INDIRECT(ADDRESS(ROW() - 2, COLUMN())) = 6, 100.8, IF(INDIRECT(ADDRESS(ROW() - 2, COLUMN())) = 7, 108, IF(INDIRECT(ADDRESS(ROW() - 2, COLUMN())) = 8, 115.199999999999, IF(INDIRECT(ADDRESS(ROW() - 2, COLUMN())) = 9, 122.399999999999, IF(INDIRECT(ADDRESS(ROW() - 2, COLUMN())) = 10, 129.6, IF(INDIRECT(ADDRESS(ROW() - 2, COLUMN())) = 11, 136.8, IF(INDIRECT(ADDRESS(ROW() - 2, COLUMN())) = 12, 144, IF(INDIRECT(ADDRESS(ROW() - 2, COLUMN())) = 13, 153,0)))))))))))))</f>
        <v>#VALUE!</v>
      </c>
      <c r="AD7" s="88" t="str">
        <f> IF(INDIRECT(ADDRESS(ROW() - 2, COLUMN())) = 1, 21.12, IF(INDIRECT(ADDRESS(ROW() - 2, COLUMN())) = 2, 22.56, IF(INDIRECT(ADDRESS(ROW() - 2, COLUMN())) = 3, 24, IF(INDIRECT(ADDRESS(ROW() - 2, COLUMN())) = 4, 25.9199999999999, IF(INDIRECT(ADDRESS(ROW() - 2, COLUMN())) = 5, 27.36, IF(INDIRECT(ADDRESS(ROW() - 2, COLUMN())) = 6, 29.04, IF(INDIRECT(ADDRESS(ROW() - 2, COLUMN())) = 7, 31.2, IF(INDIRECT(ADDRESS(ROW() - 2, COLUMN())) = 8, 33.36, IF(INDIRECT(ADDRESS(ROW() - 2, COLUMN())) = 9, 35.52, IF(INDIRECT(ADDRESS(ROW() - 2, COLUMN())) = 10, 37.68, IF(INDIRECT(ADDRESS(ROW() - 2, COLUMN())) = 11, 39.8399999999999,0)))))))))))</f>
        <v>#VALUE!</v>
      </c>
      <c r="AE7" s="88" t="str">
        <f> IF(INDIRECT(ADDRESS(ROW() - 2, COLUMN())) = 1, 23.76, IF(INDIRECT(ADDRESS(ROW() - 2, COLUMN())) = 2, 25.38, IF(INDIRECT(ADDRESS(ROW() - 2, COLUMN())) = 3, 27, IF(INDIRECT(ADDRESS(ROW() - 2, COLUMN())) = 4, 29.16, IF(INDIRECT(ADDRESS(ROW() - 2, COLUMN())) = 5, 30.78, IF(INDIRECT(ADDRESS(ROW() - 2, COLUMN())) = 6, 32.67, IF(INDIRECT(ADDRESS(ROW() - 2, COLUMN())) = 7, 35.0999999999999, IF(INDIRECT(ADDRESS(ROW() - 2, COLUMN())) = 8, 37.53, IF(INDIRECT(ADDRESS(ROW() - 2, COLUMN())) = 9, 39.96, IF(INDIRECT(ADDRESS(ROW() - 2, COLUMN())) = 10, 42.39, IF(INDIRECT(ADDRESS(ROW() - 2, COLUMN())) = 11, 44.82,0)))))))))))</f>
        <v>#VALUE!</v>
      </c>
      <c r="AF7" s="88" t="str">
        <f> IF(INDIRECT(ADDRESS(ROW() - 2, COLUMN())) = 1, 43.12, IF(INDIRECT(ADDRESS(ROW() - 2, COLUMN())) = 2, 46.06, IF(INDIRECT(ADDRESS(ROW() - 2, COLUMN())) = 3, 49, IF(INDIRECT(ADDRESS(ROW() - 2, COLUMN())) = 4, 52.92, IF(INDIRECT(ADDRESS(ROW() - 2, COLUMN())) = 5, 55.86, IF(INDIRECT(ADDRESS(ROW() - 2, COLUMN())) = 6, 59.29, IF(INDIRECT(ADDRESS(ROW() - 2, COLUMN())) = 7, 63.7, IF(INDIRECT(ADDRESS(ROW() - 2, COLUMN())) = 8, 68.11, IF(INDIRECT(ADDRESS(ROW() - 2, COLUMN())) = 9, 72.52, IF(INDIRECT(ADDRESS(ROW() - 2, COLUMN())) = 10, 76.9299999999999, IF(INDIRECT(ADDRESS(ROW() - 2, COLUMN())) = 11, 81.34,0)))))))))))</f>
        <v>#VALUE!</v>
      </c>
      <c r="AG7" s="88" t="str">
        <f> IF(INDIRECT(ADDRESS(ROW() - 2, COLUMN())) = 1, 52.8, IF(INDIRECT(ADDRESS(ROW() - 2, COLUMN())) = 2, 56.3999999999999, IF(INDIRECT(ADDRESS(ROW() - 2, COLUMN())) = 3, 60, IF(INDIRECT(ADDRESS(ROW() - 2, COLUMN())) = 4, 64.8, IF(INDIRECT(ADDRESS(ROW() - 2, COLUMN())) = 5, 68.4, IF(INDIRECT(ADDRESS(ROW() - 2, COLUMN())) = 6, 72.6, IF(INDIRECT(ADDRESS(ROW() - 2, COLUMN())) = 7, 78, IF(INDIRECT(ADDRESS(ROW() - 2, COLUMN())) = 8, 83.3999999999999, IF(INDIRECT(ADDRESS(ROW() - 2, COLUMN())) = 9, 88.8, IF(INDIRECT(ADDRESS(ROW() - 2, COLUMN())) = 10, 94.1999999999999, IF(INDIRECT(ADDRESS(ROW() - 2, COLUMN())) = 11, 99.6,0)))))))))))</f>
        <v>#VALUE!</v>
      </c>
      <c r="AH7" s="88" t="str">
        <f> IF(INDIRECT(ADDRESS(ROW() - 2, COLUMN())) = 1, 65.648, IF(INDIRECT(ADDRESS(ROW() - 2, COLUMN())) = 2, 70.124, IF(INDIRECT(ADDRESS(ROW() - 2, COLUMN())) = 3, 74.6, IF(INDIRECT(ADDRESS(ROW() - 2, COLUMN())) = 4, 80.568, IF(INDIRECT(ADDRESS(ROW() - 2, COLUMN())) = 5, 85.044, IF(INDIRECT(ADDRESS(ROW() - 2, COLUMN())) = 6, 90.266, IF(INDIRECT(ADDRESS(ROW() - 2, COLUMN())) = 7, 96.98, IF(INDIRECT(ADDRESS(ROW() - 2, COLUMN())) = 8, 103.694, IF(INDIRECT(ADDRESS(ROW() - 2, COLUMN())) = 9, 110.408, IF(INDIRECT(ADDRESS(ROW() - 2, COLUMN())) = 10, 117.121999999999, IF(INDIRECT(ADDRESS(ROW() - 2, COLUMN())) = 11, 123.835999999999,0)))))))))))</f>
        <v>#VALUE!</v>
      </c>
      <c r="AI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AJ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AK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AL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AM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AN7" s="88" t="str">
        <f> IF(INDIRECT(ADDRESS(ROW() - 2, COLUMN())) = 1, 177.6, IF(INDIRECT(ADDRESS(ROW() - 2, COLUMN())) = 2, 190.92, IF(INDIRECT(ADDRESS(ROW() - 2, COLUMN())) = 3, 204.24, IF(INDIRECT(ADDRESS(ROW() - 2, COLUMN())) = 4, 222, IF(INDIRECT(ADDRESS(ROW() - 2, COLUMN())) = 5, 235.32, IF(INDIRECT(ADDRESS(ROW() - 2, COLUMN())) = 6, 248.64, IF(INDIRECT(ADDRESS(ROW() - 2, COLUMN())) = 7, 266.4, IF(INDIRECT(ADDRESS(ROW() - 2, COLUMN())) = 8, 284.16, IF(INDIRECT(ADDRESS(ROW() - 2, COLUMN())) = 9, 301.92, IF(INDIRECT(ADDRESS(ROW() - 2, COLUMN())) = 10, 319.68, IF(INDIRECT(ADDRESS(ROW() - 2, COLUMN())) = 11, 337.44, IF(INDIRECT(ADDRESS(ROW() - 2, COLUMN())) = 12, 355.2, IF(INDIRECT(ADDRESS(ROW() - 2, COLUMN())) = 13, 377.4,0)))))))))))))</f>
        <v>#VALUE!</v>
      </c>
      <c r="AO7" s="88" t="str">
        <f> IF(INDIRECT(ADDRESS(ROW() - 2, COLUMN())) = 1, 40, IF(INDIRECT(ADDRESS(ROW() - 2, COLUMN())) = 2, 43, IF(INDIRECT(ADDRESS(ROW() - 2, COLUMN())) = 3, 46, IF(INDIRECT(ADDRESS(ROW() - 2, COLUMN())) = 4, 50, IF(INDIRECT(ADDRESS(ROW() - 2, COLUMN())) = 5, 53, IF(INDIRECT(ADDRESS(ROW() - 2, COLUMN())) = 6, 56, IF(INDIRECT(ADDRESS(ROW() - 2, COLUMN())) = 7, 60, IF(INDIRECT(ADDRESS(ROW() - 2, COLUMN())) = 8, 64, IF(INDIRECT(ADDRESS(ROW() - 2, COLUMN())) = 9, 68, IF(INDIRECT(ADDRESS(ROW() - 2, COLUMN())) = 10, 72, IF(INDIRECT(ADDRESS(ROW() - 2, COLUMN())) = 11, 76, IF(INDIRECT(ADDRESS(ROW() - 2, COLUMN())) = 12, 80, IF(INDIRECT(ADDRESS(ROW() - 2, COLUMN())) = 13, 85,0)))))))))))))</f>
        <v>#VALUE!</v>
      </c>
      <c r="AP7" s="88" t="str">
        <f> IF(INDIRECT(ADDRESS(ROW() - 2, COLUMN())) = 1, 359.2, IF(INDIRECT(ADDRESS(ROW() - 2, COLUMN())) = 2, 386.14, IF(INDIRECT(ADDRESS(ROW() - 2, COLUMN())) = 3, 413.08, IF(INDIRECT(ADDRESS(ROW() - 2, COLUMN())) = 4, 449, IF(INDIRECT(ADDRESS(ROW() - 2, COLUMN())) = 5, 475.94, IF(INDIRECT(ADDRESS(ROW() - 2, COLUMN())) = 6, 502.88, IF(INDIRECT(ADDRESS(ROW() - 2, COLUMN())) = 7, 538.8, IF(INDIRECT(ADDRESS(ROW() - 2, COLUMN())) = 8, 574.72, IF(INDIRECT(ADDRESS(ROW() - 2, COLUMN())) = 9, 610.64, IF(INDIRECT(ADDRESS(ROW() - 2, COLUMN())) = 10, 646.56, IF(INDIRECT(ADDRESS(ROW() - 2, COLUMN())) = 11, 682.48, IF(INDIRECT(ADDRESS(ROW() - 2, COLUMN())) = 12, 718.4, IF(INDIRECT(ADDRESS(ROW() - 2, COLUMN())) = 13, 763.3,0)))))))))))))</f>
        <v>#VALUE!</v>
      </c>
      <c r="AQ7" s="88" t="str">
        <f t="shared" ref="AQ7:AR7" si="454"> IF(INDIRECT(ADDRESS(ROW() - 2, COLUMN())) = 1, 36.12, IF(INDIRECT(ADDRESS(ROW() - 2, COLUMN())) = 2, 39.06, IF(INDIRECT(ADDRESS(ROW() - 2, COLUMN())) = 3, 42, IF(INDIRECT(ADDRESS(ROW() - 2, COLUMN())) = 4, 46.2, IF(INDIRECT(ADDRESS(ROW() - 2, COLUMN())) = 5, 49.14, IF(INDIRECT(ADDRESS(ROW() - 2, COLUMN())) = 6, 52.5, IF(INDIRECT(ADDRESS(ROW() - 2, COLUMN())) = 7, 57.12, IF(INDIRECT(ADDRESS(ROW() - 2, COLUMN())) = 8, 61.7399999999999, IF(INDIRECT(ADDRESS(ROW() - 2, COLUMN())) = 9, 66.36, IF(INDIRECT(ADDRESS(ROW() - 2, COLUMN())) = 10, 71.3999999999999, IF(INDIRECT(ADDRESS(ROW() - 2, COLUMN())) = 11, 76.44,0)))))))))))</f>
        <v>#VALUE!</v>
      </c>
      <c r="AR7" s="88" t="str">
        <f t="shared" si="454"/>
        <v>#VALUE!</v>
      </c>
      <c r="AS7" s="88" t="str">
        <f> IF(INDIRECT(ADDRESS(ROW() - 2, COLUMN())) = 1, 46.44, IF(INDIRECT(ADDRESS(ROW() - 2, COLUMN())) = 2, 50.22, IF(INDIRECT(ADDRESS(ROW() - 2, COLUMN())) = 3, 54, IF(INDIRECT(ADDRESS(ROW() - 2, COLUMN())) = 4, 59.4, IF(INDIRECT(ADDRESS(ROW() - 2, COLUMN())) = 5, 63.18, IF(INDIRECT(ADDRESS(ROW() - 2, COLUMN())) = 6, 67.5, IF(INDIRECT(ADDRESS(ROW() - 2, COLUMN())) = 7, 73.44, IF(INDIRECT(ADDRESS(ROW() - 2, COLUMN())) = 8, 79.38, IF(INDIRECT(ADDRESS(ROW() - 2, COLUMN())) = 9, 85.32, IF(INDIRECT(ADDRESS(ROW() - 2, COLUMN())) = 10, 91.8, IF(INDIRECT(ADDRESS(ROW() - 2, COLUMN())) = 11, 98.28,0)))))))))))</f>
        <v>#VALUE!</v>
      </c>
      <c r="AT7" s="88" t="str">
        <f> IF(INDIRECT(ADDRESS(ROW() - 2, COLUMN())) = 1, 47.3, IF(INDIRECT(ADDRESS(ROW() - 2, COLUMN())) = 2, 51.15, IF(INDIRECT(ADDRESS(ROW() - 2, COLUMN())) = 3, 55, IF(INDIRECT(ADDRESS(ROW() - 2, COLUMN())) = 4, 60.5, IF(INDIRECT(ADDRESS(ROW() - 2, COLUMN())) = 5, 64.35, IF(INDIRECT(ADDRESS(ROW() - 2, COLUMN())) = 6, 68.75, IF(INDIRECT(ADDRESS(ROW() - 2, COLUMN())) = 7, 74.8, IF(INDIRECT(ADDRESS(ROW() - 2, COLUMN())) = 8, 80.85, IF(INDIRECT(ADDRESS(ROW() - 2, COLUMN())) = 9, 86.9, IF(INDIRECT(ADDRESS(ROW() - 2, COLUMN())) = 10, 93.5, IF(INDIRECT(ADDRESS(ROW() - 2, COLUMN())) = 11, 100.1,0)))))))))))</f>
        <v>#VALUE!</v>
      </c>
      <c r="AU7" s="88" t="str">
        <f> IF(INDIRECT(ADDRESS(ROW() - 2, COLUMN())) = 1, 59.34, IF(INDIRECT(ADDRESS(ROW() - 2, COLUMN())) = 2, 64.17, IF(INDIRECT(ADDRESS(ROW() - 2, COLUMN())) = 3, 69, IF(INDIRECT(ADDRESS(ROW() - 2, COLUMN())) = 4, 75.9, IF(INDIRECT(ADDRESS(ROW() - 2, COLUMN())) = 5, 80.73, IF(INDIRECT(ADDRESS(ROW() - 2, COLUMN())) = 6, 86.25, IF(INDIRECT(ADDRESS(ROW() - 2, COLUMN())) = 7, 93.84, IF(INDIRECT(ADDRESS(ROW() - 2, COLUMN())) = 8, 101.429999999999, IF(INDIRECT(ADDRESS(ROW() - 2, COLUMN())) = 9, 109.02, IF(INDIRECT(ADDRESS(ROW() - 2, COLUMN())) = 10, 117.3, IF(INDIRECT(ADDRESS(ROW() - 2, COLUMN())) = 11, 125.58,0)))))))))))</f>
        <v>#VALUE!</v>
      </c>
      <c r="AV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AW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AX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AY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AZ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BA7" s="88" t="str">
        <f> IF(INDIRECT(ADDRESS(ROW() - 2, COLUMN())) = 1, 123.2, IF(INDIRECT(ADDRESS(ROW() - 2, COLUMN())) = 2, 132.44, IF(INDIRECT(ADDRESS(ROW() - 2, COLUMN())) = 3, 141.68, IF(INDIRECT(ADDRESS(ROW() - 2, COLUMN())) = 4, 154, IF(INDIRECT(ADDRESS(ROW() - 2, COLUMN())) = 5, 163.24, IF(INDIRECT(ADDRESS(ROW() - 2, COLUMN())) = 6, 172.48, IF(INDIRECT(ADDRESS(ROW() - 2, COLUMN())) = 7, 184.8, IF(INDIRECT(ADDRESS(ROW() - 2, COLUMN())) = 8, 197.12, IF(INDIRECT(ADDRESS(ROW() - 2, COLUMN())) = 9, 209.439999999999, IF(INDIRECT(ADDRESS(ROW() - 2, COLUMN())) = 10, 221.76, IF(INDIRECT(ADDRESS(ROW() - 2, COLUMN())) = 11, 234.08, IF(INDIRECT(ADDRESS(ROW() - 2, COLUMN())) = 12, 246.4, IF(INDIRECT(ADDRESS(ROW() - 2, COLUMN())) = 13, 261.8,0)))))))))))))</f>
        <v>#VALUE!</v>
      </c>
      <c r="BB7" s="88" t="str">
        <f> IF(INDIRECT(ADDRESS(ROW() - 2, COLUMN())) = 1, 28.08, IF(INDIRECT(ADDRESS(ROW() - 2, COLUMN())) = 2, 30.186, IF(INDIRECT(ADDRESS(ROW() - 2, COLUMN())) = 3, 32.292, IF(INDIRECT(ADDRESS(ROW() - 2, COLUMN())) = 4, 35.0999999999999, IF(INDIRECT(ADDRESS(ROW() - 2, COLUMN())) = 5, 37.206, IF(INDIRECT(ADDRESS(ROW() - 2, COLUMN())) = 6, 39.312, IF(INDIRECT(ADDRESS(ROW() - 2, COLUMN())) = 7, 42.12, IF(INDIRECT(ADDRESS(ROW() - 2, COLUMN())) = 8, 44.928, IF(INDIRECT(ADDRESS(ROW() - 2, COLUMN())) = 9, 47.736, IF(INDIRECT(ADDRESS(ROW() - 2, COLUMN())) = 10, 50.544, IF(INDIRECT(ADDRESS(ROW() - 2, COLUMN())) = 11, 53.352, IF(INDIRECT(ADDRESS(ROW() - 2, COLUMN())) = 12, 56.16, IF(INDIRECT(ADDRESS(ROW() - 2, COLUMN())) = 13, 59.67,0)))))))))))))</f>
        <v>#VALUE!</v>
      </c>
      <c r="BC7" s="88" t="str">
        <f> IF(INDIRECT(ADDRESS(ROW() - 2, COLUMN())) = 1, 44.462, IF(INDIRECT(ADDRESS(ROW() - 2, COLUMN())) = 2, 48.081, IF(INDIRECT(ADDRESS(ROW() - 2, COLUMN())) = 3, 51.7, IF(INDIRECT(ADDRESS(ROW() - 2, COLUMN())) = 4, 56.87, IF(INDIRECT(ADDRESS(ROW() - 2, COLUMN())) = 5, 60.489, IF(INDIRECT(ADDRESS(ROW() - 2, COLUMN())) = 6, 64.625, IF(INDIRECT(ADDRESS(ROW() - 2, COLUMN())) = 7, 70.312, IF(INDIRECT(ADDRESS(ROW() - 2, COLUMN())) = 8, 75.999, IF(INDIRECT(ADDRESS(ROW() - 2, COLUMN())) = 9, 81.686, IF(INDIRECT(ADDRESS(ROW() - 2, COLUMN())) = 10, 87.89, IF(INDIRECT(ADDRESS(ROW() - 2, COLUMN())) = 11, 94.094,0)))))))))))</f>
        <v>#VALUE!</v>
      </c>
      <c r="BD7" s="88" t="str">
        <f> IF(INDIRECT(ADDRESS(ROW() - 2, COLUMN())) = 1, 43.43, IF(INDIRECT(ADDRESS(ROW() - 2, COLUMN())) = 2, 46.965, IF(INDIRECT(ADDRESS(ROW() - 2, COLUMN())) = 3, 50.5, IF(INDIRECT(ADDRESS(ROW() - 2, COLUMN())) = 4, 55.55, IF(INDIRECT(ADDRESS(ROW() - 2, COLUMN())) = 5, 59.085, IF(INDIRECT(ADDRESS(ROW() - 2, COLUMN())) = 6, 63.125, IF(INDIRECT(ADDRESS(ROW() - 2, COLUMN())) = 7, 68.6799999999999, IF(INDIRECT(ADDRESS(ROW() - 2, COLUMN())) = 8, 74.235, IF(INDIRECT(ADDRESS(ROW() - 2, COLUMN())) = 9, 79.79, IF(INDIRECT(ADDRESS(ROW() - 2, COLUMN())) = 10, 85.85, IF(INDIRECT(ADDRESS(ROW() - 2, COLUMN())) = 11, 91.91,0)))))))))))</f>
        <v>#VALUE!</v>
      </c>
      <c r="BE7" s="88" t="str">
        <f> IF(INDIRECT(ADDRESS(ROW() - 2, COLUMN())) = 1, 52.976, IF(INDIRECT(ADDRESS(ROW() - 2, COLUMN())) = 2, 57.288, IF(INDIRECT(ADDRESS(ROW() - 2, COLUMN())) = 3, 61.6, IF(INDIRECT(ADDRESS(ROW() - 2, COLUMN())) = 4, 67.7599999999999, IF(INDIRECT(ADDRESS(ROW() - 2, COLUMN())) = 5, 72.072, IF(INDIRECT(ADDRESS(ROW() - 2, COLUMN())) = 6, 77, IF(INDIRECT(ADDRESS(ROW() - 2, COLUMN())) = 7, 83.776, IF(INDIRECT(ADDRESS(ROW() - 2, COLUMN())) = 8, 90.5519999999999, IF(INDIRECT(ADDRESS(ROW() - 2, COLUMN())) = 9, 97.328, IF(INDIRECT(ADDRESS(ROW() - 2, COLUMN())) = 10, 104.719999999999, IF(INDIRECT(ADDRESS(ROW() - 2, COLUMN())) = 11, 112.112,0)))))))))))</f>
        <v>#VALUE!</v>
      </c>
      <c r="BF7" s="88" t="str">
        <f> IF(INDIRECT(ADDRESS(ROW() - 2, COLUMN())) = 1, 58.308, IF(INDIRECT(ADDRESS(ROW() - 2, COLUMN())) = 2, 63.054, IF(INDIRECT(ADDRESS(ROW() - 2, COLUMN())) = 3, 67.8, IF(INDIRECT(ADDRESS(ROW() - 2, COLUMN())) = 4, 74.58, IF(INDIRECT(ADDRESS(ROW() - 2, COLUMN())) = 5, 79.326, IF(INDIRECT(ADDRESS(ROW() - 2, COLUMN())) = 6, 84.75, IF(INDIRECT(ADDRESS(ROW() - 2, COLUMN())) = 7, 92.208, IF(INDIRECT(ADDRESS(ROW() - 2, COLUMN())) = 8, 99.666, IF(INDIRECT(ADDRESS(ROW() - 2, COLUMN())) = 9, 107.124, IF(INDIRECT(ADDRESS(ROW() - 2, COLUMN())) = 10, 115.26, IF(INDIRECT(ADDRESS(ROW() - 2, COLUMN())) = 11, 123.396,0)))))))))))</f>
        <v>#VALUE!</v>
      </c>
      <c r="BG7" s="88" t="str">
        <f> IF(INDIRECT(ADDRESS(ROW() - 2, COLUMN())) = 1, 70.7779999999999, IF(INDIRECT(ADDRESS(ROW() - 2, COLUMN())) = 2, 76.539, IF(INDIRECT(ADDRESS(ROW() - 2, COLUMN())) = 3, 82.3, IF(INDIRECT(ADDRESS(ROW() - 2, COLUMN())) = 4, 90.53, IF(INDIRECT(ADDRESS(ROW() - 2, COLUMN())) = 5, 96.291, IF(INDIRECT(ADDRESS(ROW() - 2, COLUMN())) = 6, 102.875, IF(INDIRECT(ADDRESS(ROW() - 2, COLUMN())) = 7, 111.928, IF(INDIRECT(ADDRESS(ROW() - 2, COLUMN())) = 8, 120.981, IF(INDIRECT(ADDRESS(ROW() - 2, COLUMN())) = 9, 130.034, IF(INDIRECT(ADDRESS(ROW() - 2, COLUMN())) = 10, 139.91, IF(INDIRECT(ADDRESS(ROW() - 2, COLUMN())) = 11, 149.786,0)))))))))))</f>
        <v>#VALUE!</v>
      </c>
      <c r="BH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BI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BJ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BK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BL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BM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BN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BO7" s="88">
        <f>60</f>
        <v>60</v>
      </c>
      <c r="BP7" s="88" t="str">
        <f t="shared" ref="BP7:BQ7" si="455"> IF(INDIRECT(ADDRESS(ROW() - 2, COLUMN())) = 1, 12, IF(INDIRECT(ADDRESS(ROW() - 2, COLUMN())) = 2, 12.9, IF(INDIRECT(ADDRESS(ROW() - 2, COLUMN())) = 3, 13.8, IF(INDIRECT(ADDRESS(ROW() - 2, COLUMN())) = 4, 15, IF(INDIRECT(ADDRESS(ROW() - 2, COLUMN())) = 5, 15.9, IF(INDIRECT(ADDRESS(ROW() - 2, COLUMN())) = 6, 16.8, IF(INDIRECT(ADDRESS(ROW() - 2, COLUMN())) = 7, 18, IF(INDIRECT(ADDRESS(ROW() - 2, COLUMN())) = 8, 19.2, IF(INDIRECT(ADDRESS(ROW() - 2, COLUMN())) = 9, 20.4, IF(INDIRECT(ADDRESS(ROW() - 2, COLUMN())) = 10, 21.6, IF(INDIRECT(ADDRESS(ROW() - 2, COLUMN())) = 11, 22.8, IF(INDIRECT(ADDRESS(ROW() - 2, COLUMN())) = 12, 24, IF(INDIRECT(ADDRESS(ROW() - 2, COLUMN())) = 13, 25.5,0)))))))))))))</f>
        <v>#VALUE!</v>
      </c>
      <c r="BQ7" s="88" t="str">
        <f t="shared" si="455"/>
        <v>#VALUE!</v>
      </c>
      <c r="BR7" s="88" t="str">
        <f t="shared" ref="BR7:BS7" si="456"> IF(INDIRECT(ADDRESS(ROW() - 2, COLUMN())) = 1, 16.8, IF(INDIRECT(ADDRESS(ROW() - 2, COLUMN())) = 2, 18.06, IF(INDIRECT(ADDRESS(ROW() - 2, COLUMN())) = 3, 19.32, IF(INDIRECT(ADDRESS(ROW() - 2, COLUMN())) = 4, 21, IF(INDIRECT(ADDRESS(ROW() - 2, COLUMN())) = 5, 22.2599999999999, IF(INDIRECT(ADDRESS(ROW() - 2, COLUMN())) = 6, 23.52, IF(INDIRECT(ADDRESS(ROW() - 2, COLUMN())) = 7, 25.2, IF(INDIRECT(ADDRESS(ROW() - 2, COLUMN())) = 8, 26.88, IF(INDIRECT(ADDRESS(ROW() - 2, COLUMN())) = 9, 28.56, IF(INDIRECT(ADDRESS(ROW() - 2, COLUMN())) = 10, 30.24, IF(INDIRECT(ADDRESS(ROW() - 2, COLUMN())) = 11, 31.9199999999999, IF(INDIRECT(ADDRESS(ROW() - 2, COLUMN())) = 12, 33.6, IF(INDIRECT(ADDRESS(ROW() - 2, COLUMN())) = 13, 35.6999999999999,0)))))))))))))</f>
        <v>#VALUE!</v>
      </c>
      <c r="BS7" s="88" t="str">
        <f t="shared" si="456"/>
        <v>#VALUE!</v>
      </c>
      <c r="BT7" s="88" t="str">
        <f t="shared" ref="BT7:BU7" si="457"> IF(INDIRECT(ADDRESS(ROW() - 2, COLUMN())) = 1, 176, IF(INDIRECT(ADDRESS(ROW() - 2, COLUMN())) = 2, 189.2, IF(INDIRECT(ADDRESS(ROW() - 2, COLUMN())) = 3, 202.4, IF(INDIRECT(ADDRESS(ROW() - 2, COLUMN())) = 4, 220, IF(INDIRECT(ADDRESS(ROW() - 2, COLUMN())) = 5, 233.2, IF(INDIRECT(ADDRESS(ROW() - 2, COLUMN())) = 6, 246.4, IF(INDIRECT(ADDRESS(ROW() - 2, COLUMN())) = 7, 264, IF(INDIRECT(ADDRESS(ROW() - 2, COLUMN())) = 8, 281.599999999999, IF(INDIRECT(ADDRESS(ROW() - 2, COLUMN())) = 9, 299.2, IF(INDIRECT(ADDRESS(ROW() - 2, COLUMN())) = 10, 316.8, IF(INDIRECT(ADDRESS(ROW() - 2, COLUMN())) = 11, 334.4, IF(INDIRECT(ADDRESS(ROW() - 2, COLUMN())) = 12, 352, IF(INDIRECT(ADDRESS(ROW() - 2, COLUMN())) = 13, 374,0)))))))))))))</f>
        <v>#VALUE!</v>
      </c>
      <c r="BU7" s="88" t="str">
        <f t="shared" si="457"/>
        <v>#VALUE!</v>
      </c>
      <c r="BV7" s="88" t="str">
        <f t="shared" ref="BV7:BW7" si="458"> IF(INDIRECT(ADDRESS(ROW() - 2, COLUMN())) = 1, 192, IF(INDIRECT(ADDRESS(ROW() - 2, COLUMN())) = 2, 206.4, IF(INDIRECT(ADDRESS(ROW() - 2, COLUMN())) = 3, 220.8, IF(INDIRECT(ADDRESS(ROW() - 2, COLUMN())) = 4, 240, IF(INDIRECT(ADDRESS(ROW() - 2, COLUMN())) = 5, 254.4, IF(INDIRECT(ADDRESS(ROW() - 2, COLUMN())) = 6, 268.8, IF(INDIRECT(ADDRESS(ROW() - 2, COLUMN())) = 7, 288, IF(INDIRECT(ADDRESS(ROW() - 2, COLUMN())) = 8, 307.2, IF(INDIRECT(ADDRESS(ROW() - 2, COLUMN())) = 9, 326.4, IF(INDIRECT(ADDRESS(ROW() - 2, COLUMN())) = 10, 345.6, IF(INDIRECT(ADDRESS(ROW() - 2, COLUMN())) = 11, 364.8, IF(INDIRECT(ADDRESS(ROW() - 2, COLUMN())) = 12, 384, IF(INDIRECT(ADDRESS(ROW() - 2, COLUMN())) = 13, 408,0)))))))))))))</f>
        <v>#VALUE!</v>
      </c>
      <c r="BW7" s="88" t="str">
        <f t="shared" si="458"/>
        <v>#VALUE!</v>
      </c>
      <c r="BX7" s="88" t="str">
        <f> IF(INDIRECT(ADDRESS(ROW() - 2, COLUMN())) = 1, 80.8, IF(INDIRECT(ADDRESS(ROW() - 2, COLUMN())) = 2, 86.86, IF(INDIRECT(ADDRESS(ROW() - 2, COLUMN())) = 3, 92.92, IF(INDIRECT(ADDRESS(ROW() - 2, COLUMN())) = 4, 101, IF(INDIRECT(ADDRESS(ROW() - 2, COLUMN())) = 5, 107.06, IF(INDIRECT(ADDRESS(ROW() - 2, COLUMN())) = 6, 113.12, IF(INDIRECT(ADDRESS(ROW() - 2, COLUMN())) = 7, 121.2, IF(INDIRECT(ADDRESS(ROW() - 2, COLUMN())) = 8, 129.28, IF(INDIRECT(ADDRESS(ROW() - 2, COLUMN())) = 9, 137.359999999999, IF(INDIRECT(ADDRESS(ROW() - 2, COLUMN())) = 10, 145.44, IF(INDIRECT(ADDRESS(ROW() - 2, COLUMN())) = 11, 153.519999999999, IF(INDIRECT(ADDRESS(ROW() - 2, COLUMN())) = 12, 161.6, IF(INDIRECT(ADDRESS(ROW() - 2, COLUMN())) = 13, 171.7,0)))))))))))))</f>
        <v>#VALUE!</v>
      </c>
      <c r="BY7" s="88" t="str">
        <f> IF(INDIRECT(ADDRESS(ROW() - 2, COLUMN())) = 1, 24.8, IF(INDIRECT(ADDRESS(ROW() - 2, COLUMN())) = 2, 26.66, IF(INDIRECT(ADDRESS(ROW() - 2, COLUMN())) = 3, 28.52, IF(INDIRECT(ADDRESS(ROW() - 2, COLUMN())) = 4, 31, IF(INDIRECT(ADDRESS(ROW() - 2, COLUMN())) = 5, 32.86, IF(INDIRECT(ADDRESS(ROW() - 2, COLUMN())) = 6, 34.72, IF(INDIRECT(ADDRESS(ROW() - 2, COLUMN())) = 7, 37.2, IF(INDIRECT(ADDRESS(ROW() - 2, COLUMN())) = 8, 39.68, IF(INDIRECT(ADDRESS(ROW() - 2, COLUMN())) = 9, 42.16, IF(INDIRECT(ADDRESS(ROW() - 2, COLUMN())) = 10, 44.64, IF(INDIRECT(ADDRESS(ROW() - 2, COLUMN())) = 11, 47.12, IF(INDIRECT(ADDRESS(ROW() - 2, COLUMN())) = 12, 49.6, IF(INDIRECT(ADDRESS(ROW() - 2, COLUMN())) = 13, 52.7,0)))))))))))))</f>
        <v>#VALUE!</v>
      </c>
      <c r="BZ7" s="88" t="str">
        <f> IF(INDIRECT(ADDRESS(ROW() - 2, COLUMN())) = 1, 45.7253, IF(INDIRECT(ADDRESS(ROW() - 2, COLUMN())) = 2, 49.4472, IF(INDIRECT(ADDRESS(ROW() - 2, COLUMN())) = 3, 53.169, IF(INDIRECT(ADDRESS(ROW() - 2, COLUMN())) = 4, 58.4859, IF(INDIRECT(ADDRESS(ROW() - 2, COLUMN())) = 5, 62.2077, IF(INDIRECT(ADDRESS(ROW() - 2, COLUMN())) = 6, 66.4613, IF(INDIRECT(ADDRESS(ROW() - 2, COLUMN())) = 7, 72.3098, IF(INDIRECT(ADDRESS(ROW() - 2, COLUMN())) = 8, 78.1584, IF(INDIRECT(ADDRESS(ROW() - 2, COLUMN())) = 9, 84.007, IF(INDIRECT(ADDRESS(ROW() - 2, COLUMN())) = 10, 90.3873, IF(INDIRECT(ADDRESS(ROW() - 2, COLUMN())) = 11, 96.7676,0)))))))))))</f>
        <v>#VALUE!</v>
      </c>
      <c r="CA7" s="88" t="str">
        <f> IF(INDIRECT(ADDRESS(ROW() - 2, COLUMN())) = 1, 48.6846, IF(INDIRECT(ADDRESS(ROW() - 2, COLUMN())) = 2, 52.6472999999999, IF(INDIRECT(ADDRESS(ROW() - 2, COLUMN())) = 3, 56.61, IF(INDIRECT(ADDRESS(ROW() - 2, COLUMN())) = 4, 62.271, IF(INDIRECT(ADDRESS(ROW() - 2, COLUMN())) = 5, 66.2337, IF(INDIRECT(ADDRESS(ROW() - 2, COLUMN())) = 6, 70.7624999999999, IF(INDIRECT(ADDRESS(ROW() - 2, COLUMN())) = 7, 76.9896, IF(INDIRECT(ADDRESS(ROW() - 2, COLUMN())) = 8, 83.2167, IF(INDIRECT(ADDRESS(ROW() - 2, COLUMN())) = 9, 89.4438, IF(INDIRECT(ADDRESS(ROW() - 2, COLUMN())) = 10, 96.237, IF(INDIRECT(ADDRESS(ROW() - 2, COLUMN())) = 11, 103.0302,0)))))))))))</f>
        <v>#VALUE!</v>
      </c>
      <c r="CB7" s="88" t="str">
        <f> IF(INDIRECT(ADDRESS(ROW() - 2, COLUMN())) = 1, 62.6218, IF(INDIRECT(ADDRESS(ROW() - 2, COLUMN())) = 2, 67.7189, IF(INDIRECT(ADDRESS(ROW() - 2, COLUMN())) = 3, 72.816, IF(INDIRECT(ADDRESS(ROW() - 2, COLUMN())) = 4, 80.0976, IF(INDIRECT(ADDRESS(ROW() - 2, COLUMN())) = 5, 85.1947, IF(INDIRECT(ADDRESS(ROW() - 2, COLUMN())) = 6, 91.02, IF(INDIRECT(ADDRESS(ROW() - 2, COLUMN())) = 7, 99.0298, IF(INDIRECT(ADDRESS(ROW() - 2, COLUMN())) = 8, 107.0395, IF(INDIRECT(ADDRESS(ROW() - 2, COLUMN())) = 9, 115.0493, IF(INDIRECT(ADDRESS(ROW() - 2, COLUMN())) = 10, 123.7872, IF(INDIRECT(ADDRESS(ROW() - 2, COLUMN())) = 11, 132.5251,0)))))))))))</f>
        <v>#VALUE!</v>
      </c>
      <c r="CC7" s="88" t="str">
        <f> IF(INDIRECT(ADDRESS(ROW() - 2, COLUMN())) = 1, 22.6464, IF(INDIRECT(ADDRESS(ROW() - 2, COLUMN())) = 2, 24.4897, IF(INDIRECT(ADDRESS(ROW() - 2, COLUMN())) = 3, 26.333, IF(INDIRECT(ADDRESS(ROW() - 2, COLUMN())) = 4, 28.9663, IF(INDIRECT(ADDRESS(ROW() - 2, COLUMN())) = 5, 30.8096, IF(INDIRECT(ADDRESS(ROW() - 2, COLUMN())) = 6, 32.9163, IF(INDIRECT(ADDRESS(ROW() - 2, COLUMN())) = 7, 35.8129, IF(INDIRECT(ADDRESS(ROW() - 2, COLUMN())) = 8, 38.7095, IF(INDIRECT(ADDRESS(ROW() - 2, COLUMN())) = 9, 41.6061, IF(INDIRECT(ADDRESS(ROW() - 2, COLUMN())) = 10, 44.7660999999999, IF(INDIRECT(ADDRESS(ROW() - 2, COLUMN())) = 11, 47.9261,0)))))))))))</f>
        <v>#VALUE!</v>
      </c>
      <c r="CD7" s="88" t="str">
        <f> IF(INDIRECT(ADDRESS(ROW() - 2, COLUMN())) = 1, 78.1816999999999, IF(INDIRECT(ADDRESS(ROW() - 2, COLUMN())) = 2, 84.5454, IF(INDIRECT(ADDRESS(ROW() - 2, COLUMN())) = 3, 90.9089999999999, IF(INDIRECT(ADDRESS(ROW() - 2, COLUMN())) = 4, 99.9999, IF(INDIRECT(ADDRESS(ROW() - 2, COLUMN())) = 5, 106.3635, IF(INDIRECT(ADDRESS(ROW() - 2, COLUMN())) = 6, 113.6363, IF(INDIRECT(ADDRESS(ROW() - 2, COLUMN())) = 7, 123.6362, IF(INDIRECT(ADDRESS(ROW() - 2, COLUMN())) = 8, 133.6362, IF(INDIRECT(ADDRESS(ROW() - 2, COLUMN())) = 9, 143.6362, IF(INDIRECT(ADDRESS(ROW() - 2, COLUMN())) = 10, 154.5453, IF(INDIRECT(ADDRESS(ROW() - 2, COLUMN())) = 11, 165.4544,0)))))))))))</f>
        <v>#VALUE!</v>
      </c>
      <c r="CE7" s="88" t="str">
        <f> IF(INDIRECT(ADDRESS(ROW() - 2, COLUMN())) = 1, 55.126, IF(INDIRECT(ADDRESS(ROW() - 2, COLUMN())) = 2, 59.613, IF(INDIRECT(ADDRESS(ROW() - 2, COLUMN())) = 3, 64.1, IF(INDIRECT(ADDRESS(ROW() - 2, COLUMN())) = 4, 70.5099999999999, IF(INDIRECT(ADDRESS(ROW() - 2, COLUMN())) = 5, 74.997, IF(INDIRECT(ADDRESS(ROW() - 2, COLUMN())) = 6, 80.125, IF(INDIRECT(ADDRESS(ROW() - 2, COLUMN())) = 7, 87.176, IF(INDIRECT(ADDRESS(ROW() - 2, COLUMN())) = 8, 94.227, IF(INDIRECT(ADDRESS(ROW() - 2, COLUMN())) = 9, 101.278, IF(INDIRECT(ADDRESS(ROW() - 2, COLUMN())) = 10, 108.969999999999, IF(INDIRECT(ADDRESS(ROW() - 2, COLUMN())) = 11, 116.662,0)))))))))))</f>
        <v>#VALUE!</v>
      </c>
      <c r="CF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CG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CH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CI7" s="88" t="str">
        <f> IF(INDIRECT(ADDRESS(ROW() - 2, COLUMN())) = 1, 239.2, IF(INDIRECT(ADDRESS(ROW() - 2, COLUMN())) = 2, 257.14, IF(INDIRECT(ADDRESS(ROW() - 2, COLUMN())) = 3, 275.08, IF(INDIRECT(ADDRESS(ROW() - 2, COLUMN())) = 4, 299, IF(INDIRECT(ADDRESS(ROW() - 2, COLUMN())) = 5, 316.94, IF(INDIRECT(ADDRESS(ROW() - 2, COLUMN())) = 6, 334.88, IF(INDIRECT(ADDRESS(ROW() - 2, COLUMN())) = 7, 358.8, IF(INDIRECT(ADDRESS(ROW() - 2, COLUMN())) = 8, 382.719999999999, IF(INDIRECT(ADDRESS(ROW() - 2, COLUMN())) = 9, 406.64, IF(INDIRECT(ADDRESS(ROW() - 2, COLUMN())) = 10, 430.56, IF(INDIRECT(ADDRESS(ROW() - 2, COLUMN())) = 11, 454.48, IF(INDIRECT(ADDRESS(ROW() - 2, COLUMN())) = 12, 478.4, IF(INDIRECT(ADDRESS(ROW() - 2, COLUMN())) = 13, 508.3,0)))))))))))))</f>
        <v>#VALUE!</v>
      </c>
      <c r="CJ7" s="88" t="str">
        <f> IF(INDIRECT(ADDRESS(ROW() - 2, COLUMN())) = 1, 112.3, IF(INDIRECT(ADDRESS(ROW() - 2, COLUMN())) = 2, 120.7225, IF(INDIRECT(ADDRESS(ROW() - 2, COLUMN())) = 3, 129.145, IF(INDIRECT(ADDRESS(ROW() - 2, COLUMN())) = 4, 140.375, IF(INDIRECT(ADDRESS(ROW() - 2, COLUMN())) = 5, 148.7975, IF(INDIRECT(ADDRESS(ROW() - 2, COLUMN())) = 6, 157.22, IF(INDIRECT(ADDRESS(ROW() - 2, COLUMN())) = 7, 168.45, IF(INDIRECT(ADDRESS(ROW() - 2, COLUMN())) = 8, 179.68, IF(INDIRECT(ADDRESS(ROW() - 2, COLUMN())) = 9, 190.91, IF(INDIRECT(ADDRESS(ROW() - 2, COLUMN())) = 10, 202.14, IF(INDIRECT(ADDRESS(ROW() - 2, COLUMN())) = 11, 213.37, IF(INDIRECT(ADDRESS(ROW() - 2, COLUMN())) = 12, 224.6, IF(INDIRECT(ADDRESS(ROW() - 2, COLUMN())) = 13, 238.6375,0)))))))))))))</f>
        <v>#VALUE!</v>
      </c>
      <c r="CK7" s="88" t="str">
        <f> IF(INDIRECT(ADDRESS(ROW() - 2, COLUMN())) = 1, 168.45, IF(INDIRECT(ADDRESS(ROW() - 2, COLUMN())) = 2, 181.0837, IF(INDIRECT(ADDRESS(ROW() - 2, COLUMN())) = 3, 193.7175, IF(INDIRECT(ADDRESS(ROW() - 2, COLUMN())) = 4, 210.5625, IF(INDIRECT(ADDRESS(ROW() - 2, COLUMN())) = 5, 223.196199999999, IF(INDIRECT(ADDRESS(ROW() - 2, COLUMN())) = 6, 235.829999999999, IF(INDIRECT(ADDRESS(ROW() - 2, COLUMN())) = 7, 252.674999999999, IF(INDIRECT(ADDRESS(ROW() - 2, COLUMN())) = 8, 269.52, IF(INDIRECT(ADDRESS(ROW() - 2, COLUMN())) = 9, 286.365, IF(INDIRECT(ADDRESS(ROW() - 2, COLUMN())) = 10, 303.21, IF(INDIRECT(ADDRESS(ROW() - 2, COLUMN())) = 11, 320.054999999999, IF(INDIRECT(ADDRESS(ROW() - 2, COLUMN())) = 12, 336.9, IF(INDIRECT(ADDRESS(ROW() - 2, COLUMN())) = 13, 357.9562,0)))))))))))))</f>
        <v>#VALUE!</v>
      </c>
      <c r="CL7" s="88" t="str">
        <f> IF(INDIRECT(ADDRESS(ROW() - 2, COLUMN())) = 1, 44.9617, IF(INDIRECT(ADDRESS(ROW() - 2, COLUMN())) = 2, 48.6213, IF(INDIRECT(ADDRESS(ROW() - 2, COLUMN())) = 3, 52.281, IF(INDIRECT(ADDRESS(ROW() - 2, COLUMN())) = 4, 57.5091, IF(INDIRECT(ADDRESS(ROW() - 2, COLUMN())) = 5, 61.1688, IF(INDIRECT(ADDRESS(ROW() - 2, COLUMN())) = 6, 65.3511999999999, IF(INDIRECT(ADDRESS(ROW() - 2, COLUMN())) = 7, 71.1022, IF(INDIRECT(ADDRESS(ROW() - 2, COLUMN())) = 8, 76.8531, IF(INDIRECT(ADDRESS(ROW() - 2, COLUMN())) = 9, 82.604, IF(INDIRECT(ADDRESS(ROW() - 2, COLUMN())) = 10, 88.8777, IF(INDIRECT(ADDRESS(ROW() - 2, COLUMN())) = 11, 95.1514,0)))))))))))</f>
        <v>#VALUE!</v>
      </c>
      <c r="CM7" s="88" t="str">
        <f> IF(INDIRECT(ADDRESS(ROW() - 2, COLUMN())) = 1, 47.1571999999999, IF(INDIRECT(ADDRESS(ROW() - 2, COLUMN())) = 2, 50.9955999999999, IF(INDIRECT(ADDRESS(ROW() - 2, COLUMN())) = 3, 54.834, IF(INDIRECT(ADDRESS(ROW() - 2, COLUMN())) = 4, 60.3174, IF(INDIRECT(ADDRESS(ROW() - 2, COLUMN())) = 5, 64.1558, IF(INDIRECT(ADDRESS(ROW() - 2, COLUMN())) = 6, 68.5424999999999, IF(INDIRECT(ADDRESS(ROW() - 2, COLUMN())) = 7, 74.5742, IF(INDIRECT(ADDRESS(ROW() - 2, COLUMN())) = 8, 80.606, IF(INDIRECT(ADDRESS(ROW() - 2, COLUMN())) = 9, 86.6377, IF(INDIRECT(ADDRESS(ROW() - 2, COLUMN())) = 10, 93.2178, IF(INDIRECT(ADDRESS(ROW() - 2, COLUMN())) = 11, 99.7979,0)))))))))))</f>
        <v>#VALUE!</v>
      </c>
      <c r="CN7" s="88" t="str">
        <f> IF(INDIRECT(ADDRESS(ROW() - 2, COLUMN())) = 1, 58.6124, IF(INDIRECT(ADDRESS(ROW() - 2, COLUMN())) = 2, 63.3831999999999, IF(INDIRECT(ADDRESS(ROW() - 2, COLUMN())) = 3, 68.154, IF(INDIRECT(ADDRESS(ROW() - 2, COLUMN())) = 4, 74.9694, IF(INDIRECT(ADDRESS(ROW() - 2, COLUMN())) = 5, 79.7402, IF(INDIRECT(ADDRESS(ROW() - 2, COLUMN())) = 6, 85.1925, IF(INDIRECT(ADDRESS(ROW() - 2, COLUMN())) = 7, 92.6894, IF(INDIRECT(ADDRESS(ROW() - 2, COLUMN())) = 8, 100.1864, IF(INDIRECT(ADDRESS(ROW() - 2, COLUMN())) = 9, 107.683299999999, IF(INDIRECT(ADDRESS(ROW() - 2, COLUMN())) = 10, 115.861799999999, IF(INDIRECT(ADDRESS(ROW() - 2, COLUMN())) = 11, 124.040299999999,0)))))))))))</f>
        <v>#VALUE!</v>
      </c>
      <c r="CO7" s="88" t="str">
        <f> IF(INDIRECT(ADDRESS(ROW() - 2, COLUMN())) = 1, 29.4485, IF(INDIRECT(ADDRESS(ROW() - 2, COLUMN())) = 2, 31.8454999999999, IF(INDIRECT(ADDRESS(ROW() - 2, COLUMN())) = 3, 34.2425, IF(INDIRECT(ADDRESS(ROW() - 2, COLUMN())) = 4, 37.6667, IF(INDIRECT(ADDRESS(ROW() - 2, COLUMN())) = 5, 40.0637, IF(INDIRECT(ADDRESS(ROW() - 2, COLUMN())) = 6, 42.8031, IF(INDIRECT(ADDRESS(ROW() - 2, COLUMN())) = 7, 46.5698, IF(INDIRECT(ADDRESS(ROW() - 2, COLUMN())) = 8, 50.3364999999999, IF(INDIRECT(ADDRESS(ROW() - 2, COLUMN())) = 9, 54.1031, IF(INDIRECT(ADDRESS(ROW() - 2, COLUMN())) = 10, 58.2122, IF(INDIRECT(ADDRESS(ROW() - 2, COLUMN())) = 11, 62.3213,0)))))))))))</f>
        <v>#VALUE!</v>
      </c>
      <c r="CP7" s="88" t="str">
        <f> IF(INDIRECT(ADDRESS(ROW() - 2, COLUMN())) = 1, 75.6043, IF(INDIRECT(ADDRESS(ROW() - 2, COLUMN())) = 2, 81.7582, IF(INDIRECT(ADDRESS(ROW() - 2, COLUMN())) = 3, 87.912, IF(INDIRECT(ADDRESS(ROW() - 2, COLUMN())) = 4, 96.7032, IF(INDIRECT(ADDRESS(ROW() - 2, COLUMN())) = 5, 102.857, IF(INDIRECT(ADDRESS(ROW() - 2, COLUMN())) = 6, 109.89, IF(INDIRECT(ADDRESS(ROW() - 2, COLUMN())) = 7, 119.5603, IF(INDIRECT(ADDRESS(ROW() - 2, COLUMN())) = 8, 129.230599999999, IF(INDIRECT(ADDRESS(ROW() - 2, COLUMN())) = 9, 138.901, IF(INDIRECT(ADDRESS(ROW() - 2, COLUMN())) = 10, 149.4504, IF(INDIRECT(ADDRESS(ROW() - 2, COLUMN())) = 11, 159.9998,0)))))))))))</f>
        <v>#VALUE!</v>
      </c>
      <c r="CQ7" s="88" t="str">
        <f> IF(INDIRECT(ADDRESS(ROW() - 2, COLUMN())) = 1, 129.5297, IF(INDIRECT(ADDRESS(ROW() - 2, COLUMN())) = 2, 140.0728, IF(INDIRECT(ADDRESS(ROW() - 2, COLUMN())) = 3, 150.6159, IF(INDIRECT(ADDRESS(ROW() - 2, COLUMN())) = 4, 165.6775, IF(INDIRECT(ADDRESS(ROW() - 2, COLUMN())) = 5, 176.2206, IF(INDIRECT(ADDRESS(ROW() - 2, COLUMN())) = 6, 188.269899999999, IF(INDIRECT(ADDRESS(ROW() - 2, COLUMN())) = 7, 204.8376, IF(INDIRECT(ADDRESS(ROW() - 2, COLUMN())) = 8, 221.4054, IF(INDIRECT(ADDRESS(ROW() - 2, COLUMN())) = 9, 237.9731, IF(INDIRECT(ADDRESS(ROW() - 2, COLUMN())) = 10, 256.047, IF(INDIRECT(ADDRESS(ROW() - 2, COLUMN())) = 11, 274.1209,0)))))))))))</f>
        <v>#VALUE!</v>
      </c>
      <c r="CR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CS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CT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CU7" s="88" t="str">
        <f> IF(INDIRECT(ADDRESS(ROW() - 2, COLUMN())) = 1, 52.89, IF(INDIRECT(ADDRESS(ROW() - 2, COLUMN())) = 2, 57.1949999999999, IF(INDIRECT(ADDRESS(ROW() - 2, COLUMN())) = 3, 61.5, IF(INDIRECT(ADDRESS(ROW() - 2, COLUMN())) = 4, 67.65, IF(INDIRECT(ADDRESS(ROW() - 2, COLUMN())) = 5, 71.955, IF(INDIRECT(ADDRESS(ROW() - 2, COLUMN())) = 6, 76.875, IF(INDIRECT(ADDRESS(ROW() - 2, COLUMN())) = 7, 83.64, IF(INDIRECT(ADDRESS(ROW() - 2, COLUMN())) = 8, 90.405, IF(INDIRECT(ADDRESS(ROW() - 2, COLUMN())) = 9, 97.17, IF(INDIRECT(ADDRESS(ROW() - 2, COLUMN())) = 10, 104.55, IF(INDIRECT(ADDRESS(ROW() - 2, COLUMN())) = 11, 111.929999999999, IF(INDIRECT(ADDRESS(ROW() - 2, COLUMN())) = 12, 119.31, IF(INDIRECT(ADDRESS(ROW() - 2, COLUMN())) = 13, 126.69,0)))))))))))))</f>
        <v>#VALUE!</v>
      </c>
      <c r="CV7" s="88" t="str">
        <f> IF(INDIRECT(ADDRESS(ROW() - 2, COLUMN())) = 1, 58.91, IF(INDIRECT(ADDRESS(ROW() - 2, COLUMN())) = 2, 63.705, IF(INDIRECT(ADDRESS(ROW() - 2, COLUMN())) = 3, 68.5, IF(INDIRECT(ADDRESS(ROW() - 2, COLUMN())) = 4, 75.35, IF(INDIRECT(ADDRESS(ROW() - 2, COLUMN())) = 5, 80.145, IF(INDIRECT(ADDRESS(ROW() - 2, COLUMN())) = 6, 85.625, IF(INDIRECT(ADDRESS(ROW() - 2, COLUMN())) = 7, 93.16, IF(INDIRECT(ADDRESS(ROW() - 2, COLUMN())) = 8, 100.695, IF(INDIRECT(ADDRESS(ROW() - 2, COLUMN())) = 9, 108.23, IF(INDIRECT(ADDRESS(ROW() - 2, COLUMN())) = 10, 116.45, IF(INDIRECT(ADDRESS(ROW() - 2, COLUMN())) = 11, 124.669999999999, IF(INDIRECT(ADDRESS(ROW() - 2, COLUMN())) = 12, 132.89, IF(INDIRECT(ADDRESS(ROW() - 2, COLUMN())) = 13, 141.11,0)))))))))))))</f>
        <v>#VALUE!</v>
      </c>
      <c r="CW7" s="88" t="str">
        <f> IF(INDIRECT(ADDRESS(ROW() - 2, COLUMN())) = 1, 64.9299999999999, IF(INDIRECT(ADDRESS(ROW() - 2, COLUMN())) = 2, 70.215, IF(INDIRECT(ADDRESS(ROW() - 2, COLUMN())) = 3, 75.5, IF(INDIRECT(ADDRESS(ROW() - 2, COLUMN())) = 4, 83.05, IF(INDIRECT(ADDRESS(ROW() - 2, COLUMN())) = 5, 88.335, IF(INDIRECT(ADDRESS(ROW() - 2, COLUMN())) = 6, 94.375, IF(INDIRECT(ADDRESS(ROW() - 2, COLUMN())) = 7, 102.679999999999, IF(INDIRECT(ADDRESS(ROW() - 2, COLUMN())) = 8, 110.985, IF(INDIRECT(ADDRESS(ROW() - 2, COLUMN())) = 9, 119.29, IF(INDIRECT(ADDRESS(ROW() - 2, COLUMN())) = 10, 128.35, IF(INDIRECT(ADDRESS(ROW() - 2, COLUMN())) = 11, 137.41, IF(INDIRECT(ADDRESS(ROW() - 2, COLUMN())) = 12, 146.47, IF(INDIRECT(ADDRESS(ROW() - 2, COLUMN())) = 13, 155.53,0)))))))))))))</f>
        <v>#VALUE!</v>
      </c>
      <c r="CX7" s="88" t="str">
        <f> IF(INDIRECT(ADDRESS(ROW() - 2, COLUMN())) = 1, 101.479999999999, IF(INDIRECT(ADDRESS(ROW() - 2, COLUMN())) = 2, 109.74, IF(INDIRECT(ADDRESS(ROW() - 2, COLUMN())) = 3, 118, IF(INDIRECT(ADDRESS(ROW() - 2, COLUMN())) = 4, 129.8, IF(INDIRECT(ADDRESS(ROW() - 2, COLUMN())) = 5, 138.06, IF(INDIRECT(ADDRESS(ROW() - 2, COLUMN())) = 6, 147.5, IF(INDIRECT(ADDRESS(ROW() - 2, COLUMN())) = 7, 160.48, IF(INDIRECT(ADDRESS(ROW() - 2, COLUMN())) = 8, 173.459999999999, IF(INDIRECT(ADDRESS(ROW() - 2, COLUMN())) = 9, 186.44, IF(INDIRECT(ADDRESS(ROW() - 2, COLUMN())) = 10, 200.599999999999, IF(INDIRECT(ADDRESS(ROW() - 2, COLUMN())) = 11, 214.76, IF(INDIRECT(ADDRESS(ROW() - 2, COLUMN())) = 12, 228.92, IF(INDIRECT(ADDRESS(ROW() - 2, COLUMN())) = 13, 243.08,0)))))))))))))</f>
        <v>#VALUE!</v>
      </c>
      <c r="CY7" s="88" t="str">
        <f> IF(INDIRECT(ADDRESS(ROW() - 2, COLUMN())) = 1, 66.456, IF(INDIRECT(ADDRESS(ROW() - 2, COLUMN())) = 2, 71.4402, IF(INDIRECT(ADDRESS(ROW() - 2, COLUMN())) = 3, 76.4244, IF(INDIRECT(ADDRESS(ROW() - 2, COLUMN())) = 4, 83.07, IF(INDIRECT(ADDRESS(ROW() - 2, COLUMN())) = 5, 88.0542, IF(INDIRECT(ADDRESS(ROW() - 2, COLUMN())) = 6, 93.0384, IF(INDIRECT(ADDRESS(ROW() - 2, COLUMN())) = 7, 99.684, IF(INDIRECT(ADDRESS(ROW() - 2, COLUMN())) = 8, 106.3296, IF(INDIRECT(ADDRESS(ROW() - 2, COLUMN())) = 9, 112.9752, IF(INDIRECT(ADDRESS(ROW() - 2, COLUMN())) = 10, 119.620799999999, IF(INDIRECT(ADDRESS(ROW() - 2, COLUMN())) = 11, 126.2664, IF(INDIRECT(ADDRESS(ROW() - 2, COLUMN())) = 12, 132.912, IF(INDIRECT(ADDRESS(ROW() - 2, COLUMN())) = 13, 141.219,0)))))))))))))</f>
        <v>#VALUE!</v>
      </c>
      <c r="CZ7" s="88" t="str">
        <f> IF(INDIRECT(ADDRESS(ROW() - 2, COLUMN())) = 1, 37.84, IF(INDIRECT(ADDRESS(ROW() - 2, COLUMN())) = 2, 40.678, IF(INDIRECT(ADDRESS(ROW() - 2, COLUMN())) = 3, 43.516, IF(INDIRECT(ADDRESS(ROW() - 2, COLUMN())) = 4, 47.3, IF(INDIRECT(ADDRESS(ROW() - 2, COLUMN())) = 5, 50.138, IF(INDIRECT(ADDRESS(ROW() - 2, COLUMN())) = 6, 52.976, IF(INDIRECT(ADDRESS(ROW() - 2, COLUMN())) = 7, 56.76, IF(INDIRECT(ADDRESS(ROW() - 2, COLUMN())) = 8, 60.544, IF(INDIRECT(ADDRESS(ROW() - 2, COLUMN())) = 9, 64.328, IF(INDIRECT(ADDRESS(ROW() - 2, COLUMN())) = 10, 68.112, IF(INDIRECT(ADDRESS(ROW() - 2, COLUMN())) = 11, 72.0474,0)))))))))))</f>
        <v>#VALUE!</v>
      </c>
      <c r="DA7" s="88" t="str">
        <f> IF(INDIRECT(ADDRESS(ROW() - 2, COLUMN())) = 1, 35.52, IF(INDIRECT(ADDRESS(ROW() - 2, COLUMN())) = 2, 38.184, IF(INDIRECT(ADDRESS(ROW() - 2, COLUMN())) = 3, 40.848, IF(INDIRECT(ADDRESS(ROW() - 2, COLUMN())) = 4, 44.4, IF(INDIRECT(ADDRESS(ROW() - 2, COLUMN())) = 5, 47.064, IF(INDIRECT(ADDRESS(ROW() - 2, COLUMN())) = 6, 49.728, IF(INDIRECT(ADDRESS(ROW() - 2, COLUMN())) = 7, 53.28, IF(INDIRECT(ADDRESS(ROW() - 2, COLUMN())) = 8, 56.832, IF(INDIRECT(ADDRESS(ROW() - 2, COLUMN())) = 9, 60.384, IF(INDIRECT(ADDRESS(ROW() - 2, COLUMN())) = 10, 63.936, IF(INDIRECT(ADDRESS(ROW() - 2, COLUMN())) = 11, 67.6301,0)))))))))))</f>
        <v>#VALUE!</v>
      </c>
      <c r="DB7" s="88" t="str">
        <f> IF(INDIRECT(ADDRESS(ROW() - 2, COLUMN())) = 1, 41.04, IF(INDIRECT(ADDRESS(ROW() - 2, COLUMN())) = 2, 44.118, IF(INDIRECT(ADDRESS(ROW() - 2, COLUMN())) = 3, 47.196, IF(INDIRECT(ADDRESS(ROW() - 2, COLUMN())) = 4, 51.3, IF(INDIRECT(ADDRESS(ROW() - 2, COLUMN())) = 5, 54.378, IF(INDIRECT(ADDRESS(ROW() - 2, COLUMN())) = 6, 57.4559999999999, IF(INDIRECT(ADDRESS(ROW() - 2, COLUMN())) = 7, 61.56, IF(INDIRECT(ADDRESS(ROW() - 2, COLUMN())) = 8, 65.664, IF(INDIRECT(ADDRESS(ROW() - 2, COLUMN())) = 9, 69.768, IF(INDIRECT(ADDRESS(ROW() - 2, COLUMN())) = 10, 73.872, IF(INDIRECT(ADDRESS(ROW() - 2, COLUMN())) = 11, 78.1402,0)))))))))))</f>
        <v>#VALUE!</v>
      </c>
      <c r="DC7" s="88" t="str">
        <f> IF(INDIRECT(ADDRESS(ROW() - 2, COLUMN())) = 1, 55.2, IF(INDIRECT(ADDRESS(ROW() - 2, COLUMN())) = 2, 59.34, IF(INDIRECT(ADDRESS(ROW() - 2, COLUMN())) = 3, 63.48, IF(INDIRECT(ADDRESS(ROW() - 2, COLUMN())) = 4, 69, IF(INDIRECT(ADDRESS(ROW() - 2, COLUMN())) = 5, 73.14, IF(INDIRECT(ADDRESS(ROW() - 2, COLUMN())) = 6, 77.28, IF(INDIRECT(ADDRESS(ROW() - 2, COLUMN())) = 7, 82.8, IF(INDIRECT(ADDRESS(ROW() - 2, COLUMN())) = 8, 88.32, IF(INDIRECT(ADDRESS(ROW() - 2, COLUMN())) = 9, 93.84, IF(INDIRECT(ADDRESS(ROW() - 2, COLUMN())) = 10, 99.36, IF(INDIRECT(ADDRESS(ROW() - 2, COLUMN())) = 11, 105.100799999999,0)))))))))))</f>
        <v>#VALUE!</v>
      </c>
      <c r="DD7" s="88" t="str">
        <f> IF(INDIRECT(ADDRESS(ROW() - 2, COLUMN())) = 1, 166.24, IF(INDIRECT(ADDRESS(ROW() - 2, COLUMN())) = 2, 178.708, IF(INDIRECT(ADDRESS(ROW() - 2, COLUMN())) = 3, 191.176, IF(INDIRECT(ADDRESS(ROW() - 2, COLUMN())) = 4, 207.799999999999, IF(INDIRECT(ADDRESS(ROW() - 2, COLUMN())) = 5, 220.268, IF(INDIRECT(ADDRESS(ROW() - 2, COLUMN())) = 6, 232.736, IF(INDIRECT(ADDRESS(ROW() - 2, COLUMN())) = 7, 249.359999999999, IF(INDIRECT(ADDRESS(ROW() - 2, COLUMN())) = 8, 265.984, IF(INDIRECT(ADDRESS(ROW() - 2, COLUMN())) = 9, 282.608, IF(INDIRECT(ADDRESS(ROW() - 2, COLUMN())) = 10, 299.231999999999, IF(INDIRECT(ADDRESS(ROW() - 2, COLUMN())) = 11, 316.521,0)))))))))))</f>
        <v>#VALUE!</v>
      </c>
      <c r="DE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DF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DG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DH7" s="88" t="str">
        <f> IF(INDIRECT(ADDRESS(ROW() - 2, COLUMN())) = 1, 58.4, IF(INDIRECT(ADDRESS(ROW() - 2, COLUMN())) = 2, 62.78, IF(INDIRECT(ADDRESS(ROW() - 2, COLUMN())) = 3, 67.16, IF(INDIRECT(ADDRESS(ROW() - 2, COLUMN())) = 4, 73, IF(INDIRECT(ADDRESS(ROW() - 2, COLUMN())) = 5, 77.38, IF(INDIRECT(ADDRESS(ROW() - 2, COLUMN())) = 6, 81.76, IF(INDIRECT(ADDRESS(ROW() - 2, COLUMN())) = 7, 87.6, IF(INDIRECT(ADDRESS(ROW() - 2, COLUMN())) = 8, 93.44, IF(INDIRECT(ADDRESS(ROW() - 2, COLUMN())) = 9, 99.28, IF(INDIRECT(ADDRESS(ROW() - 2, COLUMN())) = 10, 105.119999999999, IF(INDIRECT(ADDRESS(ROW() - 2, COLUMN())) = 11, 110.96, IF(INDIRECT(ADDRESS(ROW() - 2, COLUMN())) = 12, 116.8, IF(INDIRECT(ADDRESS(ROW() - 2, COLUMN())) = 13, 124.1,0)))))))))))))</f>
        <v>#VALUE!</v>
      </c>
      <c r="DI7" s="88" t="str">
        <f> IF(INDIRECT(ADDRESS(ROW() - 2, COLUMN())) = 1, 71.122, IF(INDIRECT(ADDRESS(ROW() - 2, COLUMN())) = 2, 76.911, IF(INDIRECT(ADDRESS(ROW() - 2, COLUMN())) = 3, 82.6999999999999, IF(INDIRECT(ADDRESS(ROW() - 2, COLUMN())) = 4, 90.97, IF(INDIRECT(ADDRESS(ROW() - 2, COLUMN())) = 5, 96.759, IF(INDIRECT(ADDRESS(ROW() - 2, COLUMN())) = 6, 103.375, IF(INDIRECT(ADDRESS(ROW() - 2, COLUMN())) = 7, 112.472, IF(INDIRECT(ADDRESS(ROW() - 2, COLUMN())) = 8, 121.568999999999, IF(INDIRECT(ADDRESS(ROW() - 2, COLUMN())) = 9, 130.666, IF(INDIRECT(ADDRESS(ROW() - 2, COLUMN())) = 10, 140.59, IF(INDIRECT(ADDRESS(ROW() - 2, COLUMN())) = 11, 151.9613,0)))))))))))</f>
        <v>#VALUE!</v>
      </c>
      <c r="DJ7" s="88" t="str">
        <f> IF(INDIRECT(ADDRESS(ROW() - 2, COLUMN())) = 1, 70.864, IF(INDIRECT(ADDRESS(ROW() - 2, COLUMN())) = 2, 76.632, IF(INDIRECT(ADDRESS(ROW() - 2, COLUMN())) = 3, 82.3999999999999, IF(INDIRECT(ADDRESS(ROW() - 2, COLUMN())) = 4, 90.64, IF(INDIRECT(ADDRESS(ROW() - 2, COLUMN())) = 5, 96.408, IF(INDIRECT(ADDRESS(ROW() - 2, COLUMN())) = 6, 103, IF(INDIRECT(ADDRESS(ROW() - 2, COLUMN())) = 7, 112.064, IF(INDIRECT(ADDRESS(ROW() - 2, COLUMN())) = 8, 121.127999999999, IF(INDIRECT(ADDRESS(ROW() - 2, COLUMN())) = 9, 130.192, IF(INDIRECT(ADDRESS(ROW() - 2, COLUMN())) = 10, 140.08, IF(INDIRECT(ADDRESS(ROW() - 2, COLUMN())) = 11, 151.41,0)))))))))))</f>
        <v>#VALUE!</v>
      </c>
      <c r="DK7" s="88" t="str">
        <f> IF(INDIRECT(ADDRESS(ROW() - 2, COLUMN())) = 1, 88.322, IF(INDIRECT(ADDRESS(ROW() - 2, COLUMN())) = 2, 95.511, IF(INDIRECT(ADDRESS(ROW() - 2, COLUMN())) = 3, 102.699999999999, IF(INDIRECT(ADDRESS(ROW() - 2, COLUMN())) = 4, 112.97, IF(INDIRECT(ADDRESS(ROW() - 2, COLUMN())) = 5, 120.158999999999, IF(INDIRECT(ADDRESS(ROW() - 2, COLUMN())) = 6, 128.375, IF(INDIRECT(ADDRESS(ROW() - 2, COLUMN())) = 7, 139.672, IF(INDIRECT(ADDRESS(ROW() - 2, COLUMN())) = 8, 150.969, IF(INDIRECT(ADDRESS(ROW() - 2, COLUMN())) = 9, 162.266, IF(INDIRECT(ADDRESS(ROW() - 2, COLUMN())) = 10, 174.59, IF(INDIRECT(ADDRESS(ROW() - 2, COLUMN())) = 11, 188.7112,0)))))))))))</f>
        <v>#VALUE!</v>
      </c>
      <c r="DL7" s="88" t="str">
        <f> IF(INDIRECT(ADDRESS(ROW() - 2, COLUMN())) = 1, 86.516, IF(INDIRECT(ADDRESS(ROW() - 2, COLUMN())) = 2, 93.5579999999999, IF(INDIRECT(ADDRESS(ROW() - 2, COLUMN())) = 3, 100.6, IF(INDIRECT(ADDRESS(ROW() - 2, COLUMN())) = 4, 110.66, IF(INDIRECT(ADDRESS(ROW() - 2, COLUMN())) = 5, 117.702, IF(INDIRECT(ADDRESS(ROW() - 2, COLUMN())) = 6, 125.75, IF(INDIRECT(ADDRESS(ROW() - 2, COLUMN())) = 7, 136.816, IF(INDIRECT(ADDRESS(ROW() - 2, COLUMN())) = 8, 147.882, IF(INDIRECT(ADDRESS(ROW() - 2, COLUMN())) = 9, 158.948, IF(INDIRECT(ADDRESS(ROW() - 2, COLUMN())) = 10, 171.019999999999, IF(INDIRECT(ADDRESS(ROW() - 2, COLUMN())) = 11, 184.8525,0)))))))))))</f>
        <v>#VALUE!</v>
      </c>
      <c r="DM7" s="88" t="str">
        <f> IF(INDIRECT(ADDRESS(ROW() - 2, COLUMN())) = 1, 112.144, IF(INDIRECT(ADDRESS(ROW() - 2, COLUMN())) = 2, 121.272, IF(INDIRECT(ADDRESS(ROW() - 2, COLUMN())) = 3, 130.4, IF(INDIRECT(ADDRESS(ROW() - 2, COLUMN())) = 4, 143.44, IF(INDIRECT(ADDRESS(ROW() - 2, COLUMN())) = 5, 152.567999999999, IF(INDIRECT(ADDRESS(ROW() - 2, COLUMN())) = 6, 163, IF(INDIRECT(ADDRESS(ROW() - 2, COLUMN())) = 7, 177.344, IF(INDIRECT(ADDRESS(ROW() - 2, COLUMN())) = 8, 191.688, IF(INDIRECT(ADDRESS(ROW() - 2, COLUMN())) = 9, 206.031999999999, IF(INDIRECT(ADDRESS(ROW() - 2, COLUMN())) = 10, 221.68, IF(INDIRECT(ADDRESS(ROW() - 2, COLUMN())) = 11, 239.61,0)))))))))))</f>
        <v>#VALUE!</v>
      </c>
      <c r="DN7" s="88" t="str">
        <f> IF(INDIRECT(ADDRESS(ROW() - 2, COLUMN())) = 1, 56.244, IF(INDIRECT(ADDRESS(ROW() - 2, COLUMN())) = 2, 60.8219999999999, IF(INDIRECT(ADDRESS(ROW() - 2, COLUMN())) = 3, 65.4, IF(INDIRECT(ADDRESS(ROW() - 2, COLUMN())) = 4, 71.94, IF(INDIRECT(ADDRESS(ROW() - 2, COLUMN())) = 5, 76.518, IF(INDIRECT(ADDRESS(ROW() - 2, COLUMN())) = 6, 81.75, IF(INDIRECT(ADDRESS(ROW() - 2, COLUMN())) = 7, 88.944, IF(INDIRECT(ADDRESS(ROW() - 2, COLUMN())) = 8, 96.138, IF(INDIRECT(ADDRESS(ROW() - 2, COLUMN())) = 9, 103.332, IF(INDIRECT(ADDRESS(ROW() - 2, COLUMN())) = 10, 111.179999999999, IF(INDIRECT(ADDRESS(ROW() - 2, COLUMN())) = 11, 120.1725,0)))))))))))</f>
        <v>#VALUE!</v>
      </c>
      <c r="DO7" s="88" t="str">
        <f> IF(INDIRECT(ADDRESS(ROW() - 2, COLUMN())) = 1, 101.824, IF(INDIRECT(ADDRESS(ROW() - 2, COLUMN())) = 2, 110.112, IF(INDIRECT(ADDRESS(ROW() - 2, COLUMN())) = 3, 118.399999999999, IF(INDIRECT(ADDRESS(ROW() - 2, COLUMN())) = 4, 130.24, IF(INDIRECT(ADDRESS(ROW() - 2, COLUMN())) = 5, 138.528, IF(INDIRECT(ADDRESS(ROW() - 2, COLUMN())) = 6, 148, IF(INDIRECT(ADDRESS(ROW() - 2, COLUMN())) = 7, 161.024, IF(INDIRECT(ADDRESS(ROW() - 2, COLUMN())) = 8, 174.048, IF(INDIRECT(ADDRESS(ROW() - 2, COLUMN())) = 9, 187.072, IF(INDIRECT(ADDRESS(ROW() - 2, COLUMN())) = 10, 201.28, IF(INDIRECT(ADDRESS(ROW() - 2, COLUMN())) = 11, 217.56,0)))))))))))</f>
        <v>#VALUE!</v>
      </c>
      <c r="DP7" s="88" t="str">
        <f> IF(INDIRECT(ADDRESS(ROW() - 2, COLUMN())) = 1, 74.5878, IF(INDIRECT(ADDRESS(ROW() - 2, COLUMN())) = 2, 80.6589, IF(INDIRECT(ADDRESS(ROW() - 2, COLUMN())) = 3, 86.7299999999999, IF(INDIRECT(ADDRESS(ROW() - 2, COLUMN())) = 4, 95.403, IF(INDIRECT(ADDRESS(ROW() - 2, COLUMN())) = 5, 101.474099999999, IF(INDIRECT(ADDRESS(ROW() - 2, COLUMN())) = 6, 108.4125, IF(INDIRECT(ADDRESS(ROW() - 2, COLUMN())) = 7, 117.9528, IF(INDIRECT(ADDRESS(ROW() - 2, COLUMN())) = 8, 127.4931, IF(INDIRECT(ADDRESS(ROW() - 2, COLUMN())) = 9, 137.0334, IF(INDIRECT(ADDRESS(ROW() - 2, COLUMN())) = 10, 147.441, IF(INDIRECT(ADDRESS(ROW() - 2, COLUMN())) = 11, 157.8486,0)))))))))))</f>
        <v>#VALUE!</v>
      </c>
      <c r="DQ7" s="88" t="str">
        <f> IF(INDIRECT(ADDRESS(ROW() - 2, COLUMN())) = 1, 149.144, IF(INDIRECT(ADDRESS(ROW() - 2, COLUMN())) = 2, 161.2836, IF(INDIRECT(ADDRESS(ROW() - 2, COLUMN())) = 3, 173.423299999999, IF(INDIRECT(ADDRESS(ROW() - 2, COLUMN())) = 4, 190.7656, IF(INDIRECT(ADDRESS(ROW() - 2, COLUMN())) = 5, 202.9052, IF(INDIRECT(ADDRESS(ROW() - 2, COLUMN())) = 6, 216.779099999999, IF(INDIRECT(ADDRESS(ROW() - 2, COLUMN())) = 7, 235.8556, IF(INDIRECT(ADDRESS(ROW() - 2, COLUMN())) = 8, 254.9322, IF(INDIRECT(ADDRESS(ROW() - 2, COLUMN())) = 9, 274.0087, IF(INDIRECT(ADDRESS(ROW() - 2, COLUMN())) = 10, 294.8195, IF(INDIRECT(ADDRESS(ROW() - 2, COLUMN())) = 11, 315.6303,0)))))))))))</f>
        <v>#VALUE!</v>
      </c>
      <c r="DR7" s="88" t="str">
        <f> IF(INDIRECT(ADDRESS(ROW() - 2, COLUMN())) = 1, 186.2889, IF(INDIRECT(ADDRESS(ROW() - 2, COLUMN())) = 2, 201.452, IF(INDIRECT(ADDRESS(ROW() - 2, COLUMN())) = 3, 216.615, IF(INDIRECT(ADDRESS(ROW() - 2, COLUMN())) = 4, 238.2765, IF(INDIRECT(ADDRESS(ROW() - 2, COLUMN())) = 5, 253.4396, IF(INDIRECT(ADDRESS(ROW() - 2, COLUMN())) = 6, 270.7688, IF(INDIRECT(ADDRESS(ROW() - 2, COLUMN())) = 7, 294.5964, IF(INDIRECT(ADDRESS(ROW() - 2, COLUMN())) = 8, 318.4241, IF(INDIRECT(ADDRESS(ROW() - 2, COLUMN())) = 9, 342.2517, IF(INDIRECT(ADDRESS(ROW() - 2, COLUMN())) = 10, 368.2455, IF(INDIRECT(ADDRESS(ROW() - 2, COLUMN())) = 11, 394.2393,0)))))))))))</f>
        <v>#VALUE!</v>
      </c>
      <c r="DS7" s="88" t="str">
        <f t="shared" ref="DS7:DV7" si="459"> IF(INDIRECT(ADDRESS(ROW() - 2, COLUMN())) = 1, 121.6, IF(INDIRECT(ADDRESS(ROW() - 2, COLUMN())) = 2, 130.72, IF(INDIRECT(ADDRESS(ROW() - 2, COLUMN())) = 3, 139.84, IF(INDIRECT(ADDRESS(ROW() - 2, COLUMN())) = 4, 152, IF(INDIRECT(ADDRESS(ROW() - 2, COLUMN())) = 5, 161.12, IF(INDIRECT(ADDRESS(ROW() - 2, COLUMN())) = 6, 170.239999999999, IF(INDIRECT(ADDRESS(ROW() - 2, COLUMN())) = 7, 182.4, IF(INDIRECT(ADDRESS(ROW() - 2, COLUMN())) = 8, 194.56, IF(INDIRECT(ADDRESS(ROW() - 2, COLUMN())) = 9, 206.72, IF(INDIRECT(ADDRESS(ROW() - 2, COLUMN())) = 10, 218.88, IF(INDIRECT(ADDRESS(ROW() - 2, COLUMN())) = 11, 231.04, IF(INDIRECT(ADDRESS(ROW() - 2, COLUMN())) = 12, 243.2, IF(INDIRECT(ADDRESS(ROW() - 2, COLUMN())) = 13, 258.4,0)))))))))))))</f>
        <v>#VALUE!</v>
      </c>
      <c r="DT7" s="88" t="str">
        <f t="shared" si="459"/>
        <v>#VALUE!</v>
      </c>
      <c r="DU7" s="88" t="str">
        <f t="shared" si="459"/>
        <v>#VALUE!</v>
      </c>
      <c r="DV7" s="88" t="str">
        <f t="shared" si="459"/>
        <v>#VALUE!</v>
      </c>
      <c r="DW7" s="88" t="str">
        <f> IF(INDIRECT(ADDRESS(ROW() - 2, COLUMN())) = 1, 96, IF(INDIRECT(ADDRESS(ROW() - 2, COLUMN())) = 2, 103.2, IF(INDIRECT(ADDRESS(ROW() - 2, COLUMN())) = 3, 110.4, IF(INDIRECT(ADDRESS(ROW() - 2, COLUMN())) = 4, 120, IF(INDIRECT(ADDRESS(ROW() - 2, COLUMN())) = 5, 127.2, IF(INDIRECT(ADDRESS(ROW() - 2, COLUMN())) = 6, 134.4, IF(INDIRECT(ADDRESS(ROW() - 2, COLUMN())) = 7, 144, IF(INDIRECT(ADDRESS(ROW() - 2, COLUMN())) = 8, 153.6, IF(INDIRECT(ADDRESS(ROW() - 2, COLUMN())) = 9, 163.2, IF(INDIRECT(ADDRESS(ROW() - 2, COLUMN())) = 10, 172.8, IF(INDIRECT(ADDRESS(ROW() - 2, COLUMN())) = 11, 182.4, IF(INDIRECT(ADDRESS(ROW() - 2, COLUMN())) = 12, 192, IF(INDIRECT(ADDRESS(ROW() - 2, COLUMN())) = 13, 204,0)))))))))))))</f>
        <v>#VALUE!</v>
      </c>
      <c r="DX7" s="88" t="str">
        <f> IF(INDIRECT(ADDRESS(ROW() - 2, COLUMN())) = 1, 44.548, IF(INDIRECT(ADDRESS(ROW() - 2, COLUMN())) = 2, 48.174, IF(INDIRECT(ADDRESS(ROW() - 2, COLUMN())) = 3, 51.8, IF(INDIRECT(ADDRESS(ROW() - 2, COLUMN())) = 4, 56.98, IF(INDIRECT(ADDRESS(ROW() - 2, COLUMN())) = 5, 60.606, IF(INDIRECT(ADDRESS(ROW() - 2, COLUMN())) = 6, 64.75, IF(INDIRECT(ADDRESS(ROW() - 2, COLUMN())) = 7, 70.448, IF(INDIRECT(ADDRESS(ROW() - 2, COLUMN())) = 8, 76.146, IF(INDIRECT(ADDRESS(ROW() - 2, COLUMN())) = 9, 81.844, IF(INDIRECT(ADDRESS(ROW() - 2, COLUMN())) = 10, 88.06, IF(INDIRECT(ADDRESS(ROW() - 2, COLUMN())) = 11, 94.276,0)))))))))))</f>
        <v>#VALUE!</v>
      </c>
      <c r="DY7" s="88" t="str">
        <f> IF(INDIRECT(ADDRESS(ROW() - 2, COLUMN())) = 1, 42.742, IF(INDIRECT(ADDRESS(ROW() - 2, COLUMN())) = 2, 46.221, IF(INDIRECT(ADDRESS(ROW() - 2, COLUMN())) = 3, 49.7, IF(INDIRECT(ADDRESS(ROW() - 2, COLUMN())) = 4, 54.6699999999999, IF(INDIRECT(ADDRESS(ROW() - 2, COLUMN())) = 5, 58.1489999999999, IF(INDIRECT(ADDRESS(ROW() - 2, COLUMN())) = 6, 62.125, IF(INDIRECT(ADDRESS(ROW() - 2, COLUMN())) = 7, 67.592, IF(INDIRECT(ADDRESS(ROW() - 2, COLUMN())) = 8, 73.059, IF(INDIRECT(ADDRESS(ROW() - 2, COLUMN())) = 9, 78.526, IF(INDIRECT(ADDRESS(ROW() - 2, COLUMN())) = 10, 84.49, IF(INDIRECT(ADDRESS(ROW() - 2, COLUMN())) = 11, 90.454,0)))))))))))</f>
        <v>#VALUE!</v>
      </c>
      <c r="DZ7" s="88" t="str">
        <f> IF(INDIRECT(ADDRESS(ROW() - 2, COLUMN())) = 1, 54.61, IF(INDIRECT(ADDRESS(ROW() - 2, COLUMN())) = 2, 59.055, IF(INDIRECT(ADDRESS(ROW() - 2, COLUMN())) = 3, 63.5, IF(INDIRECT(ADDRESS(ROW() - 2, COLUMN())) = 4, 69.85, IF(INDIRECT(ADDRESS(ROW() - 2, COLUMN())) = 5, 74.295, IF(INDIRECT(ADDRESS(ROW() - 2, COLUMN())) = 6, 79.375, IF(INDIRECT(ADDRESS(ROW() - 2, COLUMN())) = 7, 86.36, IF(INDIRECT(ADDRESS(ROW() - 2, COLUMN())) = 8, 93.345, IF(INDIRECT(ADDRESS(ROW() - 2, COLUMN())) = 9, 100.33, IF(INDIRECT(ADDRESS(ROW() - 2, COLUMN())) = 10, 107.949999999999, IF(INDIRECT(ADDRESS(ROW() - 2, COLUMN())) = 11, 115.57,0)))))))))))</f>
        <v>#VALUE!</v>
      </c>
      <c r="EA7" s="88" t="str">
        <f> IF(INDIRECT(ADDRESS(ROW() - 2, COLUMN())) = 1, 59.684, IF(INDIRECT(ADDRESS(ROW() - 2, COLUMN())) = 2, 64.542, IF(INDIRECT(ADDRESS(ROW() - 2, COLUMN())) = 3, 69.3999999999999, IF(INDIRECT(ADDRESS(ROW() - 2, COLUMN())) = 4, 76.34, IF(INDIRECT(ADDRESS(ROW() - 2, COLUMN())) = 5, 81.198, IF(INDIRECT(ADDRESS(ROW() - 2, COLUMN())) = 6, 86.75, IF(INDIRECT(ADDRESS(ROW() - 2, COLUMN())) = 7, 94.384, IF(INDIRECT(ADDRESS(ROW() - 2, COLUMN())) = 8, 102.018, IF(INDIRECT(ADDRESS(ROW() - 2, COLUMN())) = 9, 109.651999999999, IF(INDIRECT(ADDRESS(ROW() - 2, COLUMN())) = 10, 117.979999999999, IF(INDIRECT(ADDRESS(ROW() - 2, COLUMN())) = 11, 126.307999999999,0)))))))))))</f>
        <v>#VALUE!</v>
      </c>
      <c r="EB7" s="88" t="str">
        <f> IF(INDIRECT(ADDRESS(ROW() - 2, COLUMN())) = 1, 71.896, IF(INDIRECT(ADDRESS(ROW() - 2, COLUMN())) = 2, 77.7479999999999, IF(INDIRECT(ADDRESS(ROW() - 2, COLUMN())) = 3, 83.6, IF(INDIRECT(ADDRESS(ROW() - 2, COLUMN())) = 4, 91.96, IF(INDIRECT(ADDRESS(ROW() - 2, COLUMN())) = 5, 97.812, IF(INDIRECT(ADDRESS(ROW() - 2, COLUMN())) = 6, 104.5, IF(INDIRECT(ADDRESS(ROW() - 2, COLUMN())) = 7, 113.696, IF(INDIRECT(ADDRESS(ROW() - 2, COLUMN())) = 8, 122.892, IF(INDIRECT(ADDRESS(ROW() - 2, COLUMN())) = 9, 132.088, IF(INDIRECT(ADDRESS(ROW() - 2, COLUMN())) = 10, 142.12, IF(INDIRECT(ADDRESS(ROW() - 2, COLUMN())) = 11, 152.152,0)))))))))))</f>
        <v>#VALUE!</v>
      </c>
      <c r="EC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ED7" s="88" t="str">
        <f> IF(INDIRECT(ADDRESS(ROW() - 2, COLUMN())) = 1, 60.716, IF(INDIRECT(ADDRESS(ROW() - 2, COLUMN())) = 2, 65.658, IF(INDIRECT(ADDRESS(ROW() - 2, COLUMN())) = 3, 70.6, IF(INDIRECT(ADDRESS(ROW() - 2, COLUMN())) = 4, 77.66, IF(INDIRECT(ADDRESS(ROW() - 2, COLUMN())) = 5, 82.602, IF(INDIRECT(ADDRESS(ROW() - 2, COLUMN())) = 6, 88.25, IF(INDIRECT(ADDRESS(ROW() - 2, COLUMN())) = 7, 96.016, IF(INDIRECT(ADDRESS(ROW() - 2, COLUMN())) = 8, 103.782, IF(INDIRECT(ADDRESS(ROW() - 2, COLUMN())) = 9, 111.548, IF(INDIRECT(ADDRESS(ROW() - 2, COLUMN())) = 10, 120.02, IF(INDIRECT(ADDRESS(ROW() - 2, COLUMN())) = 11, 128.492,0)))))))))))</f>
        <v>#VALUE!</v>
      </c>
      <c r="EE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EF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EG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EH7" s="88" t="str">
        <f> IF(INDIRECT(ADDRESS(ROW() - 2, COLUMN())) = 1, 137.6, IF(INDIRECT(ADDRESS(ROW() - 2, COLUMN())) = 2, 147.92, IF(INDIRECT(ADDRESS(ROW() - 2, COLUMN())) = 3, 158.24, IF(INDIRECT(ADDRESS(ROW() - 2, COLUMN())) = 4, 172, IF(INDIRECT(ADDRESS(ROW() - 2, COLUMN())) = 5, 182.32, IF(INDIRECT(ADDRESS(ROW() - 2, COLUMN())) = 6, 192.64, IF(INDIRECT(ADDRESS(ROW() - 2, COLUMN())) = 7, 206.4, IF(INDIRECT(ADDRESS(ROW() - 2, COLUMN())) = 8, 220.16, IF(INDIRECT(ADDRESS(ROW() - 2, COLUMN())) = 9, 233.92, IF(INDIRECT(ADDRESS(ROW() - 2, COLUMN())) = 10, 247.679999999999, IF(INDIRECT(ADDRESS(ROW() - 2, COLUMN())) = 11, 261.44, IF(INDIRECT(ADDRESS(ROW() - 2, COLUMN())) = 12, 275.2, IF(INDIRECT(ADDRESS(ROW() - 2, COLUMN())) = 13, 292.4,0)))))))))))))</f>
        <v>#VALUE!</v>
      </c>
      <c r="EI7" s="88" t="str">
        <f> IF(INDIRECT(ADDRESS(ROW() - 2, COLUMN())) = 1, 84, IF(INDIRECT(ADDRESS(ROW() - 2, COLUMN())) = 2, 90.3, IF(INDIRECT(ADDRESS(ROW() - 2, COLUMN())) = 3, 96.6, IF(INDIRECT(ADDRESS(ROW() - 2, COLUMN())) = 4, 105, IF(INDIRECT(ADDRESS(ROW() - 2, COLUMN())) = 5, 111.3, IF(INDIRECT(ADDRESS(ROW() - 2, COLUMN())) = 6, 117.6, IF(INDIRECT(ADDRESS(ROW() - 2, COLUMN())) = 7, 126, IF(INDIRECT(ADDRESS(ROW() - 2, COLUMN())) = 8, 134.4, IF(INDIRECT(ADDRESS(ROW() - 2, COLUMN())) = 9, 142.799999999999, IF(INDIRECT(ADDRESS(ROW() - 2, COLUMN())) = 10, 151.2, IF(INDIRECT(ADDRESS(ROW() - 2, COLUMN())) = 11, 159.6, IF(INDIRECT(ADDRESS(ROW() - 2, COLUMN())) = 12, 168, IF(INDIRECT(ADDRESS(ROW() - 2, COLUMN())) = 13, 178.5,0)))))))))))))</f>
        <v>#VALUE!</v>
      </c>
      <c r="EJ7" s="88" t="str">
        <f> IF(INDIRECT(ADDRESS(ROW() - 2, COLUMN())) = 1, 92, IF(INDIRECT(ADDRESS(ROW() - 2, COLUMN())) = 2, 98.9, IF(INDIRECT(ADDRESS(ROW() - 2, COLUMN())) = 3, 105.8, IF(INDIRECT(ADDRESS(ROW() - 2, COLUMN())) = 4, 114.999999999999, IF(INDIRECT(ADDRESS(ROW() - 2, COLUMN())) = 5, 121.9, IF(INDIRECT(ADDRESS(ROW() - 2, COLUMN())) = 6, 128.8, IF(INDIRECT(ADDRESS(ROW() - 2, COLUMN())) = 7, 138, IF(INDIRECT(ADDRESS(ROW() - 2, COLUMN())) = 8, 147.2, IF(INDIRECT(ADDRESS(ROW() - 2, COLUMN())) = 9, 156.4, IF(INDIRECT(ADDRESS(ROW() - 2, COLUMN())) = 10, 165.6, IF(INDIRECT(ADDRESS(ROW() - 2, COLUMN())) = 11, 174.8, IF(INDIRECT(ADDRESS(ROW() - 2, COLUMN())) = 12, 184, IF(INDIRECT(ADDRESS(ROW() - 2, COLUMN())) = 13, 195.5,0)))))))))))))</f>
        <v>#VALUE!</v>
      </c>
      <c r="EK7" s="88" t="str">
        <f> IF(INDIRECT(ADDRESS(ROW() - 2, COLUMN())) = 1, 88, IF(INDIRECT(ADDRESS(ROW() - 2, COLUMN())) = 2, 94.6, IF(INDIRECT(ADDRESS(ROW() - 2, COLUMN())) = 3, 101.2, IF(INDIRECT(ADDRESS(ROW() - 2, COLUMN())) = 4, 110, IF(INDIRECT(ADDRESS(ROW() - 2, COLUMN())) = 5, 116.6, IF(INDIRECT(ADDRESS(ROW() - 2, COLUMN())) = 6, 123.2, IF(INDIRECT(ADDRESS(ROW() - 2, COLUMN())) = 7, 132, IF(INDIRECT(ADDRESS(ROW() - 2, COLUMN())) = 8, 140.799999999999, IF(INDIRECT(ADDRESS(ROW() - 2, COLUMN())) = 9, 149.6, IF(INDIRECT(ADDRESS(ROW() - 2, COLUMN())) = 10, 158.4, IF(INDIRECT(ADDRESS(ROW() - 2, COLUMN())) = 11, 167.2, IF(INDIRECT(ADDRESS(ROW() - 2, COLUMN())) = 12, 176, IF(INDIRECT(ADDRESS(ROW() - 2, COLUMN())) = 13, 187,0)))))))))))))</f>
        <v>#VALUE!</v>
      </c>
      <c r="EL7" s="88" t="str">
        <f> IF(INDIRECT(ADDRESS(ROW() - 2, COLUMN())) = 1, 96, IF(INDIRECT(ADDRESS(ROW() - 2, COLUMN())) = 2, 103.2, IF(INDIRECT(ADDRESS(ROW() - 2, COLUMN())) = 3, 110.4, IF(INDIRECT(ADDRESS(ROW() - 2, COLUMN())) = 4, 120, IF(INDIRECT(ADDRESS(ROW() - 2, COLUMN())) = 5, 127.2, IF(INDIRECT(ADDRESS(ROW() - 2, COLUMN())) = 6, 134.4, IF(INDIRECT(ADDRESS(ROW() - 2, COLUMN())) = 7, 144, IF(INDIRECT(ADDRESS(ROW() - 2, COLUMN())) = 8, 153.6, IF(INDIRECT(ADDRESS(ROW() - 2, COLUMN())) = 9, 163.2, IF(INDIRECT(ADDRESS(ROW() - 2, COLUMN())) = 10, 172.8, IF(INDIRECT(ADDRESS(ROW() - 2, COLUMN())) = 11, 182.4, IF(INDIRECT(ADDRESS(ROW() - 2, COLUMN())) = 12, 192, IF(INDIRECT(ADDRESS(ROW() - 2, COLUMN())) = 13, 204,0)))))))))))))</f>
        <v>#VALUE!</v>
      </c>
      <c r="EM7" s="88" t="str">
        <f> IF(INDIRECT(ADDRESS(ROW() - 2, COLUMN())) = 1, 132, IF(INDIRECT(ADDRESS(ROW() - 2, COLUMN())) = 2, 141.9, IF(INDIRECT(ADDRESS(ROW() - 2, COLUMN())) = 3, 151.8, IF(INDIRECT(ADDRESS(ROW() - 2, COLUMN())) = 4, 165, IF(INDIRECT(ADDRESS(ROW() - 2, COLUMN())) = 5, 174.9, IF(INDIRECT(ADDRESS(ROW() - 2, COLUMN())) = 6, 184.8, IF(INDIRECT(ADDRESS(ROW() - 2, COLUMN())) = 7, 198, IF(INDIRECT(ADDRESS(ROW() - 2, COLUMN())) = 8, 211.2, IF(INDIRECT(ADDRESS(ROW() - 2, COLUMN())) = 9, 224.4, IF(INDIRECT(ADDRESS(ROW() - 2, COLUMN())) = 10, 237.6, IF(INDIRECT(ADDRESS(ROW() - 2, COLUMN())) = 11, 250.8, IF(INDIRECT(ADDRESS(ROW() - 2, COLUMN())) = 12, 264, IF(INDIRECT(ADDRESS(ROW() - 2, COLUMN())) = 13, 280.5,0)))))))))))))</f>
        <v>#VALUE!</v>
      </c>
      <c r="EN7" s="88" t="str">
        <f> IF(INDIRECT(ADDRESS(ROW() - 2, COLUMN())) = 1, 232.799999999999, IF(INDIRECT(ADDRESS(ROW() - 2, COLUMN())) = 2, 250.26, IF(INDIRECT(ADDRESS(ROW() - 2, COLUMN())) = 3, 267.72, IF(INDIRECT(ADDRESS(ROW() - 2, COLUMN())) = 4, 291, IF(INDIRECT(ADDRESS(ROW() - 2, COLUMN())) = 5, 308.46, IF(INDIRECT(ADDRESS(ROW() - 2, COLUMN())) = 6, 325.919999999999, IF(INDIRECT(ADDRESS(ROW() - 2, COLUMN())) = 7, 349.2, IF(INDIRECT(ADDRESS(ROW() - 2, COLUMN())) = 8, 372.48, IF(INDIRECT(ADDRESS(ROW() - 2, COLUMN())) = 9, 395.76, IF(INDIRECT(ADDRESS(ROW() - 2, COLUMN())) = 10, 419.04, IF(INDIRECT(ADDRESS(ROW() - 2, COLUMN())) = 11, 442.319999999999, IF(INDIRECT(ADDRESS(ROW() - 2, COLUMN())) = 12, 465.599999999999, IF(INDIRECT(ADDRESS(ROW() - 2, COLUMN())) = 13, 494.7,0)))))))))))))</f>
        <v>#VALUE!</v>
      </c>
      <c r="EO7" s="88" t="str">
        <f> IF(INDIRECT(ADDRESS(ROW() - 2, COLUMN())) = 1, 70.004, IF(INDIRECT(ADDRESS(ROW() - 2, COLUMN())) = 2, 75.702, IF(INDIRECT(ADDRESS(ROW() - 2, COLUMN())) = 3, 81.3999999999999, IF(INDIRECT(ADDRESS(ROW() - 2, COLUMN())) = 4, 89.5399999999999, IF(INDIRECT(ADDRESS(ROW() - 2, COLUMN())) = 5, 95.238, IF(INDIRECT(ADDRESS(ROW() - 2, COLUMN())) = 6, 101.75, IF(INDIRECT(ADDRESS(ROW() - 2, COLUMN())) = 7, 110.704, IF(INDIRECT(ADDRESS(ROW() - 2, COLUMN())) = 8, 119.658, IF(INDIRECT(ADDRESS(ROW() - 2, COLUMN())) = 9, 128.612, IF(INDIRECT(ADDRESS(ROW() - 2, COLUMN())) = 10, 138.38, IF(INDIRECT(ADDRESS(ROW() - 2, COLUMN())) = 11, 148.148,0)))))))))))</f>
        <v>#VALUE!</v>
      </c>
      <c r="EP7" s="88" t="str">
        <f> IF(INDIRECT(ADDRESS(ROW() - 2, COLUMN())) = 1, 63.124, IF(INDIRECT(ADDRESS(ROW() - 2, COLUMN())) = 2, 68.262, IF(INDIRECT(ADDRESS(ROW() - 2, COLUMN())) = 3, 73.4, IF(INDIRECT(ADDRESS(ROW() - 2, COLUMN())) = 4, 80.74, IF(INDIRECT(ADDRESS(ROW() - 2, COLUMN())) = 5, 85.878, IF(INDIRECT(ADDRESS(ROW() - 2, COLUMN())) = 6, 91.75, IF(INDIRECT(ADDRESS(ROW() - 2, COLUMN())) = 7, 99.824, IF(INDIRECT(ADDRESS(ROW() - 2, COLUMN())) = 8, 107.898, IF(INDIRECT(ADDRESS(ROW() - 2, COLUMN())) = 9, 115.972, IF(INDIRECT(ADDRESS(ROW() - 2, COLUMN())) = 10, 124.78, IF(INDIRECT(ADDRESS(ROW() - 2, COLUMN())) = 11, 133.588,0)))))))))))</f>
        <v>#VALUE!</v>
      </c>
      <c r="EQ7" s="88" t="str">
        <f> IF(INDIRECT(ADDRESS(ROW() - 2, COLUMN())) = 1, 80.324, IF(INDIRECT(ADDRESS(ROW() - 2, COLUMN())) = 2, 86.862, IF(INDIRECT(ADDRESS(ROW() - 2, COLUMN())) = 3, 93.4, IF(INDIRECT(ADDRESS(ROW() - 2, COLUMN())) = 4, 102.74, IF(INDIRECT(ADDRESS(ROW() - 2, COLUMN())) = 5, 109.278, IF(INDIRECT(ADDRESS(ROW() - 2, COLUMN())) = 6, 116.75, IF(INDIRECT(ADDRESS(ROW() - 2, COLUMN())) = 7, 127.024, IF(INDIRECT(ADDRESS(ROW() - 2, COLUMN())) = 8, 137.298, IF(INDIRECT(ADDRESS(ROW() - 2, COLUMN())) = 9, 147.572, IF(INDIRECT(ADDRESS(ROW() - 2, COLUMN())) = 10, 158.78, IF(INDIRECT(ADDRESS(ROW() - 2, COLUMN())) = 11, 169.988,0)))))))))))</f>
        <v>#VALUE!</v>
      </c>
      <c r="ER7" s="88" t="str">
        <f> IF(INDIRECT(ADDRESS(ROW() - 2, COLUMN())) = 1, 101.222, IF(INDIRECT(ADDRESS(ROW() - 2, COLUMN())) = 2, 109.461, IF(INDIRECT(ADDRESS(ROW() - 2, COLUMN())) = 3, 117.7, IF(INDIRECT(ADDRESS(ROW() - 2, COLUMN())) = 4, 129.47, IF(INDIRECT(ADDRESS(ROW() - 2, COLUMN())) = 5, 137.709, IF(INDIRECT(ADDRESS(ROW() - 2, COLUMN())) = 6, 147.125, IF(INDIRECT(ADDRESS(ROW() - 2, COLUMN())) = 7, 160.072, IF(INDIRECT(ADDRESS(ROW() - 2, COLUMN())) = 8, 173.018999999999, IF(INDIRECT(ADDRESS(ROW() - 2, COLUMN())) = 9, 185.966, IF(INDIRECT(ADDRESS(ROW() - 2, COLUMN())) = 10, 200.09, IF(INDIRECT(ADDRESS(ROW() - 2, COLUMN())) = 11, 214.214,0)))))))))))</f>
        <v>#VALUE!</v>
      </c>
      <c r="ES7" s="88" t="str">
        <f> IF(INDIRECT(ADDRESS(ROW() - 2, COLUMN())) = 1, 56.2853, IF(INDIRECT(ADDRESS(ROW() - 2, COLUMN())) = 2, 60.8666, IF(INDIRECT(ADDRESS(ROW() - 2, COLUMN())) = 3, 65.448, IF(INDIRECT(ADDRESS(ROW() - 2, COLUMN())) = 4, 71.9928, IF(INDIRECT(ADDRESS(ROW() - 2, COLUMN())) = 5, 76.5742, IF(INDIRECT(ADDRESS(ROW() - 2, COLUMN())) = 6, 81.81, IF(INDIRECT(ADDRESS(ROW() - 2, COLUMN())) = 7, 89.0093, IF(INDIRECT(ADDRESS(ROW() - 2, COLUMN())) = 8, 96.2086, IF(INDIRECT(ADDRESS(ROW() - 2, COLUMN())) = 9, 103.4078, IF(INDIRECT(ADDRESS(ROW() - 2, COLUMN())) = 10, 111.2616, IF(INDIRECT(ADDRESS(ROW() - 2, COLUMN())) = 11, 119.1154,0)))))))))))</f>
        <v>#VALUE!</v>
      </c>
      <c r="ET7" s="88" t="str">
        <f> IF(INDIRECT(ADDRESS(ROW() - 2, COLUMN())) = 1, 101.781, IF(INDIRECT(ADDRESS(ROW() - 2, COLUMN())) = 2, 110.0655, IF(INDIRECT(ADDRESS(ROW() - 2, COLUMN())) = 3, 118.35, IF(INDIRECT(ADDRESS(ROW() - 2, COLUMN())) = 4, 130.185, IF(INDIRECT(ADDRESS(ROW() - 2, COLUMN())) = 5, 138.4695, IF(INDIRECT(ADDRESS(ROW() - 2, COLUMN())) = 6, 147.9375, IF(INDIRECT(ADDRESS(ROW() - 2, COLUMN())) = 7, 160.956, IF(INDIRECT(ADDRESS(ROW() - 2, COLUMN())) = 8, 173.9745, IF(INDIRECT(ADDRESS(ROW() - 2, COLUMN())) = 9, 186.993, IF(INDIRECT(ADDRESS(ROW() - 2, COLUMN())) = 10, 201.195, IF(INDIRECT(ADDRESS(ROW() - 2, COLUMN())) = 11, 215.397,0)))))))))))</f>
        <v>#VALUE!</v>
      </c>
      <c r="EU7" s="88" t="str">
        <f> IF(INDIRECT(ADDRESS(ROW() - 2, COLUMN())) = 1, 74.5878, IF(INDIRECT(ADDRESS(ROW() - 2, COLUMN())) = 2, 80.6589, IF(INDIRECT(ADDRESS(ROW() - 2, COLUMN())) = 3, 86.7299999999999, IF(INDIRECT(ADDRESS(ROW() - 2, COLUMN())) = 4, 95.403, IF(INDIRECT(ADDRESS(ROW() - 2, COLUMN())) = 5, 101.474099999999, IF(INDIRECT(ADDRESS(ROW() - 2, COLUMN())) = 6, 108.4125, IF(INDIRECT(ADDRESS(ROW() - 2, COLUMN())) = 7, 117.9528, IF(INDIRECT(ADDRESS(ROW() - 2, COLUMN())) = 8, 127.4931, IF(INDIRECT(ADDRESS(ROW() - 2, COLUMN())) = 9, 137.0334, IF(INDIRECT(ADDRESS(ROW() - 2, COLUMN())) = 10, 147.441, IF(INDIRECT(ADDRESS(ROW() - 2, COLUMN())) = 11, 157.8486,0)))))))))))</f>
        <v>#VALUE!</v>
      </c>
      <c r="EV7" s="88" t="str">
        <f> IF(INDIRECT(ADDRESS(ROW() - 2, COLUMN())) = 1, 149.144, IF(INDIRECT(ADDRESS(ROW() - 2, COLUMN())) = 2, 161.2836, IF(INDIRECT(ADDRESS(ROW() - 2, COLUMN())) = 3, 173.423299999999, IF(INDIRECT(ADDRESS(ROW() - 2, COLUMN())) = 4, 190.7656, IF(INDIRECT(ADDRESS(ROW() - 2, COLUMN())) = 5, 202.9052, IF(INDIRECT(ADDRESS(ROW() - 2, COLUMN())) = 6, 216.779099999999, IF(INDIRECT(ADDRESS(ROW() - 2, COLUMN())) = 7, 235.8556, IF(INDIRECT(ADDRESS(ROW() - 2, COLUMN())) = 8, 254.9322, IF(INDIRECT(ADDRESS(ROW() - 2, COLUMN())) = 9, 274.0087, IF(INDIRECT(ADDRESS(ROW() - 2, COLUMN())) = 10, 294.8195, IF(INDIRECT(ADDRESS(ROW() - 2, COLUMN())) = 11, 315.6303,0)))))))))))</f>
        <v>#VALUE!</v>
      </c>
      <c r="EW7" s="88" t="str">
        <f> IF(INDIRECT(ADDRESS(ROW() - 2, COLUMN())) = 1, 186.2889, IF(INDIRECT(ADDRESS(ROW() - 2, COLUMN())) = 2, 201.452, IF(INDIRECT(ADDRESS(ROW() - 2, COLUMN())) = 3, 216.615, IF(INDIRECT(ADDRESS(ROW() - 2, COLUMN())) = 4, 238.2765, IF(INDIRECT(ADDRESS(ROW() - 2, COLUMN())) = 5, 253.4396, IF(INDIRECT(ADDRESS(ROW() - 2, COLUMN())) = 6, 270.7688, IF(INDIRECT(ADDRESS(ROW() - 2, COLUMN())) = 7, 294.5964, IF(INDIRECT(ADDRESS(ROW() - 2, COLUMN())) = 8, 318.4241, IF(INDIRECT(ADDRESS(ROW() - 2, COLUMN())) = 9, 342.2517, IF(INDIRECT(ADDRESS(ROW() - 2, COLUMN())) = 10, 368.2455, IF(INDIRECT(ADDRESS(ROW() - 2, COLUMN())) = 11, 394.2393,0)))))))))))</f>
        <v>#VALUE!</v>
      </c>
      <c r="EX7" s="88" t="str">
        <f> IF(INDIRECT(ADDRESS(ROW() - 2, COLUMN())) = 1, 172.04, IF(INDIRECT(ADDRESS(ROW() - 2, COLUMN())) = 2, 184.942999999999, IF(INDIRECT(ADDRESS(ROW() - 2, COLUMN())) = 3, 197.846, IF(INDIRECT(ADDRESS(ROW() - 2, COLUMN())) = 4, 215.05, IF(INDIRECT(ADDRESS(ROW() - 2, COLUMN())) = 5, 227.952999999999, IF(INDIRECT(ADDRESS(ROW() - 2, COLUMN())) = 6, 240.856, IF(INDIRECT(ADDRESS(ROW() - 2, COLUMN())) = 7, 258.06, IF(INDIRECT(ADDRESS(ROW() - 2, COLUMN())) = 8, 275.264, IF(INDIRECT(ADDRESS(ROW() - 2, COLUMN())) = 9, 292.468, IF(INDIRECT(ADDRESS(ROW() - 2, COLUMN())) = 10, 309.671999999999, IF(INDIRECT(ADDRESS(ROW() - 2, COLUMN())) = 11, 326.876, IF(INDIRECT(ADDRESS(ROW() - 2, COLUMN())) = 12, 344.08, IF(INDIRECT(ADDRESS(ROW() - 2, COLUMN())) = 13, 365.585,0)))))))))))))</f>
        <v>#VALUE!</v>
      </c>
      <c r="EY7" s="88" t="str">
        <f> IF(INDIRECT(ADDRESS(ROW() - 2, COLUMN())) = 1, 142.4, IF(INDIRECT(ADDRESS(ROW() - 2, COLUMN())) = 2, 153.079999999999, IF(INDIRECT(ADDRESS(ROW() - 2, COLUMN())) = 3, 163.76, IF(INDIRECT(ADDRESS(ROW() - 2, COLUMN())) = 4, 178, IF(INDIRECT(ADDRESS(ROW() - 2, COLUMN())) = 5, 188.68, IF(INDIRECT(ADDRESS(ROW() - 2, COLUMN())) = 6, 199.36, IF(INDIRECT(ADDRESS(ROW() - 2, COLUMN())) = 7, 213.6, IF(INDIRECT(ADDRESS(ROW() - 2, COLUMN())) = 8, 227.84, IF(INDIRECT(ADDRESS(ROW() - 2, COLUMN())) = 9, 242.079999999999, IF(INDIRECT(ADDRESS(ROW() - 2, COLUMN())) = 10, 256.32, IF(INDIRECT(ADDRESS(ROW() - 2, COLUMN())) = 11, 270.56, IF(INDIRECT(ADDRESS(ROW() - 2, COLUMN())) = 12, 284.8, IF(INDIRECT(ADDRESS(ROW() - 2, COLUMN())) = 13, 302.599999999999,0)))))))))))))</f>
        <v>#VALUE!</v>
      </c>
      <c r="EZ7" s="88" t="str">
        <f> IF(INDIRECT(ADDRESS(ROW() - 2, COLUMN())) = 1, 43.602, IF(INDIRECT(ADDRESS(ROW() - 2, COLUMN())) = 2, 47.1509999999999, IF(INDIRECT(ADDRESS(ROW() - 2, COLUMN())) = 3, 50.7, IF(INDIRECT(ADDRESS(ROW() - 2, COLUMN())) = 4, 55.7699999999999, IF(INDIRECT(ADDRESS(ROW() - 2, COLUMN())) = 5, 59.319, IF(INDIRECT(ADDRESS(ROW() - 2, COLUMN())) = 6, 63.375, IF(INDIRECT(ADDRESS(ROW() - 2, COLUMN())) = 7, 68.952, IF(INDIRECT(ADDRESS(ROW() - 2, COLUMN())) = 8, 74.529, IF(INDIRECT(ADDRESS(ROW() - 2, COLUMN())) = 9, 80.106, IF(INDIRECT(ADDRESS(ROW() - 2, COLUMN())) = 10, 86.19, IF(INDIRECT(ADDRESS(ROW() - 2, COLUMN())) = 11, 92.274,0)))))))))))</f>
        <v>#VALUE!</v>
      </c>
      <c r="FA7" s="88" t="str">
        <f> IF(INDIRECT(ADDRESS(ROW() - 2, COLUMN())) = 1, 42.656, IF(INDIRECT(ADDRESS(ROW() - 2, COLUMN())) = 2, 46.128, IF(INDIRECT(ADDRESS(ROW() - 2, COLUMN())) = 3, 49.6, IF(INDIRECT(ADDRESS(ROW() - 2, COLUMN())) = 4, 54.5599999999999, IF(INDIRECT(ADDRESS(ROW() - 2, COLUMN())) = 5, 58.032, IF(INDIRECT(ADDRESS(ROW() - 2, COLUMN())) = 6, 62, IF(INDIRECT(ADDRESS(ROW() - 2, COLUMN())) = 7, 67.456, IF(INDIRECT(ADDRESS(ROW() - 2, COLUMN())) = 8, 72.912, IF(INDIRECT(ADDRESS(ROW() - 2, COLUMN())) = 9, 78.368, IF(INDIRECT(ADDRESS(ROW() - 2, COLUMN())) = 10, 84.32, IF(INDIRECT(ADDRESS(ROW() - 2, COLUMN())) = 11, 90.2719999999999,0)))))))))))</f>
        <v>#VALUE!</v>
      </c>
      <c r="FB7" s="88" t="str">
        <f> IF(INDIRECT(ADDRESS(ROW() - 2, COLUMN())) = 1, 54.0939999999999, IF(INDIRECT(ADDRESS(ROW() - 2, COLUMN())) = 2, 58.497, IF(INDIRECT(ADDRESS(ROW() - 2, COLUMN())) = 3, 62.9, IF(INDIRECT(ADDRESS(ROW() - 2, COLUMN())) = 4, 69.19, IF(INDIRECT(ADDRESS(ROW() - 2, COLUMN())) = 5, 73.593, IF(INDIRECT(ADDRESS(ROW() - 2, COLUMN())) = 6, 78.625, IF(INDIRECT(ADDRESS(ROW() - 2, COLUMN())) = 7, 85.544, IF(INDIRECT(ADDRESS(ROW() - 2, COLUMN())) = 8, 92.463, IF(INDIRECT(ADDRESS(ROW() - 2, COLUMN())) = 9, 99.382, IF(INDIRECT(ADDRESS(ROW() - 2, COLUMN())) = 10, 106.929999999999, IF(INDIRECT(ADDRESS(ROW() - 2, COLUMN())) = 11, 114.478,0)))))))))))</f>
        <v>#VALUE!</v>
      </c>
      <c r="FC7" s="88" t="str">
        <f> IF(INDIRECT(ADDRESS(ROW() - 2, COLUMN())) = 1, 68.026, IF(INDIRECT(ADDRESS(ROW() - 2, COLUMN())) = 2, 73.563, IF(INDIRECT(ADDRESS(ROW() - 2, COLUMN())) = 3, 79.1, IF(INDIRECT(ADDRESS(ROW() - 2, COLUMN())) = 4, 87.01, IF(INDIRECT(ADDRESS(ROW() - 2, COLUMN())) = 5, 92.547, IF(INDIRECT(ADDRESS(ROW() - 2, COLUMN())) = 6, 98.875, IF(INDIRECT(ADDRESS(ROW() - 2, COLUMN())) = 7, 107.576, IF(INDIRECT(ADDRESS(ROW() - 2, COLUMN())) = 8, 116.277, IF(INDIRECT(ADDRESS(ROW() - 2, COLUMN())) = 9, 124.978, IF(INDIRECT(ADDRESS(ROW() - 2, COLUMN())) = 10, 134.47, IF(INDIRECT(ADDRESS(ROW() - 2, COLUMN())) = 11, 143.962,0)))))))))))</f>
        <v>#VALUE!</v>
      </c>
      <c r="FD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FE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FF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FG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FH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FI7" s="88" t="str">
        <f> IF(INDIRECT(ADDRESS(ROW() - 2, COLUMN())) = 1, 151.2, IF(INDIRECT(ADDRESS(ROW() - 2, COLUMN())) = 2, 162.54, IF(INDIRECT(ADDRESS(ROW() - 2, COLUMN())) = 3, 173.88, IF(INDIRECT(ADDRESS(ROW() - 2, COLUMN())) = 4, 189, IF(INDIRECT(ADDRESS(ROW() - 2, COLUMN())) = 5, 200.34, IF(INDIRECT(ADDRESS(ROW() - 2, COLUMN())) = 6, 211.68, IF(INDIRECT(ADDRESS(ROW() - 2, COLUMN())) = 7, 226.799999999999, IF(INDIRECT(ADDRESS(ROW() - 2, COLUMN())) = 8, 241.92, IF(INDIRECT(ADDRESS(ROW() - 2, COLUMN())) = 9, 257.039999999999, IF(INDIRECT(ADDRESS(ROW() - 2, COLUMN())) = 10, 272.16, IF(INDIRECT(ADDRESS(ROW() - 2, COLUMN())) = 11, 287.28, IF(INDIRECT(ADDRESS(ROW() - 2, COLUMN())) = 12, 302.4, IF(INDIRECT(ADDRESS(ROW() - 2, COLUMN())) = 13, 321.3,0)))))))))))))</f>
        <v>#VALUE!</v>
      </c>
      <c r="FJ7" s="88">
        <f>40</f>
        <v>40</v>
      </c>
      <c r="FK7" s="88" t="str">
        <f> IF(INDIRECT(ADDRESS(ROW() - 2, COLUMN())) = 1, 201.824, IF(INDIRECT(ADDRESS(ROW() - 2, COLUMN())) = 2, 216.9608, IF(INDIRECT(ADDRESS(ROW() - 2, COLUMN())) = 3, 232.0976, IF(INDIRECT(ADDRESS(ROW() - 2, COLUMN())) = 4, 252.28, IF(INDIRECT(ADDRESS(ROW() - 2, COLUMN())) = 5, 267.416799999999, IF(INDIRECT(ADDRESS(ROW() - 2, COLUMN())) = 6, 282.5536, IF(INDIRECT(ADDRESS(ROW() - 2, COLUMN())) = 7, 302.736, IF(INDIRECT(ADDRESS(ROW() - 2, COLUMN())) = 8, 322.9184, IF(INDIRECT(ADDRESS(ROW() - 2, COLUMN())) = 9, 343.1008, IF(INDIRECT(ADDRESS(ROW() - 2, COLUMN())) = 10, 363.2832, IF(INDIRECT(ADDRESS(ROW() - 2, COLUMN())) = 11, 383.4656, IF(INDIRECT(ADDRESS(ROW() - 2, COLUMN())) = 12, 403.648, IF(INDIRECT(ADDRESS(ROW() - 2, COLUMN())) = 13, 428.876,0)))))))))))))</f>
        <v>#VALUE!</v>
      </c>
      <c r="FL7" s="88" t="str">
        <f> IF(INDIRECT(ADDRESS(ROW() - 2, COLUMN())) = 1, 43.248, IF(INDIRECT(ADDRESS(ROW() - 2, COLUMN())) = 2, 46.4916, IF(INDIRECT(ADDRESS(ROW() - 2, COLUMN())) = 3, 49.7352, IF(INDIRECT(ADDRESS(ROW() - 2, COLUMN())) = 4, 54.0599999999999, IF(INDIRECT(ADDRESS(ROW() - 2, COLUMN())) = 5, 57.3035999999999, IF(INDIRECT(ADDRESS(ROW() - 2, COLUMN())) = 6, 60.5472, IF(INDIRECT(ADDRESS(ROW() - 2, COLUMN())) = 7, 64.872, IF(INDIRECT(ADDRESS(ROW() - 2, COLUMN())) = 8, 69.1968, IF(INDIRECT(ADDRESS(ROW() - 2, COLUMN())) = 9, 73.5215999999999, IF(INDIRECT(ADDRESS(ROW() - 2, COLUMN())) = 10, 77.8464, IF(INDIRECT(ADDRESS(ROW() - 2, COLUMN())) = 11, 82.1712, IF(INDIRECT(ADDRESS(ROW() - 2, COLUMN())) = 12, 86.496, IF(INDIRECT(ADDRESS(ROW() - 2, COLUMN())) = 13, 91.902,0)))))))))))))</f>
        <v>#VALUE!</v>
      </c>
      <c r="FM7" s="88" t="str">
        <f> IF(INDIRECT(ADDRESS(ROW() - 2, COLUMN())) = 1, 89.698, IF(INDIRECT(ADDRESS(ROW() - 2, COLUMN())) = 2, 96.999, IF(INDIRECT(ADDRESS(ROW() - 2, COLUMN())) = 3, 104.3, IF(INDIRECT(ADDRESS(ROW() - 2, COLUMN())) = 4, 114.73, IF(INDIRECT(ADDRESS(ROW() - 2, COLUMN())) = 5, 122.031, IF(INDIRECT(ADDRESS(ROW() - 2, COLUMN())) = 6, 130.375, IF(INDIRECT(ADDRESS(ROW() - 2, COLUMN())) = 7, 141.847999999999, IF(INDIRECT(ADDRESS(ROW() - 2, COLUMN())) = 8, 153.321, IF(INDIRECT(ADDRESS(ROW() - 2, COLUMN())) = 9, 164.793999999999, IF(INDIRECT(ADDRESS(ROW() - 2, COLUMN())) = 10, 177.31, IF(INDIRECT(ADDRESS(ROW() - 2, COLUMN())) = 11, 191.6513,0)))))))))))</f>
        <v>#VALUE!</v>
      </c>
      <c r="FN7" s="88" t="str">
        <f> IF(INDIRECT(ADDRESS(ROW() - 2, COLUMN())) = 1, 87.634, IF(INDIRECT(ADDRESS(ROW() - 2, COLUMN())) = 2, 94.767, IF(INDIRECT(ADDRESS(ROW() - 2, COLUMN())) = 3, 101.899999999999, IF(INDIRECT(ADDRESS(ROW() - 2, COLUMN())) = 4, 112.09, IF(INDIRECT(ADDRESS(ROW() - 2, COLUMN())) = 5, 119.222999999999, IF(INDIRECT(ADDRESS(ROW() - 2, COLUMN())) = 6, 127.375, IF(INDIRECT(ADDRESS(ROW() - 2, COLUMN())) = 7, 138.584, IF(INDIRECT(ADDRESS(ROW() - 2, COLUMN())) = 8, 149.793, IF(INDIRECT(ADDRESS(ROW() - 2, COLUMN())) = 9, 161.002, IF(INDIRECT(ADDRESS(ROW() - 2, COLUMN())) = 10, 173.23, IF(INDIRECT(ADDRESS(ROW() - 2, COLUMN())) = 11, 187.2412,0)))))))))))</f>
        <v>#VALUE!</v>
      </c>
      <c r="FO7" s="88" t="str">
        <f> IF(INDIRECT(ADDRESS(ROW() - 2, COLUMN())) = 1, 98.814, IF(INDIRECT(ADDRESS(ROW() - 2, COLUMN())) = 2, 106.857, IF(INDIRECT(ADDRESS(ROW() - 2, COLUMN())) = 3, 114.9, IF(INDIRECT(ADDRESS(ROW() - 2, COLUMN())) = 4, 126.39, IF(INDIRECT(ADDRESS(ROW() - 2, COLUMN())) = 5, 134.433, IF(INDIRECT(ADDRESS(ROW() - 2, COLUMN())) = 6, 143.625, IF(INDIRECT(ADDRESS(ROW() - 2, COLUMN())) = 7, 156.264, IF(INDIRECT(ADDRESS(ROW() - 2, COLUMN())) = 8, 168.903, IF(INDIRECT(ADDRESS(ROW() - 2, COLUMN())) = 9, 181.542, IF(INDIRECT(ADDRESS(ROW() - 2, COLUMN())) = 10, 195.33, IF(INDIRECT(ADDRESS(ROW() - 2, COLUMN())) = 11, 211.128699999999,0)))))))))))</f>
        <v>#VALUE!</v>
      </c>
      <c r="FP7" s="88" t="str">
        <f> IF(INDIRECT(ADDRESS(ROW() - 2, COLUMN())) = 1, 133.988, IF(INDIRECT(ADDRESS(ROW() - 2, COLUMN())) = 2, 144.893999999999, IF(INDIRECT(ADDRESS(ROW() - 2, COLUMN())) = 3, 155.8, IF(INDIRECT(ADDRESS(ROW() - 2, COLUMN())) = 4, 171.38, IF(INDIRECT(ADDRESS(ROW() - 2, COLUMN())) = 5, 182.286, IF(INDIRECT(ADDRESS(ROW() - 2, COLUMN())) = 6, 194.75, IF(INDIRECT(ADDRESS(ROW() - 2, COLUMN())) = 7, 211.887999999999, IF(INDIRECT(ADDRESS(ROW() - 2, COLUMN())) = 8, 229.026, IF(INDIRECT(ADDRESS(ROW() - 2, COLUMN())) = 9, 246.164, IF(INDIRECT(ADDRESS(ROW() - 2, COLUMN())) = 10, 264.86, IF(INDIRECT(ADDRESS(ROW() - 2, COLUMN())) = 11, 286.282499999999,0)))))))))))</f>
        <v>#VALUE!</v>
      </c>
      <c r="FQ7" s="88" t="str">
        <f> IF(INDIRECT(ADDRESS(ROW() - 2, COLUMN())) = 1, 68.8, IF(INDIRECT(ADDRESS(ROW() - 2, COLUMN())) = 2, 74.4, IF(INDIRECT(ADDRESS(ROW() - 2, COLUMN())) = 3, 80, IF(INDIRECT(ADDRESS(ROW() - 2, COLUMN())) = 4, 88, IF(INDIRECT(ADDRESS(ROW() - 2, COLUMN())) = 5, 93.6, IF(INDIRECT(ADDRESS(ROW() - 2, COLUMN())) = 6, 100, IF(INDIRECT(ADDRESS(ROW() - 2, COLUMN())) = 7, 108.8, IF(INDIRECT(ADDRESS(ROW() - 2, COLUMN())) = 8, 117.6, IF(INDIRECT(ADDRESS(ROW() - 2, COLUMN())) = 9, 126.4, IF(INDIRECT(ADDRESS(ROW() - 2, COLUMN())) = 10, 136, IF(INDIRECT(ADDRESS(ROW() - 2, COLUMN())) = 11, 147,0)))))))))))</f>
        <v>#VALUE!</v>
      </c>
      <c r="FR7" s="88" t="str">
        <f> IF(INDIRECT(ADDRESS(ROW() - 2, COLUMN())) = 1, 124.7, IF(INDIRECT(ADDRESS(ROW() - 2, COLUMN())) = 2, 134.85, IF(INDIRECT(ADDRESS(ROW() - 2, COLUMN())) = 3, 145, IF(INDIRECT(ADDRESS(ROW() - 2, COLUMN())) = 4, 159.5, IF(INDIRECT(ADDRESS(ROW() - 2, COLUMN())) = 5, 169.649999999999, IF(INDIRECT(ADDRESS(ROW() - 2, COLUMN())) = 6, 181.25, IF(INDIRECT(ADDRESS(ROW() - 2, COLUMN())) = 7, 197.2, IF(INDIRECT(ADDRESS(ROW() - 2, COLUMN())) = 8, 213.15, IF(INDIRECT(ADDRESS(ROW() - 2, COLUMN())) = 9, 229.1, IF(INDIRECT(ADDRESS(ROW() - 2, COLUMN())) = 10, 246.5, IF(INDIRECT(ADDRESS(ROW() - 2, COLUMN())) = 11, 266.4375,0)))))))))))</f>
        <v>#VALUE!</v>
      </c>
      <c r="FS7" s="88" t="str">
        <f> IF(INDIRECT(ADDRESS(ROW() - 2, COLUMN())) = 1, 89.5054, IF(INDIRECT(ADDRESS(ROW() - 2, COLUMN())) = 2, 96.7907, IF(INDIRECT(ADDRESS(ROW() - 2, COLUMN())) = 3, 104.076, IF(INDIRECT(ADDRESS(ROW() - 2, COLUMN())) = 4, 114.4836, IF(INDIRECT(ADDRESS(ROW() - 2, COLUMN())) = 5, 121.7689, IF(INDIRECT(ADDRESS(ROW() - 2, COLUMN())) = 6, 130.095, IF(INDIRECT(ADDRESS(ROW() - 2, COLUMN())) = 7, 141.5434, IF(INDIRECT(ADDRESS(ROW() - 2, COLUMN())) = 8, 152.9917, IF(INDIRECT(ADDRESS(ROW() - 2, COLUMN())) = 9, 164.4401, IF(INDIRECT(ADDRESS(ROW() - 2, COLUMN())) = 10, 176.9292, IF(INDIRECT(ADDRESS(ROW() - 2, COLUMN())) = 11, 189.4183,0)))))))))))</f>
        <v>#VALUE!</v>
      </c>
      <c r="FT7" s="88" t="str">
        <f> IF(INDIRECT(ADDRESS(ROW() - 2, COLUMN())) = 1, 178.9728, IF(INDIRECT(ADDRESS(ROW() - 2, COLUMN())) = 2, 193.5403, IF(INDIRECT(ADDRESS(ROW() - 2, COLUMN())) = 3, 208.1079, IF(INDIRECT(ADDRESS(ROW() - 2, COLUMN())) = 4, 228.9187, IF(INDIRECT(ADDRESS(ROW() - 2, COLUMN())) = 5, 243.4862, IF(INDIRECT(ADDRESS(ROW() - 2, COLUMN())) = 6, 260.1349, IF(INDIRECT(ADDRESS(ROW() - 2, COLUMN())) = 7, 283.0267, IF(INDIRECT(ADDRESS(ROW() - 2, COLUMN())) = 8, 305.918599999999, IF(INDIRECT(ADDRESS(ROW() - 2, COLUMN())) = 9, 328.8105, IF(INDIRECT(ADDRESS(ROW() - 2, COLUMN())) = 10, 353.7834, IF(INDIRECT(ADDRESS(ROW() - 2, COLUMN())) = 11, 378.7564,0)))))))))))</f>
        <v>#VALUE!</v>
      </c>
      <c r="FU7" s="88" t="str">
        <f> IF(INDIRECT(ADDRESS(ROW() - 2, COLUMN())) = 1, 223.5467, IF(INDIRECT(ADDRESS(ROW() - 2, COLUMN())) = 2, 241.7423, IF(INDIRECT(ADDRESS(ROW() - 2, COLUMN())) = 3, 259.938, IF(INDIRECT(ADDRESS(ROW() - 2, COLUMN())) = 4, 285.9318, IF(INDIRECT(ADDRESS(ROW() - 2, COLUMN())) = 5, 304.1275, IF(INDIRECT(ADDRESS(ROW() - 2, COLUMN())) = 6, 324.9225, IF(INDIRECT(ADDRESS(ROW() - 2, COLUMN())) = 7, 353.5157, IF(INDIRECT(ADDRESS(ROW() - 2, COLUMN())) = 8, 382.1089, IF(INDIRECT(ADDRESS(ROW() - 2, COLUMN())) = 9, 410.702, IF(INDIRECT(ADDRESS(ROW() - 2, COLUMN())) = 10, 441.8946, IF(INDIRECT(ADDRESS(ROW() - 2, COLUMN())) = 11, 473.0872,0)))))))))))</f>
        <v>#VALUE!</v>
      </c>
      <c r="FV7" s="88" t="str">
        <f> IF(INDIRECT(ADDRESS(ROW() - 2, COLUMN())) = 1, 94.3999999999999, IF(INDIRECT(ADDRESS(ROW() - 2, COLUMN())) = 2, 101.479999999999, IF(INDIRECT(ADDRESS(ROW() - 2, COLUMN())) = 3, 108.559999999999, IF(INDIRECT(ADDRESS(ROW() - 2, COLUMN())) = 4, 118, IF(INDIRECT(ADDRESS(ROW() - 2, COLUMN())) = 5, 125.079999999999, IF(INDIRECT(ADDRESS(ROW() - 2, COLUMN())) = 6, 132.16, IF(INDIRECT(ADDRESS(ROW() - 2, COLUMN())) = 7, 141.6, IF(INDIRECT(ADDRESS(ROW() - 2, COLUMN())) = 8, 151.04, IF(INDIRECT(ADDRESS(ROW() - 2, COLUMN())) = 9, 160.48, IF(INDIRECT(ADDRESS(ROW() - 2, COLUMN())) = 10, 169.92, IF(INDIRECT(ADDRESS(ROW() - 2, COLUMN())) = 11, 179.36, IF(INDIRECT(ADDRESS(ROW() - 2, COLUMN())) = 12, 188.799999999999, IF(INDIRECT(ADDRESS(ROW() - 2, COLUMN())) = 13, 200.599999999999,0)))))))))))))</f>
        <v>#VALUE!</v>
      </c>
      <c r="FW7" s="88" t="str">
        <f> IF(INDIRECT(ADDRESS(ROW() - 2, COLUMN())) = 1, 97.6, IF(INDIRECT(ADDRESS(ROW() - 2, COLUMN())) = 2, 104.919999999999, IF(INDIRECT(ADDRESS(ROW() - 2, COLUMN())) = 3, 112.24, IF(INDIRECT(ADDRESS(ROW() - 2, COLUMN())) = 4, 122, IF(INDIRECT(ADDRESS(ROW() - 2, COLUMN())) = 5, 129.32, IF(INDIRECT(ADDRESS(ROW() - 2, COLUMN())) = 6, 136.64, IF(INDIRECT(ADDRESS(ROW() - 2, COLUMN())) = 7, 146.4, IF(INDIRECT(ADDRESS(ROW() - 2, COLUMN())) = 8, 156.16, IF(INDIRECT(ADDRESS(ROW() - 2, COLUMN())) = 9, 165.92, IF(INDIRECT(ADDRESS(ROW() - 2, COLUMN())) = 10, 175.679999999999, IF(INDIRECT(ADDRESS(ROW() - 2, COLUMN())) = 11, 185.44, IF(INDIRECT(ADDRESS(ROW() - 2, COLUMN())) = 12, 195.2, IF(INDIRECT(ADDRESS(ROW() - 2, COLUMN())) = 13, 207.399999999999,0)))))))))))))</f>
        <v>#VALUE!</v>
      </c>
      <c r="FX7" s="88" t="str">
        <f> IF(INDIRECT(ADDRESS(ROW() - 2, COLUMN())) = 1, 128.8, IF(INDIRECT(ADDRESS(ROW() - 2, COLUMN())) = 2, 138.46, IF(INDIRECT(ADDRESS(ROW() - 2, COLUMN())) = 3, 148.12, IF(INDIRECT(ADDRESS(ROW() - 2, COLUMN())) = 4, 161, IF(INDIRECT(ADDRESS(ROW() - 2, COLUMN())) = 5, 170.66, IF(INDIRECT(ADDRESS(ROW() - 2, COLUMN())) = 6, 180.32, IF(INDIRECT(ADDRESS(ROW() - 2, COLUMN())) = 7, 193.2, IF(INDIRECT(ADDRESS(ROW() - 2, COLUMN())) = 8, 206.079999999999, IF(INDIRECT(ADDRESS(ROW() - 2, COLUMN())) = 9, 218.96, IF(INDIRECT(ADDRESS(ROW() - 2, COLUMN())) = 10, 231.84, IF(INDIRECT(ADDRESS(ROW() - 2, COLUMN())) = 11, 244.72, IF(INDIRECT(ADDRESS(ROW() - 2, COLUMN())) = 12, 257.6, IF(INDIRECT(ADDRESS(ROW() - 2, COLUMN())) = 13, 273.7,0)))))))))))))</f>
        <v>#VALUE!</v>
      </c>
      <c r="FY7" s="88" t="str">
        <f> IF(INDIRECT(ADDRESS(ROW() - 2, COLUMN())) = 1, 204, IF(INDIRECT(ADDRESS(ROW() - 2, COLUMN())) = 2, 219.3, IF(INDIRECT(ADDRESS(ROW() - 2, COLUMN())) = 3, 234.6, IF(INDIRECT(ADDRESS(ROW() - 2, COLUMN())) = 4, 254.999999999999, IF(INDIRECT(ADDRESS(ROW() - 2, COLUMN())) = 5, 270.3, IF(INDIRECT(ADDRESS(ROW() - 2, COLUMN())) = 6, 285.599999999999, IF(INDIRECT(ADDRESS(ROW() - 2, COLUMN())) = 7, 306, IF(INDIRECT(ADDRESS(ROW() - 2, COLUMN())) = 8, 326.4, IF(INDIRECT(ADDRESS(ROW() - 2, COLUMN())) = 9, 346.8, IF(INDIRECT(ADDRESS(ROW() - 2, COLUMN())) = 10, 367.2, IF(INDIRECT(ADDRESS(ROW() - 2, COLUMN())) = 11, 387.599999999999, IF(INDIRECT(ADDRESS(ROW() - 2, COLUMN())) = 12, 408, IF(INDIRECT(ADDRESS(ROW() - 2, COLUMN())) = 13, 433.5,0)))))))))))))</f>
        <v>#VALUE!</v>
      </c>
      <c r="FZ7" s="88" t="str">
        <f> IF(INDIRECT(ADDRESS(ROW() - 2, COLUMN())) = 1, 60, IF(INDIRECT(ADDRESS(ROW() - 2, COLUMN())) = 2, 64.5, IF(INDIRECT(ADDRESS(ROW() - 2, COLUMN())) = 3, 69, IF(INDIRECT(ADDRESS(ROW() - 2, COLUMN())) = 4, 75, IF(INDIRECT(ADDRESS(ROW() - 2, COLUMN())) = 5, 79.5, IF(INDIRECT(ADDRESS(ROW() - 2, COLUMN())) = 6, 84, IF(INDIRECT(ADDRESS(ROW() - 2, COLUMN())) = 7, 90, IF(INDIRECT(ADDRESS(ROW() - 2, COLUMN())) = 8, 96, IF(INDIRECT(ADDRESS(ROW() - 2, COLUMN())) = 9, 102, IF(INDIRECT(ADDRESS(ROW() - 2, COLUMN())) = 10, 108, IF(INDIRECT(ADDRESS(ROW() - 2, COLUMN())) = 11, 113.999999999999, IF(INDIRECT(ADDRESS(ROW() - 2, COLUMN())) = 12, 120, IF(INDIRECT(ADDRESS(ROW() - 2, COLUMN())) = 13, 127.499999999999,0)))))))))))))</f>
        <v>#VALUE!</v>
      </c>
      <c r="GA7" s="88" t="str">
        <f> IF(INDIRECT(ADDRESS(ROW() - 2, COLUMN())) = 1, 204, IF(INDIRECT(ADDRESS(ROW() - 2, COLUMN())) = 2, 219.3, IF(INDIRECT(ADDRESS(ROW() - 2, COLUMN())) = 3, 234.6, IF(INDIRECT(ADDRESS(ROW() - 2, COLUMN())) = 4, 254.999999999999, IF(INDIRECT(ADDRESS(ROW() - 2, COLUMN())) = 5, 270.3, IF(INDIRECT(ADDRESS(ROW() - 2, COLUMN())) = 6, 285.599999999999, IF(INDIRECT(ADDRESS(ROW() - 2, COLUMN())) = 7, 306, IF(INDIRECT(ADDRESS(ROW() - 2, COLUMN())) = 8, 326.4, IF(INDIRECT(ADDRESS(ROW() - 2, COLUMN())) = 9, 346.8, IF(INDIRECT(ADDRESS(ROW() - 2, COLUMN())) = 10, 367.2, IF(INDIRECT(ADDRESS(ROW() - 2, COLUMN())) = 11, 387.599999999999, IF(INDIRECT(ADDRESS(ROW() - 2, COLUMN())) = 12, 408, IF(INDIRECT(ADDRESS(ROW() - 2, COLUMN())) = 13, 433.5,0)))))))))))))</f>
        <v>#VALUE!</v>
      </c>
      <c r="GB7" s="88" t="str">
        <f> IF(INDIRECT(ADDRESS(ROW() - 2, COLUMN())) = 1, 36.12, IF(INDIRECT(ADDRESS(ROW() - 2, COLUMN())) = 2, 39.06, IF(INDIRECT(ADDRESS(ROW() - 2, COLUMN())) = 3, 42, IF(INDIRECT(ADDRESS(ROW() - 2, COLUMN())) = 4, 46.2, IF(INDIRECT(ADDRESS(ROW() - 2, COLUMN())) = 5, 49.14, IF(INDIRECT(ADDRESS(ROW() - 2, COLUMN())) = 6, 52.5, IF(INDIRECT(ADDRESS(ROW() - 2, COLUMN())) = 7, 57.12, IF(INDIRECT(ADDRESS(ROW() - 2, COLUMN())) = 8, 61.7399999999999, IF(INDIRECT(ADDRESS(ROW() - 2, COLUMN())) = 9, 66.36, IF(INDIRECT(ADDRESS(ROW() - 2, COLUMN())) = 10, 71.3999999999999, IF(INDIRECT(ADDRESS(ROW() - 2, COLUMN())) = 11, 77.175,0)))))))))))</f>
        <v>#VALUE!</v>
      </c>
      <c r="GC7" s="88" t="str">
        <f> IF(INDIRECT(ADDRESS(ROW() - 2, COLUMN())) = 1, 33.54, IF(INDIRECT(ADDRESS(ROW() - 2, COLUMN())) = 2, 36.27, IF(INDIRECT(ADDRESS(ROW() - 2, COLUMN())) = 3, 39, IF(INDIRECT(ADDRESS(ROW() - 2, COLUMN())) = 4, 42.9, IF(INDIRECT(ADDRESS(ROW() - 2, COLUMN())) = 5, 45.6299999999999, IF(INDIRECT(ADDRESS(ROW() - 2, COLUMN())) = 6, 48.75, IF(INDIRECT(ADDRESS(ROW() - 2, COLUMN())) = 7, 53.04, IF(INDIRECT(ADDRESS(ROW() - 2, COLUMN())) = 8, 57.33, IF(INDIRECT(ADDRESS(ROW() - 2, COLUMN())) = 9, 61.62, IF(INDIRECT(ADDRESS(ROW() - 2, COLUMN())) = 10, 66.3, IF(INDIRECT(ADDRESS(ROW() - 2, COLUMN())) = 11, 71.6625,0)))))))))))</f>
        <v>#VALUE!</v>
      </c>
      <c r="GD7" s="88" t="str">
        <f> IF(INDIRECT(ADDRESS(ROW() - 2, COLUMN())) = 1, 45.58, IF(INDIRECT(ADDRESS(ROW() - 2, COLUMN())) = 2, 49.29, IF(INDIRECT(ADDRESS(ROW() - 2, COLUMN())) = 3, 53, IF(INDIRECT(ADDRESS(ROW() - 2, COLUMN())) = 4, 58.3, IF(INDIRECT(ADDRESS(ROW() - 2, COLUMN())) = 5, 62.01, IF(INDIRECT(ADDRESS(ROW() - 2, COLUMN())) = 6, 66.25, IF(INDIRECT(ADDRESS(ROW() - 2, COLUMN())) = 7, 72.08, IF(INDIRECT(ADDRESS(ROW() - 2, COLUMN())) = 8, 77.91, IF(INDIRECT(ADDRESS(ROW() - 2, COLUMN())) = 9, 83.74, IF(INDIRECT(ADDRESS(ROW() - 2, COLUMN())) = 10, 90.1, IF(INDIRECT(ADDRESS(ROW() - 2, COLUMN())) = 11, 97.3875,0)))))))))))</f>
        <v>#VALUE!</v>
      </c>
      <c r="GE7" s="88" t="str">
        <f> IF(INDIRECT(ADDRESS(ROW() - 2, COLUMN())) = 1, 43, IF(INDIRECT(ADDRESS(ROW() - 2, COLUMN())) = 2, 46.5, IF(INDIRECT(ADDRESS(ROW() - 2, COLUMN())) = 3, 50, IF(INDIRECT(ADDRESS(ROW() - 2, COLUMN())) = 4, 55, IF(INDIRECT(ADDRESS(ROW() - 2, COLUMN())) = 5, 58.5, IF(INDIRECT(ADDRESS(ROW() - 2, COLUMN())) = 6, 62.5, IF(INDIRECT(ADDRESS(ROW() - 2, COLUMN())) = 7, 68, IF(INDIRECT(ADDRESS(ROW() - 2, COLUMN())) = 8, 73.5, IF(INDIRECT(ADDRESS(ROW() - 2, COLUMN())) = 9, 79, IF(INDIRECT(ADDRESS(ROW() - 2, COLUMN())) = 10, 85, IF(INDIRECT(ADDRESS(ROW() - 2, COLUMN())) = 11, 91.875,0)))))))))))</f>
        <v>#VALUE!</v>
      </c>
      <c r="GF7" s="88" t="str">
        <f> IF(INDIRECT(ADDRESS(ROW() - 2, COLUMN())) = 1, 53.75, IF(INDIRECT(ADDRESS(ROW() - 2, COLUMN())) = 2, 58.125, IF(INDIRECT(ADDRESS(ROW() - 2, COLUMN())) = 3, 62.5, IF(INDIRECT(ADDRESS(ROW() - 2, COLUMN())) = 4, 68.75, IF(INDIRECT(ADDRESS(ROW() - 2, COLUMN())) = 5, 73.125, IF(INDIRECT(ADDRESS(ROW() - 2, COLUMN())) = 6, 78.125, IF(INDIRECT(ADDRESS(ROW() - 2, COLUMN())) = 7, 85, IF(INDIRECT(ADDRESS(ROW() - 2, COLUMN())) = 8, 91.875, IF(INDIRECT(ADDRESS(ROW() - 2, COLUMN())) = 9, 98.75, IF(INDIRECT(ADDRESS(ROW() - 2, COLUMN())) = 10, 106.25, IF(INDIRECT(ADDRESS(ROW() - 2, COLUMN())) = 11, 114.8438,0)))))))))))</f>
        <v>#VALUE!</v>
      </c>
      <c r="GG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93.7125,0)))))))))))</f>
        <v>#VALUE!</v>
      </c>
      <c r="GH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236.096,0)))))))))))</f>
        <v>#VALUE!</v>
      </c>
      <c r="GI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GJ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GK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GL7" s="88" t="str">
        <f> IF(INDIRECT(ADDRESS(ROW() - 2, COLUMN())) = 1, 41.92, IF(INDIRECT(ADDRESS(ROW() - 2, COLUMN())) = 2, 45.064, IF(INDIRECT(ADDRESS(ROW() - 2, COLUMN())) = 3, 48.208, IF(INDIRECT(ADDRESS(ROW() - 2, COLUMN())) = 4, 52.4, IF(INDIRECT(ADDRESS(ROW() - 2, COLUMN())) = 5, 55.544, IF(INDIRECT(ADDRESS(ROW() - 2, COLUMN())) = 6, 58.6879999999999, IF(INDIRECT(ADDRESS(ROW() - 2, COLUMN())) = 7, 62.88, IF(INDIRECT(ADDRESS(ROW() - 2, COLUMN())) = 8, 67.072, IF(INDIRECT(ADDRESS(ROW() - 2, COLUMN())) = 9, 71.264, IF(INDIRECT(ADDRESS(ROW() - 2, COLUMN())) = 10, 75.456, IF(INDIRECT(ADDRESS(ROW() - 2, COLUMN())) = 11, 79.648, IF(INDIRECT(ADDRESS(ROW() - 2, COLUMN())) = 12, 83.84, IF(INDIRECT(ADDRESS(ROW() - 2, COLUMN())) = 13, 89.08,0)))))))))))))</f>
        <v>#VALUE!</v>
      </c>
      <c r="GM7" s="88" t="str">
        <f> IF(INDIRECT(ADDRESS(ROW() - 2, COLUMN())) = 1, 80, IF(INDIRECT(ADDRESS(ROW() - 2, COLUMN())) = 2, 86, IF(INDIRECT(ADDRESS(ROW() - 2, COLUMN())) = 3, 92, IF(INDIRECT(ADDRESS(ROW() - 2, COLUMN())) = 4, 100, IF(INDIRECT(ADDRESS(ROW() - 2, COLUMN())) = 5, 106, IF(INDIRECT(ADDRESS(ROW() - 2, COLUMN())) = 6, 112, IF(INDIRECT(ADDRESS(ROW() - 2, COLUMN())) = 7, 120, IF(INDIRECT(ADDRESS(ROW() - 2, COLUMN())) = 8, 128, IF(INDIRECT(ADDRESS(ROW() - 2, COLUMN())) = 9, 136, IF(INDIRECT(ADDRESS(ROW() - 2, COLUMN())) = 10, 144, IF(INDIRECT(ADDRESS(ROW() - 2, COLUMN())) = 11, 152, IF(INDIRECT(ADDRESS(ROW() - 2, COLUMN())) = 12, 160, IF(INDIRECT(ADDRESS(ROW() - 2, COLUMN())) = 13, 170,0)))))))))))))</f>
        <v>#VALUE!</v>
      </c>
      <c r="GN7" s="88" t="str">
        <f> IF(INDIRECT(ADDRESS(ROW() - 2, COLUMN())) = 1, 52.64, IF(INDIRECT(ADDRESS(ROW() - 2, COLUMN())) = 2, 56.588, IF(INDIRECT(ADDRESS(ROW() - 2, COLUMN())) = 3, 60.536, IF(INDIRECT(ADDRESS(ROW() - 2, COLUMN())) = 4, 65.8, IF(INDIRECT(ADDRESS(ROW() - 2, COLUMN())) = 5, 69.748, IF(INDIRECT(ADDRESS(ROW() - 2, COLUMN())) = 6, 73.696, IF(INDIRECT(ADDRESS(ROW() - 2, COLUMN())) = 7, 78.96, IF(INDIRECT(ADDRESS(ROW() - 2, COLUMN())) = 8, 84.224, IF(INDIRECT(ADDRESS(ROW() - 2, COLUMN())) = 9, 89.488, IF(INDIRECT(ADDRESS(ROW() - 2, COLUMN())) = 10, 94.752, IF(INDIRECT(ADDRESS(ROW() - 2, COLUMN())) = 11, 100.015999999999, IF(INDIRECT(ADDRESS(ROW() - 2, COLUMN())) = 12, 105.28, IF(INDIRECT(ADDRESS(ROW() - 2, COLUMN())) = 13, 111.86,0)))))))))))))</f>
        <v>#VALUE!</v>
      </c>
      <c r="GO7" s="88" t="str">
        <f> IF(INDIRECT(ADDRESS(ROW() - 2, COLUMN())) = 1, 44.462, IF(INDIRECT(ADDRESS(ROW() - 2, COLUMN())) = 2, 48.081, IF(INDIRECT(ADDRESS(ROW() - 2, COLUMN())) = 3, 51.7, IF(INDIRECT(ADDRESS(ROW() - 2, COLUMN())) = 4, 56.87, IF(INDIRECT(ADDRESS(ROW() - 2, COLUMN())) = 5, 60.489, IF(INDIRECT(ADDRESS(ROW() - 2, COLUMN())) = 6, 64.625, IF(INDIRECT(ADDRESS(ROW() - 2, COLUMN())) = 7, 70.312, IF(INDIRECT(ADDRESS(ROW() - 2, COLUMN())) = 8, 75.999, IF(INDIRECT(ADDRESS(ROW() - 2, COLUMN())) = 9, 81.686, IF(INDIRECT(ADDRESS(ROW() - 2, COLUMN())) = 10, 87.89, IF(INDIRECT(ADDRESS(ROW() - 2, COLUMN())) = 11, 94.094,0)))))))))))</f>
        <v>#VALUE!</v>
      </c>
      <c r="GP7" s="88" t="str">
        <f> IF(INDIRECT(ADDRESS(ROW() - 2, COLUMN())) = 1, 43.43, IF(INDIRECT(ADDRESS(ROW() - 2, COLUMN())) = 2, 46.965, IF(INDIRECT(ADDRESS(ROW() - 2, COLUMN())) = 3, 50.5, IF(INDIRECT(ADDRESS(ROW() - 2, COLUMN())) = 4, 55.55, IF(INDIRECT(ADDRESS(ROW() - 2, COLUMN())) = 5, 59.085, IF(INDIRECT(ADDRESS(ROW() - 2, COLUMN())) = 6, 63.125, IF(INDIRECT(ADDRESS(ROW() - 2, COLUMN())) = 7, 68.6799999999999, IF(INDIRECT(ADDRESS(ROW() - 2, COLUMN())) = 8, 74.235, IF(INDIRECT(ADDRESS(ROW() - 2, COLUMN())) = 9, 79.79, IF(INDIRECT(ADDRESS(ROW() - 2, COLUMN())) = 10, 85.85, IF(INDIRECT(ADDRESS(ROW() - 2, COLUMN())) = 11, 91.91,0)))))))))))</f>
        <v>#VALUE!</v>
      </c>
      <c r="GQ7" s="88" t="str">
        <f> IF(INDIRECT(ADDRESS(ROW() - 2, COLUMN())) = 1, 52.976, IF(INDIRECT(ADDRESS(ROW() - 2, COLUMN())) = 2, 57.288, IF(INDIRECT(ADDRESS(ROW() - 2, COLUMN())) = 3, 61.6, IF(INDIRECT(ADDRESS(ROW() - 2, COLUMN())) = 4, 67.7599999999999, IF(INDIRECT(ADDRESS(ROW() - 2, COLUMN())) = 5, 72.072, IF(INDIRECT(ADDRESS(ROW() - 2, COLUMN())) = 6, 77, IF(INDIRECT(ADDRESS(ROW() - 2, COLUMN())) = 7, 83.776, IF(INDIRECT(ADDRESS(ROW() - 2, COLUMN())) = 8, 90.5519999999999, IF(INDIRECT(ADDRESS(ROW() - 2, COLUMN())) = 9, 97.328, IF(INDIRECT(ADDRESS(ROW() - 2, COLUMN())) = 10, 104.719999999999, IF(INDIRECT(ADDRESS(ROW() - 2, COLUMN())) = 11, 112.112,0)))))))))))</f>
        <v>#VALUE!</v>
      </c>
      <c r="GR7" s="88" t="str">
        <f> IF(INDIRECT(ADDRESS(ROW() - 2, COLUMN())) = 1, 58.308, IF(INDIRECT(ADDRESS(ROW() - 2, COLUMN())) = 2, 63.054, IF(INDIRECT(ADDRESS(ROW() - 2, COLUMN())) = 3, 67.8, IF(INDIRECT(ADDRESS(ROW() - 2, COLUMN())) = 4, 74.58, IF(INDIRECT(ADDRESS(ROW() - 2, COLUMN())) = 5, 79.326, IF(INDIRECT(ADDRESS(ROW() - 2, COLUMN())) = 6, 84.75, IF(INDIRECT(ADDRESS(ROW() - 2, COLUMN())) = 7, 92.208, IF(INDIRECT(ADDRESS(ROW() - 2, COLUMN())) = 8, 99.666, IF(INDIRECT(ADDRESS(ROW() - 2, COLUMN())) = 9, 107.124, IF(INDIRECT(ADDRESS(ROW() - 2, COLUMN())) = 10, 115.26, IF(INDIRECT(ADDRESS(ROW() - 2, COLUMN())) = 11, 123.396,0)))))))))))</f>
        <v>#VALUE!</v>
      </c>
      <c r="GS7" s="88" t="str">
        <f> IF(INDIRECT(ADDRESS(ROW() - 2, COLUMN())) = 1, 70.7779999999999, IF(INDIRECT(ADDRESS(ROW() - 2, COLUMN())) = 2, 76.539, IF(INDIRECT(ADDRESS(ROW() - 2, COLUMN())) = 3, 82.3, IF(INDIRECT(ADDRESS(ROW() - 2, COLUMN())) = 4, 90.53, IF(INDIRECT(ADDRESS(ROW() - 2, COLUMN())) = 5, 96.291, IF(INDIRECT(ADDRESS(ROW() - 2, COLUMN())) = 6, 102.875, IF(INDIRECT(ADDRESS(ROW() - 2, COLUMN())) = 7, 111.928, IF(INDIRECT(ADDRESS(ROW() - 2, COLUMN())) = 8, 120.981, IF(INDIRECT(ADDRESS(ROW() - 2, COLUMN())) = 9, 130.034, IF(INDIRECT(ADDRESS(ROW() - 2, COLUMN())) = 10, 139.91, IF(INDIRECT(ADDRESS(ROW() - 2, COLUMN())) = 11, 149.786,0)))))))))))</f>
        <v>#VALUE!</v>
      </c>
      <c r="GT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GU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GV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GW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GX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GY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GZ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HA7" s="88" t="str">
        <f> IF(INDIRECT(ADDRESS(ROW() - 2, COLUMN())) = 1, 230.399999999999, IF(INDIRECT(ADDRESS(ROW() - 2, COLUMN())) = 2, 247.679999999999, IF(INDIRECT(ADDRESS(ROW() - 2, COLUMN())) = 3, 264.96, IF(INDIRECT(ADDRESS(ROW() - 2, COLUMN())) = 4, 288, IF(INDIRECT(ADDRESS(ROW() - 2, COLUMN())) = 5, 305.28, IF(INDIRECT(ADDRESS(ROW() - 2, COLUMN())) = 6, 322.56, IF(INDIRECT(ADDRESS(ROW() - 2, COLUMN())) = 7, 345.6, IF(INDIRECT(ADDRESS(ROW() - 2, COLUMN())) = 8, 368.64, IF(INDIRECT(ADDRESS(ROW() - 2, COLUMN())) = 9, 391.68, IF(INDIRECT(ADDRESS(ROW() - 2, COLUMN())) = 10, 414.719999999999, IF(INDIRECT(ADDRESS(ROW() - 2, COLUMN())) = 11, 437.76, IF(INDIRECT(ADDRESS(ROW() - 2, COLUMN())) = 12, 460.799999999999, IF(INDIRECT(ADDRESS(ROW() - 2, COLUMN())) = 13, 489.599999999999,0)))))))))))))</f>
        <v>#VALUE!</v>
      </c>
      <c r="HB7" s="88" t="str">
        <f> IF(INDIRECT(ADDRESS(ROW() - 2, COLUMN())) = 1, 80.16, IF(INDIRECT(ADDRESS(ROW() - 2, COLUMN())) = 2, 86.172, IF(INDIRECT(ADDRESS(ROW() - 2, COLUMN())) = 3, 92.184, IF(INDIRECT(ADDRESS(ROW() - 2, COLUMN())) = 4, 100.2, IF(INDIRECT(ADDRESS(ROW() - 2, COLUMN())) = 5, 106.211999999999, IF(INDIRECT(ADDRESS(ROW() - 2, COLUMN())) = 6, 112.223999999999, IF(INDIRECT(ADDRESS(ROW() - 2, COLUMN())) = 7, 120.24, IF(INDIRECT(ADDRESS(ROW() - 2, COLUMN())) = 8, 128.256, IF(INDIRECT(ADDRESS(ROW() - 2, COLUMN())) = 9, 136.272, IF(INDIRECT(ADDRESS(ROW() - 2, COLUMN())) = 10, 144.287999999999, IF(INDIRECT(ADDRESS(ROW() - 2, COLUMN())) = 11, 152.304, IF(INDIRECT(ADDRESS(ROW() - 2, COLUMN())) = 12, 160.32, IF(INDIRECT(ADDRESS(ROW() - 2, COLUMN())) = 13, 170.34,0)))))))))))))</f>
        <v>#VALUE!</v>
      </c>
      <c r="HC7" s="88" t="str">
        <f> IF(INDIRECT(ADDRESS(ROW() - 2, COLUMN())) = 1, 400.8, IF(INDIRECT(ADDRESS(ROW() - 2, COLUMN())) = 2, 430.86, IF(INDIRECT(ADDRESS(ROW() - 2, COLUMN())) = 3, 460.92, IF(INDIRECT(ADDRESS(ROW() - 2, COLUMN())) = 4, 501, IF(INDIRECT(ADDRESS(ROW() - 2, COLUMN())) = 5, 531.06, IF(INDIRECT(ADDRESS(ROW() - 2, COLUMN())) = 6, 561.12, IF(INDIRECT(ADDRESS(ROW() - 2, COLUMN())) = 7, 601.199999999999, IF(INDIRECT(ADDRESS(ROW() - 2, COLUMN())) = 8, 641.28, IF(INDIRECT(ADDRESS(ROW() - 2, COLUMN())) = 9, 681.36, IF(INDIRECT(ADDRESS(ROW() - 2, COLUMN())) = 10, 721.44, IF(INDIRECT(ADDRESS(ROW() - 2, COLUMN())) = 11, 761.52, IF(INDIRECT(ADDRESS(ROW() - 2, COLUMN())) = 12, 801.6, IF(INDIRECT(ADDRESS(ROW() - 2, COLUMN())) = 13, 851.699999999999,0)))))))))))))</f>
        <v>#VALUE!</v>
      </c>
      <c r="HD7" s="88" t="str">
        <f> IF(INDIRECT(ADDRESS(ROW() - 2, COLUMN())) = 1, 90.214, IF(INDIRECT(ADDRESS(ROW() - 2, COLUMN())) = 2, 97.557, IF(INDIRECT(ADDRESS(ROW() - 2, COLUMN())) = 3, 104.899999999999, IF(INDIRECT(ADDRESS(ROW() - 2, COLUMN())) = 4, 115.389999999999, IF(INDIRECT(ADDRESS(ROW() - 2, COLUMN())) = 5, 122.733, IF(INDIRECT(ADDRESS(ROW() - 2, COLUMN())) = 6, 131.125, IF(INDIRECT(ADDRESS(ROW() - 2, COLUMN())) = 7, 142.664, IF(INDIRECT(ADDRESS(ROW() - 2, COLUMN())) = 8, 154.203, IF(INDIRECT(ADDRESS(ROW() - 2, COLUMN())) = 9, 165.742, IF(INDIRECT(ADDRESS(ROW() - 2, COLUMN())) = 10, 178.33, IF(INDIRECT(ADDRESS(ROW() - 2, COLUMN())) = 11, 190.918,0)))))))))))</f>
        <v>#VALUE!</v>
      </c>
      <c r="HE7" s="88" t="str">
        <f> IF(INDIRECT(ADDRESS(ROW() - 2, COLUMN())) = 1, 41.0736, IF(INDIRECT(ADDRESS(ROW() - 2, COLUMN())) = 2, 44.4168, IF(INDIRECT(ADDRESS(ROW() - 2, COLUMN())) = 3, 47.76, IF(INDIRECT(ADDRESS(ROW() - 2, COLUMN())) = 4, 52.536, IF(INDIRECT(ADDRESS(ROW() - 2, COLUMN())) = 5, 55.8792, IF(INDIRECT(ADDRESS(ROW() - 2, COLUMN())) = 6, 59.6999999999999, IF(INDIRECT(ADDRESS(ROW() - 2, COLUMN())) = 7, 64.9536, IF(INDIRECT(ADDRESS(ROW() - 2, COLUMN())) = 8, 70.2072, IF(INDIRECT(ADDRESS(ROW() - 2, COLUMN())) = 9, 75.4607999999999, IF(INDIRECT(ADDRESS(ROW() - 2, COLUMN())) = 10, 81.192, IF(INDIRECT(ADDRESS(ROW() - 2, COLUMN())) = 11, 86.9232,0)))))))))))</f>
        <v>#VALUE!</v>
      </c>
      <c r="HF7" s="88" t="str">
        <f> IF(INDIRECT(ADDRESS(ROW() - 2, COLUMN())) = 1, 43.1204, IF(INDIRECT(ADDRESS(ROW() - 2, COLUMN())) = 2, 46.6302, IF(INDIRECT(ADDRESS(ROW() - 2, COLUMN())) = 3, 50.1399999999999, IF(INDIRECT(ADDRESS(ROW() - 2, COLUMN())) = 4, 55.154, IF(INDIRECT(ADDRESS(ROW() - 2, COLUMN())) = 5, 58.6638, IF(INDIRECT(ADDRESS(ROW() - 2, COLUMN())) = 6, 62.675, IF(INDIRECT(ADDRESS(ROW() - 2, COLUMN())) = 7, 68.1904, IF(INDIRECT(ADDRESS(ROW() - 2, COLUMN())) = 8, 73.7058, IF(INDIRECT(ADDRESS(ROW() - 2, COLUMN())) = 9, 79.2212, IF(INDIRECT(ADDRESS(ROW() - 2, COLUMN())) = 10, 85.238, IF(INDIRECT(ADDRESS(ROW() - 2, COLUMN())) = 11, 91.2548,0)))))))))))</f>
        <v>#VALUE!</v>
      </c>
      <c r="HG7" s="88" t="str">
        <f> IF(INDIRECT(ADDRESS(ROW() - 2, COLUMN())) = 1, 128.398, IF(INDIRECT(ADDRESS(ROW() - 2, COLUMN())) = 2, 138.849, IF(INDIRECT(ADDRESS(ROW() - 2, COLUMN())) = 3, 149.3, IF(INDIRECT(ADDRESS(ROW() - 2, COLUMN())) = 4, 164.23, IF(INDIRECT(ADDRESS(ROW() - 2, COLUMN())) = 5, 174.680999999999, IF(INDIRECT(ADDRESS(ROW() - 2, COLUMN())) = 6, 186.625, IF(INDIRECT(ADDRESS(ROW() - 2, COLUMN())) = 7, 203.047999999999, IF(INDIRECT(ADDRESS(ROW() - 2, COLUMN())) = 8, 219.471, IF(INDIRECT(ADDRESS(ROW() - 2, COLUMN())) = 9, 235.894, IF(INDIRECT(ADDRESS(ROW() - 2, COLUMN())) = 10, 253.81, IF(INDIRECT(ADDRESS(ROW() - 2, COLUMN())) = 11, 271.726,0)))))))))))</f>
        <v>#VALUE!</v>
      </c>
      <c r="HH7" s="88" t="str">
        <f> IF(INDIRECT(ADDRESS(ROW() - 2, COLUMN())) = 1, 62.5455, IF(INDIRECT(ADDRESS(ROW() - 2, COLUMN())) = 2, 67.6364, IF(INDIRECT(ADDRESS(ROW() - 2, COLUMN())) = 3, 72.7273, IF(INDIRECT(ADDRESS(ROW() - 2, COLUMN())) = 4, 80, IF(INDIRECT(ADDRESS(ROW() - 2, COLUMN())) = 5, 85.0909, IF(INDIRECT(ADDRESS(ROW() - 2, COLUMN())) = 6, 90.9091, IF(INDIRECT(ADDRESS(ROW() - 2, COLUMN())) = 7, 98.9091, IF(INDIRECT(ADDRESS(ROW() - 2, COLUMN())) = 8, 106.9091, IF(INDIRECT(ADDRESS(ROW() - 2, COLUMN())) = 9, 114.9091, IF(INDIRECT(ADDRESS(ROW() - 2, COLUMN())) = 10, 123.6364, IF(INDIRECT(ADDRESS(ROW() - 2, COLUMN())) = 11, 133.6364,0)))))))))))</f>
        <v>#VALUE!</v>
      </c>
      <c r="HI7" s="88" t="str">
        <f> IF(INDIRECT(ADDRESS(ROW() - 2, COLUMN())) = 1, 113.09, IF(INDIRECT(ADDRESS(ROW() - 2, COLUMN())) = 2, 122.295, IF(INDIRECT(ADDRESS(ROW() - 2, COLUMN())) = 3, 131.5, IF(INDIRECT(ADDRESS(ROW() - 2, COLUMN())) = 4, 144.649999999999, IF(INDIRECT(ADDRESS(ROW() - 2, COLUMN())) = 5, 153.855, IF(INDIRECT(ADDRESS(ROW() - 2, COLUMN())) = 6, 164.375, IF(INDIRECT(ADDRESS(ROW() - 2, COLUMN())) = 7, 178.84, IF(INDIRECT(ADDRESS(ROW() - 2, COLUMN())) = 8, 193.305, IF(INDIRECT(ADDRESS(ROW() - 2, COLUMN())) = 9, 207.77, IF(INDIRECT(ADDRESS(ROW() - 2, COLUMN())) = 10, 223.55, IF(INDIRECT(ADDRESS(ROW() - 2, COLUMN())) = 11, 241.6313,0)))))))))))</f>
        <v>#VALUE!</v>
      </c>
      <c r="HJ7" s="88" t="str">
        <f> IF(INDIRECT(ADDRESS(ROW() - 2, COLUMN())) = 1, 74.5878, IF(INDIRECT(ADDRESS(ROW() - 2, COLUMN())) = 2, 80.6589, IF(INDIRECT(ADDRESS(ROW() - 2, COLUMN())) = 3, 86.7299999999999, IF(INDIRECT(ADDRESS(ROW() - 2, COLUMN())) = 4, 95.403, IF(INDIRECT(ADDRESS(ROW() - 2, COLUMN())) = 5, 101.474099999999, IF(INDIRECT(ADDRESS(ROW() - 2, COLUMN())) = 6, 108.4125, IF(INDIRECT(ADDRESS(ROW() - 2, COLUMN())) = 7, 117.9528, IF(INDIRECT(ADDRESS(ROW() - 2, COLUMN())) = 8, 127.4931, IF(INDIRECT(ADDRESS(ROW() - 2, COLUMN())) = 9, 137.0334, IF(INDIRECT(ADDRESS(ROW() - 2, COLUMN())) = 10, 147.441, IF(INDIRECT(ADDRESS(ROW() - 2, COLUMN())) = 11, 157.8486,0)))))))))))</f>
        <v>#VALUE!</v>
      </c>
      <c r="HK7" s="88" t="str">
        <f> IF(INDIRECT(ADDRESS(ROW() - 2, COLUMN())) = 1, 149.144, IF(INDIRECT(ADDRESS(ROW() - 2, COLUMN())) = 2, 161.2836, IF(INDIRECT(ADDRESS(ROW() - 2, COLUMN())) = 3, 173.423299999999, IF(INDIRECT(ADDRESS(ROW() - 2, COLUMN())) = 4, 190.7656, IF(INDIRECT(ADDRESS(ROW() - 2, COLUMN())) = 5, 202.9052, IF(INDIRECT(ADDRESS(ROW() - 2, COLUMN())) = 6, 216.779099999999, IF(INDIRECT(ADDRESS(ROW() - 2, COLUMN())) = 7, 235.8556, IF(INDIRECT(ADDRESS(ROW() - 2, COLUMN())) = 8, 254.9322, IF(INDIRECT(ADDRESS(ROW() - 2, COLUMN())) = 9, 274.0087, IF(INDIRECT(ADDRESS(ROW() - 2, COLUMN())) = 10, 294.8195, IF(INDIRECT(ADDRESS(ROW() - 2, COLUMN())) = 11, 315.6303,0)))))))))))</f>
        <v>#VALUE!</v>
      </c>
      <c r="HL7" s="88" t="str">
        <f> IF(INDIRECT(ADDRESS(ROW() - 2, COLUMN())) = 1, 186.2889, IF(INDIRECT(ADDRESS(ROW() - 2, COLUMN())) = 2, 201.452, IF(INDIRECT(ADDRESS(ROW() - 2, COLUMN())) = 3, 216.615, IF(INDIRECT(ADDRESS(ROW() - 2, COLUMN())) = 4, 238.2765, IF(INDIRECT(ADDRESS(ROW() - 2, COLUMN())) = 5, 253.4396, IF(INDIRECT(ADDRESS(ROW() - 2, COLUMN())) = 6, 270.7688, IF(INDIRECT(ADDRESS(ROW() - 2, COLUMN())) = 7, 294.5964, IF(INDIRECT(ADDRESS(ROW() - 2, COLUMN())) = 8, 318.4241, IF(INDIRECT(ADDRESS(ROW() - 2, COLUMN())) = 9, 342.2517, IF(INDIRECT(ADDRESS(ROW() - 2, COLUMN())) = 10, 368.2455, IF(INDIRECT(ADDRESS(ROW() - 2, COLUMN())) = 11, 394.2393,0)))))))))))</f>
        <v>#VALUE!</v>
      </c>
      <c r="HM7" s="88" t="str">
        <f> IF(INDIRECT(ADDRESS(ROW() - 2, COLUMN())) = 1, 147.28, IF(INDIRECT(ADDRESS(ROW() - 2, COLUMN())) = 2, 158.326, IF(INDIRECT(ADDRESS(ROW() - 2, COLUMN())) = 3, 169.371999999999, IF(INDIRECT(ADDRESS(ROW() - 2, COLUMN())) = 4, 184.1, IF(INDIRECT(ADDRESS(ROW() - 2, COLUMN())) = 5, 195.146, IF(INDIRECT(ADDRESS(ROW() - 2, COLUMN())) = 6, 206.192, IF(INDIRECT(ADDRESS(ROW() - 2, COLUMN())) = 7, 220.92, IF(INDIRECT(ADDRESS(ROW() - 2, COLUMN())) = 8, 235.648, IF(INDIRECT(ADDRESS(ROW() - 2, COLUMN())) = 9, 250.376, IF(INDIRECT(ADDRESS(ROW() - 2, COLUMN())) = 10, 265.104, IF(INDIRECT(ADDRESS(ROW() - 2, COLUMN())) = 11, 279.832, IF(INDIRECT(ADDRESS(ROW() - 2, COLUMN())) = 12, 294.56, IF(INDIRECT(ADDRESS(ROW() - 2, COLUMN())) = 13, 312.97,0)))))))))))))</f>
        <v>#VALUE!</v>
      </c>
      <c r="HN7" s="88" t="str">
        <f> IF(INDIRECT(ADDRESS(ROW() - 2, COLUMN())) = 1, 31.56, IF(INDIRECT(ADDRESS(ROW() - 2, COLUMN())) = 2, 33.927, IF(INDIRECT(ADDRESS(ROW() - 2, COLUMN())) = 3, 36.294, IF(INDIRECT(ADDRESS(ROW() - 2, COLUMN())) = 4, 39.45, IF(INDIRECT(ADDRESS(ROW() - 2, COLUMN())) = 5, 41.817, IF(INDIRECT(ADDRESS(ROW() - 2, COLUMN())) = 6, 44.184, IF(INDIRECT(ADDRESS(ROW() - 2, COLUMN())) = 7, 47.3399999999999, IF(INDIRECT(ADDRESS(ROW() - 2, COLUMN())) = 8, 50.4959999999999, IF(INDIRECT(ADDRESS(ROW() - 2, COLUMN())) = 9, 53.652, IF(INDIRECT(ADDRESS(ROW() - 2, COLUMN())) = 10, 56.808, IF(INDIRECT(ADDRESS(ROW() - 2, COLUMN())) = 11, 59.964, IF(INDIRECT(ADDRESS(ROW() - 2, COLUMN())) = 12, 63.12, IF(INDIRECT(ADDRESS(ROW() - 2, COLUMN())) = 13, 67.065,0)))))))))))))</f>
        <v>#VALUE!</v>
      </c>
      <c r="HO7" s="88" t="str">
        <f> IF(INDIRECT(ADDRESS(ROW() - 2, COLUMN())) = 1, 15.8823999999999, IF(INDIRECT(ADDRESS(ROW() - 2, COLUMN())) = 2, 17.0736, IF(INDIRECT(ADDRESS(ROW() - 2, COLUMN())) = 3, 18.2648, IF(INDIRECT(ADDRESS(ROW() - 2, COLUMN())) = 4, 19.853, IF(INDIRECT(ADDRESS(ROW() - 2, COLUMN())) = 5, 21.0442, IF(INDIRECT(ADDRESS(ROW() - 2, COLUMN())) = 6, 22.2354, IF(INDIRECT(ADDRESS(ROW() - 2, COLUMN())) = 7, 23.8236, IF(INDIRECT(ADDRESS(ROW() - 2, COLUMN())) = 8, 25.4118, IF(INDIRECT(ADDRESS(ROW() - 2, COLUMN())) = 9, 27.0001, IF(INDIRECT(ADDRESS(ROW() - 2, COLUMN())) = 10, 28.5883, IF(INDIRECT(ADDRESS(ROW() - 2, COLUMN())) = 11, 30.1765999999999, IF(INDIRECT(ADDRESS(ROW() - 2, COLUMN())) = 12, 31.7647999999999, IF(INDIRECT(ADDRESS(ROW() - 2, COLUMN())) = 13, 33.7500999999999,0)))))))))))))</f>
        <v>#VALUE!</v>
      </c>
      <c r="HP7" s="88" t="str">
        <f> IF(INDIRECT(ADDRESS(ROW() - 2, COLUMN())) = 1, 44.462, IF(INDIRECT(ADDRESS(ROW() - 2, COLUMN())) = 2, 48.081, IF(INDIRECT(ADDRESS(ROW() - 2, COLUMN())) = 3, 51.7, IF(INDIRECT(ADDRESS(ROW() - 2, COLUMN())) = 4, 56.87, IF(INDIRECT(ADDRESS(ROW() - 2, COLUMN())) = 5, 60.489, IF(INDIRECT(ADDRESS(ROW() - 2, COLUMN())) = 6, 64.625, IF(INDIRECT(ADDRESS(ROW() - 2, COLUMN())) = 7, 70.312, IF(INDIRECT(ADDRESS(ROW() - 2, COLUMN())) = 8, 75.999, IF(INDIRECT(ADDRESS(ROW() - 2, COLUMN())) = 9, 81.686, IF(INDIRECT(ADDRESS(ROW() - 2, COLUMN())) = 10, 87.89, IF(INDIRECT(ADDRESS(ROW() - 2, COLUMN())) = 11, 94.094,0)))))))))))</f>
        <v>#VALUE!</v>
      </c>
      <c r="HQ7" s="88" t="str">
        <f> IF(INDIRECT(ADDRESS(ROW() - 2, COLUMN())) = 1, 43.43, IF(INDIRECT(ADDRESS(ROW() - 2, COLUMN())) = 2, 46.965, IF(INDIRECT(ADDRESS(ROW() - 2, COLUMN())) = 3, 50.5, IF(INDIRECT(ADDRESS(ROW() - 2, COLUMN())) = 4, 55.55, IF(INDIRECT(ADDRESS(ROW() - 2, COLUMN())) = 5, 59.085, IF(INDIRECT(ADDRESS(ROW() - 2, COLUMN())) = 6, 63.125, IF(INDIRECT(ADDRESS(ROW() - 2, COLUMN())) = 7, 68.6799999999999, IF(INDIRECT(ADDRESS(ROW() - 2, COLUMN())) = 8, 74.235, IF(INDIRECT(ADDRESS(ROW() - 2, COLUMN())) = 9, 79.79, IF(INDIRECT(ADDRESS(ROW() - 2, COLUMN())) = 10, 85.85, IF(INDIRECT(ADDRESS(ROW() - 2, COLUMN())) = 11, 91.91,0)))))))))))</f>
        <v>#VALUE!</v>
      </c>
      <c r="HR7" s="88" t="str">
        <f> IF(INDIRECT(ADDRESS(ROW() - 2, COLUMN())) = 1, 52.976, IF(INDIRECT(ADDRESS(ROW() - 2, COLUMN())) = 2, 57.288, IF(INDIRECT(ADDRESS(ROW() - 2, COLUMN())) = 3, 61.6, IF(INDIRECT(ADDRESS(ROW() - 2, COLUMN())) = 4, 67.7599999999999, IF(INDIRECT(ADDRESS(ROW() - 2, COLUMN())) = 5, 72.072, IF(INDIRECT(ADDRESS(ROW() - 2, COLUMN())) = 6, 77, IF(INDIRECT(ADDRESS(ROW() - 2, COLUMN())) = 7, 83.776, IF(INDIRECT(ADDRESS(ROW() - 2, COLUMN())) = 8, 90.5519999999999, IF(INDIRECT(ADDRESS(ROW() - 2, COLUMN())) = 9, 97.328, IF(INDIRECT(ADDRESS(ROW() - 2, COLUMN())) = 10, 104.719999999999, IF(INDIRECT(ADDRESS(ROW() - 2, COLUMN())) = 11, 112.112,0)))))))))))</f>
        <v>#VALUE!</v>
      </c>
      <c r="HS7" s="88" t="str">
        <f> IF(INDIRECT(ADDRESS(ROW() - 2, COLUMN())) = 1, 58.308, IF(INDIRECT(ADDRESS(ROW() - 2, COLUMN())) = 2, 63.054, IF(INDIRECT(ADDRESS(ROW() - 2, COLUMN())) = 3, 67.8, IF(INDIRECT(ADDRESS(ROW() - 2, COLUMN())) = 4, 74.58, IF(INDIRECT(ADDRESS(ROW() - 2, COLUMN())) = 5, 79.326, IF(INDIRECT(ADDRESS(ROW() - 2, COLUMN())) = 6, 84.75, IF(INDIRECT(ADDRESS(ROW() - 2, COLUMN())) = 7, 92.208, IF(INDIRECT(ADDRESS(ROW() - 2, COLUMN())) = 8, 99.666, IF(INDIRECT(ADDRESS(ROW() - 2, COLUMN())) = 9, 107.124, IF(INDIRECT(ADDRESS(ROW() - 2, COLUMN())) = 10, 115.26, IF(INDIRECT(ADDRESS(ROW() - 2, COLUMN())) = 11, 123.396,0)))))))))))</f>
        <v>#VALUE!</v>
      </c>
      <c r="HT7" s="88" t="str">
        <f> IF(INDIRECT(ADDRESS(ROW() - 2, COLUMN())) = 1, 70.7779999999999, IF(INDIRECT(ADDRESS(ROW() - 2, COLUMN())) = 2, 76.539, IF(INDIRECT(ADDRESS(ROW() - 2, COLUMN())) = 3, 82.3, IF(INDIRECT(ADDRESS(ROW() - 2, COLUMN())) = 4, 90.53, IF(INDIRECT(ADDRESS(ROW() - 2, COLUMN())) = 5, 96.291, IF(INDIRECT(ADDRESS(ROW() - 2, COLUMN())) = 6, 102.875, IF(INDIRECT(ADDRESS(ROW() - 2, COLUMN())) = 7, 111.928, IF(INDIRECT(ADDRESS(ROW() - 2, COLUMN())) = 8, 120.981, IF(INDIRECT(ADDRESS(ROW() - 2, COLUMN())) = 9, 130.034, IF(INDIRECT(ADDRESS(ROW() - 2, COLUMN())) = 10, 139.91, IF(INDIRECT(ADDRESS(ROW() - 2, COLUMN())) = 11, 149.786,0)))))))))))</f>
        <v>#VALUE!</v>
      </c>
      <c r="HU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HV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HW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HX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HY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HZ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IA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IB7" s="88" t="str">
        <f> IF(INDIRECT(ADDRESS(ROW() - 2, COLUMN())) = 1, 78.664, IF(INDIRECT(ADDRESS(ROW() - 2, COLUMN())) = 2, 84.5638, IF(INDIRECT(ADDRESS(ROW() - 2, COLUMN())) = 3, 90.4636, IF(INDIRECT(ADDRESS(ROW() - 2, COLUMN())) = 4, 98.33, IF(INDIRECT(ADDRESS(ROW() - 2, COLUMN())) = 5, 104.2298, IF(INDIRECT(ADDRESS(ROW() - 2, COLUMN())) = 6, 110.1296, IF(INDIRECT(ADDRESS(ROW() - 2, COLUMN())) = 7, 117.996, IF(INDIRECT(ADDRESS(ROW() - 2, COLUMN())) = 8, 125.8624, IF(INDIRECT(ADDRESS(ROW() - 2, COLUMN())) = 9, 133.7288, IF(INDIRECT(ADDRESS(ROW() - 2, COLUMN())) = 10, 141.5952, IF(INDIRECT(ADDRESS(ROW() - 2, COLUMN())) = 11, 149.4616, IF(INDIRECT(ADDRESS(ROW() - 2, COLUMN())) = 12, 157.328, IF(INDIRECT(ADDRESS(ROW() - 2, COLUMN())) = 13, 167.161,0)))))))))))))</f>
        <v>#VALUE!</v>
      </c>
      <c r="IC7" s="88" t="str">
        <f> IF(INDIRECT(ADDRESS(ROW() - 2, COLUMN())) = 1, 114.399999999999, IF(INDIRECT(ADDRESS(ROW() - 2, COLUMN())) = 2, 122.98, IF(INDIRECT(ADDRESS(ROW() - 2, COLUMN())) = 3, 131.56, IF(INDIRECT(ADDRESS(ROW() - 2, COLUMN())) = 4, 143, IF(INDIRECT(ADDRESS(ROW() - 2, COLUMN())) = 5, 151.58, IF(INDIRECT(ADDRESS(ROW() - 2, COLUMN())) = 6, 160.16, IF(INDIRECT(ADDRESS(ROW() - 2, COLUMN())) = 7, 171.6, IF(INDIRECT(ADDRESS(ROW() - 2, COLUMN())) = 8, 183.04, IF(INDIRECT(ADDRESS(ROW() - 2, COLUMN())) = 9, 194.48, IF(INDIRECT(ADDRESS(ROW() - 2, COLUMN())) = 10, 205.92, IF(INDIRECT(ADDRESS(ROW() - 2, COLUMN())) = 11, 217.359999999999, IF(INDIRECT(ADDRESS(ROW() - 2, COLUMN())) = 12, 228.799999999999, IF(INDIRECT(ADDRESS(ROW() - 2, COLUMN())) = 13, 243.1,0)))))))))))))</f>
        <v>#VALUE!</v>
      </c>
      <c r="ID7" s="88" t="str">
        <f> IF(INDIRECT(ADDRESS(ROW() - 2, COLUMN())) = 1, 32.8, IF(INDIRECT(ADDRESS(ROW() - 2, COLUMN())) = 2, 35.26, IF(INDIRECT(ADDRESS(ROW() - 2, COLUMN())) = 3, 37.72, IF(INDIRECT(ADDRESS(ROW() - 2, COLUMN())) = 4, 41, IF(INDIRECT(ADDRESS(ROW() - 2, COLUMN())) = 5, 43.46, IF(INDIRECT(ADDRESS(ROW() - 2, COLUMN())) = 6, 45.92, IF(INDIRECT(ADDRESS(ROW() - 2, COLUMN())) = 7, 49.2, IF(INDIRECT(ADDRESS(ROW() - 2, COLUMN())) = 8, 52.48, IF(INDIRECT(ADDRESS(ROW() - 2, COLUMN())) = 9, 55.76, IF(INDIRECT(ADDRESS(ROW() - 2, COLUMN())) = 10, 59.04, IF(INDIRECT(ADDRESS(ROW() - 2, COLUMN())) = 11, 62.32, IF(INDIRECT(ADDRESS(ROW() - 2, COLUMN())) = 12, 65.6, IF(INDIRECT(ADDRESS(ROW() - 2, COLUMN())) = 13, 69.6999999999999,0)))))))))))))</f>
        <v>#VALUE!</v>
      </c>
      <c r="IE7" s="88" t="str">
        <f> IF(INDIRECT(ADDRESS(ROW() - 2, COLUMN())) = 1, 89.7324, IF(INDIRECT(ADDRESS(ROW() - 2, COLUMN())) = 2, 97.0362, IF(INDIRECT(ADDRESS(ROW() - 2, COLUMN())) = 3, 104.34, IF(INDIRECT(ADDRESS(ROW() - 2, COLUMN())) = 4, 114.774, IF(INDIRECT(ADDRESS(ROW() - 2, COLUMN())) = 5, 122.0778, IF(INDIRECT(ADDRESS(ROW() - 2, COLUMN())) = 6, 130.424999999999, IF(INDIRECT(ADDRESS(ROW() - 2, COLUMN())) = 7, 141.9024, IF(INDIRECT(ADDRESS(ROW() - 2, COLUMN())) = 8, 153.3798, IF(INDIRECT(ADDRESS(ROW() - 2, COLUMN())) = 9, 164.8572, IF(INDIRECT(ADDRESS(ROW() - 2, COLUMN())) = 10, 177.378, IF(INDIRECT(ADDRESS(ROW() - 2, COLUMN())) = 11, 191.7248,0)))))))))))</f>
        <v>#VALUE!</v>
      </c>
      <c r="IF7" s="88" t="str">
        <f> IF(INDIRECT(ADDRESS(ROW() - 2, COLUMN())) = 1, 93.5508, IF(INDIRECT(ADDRESS(ROW() - 2, COLUMN())) = 2, 101.1654, IF(INDIRECT(ADDRESS(ROW() - 2, COLUMN())) = 3, 108.78, IF(INDIRECT(ADDRESS(ROW() - 2, COLUMN())) = 4, 119.658, IF(INDIRECT(ADDRESS(ROW() - 2, COLUMN())) = 5, 127.2726, IF(INDIRECT(ADDRESS(ROW() - 2, COLUMN())) = 6, 135.975, IF(INDIRECT(ADDRESS(ROW() - 2, COLUMN())) = 7, 147.9408, IF(INDIRECT(ADDRESS(ROW() - 2, COLUMN())) = 8, 159.9066, IF(INDIRECT(ADDRESS(ROW() - 2, COLUMN())) = 9, 171.8724, IF(INDIRECT(ADDRESS(ROW() - 2, COLUMN())) = 10, 184.926, IF(INDIRECT(ADDRESS(ROW() - 2, COLUMN())) = 11, 199.8833,0)))))))))))</f>
        <v>#VALUE!</v>
      </c>
      <c r="IG7" s="88" t="str">
        <f> IF(INDIRECT(ADDRESS(ROW() - 2, COLUMN())) = 1, 56.7987, IF(INDIRECT(ADDRESS(ROW() - 2, COLUMN())) = 2, 61.4218999999999, IF(INDIRECT(ADDRESS(ROW() - 2, COLUMN())) = 3, 66.045, IF(INDIRECT(ADDRESS(ROW() - 2, COLUMN())) = 4, 72.6495, IF(INDIRECT(ADDRESS(ROW() - 2, COLUMN())) = 5, 77.2726, IF(INDIRECT(ADDRESS(ROW() - 2, COLUMN())) = 6, 82.5562, IF(INDIRECT(ADDRESS(ROW() - 2, COLUMN())) = 7, 89.8212, IF(INDIRECT(ADDRESS(ROW() - 2, COLUMN())) = 8, 97.0861, IF(INDIRECT(ADDRESS(ROW() - 2, COLUMN())) = 9, 104.3511, IF(INDIRECT(ADDRESS(ROW() - 2, COLUMN())) = 10, 112.2765, IF(INDIRECT(ADDRESS(ROW() - 2, COLUMN())) = 11, 121.3577,0)))))))))))</f>
        <v>#VALUE!</v>
      </c>
      <c r="IH7" s="88" t="str">
        <f> IF(INDIRECT(ADDRESS(ROW() - 2, COLUMN())) = 1, 112.6428, IF(INDIRECT(ADDRESS(ROW() - 2, COLUMN())) = 2, 121.811399999999, IF(INDIRECT(ADDRESS(ROW() - 2, COLUMN())) = 3, 130.98, IF(INDIRECT(ADDRESS(ROW() - 2, COLUMN())) = 4, 144.078, IF(INDIRECT(ADDRESS(ROW() - 2, COLUMN())) = 5, 153.2466, IF(INDIRECT(ADDRESS(ROW() - 2, COLUMN())) = 6, 163.725, IF(INDIRECT(ADDRESS(ROW() - 2, COLUMN())) = 7, 178.1328, IF(INDIRECT(ADDRESS(ROW() - 2, COLUMN())) = 8, 192.540599999999, IF(INDIRECT(ADDRESS(ROW() - 2, COLUMN())) = 9, 206.9484, IF(INDIRECT(ADDRESS(ROW() - 2, COLUMN())) = 10, 222.666, IF(INDIRECT(ADDRESS(ROW() - 2, COLUMN())) = 11, 240.675799999999,0)))))))))))</f>
        <v>#VALUE!</v>
      </c>
      <c r="II7" s="88" t="str">
        <f> IF(INDIRECT(ADDRESS(ROW() - 2, COLUMN())) = 1, 71.8336, IF(INDIRECT(ADDRESS(ROW() - 2, COLUMN())) = 2, 77.6806, IF(INDIRECT(ADDRESS(ROW() - 2, COLUMN())) = 3, 83.5275, IF(INDIRECT(ADDRESS(ROW() - 2, COLUMN())) = 4, 91.8803, IF(INDIRECT(ADDRESS(ROW() - 2, COLUMN())) = 5, 97.7272, IF(INDIRECT(ADDRESS(ROW() - 2, COLUMN())) = 6, 104.4094, IF(INDIRECT(ADDRESS(ROW() - 2, COLUMN())) = 7, 113.5974, IF(INDIRECT(ADDRESS(ROW() - 2, COLUMN())) = 8, 122.7854, IF(INDIRECT(ADDRESS(ROW() - 2, COLUMN())) = 9, 131.9735, IF(INDIRECT(ADDRESS(ROW() - 2, COLUMN())) = 10, 141.996799999999, IF(INDIRECT(ADDRESS(ROW() - 2, COLUMN())) = 11, 153.4818,0)))))))))))</f>
        <v>#VALUE!</v>
      </c>
      <c r="IJ7" s="88" t="str">
        <f> IF(INDIRECT(ADDRESS(ROW() - 2, COLUMN())) = 1, 68.8, IF(INDIRECT(ADDRESS(ROW() - 2, COLUMN())) = 2, 74.4, IF(INDIRECT(ADDRESS(ROW() - 2, COLUMN())) = 3, 80, IF(INDIRECT(ADDRESS(ROW() - 2, COLUMN())) = 4, 88, IF(INDIRECT(ADDRESS(ROW() - 2, COLUMN())) = 5, 93.6, IF(INDIRECT(ADDRESS(ROW() - 2, COLUMN())) = 6, 100, IF(INDIRECT(ADDRESS(ROW() - 2, COLUMN())) = 7, 108.8, IF(INDIRECT(ADDRESS(ROW() - 2, COLUMN())) = 8, 117.6, IF(INDIRECT(ADDRESS(ROW() - 2, COLUMN())) = 9, 126.4, IF(INDIRECT(ADDRESS(ROW() - 2, COLUMN())) = 10, 136, IF(INDIRECT(ADDRESS(ROW() - 2, COLUMN())) = 11, 147,0)))))))))))</f>
        <v>#VALUE!</v>
      </c>
      <c r="IK7" s="88" t="str">
        <f> IF(INDIRECT(ADDRESS(ROW() - 2, COLUMN())) = 1, 124.398999999999, IF(INDIRECT(ADDRESS(ROW() - 2, COLUMN())) = 2, 134.5245, IF(INDIRECT(ADDRESS(ROW() - 2, COLUMN())) = 3, 144.649999999999, IF(INDIRECT(ADDRESS(ROW() - 2, COLUMN())) = 4, 159.115, IF(INDIRECT(ADDRESS(ROW() - 2, COLUMN())) = 5, 169.2405, IF(INDIRECT(ADDRESS(ROW() - 2, COLUMN())) = 6, 180.8125, IF(INDIRECT(ADDRESS(ROW() - 2, COLUMN())) = 7, 196.724, IF(INDIRECT(ADDRESS(ROW() - 2, COLUMN())) = 8, 212.6355, IF(INDIRECT(ADDRESS(ROW() - 2, COLUMN())) = 9, 228.547, IF(INDIRECT(ADDRESS(ROW() - 2, COLUMN())) = 10, 245.905, IF(INDIRECT(ADDRESS(ROW() - 2, COLUMN())) = 11, 265.7944,0)))))))))))</f>
        <v>#VALUE!</v>
      </c>
      <c r="IL7" s="88" t="str">
        <f> IF(INDIRECT(ADDRESS(ROW() - 2, COLUMN())) = 1, 74.5878, IF(INDIRECT(ADDRESS(ROW() - 2, COLUMN())) = 2, 80.6589, IF(INDIRECT(ADDRESS(ROW() - 2, COLUMN())) = 3, 86.7299999999999, IF(INDIRECT(ADDRESS(ROW() - 2, COLUMN())) = 4, 95.403, IF(INDIRECT(ADDRESS(ROW() - 2, COLUMN())) = 5, 101.474099999999, IF(INDIRECT(ADDRESS(ROW() - 2, COLUMN())) = 6, 108.4125, IF(INDIRECT(ADDRESS(ROW() - 2, COLUMN())) = 7, 117.9528, IF(INDIRECT(ADDRESS(ROW() - 2, COLUMN())) = 8, 127.4931, IF(INDIRECT(ADDRESS(ROW() - 2, COLUMN())) = 9, 137.0334, IF(INDIRECT(ADDRESS(ROW() - 2, COLUMN())) = 10, 147.441, IF(INDIRECT(ADDRESS(ROW() - 2, COLUMN())) = 11, 159.3664,0)))))))))))</f>
        <v>#VALUE!</v>
      </c>
      <c r="IM7" s="88" t="str">
        <f> IF(INDIRECT(ADDRESS(ROW() - 2, COLUMN())) = 1, 149.144, IF(INDIRECT(ADDRESS(ROW() - 2, COLUMN())) = 2, 161.2836, IF(INDIRECT(ADDRESS(ROW() - 2, COLUMN())) = 3, 173.423299999999, IF(INDIRECT(ADDRESS(ROW() - 2, COLUMN())) = 4, 190.7656, IF(INDIRECT(ADDRESS(ROW() - 2, COLUMN())) = 5, 202.9052, IF(INDIRECT(ADDRESS(ROW() - 2, COLUMN())) = 6, 216.779099999999, IF(INDIRECT(ADDRESS(ROW() - 2, COLUMN())) = 7, 235.8556, IF(INDIRECT(ADDRESS(ROW() - 2, COLUMN())) = 8, 254.9322, IF(INDIRECT(ADDRESS(ROW() - 2, COLUMN())) = 9, 274.0087, IF(INDIRECT(ADDRESS(ROW() - 2, COLUMN())) = 10, 294.8195, IF(INDIRECT(ADDRESS(ROW() - 2, COLUMN())) = 11, 318.6652,0)))))))))))</f>
        <v>#VALUE!</v>
      </c>
      <c r="IN7" s="88" t="str">
        <f> IF(INDIRECT(ADDRESS(ROW() - 2, COLUMN())) = 1, 186.2889, IF(INDIRECT(ADDRESS(ROW() - 2, COLUMN())) = 2, 201.452, IF(INDIRECT(ADDRESS(ROW() - 2, COLUMN())) = 3, 216.615, IF(INDIRECT(ADDRESS(ROW() - 2, COLUMN())) = 4, 238.2765, IF(INDIRECT(ADDRESS(ROW() - 2, COLUMN())) = 5, 253.4396, IF(INDIRECT(ADDRESS(ROW() - 2, COLUMN())) = 6, 270.7688, IF(INDIRECT(ADDRESS(ROW() - 2, COLUMN())) = 7, 294.5964, IF(INDIRECT(ADDRESS(ROW() - 2, COLUMN())) = 8, 318.4241, IF(INDIRECT(ADDRESS(ROW() - 2, COLUMN())) = 9, 342.2517, IF(INDIRECT(ADDRESS(ROW() - 2, COLUMN())) = 10, 368.2455, IF(INDIRECT(ADDRESS(ROW() - 2, COLUMN())) = 11, 398.0301,0)))))))))))</f>
        <v>#VALUE!</v>
      </c>
      <c r="IO7" s="88" t="str">
        <f> IF(INDIRECT(ADDRESS(ROW() - 2, COLUMN())) = 1, 146.4, IF(INDIRECT(ADDRESS(ROW() - 2, COLUMN())) = 2, 157.38, IF(INDIRECT(ADDRESS(ROW() - 2, COLUMN())) = 3, 168.359999999999, IF(INDIRECT(ADDRESS(ROW() - 2, COLUMN())) = 4, 183, IF(INDIRECT(ADDRESS(ROW() - 2, COLUMN())) = 5, 193.98, IF(INDIRECT(ADDRESS(ROW() - 2, COLUMN())) = 6, 204.959999999999, IF(INDIRECT(ADDRESS(ROW() - 2, COLUMN())) = 7, 219.6, IF(INDIRECT(ADDRESS(ROW() - 2, COLUMN())) = 8, 234.24, IF(INDIRECT(ADDRESS(ROW() - 2, COLUMN())) = 9, 248.88, IF(INDIRECT(ADDRESS(ROW() - 2, COLUMN())) = 10, 263.52, IF(INDIRECT(ADDRESS(ROW() - 2, COLUMN())) = 11, 278.16, IF(INDIRECT(ADDRESS(ROW() - 2, COLUMN())) = 12, 292.8, IF(INDIRECT(ADDRESS(ROW() - 2, COLUMN())) = 13, 311.1,0)))))))))))))</f>
        <v>#VALUE!</v>
      </c>
      <c r="IP7" s="88" t="str">
        <f> IF(INDIRECT(ADDRESS(ROW() - 2, COLUMN())) = 1, 245.6, IF(INDIRECT(ADDRESS(ROW() - 2, COLUMN())) = 2, 264.02, IF(INDIRECT(ADDRESS(ROW() - 2, COLUMN())) = 3, 282.44, IF(INDIRECT(ADDRESS(ROW() - 2, COLUMN())) = 4, 307, IF(INDIRECT(ADDRESS(ROW() - 2, COLUMN())) = 5, 325.42, IF(INDIRECT(ADDRESS(ROW() - 2, COLUMN())) = 6, 343.84, IF(INDIRECT(ADDRESS(ROW() - 2, COLUMN())) = 7, 368.4, IF(INDIRECT(ADDRESS(ROW() - 2, COLUMN())) = 8, 392.96, IF(INDIRECT(ADDRESS(ROW() - 2, COLUMN())) = 9, 417.52, IF(INDIRECT(ADDRESS(ROW() - 2, COLUMN())) = 10, 442.08, IF(INDIRECT(ADDRESS(ROW() - 2, COLUMN())) = 11, 466.64, IF(INDIRECT(ADDRESS(ROW() - 2, COLUMN())) = 12, 491.2, IF(INDIRECT(ADDRESS(ROW() - 2, COLUMN())) = 13, 521.9,0)))))))))))))</f>
        <v>#VALUE!</v>
      </c>
      <c r="IQ7" s="88" t="str">
        <f> IF(INDIRECT(ADDRESS(ROW() - 2, COLUMN())) = 1, 96, IF(INDIRECT(ADDRESS(ROW() - 2, COLUMN())) = 2, 103.2, IF(INDIRECT(ADDRESS(ROW() - 2, COLUMN())) = 3, 110.4, IF(INDIRECT(ADDRESS(ROW() - 2, COLUMN())) = 4, 120, IF(INDIRECT(ADDRESS(ROW() - 2, COLUMN())) = 5, 127.2, IF(INDIRECT(ADDRESS(ROW() - 2, COLUMN())) = 6, 134.4, IF(INDIRECT(ADDRESS(ROW() - 2, COLUMN())) = 7, 144, IF(INDIRECT(ADDRESS(ROW() - 2, COLUMN())) = 8, 153.6, IF(INDIRECT(ADDRESS(ROW() - 2, COLUMN())) = 9, 163.2, IF(INDIRECT(ADDRESS(ROW() - 2, COLUMN())) = 10, 172.8, IF(INDIRECT(ADDRESS(ROW() - 2, COLUMN())) = 11, 182.4, IF(INDIRECT(ADDRESS(ROW() - 2, COLUMN())) = 12, 192, IF(INDIRECT(ADDRESS(ROW() - 2, COLUMN())) = 13, 204,0)))))))))))))</f>
        <v>#VALUE!</v>
      </c>
      <c r="IR7" s="88" t="str">
        <f> IF(INDIRECT(ADDRESS(ROW() - 2, COLUMN())) = 1, 245.6, IF(INDIRECT(ADDRESS(ROW() - 2, COLUMN())) = 2, 264.02, IF(INDIRECT(ADDRESS(ROW() - 2, COLUMN())) = 3, 282.44, IF(INDIRECT(ADDRESS(ROW() - 2, COLUMN())) = 4, 307, IF(INDIRECT(ADDRESS(ROW() - 2, COLUMN())) = 5, 325.42, IF(INDIRECT(ADDRESS(ROW() - 2, COLUMN())) = 6, 343.84, IF(INDIRECT(ADDRESS(ROW() - 2, COLUMN())) = 7, 368.4, IF(INDIRECT(ADDRESS(ROW() - 2, COLUMN())) = 8, 392.96, IF(INDIRECT(ADDRESS(ROW() - 2, COLUMN())) = 9, 417.52, IF(INDIRECT(ADDRESS(ROW() - 2, COLUMN())) = 10, 442.08, IF(INDIRECT(ADDRESS(ROW() - 2, COLUMN())) = 11, 466.64, IF(INDIRECT(ADDRESS(ROW() - 2, COLUMN())) = 12, 491.2, IF(INDIRECT(ADDRESS(ROW() - 2, COLUMN())) = 13, 521.9,0)))))))))))))</f>
        <v>#VALUE!</v>
      </c>
      <c r="IS7" s="88" t="str">
        <f t="shared" ref="IS7:IT7" si="460"> IF(INDIRECT(ADDRESS(ROW() - 2, COLUMN())) = 1, 367.048, IF(INDIRECT(ADDRESS(ROW() - 2, COLUMN())) = 2, 396.924, IF(INDIRECT(ADDRESS(ROW() - 2, COLUMN())) = 3, 426.799999999999, IF(INDIRECT(ADDRESS(ROW() - 2, COLUMN())) = 4, 469.479999999999, IF(INDIRECT(ADDRESS(ROW() - 2, COLUMN())) = 5, 499.356, IF(INDIRECT(ADDRESS(ROW() - 2, COLUMN())) = 6, 533.5, IF(INDIRECT(ADDRESS(ROW() - 2, COLUMN())) = 7, 580.448, IF(INDIRECT(ADDRESS(ROW() - 2, COLUMN())) = 8, 627.396, IF(INDIRECT(ADDRESS(ROW() - 2, COLUMN())) = 9, 674.343999999999, IF(INDIRECT(ADDRESS(ROW() - 2, COLUMN())) = 10, 725.56, IF(INDIRECT(ADDRESS(ROW() - 2, COLUMN())) = 11, 784.245, IF(INDIRECT(ADDRESS(ROW() - 2, COLUMN())) = 12, 853.2586, IF(INDIRECT(ADDRESS(ROW() - 2, COLUMN())) = 13, 922.2721,0)))))))))))))</f>
        <v>#VALUE!</v>
      </c>
      <c r="IT7" s="196" t="str">
        <f t="shared" si="460"/>
        <v>#VALUE!</v>
      </c>
      <c r="IU7" s="88" t="str">
        <f> IF(INDIRECT(ADDRESS(ROW() - 2, COLUMN())) = 1, 44.118, IF(INDIRECT(ADDRESS(ROW() - 2, COLUMN())) = 2, 47.709, IF(INDIRECT(ADDRESS(ROW() - 2, COLUMN())) = 3, 51.3, IF(INDIRECT(ADDRESS(ROW() - 2, COLUMN())) = 4, 56.43, IF(INDIRECT(ADDRESS(ROW() - 2, COLUMN())) = 5, 60.021, IF(INDIRECT(ADDRESS(ROW() - 2, COLUMN())) = 6, 64.125, IF(INDIRECT(ADDRESS(ROW() - 2, COLUMN())) = 7, 69.768, IF(INDIRECT(ADDRESS(ROW() - 2, COLUMN())) = 8, 75.411, IF(INDIRECT(ADDRESS(ROW() - 2, COLUMN())) = 9, 81.054, IF(INDIRECT(ADDRESS(ROW() - 2, COLUMN())) = 10, 87.21, IF(INDIRECT(ADDRESS(ROW() - 2, COLUMN())) = 11, 93.366,0)))))))))))</f>
        <v>#VALUE!</v>
      </c>
      <c r="IV7" s="88" t="str">
        <f> IF(INDIRECT(ADDRESS(ROW() - 2, COLUMN())) = 1, 46.784, IF(INDIRECT(ADDRESS(ROW() - 2, COLUMN())) = 2, 50.592, IF(INDIRECT(ADDRESS(ROW() - 2, COLUMN())) = 3, 54.4, IF(INDIRECT(ADDRESS(ROW() - 2, COLUMN())) = 4, 59.84, IF(INDIRECT(ADDRESS(ROW() - 2, COLUMN())) = 5, 63.648, IF(INDIRECT(ADDRESS(ROW() - 2, COLUMN())) = 6, 68, IF(INDIRECT(ADDRESS(ROW() - 2, COLUMN())) = 7, 73.984, IF(INDIRECT(ADDRESS(ROW() - 2, COLUMN())) = 8, 79.9679999999999, IF(INDIRECT(ADDRESS(ROW() - 2, COLUMN())) = 9, 85.952, IF(INDIRECT(ADDRESS(ROW() - 2, COLUMN())) = 10, 92.4799999999999, IF(INDIRECT(ADDRESS(ROW() - 2, COLUMN())) = 11, 99.008,0)))))))))))</f>
        <v>#VALUE!</v>
      </c>
      <c r="IW7" s="88" t="str">
        <f> IF(INDIRECT(ADDRESS(ROW() - 2, COLUMN())) = 1, 58.1359999999999, IF(INDIRECT(ADDRESS(ROW() - 2, COLUMN())) = 2, 62.868, IF(INDIRECT(ADDRESS(ROW() - 2, COLUMN())) = 3, 67.6, IF(INDIRECT(ADDRESS(ROW() - 2, COLUMN())) = 4, 74.36, IF(INDIRECT(ADDRESS(ROW() - 2, COLUMN())) = 5, 79.092, IF(INDIRECT(ADDRESS(ROW() - 2, COLUMN())) = 6, 84.5, IF(INDIRECT(ADDRESS(ROW() - 2, COLUMN())) = 7, 91.9359999999999, IF(INDIRECT(ADDRESS(ROW() - 2, COLUMN())) = 8, 99.372, IF(INDIRECT(ADDRESS(ROW() - 2, COLUMN())) = 9, 106.807999999999, IF(INDIRECT(ADDRESS(ROW() - 2, COLUMN())) = 10, 114.92, IF(INDIRECT(ADDRESS(ROW() - 2, COLUMN())) = 11, 123.032,0)))))))))))</f>
        <v>#VALUE!</v>
      </c>
      <c r="IX7" s="88" t="str">
        <f> IF(INDIRECT(ADDRESS(ROW() - 2, COLUMN())) = 1, 57.706, IF(INDIRECT(ADDRESS(ROW() - 2, COLUMN())) = 2, 62.403, IF(INDIRECT(ADDRESS(ROW() - 2, COLUMN())) = 3, 67.1, IF(INDIRECT(ADDRESS(ROW() - 2, COLUMN())) = 4, 73.81, IF(INDIRECT(ADDRESS(ROW() - 2, COLUMN())) = 5, 78.507, IF(INDIRECT(ADDRESS(ROW() - 2, COLUMN())) = 6, 83.875, IF(INDIRECT(ADDRESS(ROW() - 2, COLUMN())) = 7, 91.256, IF(INDIRECT(ADDRESS(ROW() - 2, COLUMN())) = 8, 98.637, IF(INDIRECT(ADDRESS(ROW() - 2, COLUMN())) = 9, 106.017999999999, IF(INDIRECT(ADDRESS(ROW() - 2, COLUMN())) = 10, 114.07, IF(INDIRECT(ADDRESS(ROW() - 2, COLUMN())) = 11, 122.122,0)))))))))))</f>
        <v>#VALUE!</v>
      </c>
      <c r="IY7" s="88" t="str">
        <f> IF(INDIRECT(ADDRESS(ROW() - 2, COLUMN())) = 1, 72.068, IF(INDIRECT(ADDRESS(ROW() - 2, COLUMN())) = 2, 77.934, IF(INDIRECT(ADDRESS(ROW() - 2, COLUMN())) = 3, 83.8, IF(INDIRECT(ADDRESS(ROW() - 2, COLUMN())) = 4, 92.1799999999999, IF(INDIRECT(ADDRESS(ROW() - 2, COLUMN())) = 5, 98.046, IF(INDIRECT(ADDRESS(ROW() - 2, COLUMN())) = 6, 104.75, IF(INDIRECT(ADDRESS(ROW() - 2, COLUMN())) = 7, 113.968, IF(INDIRECT(ADDRESS(ROW() - 2, COLUMN())) = 8, 123.185999999999, IF(INDIRECT(ADDRESS(ROW() - 2, COLUMN())) = 9, 132.404, IF(INDIRECT(ADDRESS(ROW() - 2, COLUMN())) = 10, 142.46, IF(INDIRECT(ADDRESS(ROW() - 2, COLUMN())) = 11, 152.516,0)))))))))))</f>
        <v>#VALUE!</v>
      </c>
      <c r="IZ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JA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JB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JC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JD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JE7" s="88" t="str">
        <f> IF(INDIRECT(ADDRESS(ROW() - 2, COLUMN())) = 1, 88.8, IF(INDIRECT(ADDRESS(ROW() - 2, COLUMN())) = 2, 95.46, IF(INDIRECT(ADDRESS(ROW() - 2, COLUMN())) = 3, 102.12, IF(INDIRECT(ADDRESS(ROW() - 2, COLUMN())) = 4, 111, IF(INDIRECT(ADDRESS(ROW() - 2, COLUMN())) = 5, 117.66, IF(INDIRECT(ADDRESS(ROW() - 2, COLUMN())) = 6, 124.32, IF(INDIRECT(ADDRESS(ROW() - 2, COLUMN())) = 7, 133.2, IF(INDIRECT(ADDRESS(ROW() - 2, COLUMN())) = 8, 142.08, IF(INDIRECT(ADDRESS(ROW() - 2, COLUMN())) = 9, 150.96, IF(INDIRECT(ADDRESS(ROW() - 2, COLUMN())) = 10, 159.84, IF(INDIRECT(ADDRESS(ROW() - 2, COLUMN())) = 11, 168.72, IF(INDIRECT(ADDRESS(ROW() - 2, COLUMN())) = 12, 177.6, IF(INDIRECT(ADDRESS(ROW() - 2, COLUMN())) = 13, 188.7,0)))))))))))))</f>
        <v>#VALUE!</v>
      </c>
      <c r="JF7" s="88" t="str">
        <f> IF(INDIRECT(ADDRESS(ROW() - 2, COLUMN())) = 1, 115.44, IF(INDIRECT(ADDRESS(ROW() - 2, COLUMN())) = 2, 124.098, IF(INDIRECT(ADDRESS(ROW() - 2, COLUMN())) = 3, 132.756, IF(INDIRECT(ADDRESS(ROW() - 2, COLUMN())) = 4, 144.3, IF(INDIRECT(ADDRESS(ROW() - 2, COLUMN())) = 5, 152.958, IF(INDIRECT(ADDRESS(ROW() - 2, COLUMN())) = 6, 161.616, IF(INDIRECT(ADDRESS(ROW() - 2, COLUMN())) = 7, 173.16, IF(INDIRECT(ADDRESS(ROW() - 2, COLUMN())) = 8, 184.704, IF(INDIRECT(ADDRESS(ROW() - 2, COLUMN())) = 9, 196.248, IF(INDIRECT(ADDRESS(ROW() - 2, COLUMN())) = 10, 207.792, IF(INDIRECT(ADDRESS(ROW() - 2, COLUMN())) = 11, 219.336, IF(INDIRECT(ADDRESS(ROW() - 2, COLUMN())) = 12, 230.88, IF(INDIRECT(ADDRESS(ROW() - 2, COLUMN())) = 13, 245.31,0)))))))))))))</f>
        <v>#VALUE!</v>
      </c>
      <c r="JG7" s="88">
        <f>80</f>
        <v>80</v>
      </c>
      <c r="JH7" s="88" t="str">
        <f> IF(INDIRECT(ADDRESS(ROW() - 2, COLUMN())) = 1, 208, IF(INDIRECT(ADDRESS(ROW() - 2, COLUMN())) = 2, 223.6, IF(INDIRECT(ADDRESS(ROW() - 2, COLUMN())) = 3, 239.2, IF(INDIRECT(ADDRESS(ROW() - 2, COLUMN())) = 4, 260, IF(INDIRECT(ADDRESS(ROW() - 2, COLUMN())) = 5, 275.599999999999, IF(INDIRECT(ADDRESS(ROW() - 2, COLUMN())) = 6, 291.2, IF(INDIRECT(ADDRESS(ROW() - 2, COLUMN())) = 7, 312, IF(INDIRECT(ADDRESS(ROW() - 2, COLUMN())) = 8, 332.8, IF(INDIRECT(ADDRESS(ROW() - 2, COLUMN())) = 9, 353.6, IF(INDIRECT(ADDRESS(ROW() - 2, COLUMN())) = 10, 374.4, IF(INDIRECT(ADDRESS(ROW() - 2, COLUMN())) = 11, 395.2, IF(INDIRECT(ADDRESS(ROW() - 2, COLUMN())) = 12, 416, IF(INDIRECT(ADDRESS(ROW() - 2, COLUMN())) = 13, 442,0)))))))))))))</f>
        <v>#VALUE!</v>
      </c>
      <c r="JI7" s="88" t="str">
        <f> IF(INDIRECT(ADDRESS(ROW() - 2, COLUMN())) = 1, 31.734, IF(INDIRECT(ADDRESS(ROW() - 2, COLUMN())) = 2, 34.317, IF(INDIRECT(ADDRESS(ROW() - 2, COLUMN())) = 3, 36.9, IF(INDIRECT(ADDRESS(ROW() - 2, COLUMN())) = 4, 40.5899999999999, IF(INDIRECT(ADDRESS(ROW() - 2, COLUMN())) = 5, 43.173, IF(INDIRECT(ADDRESS(ROW() - 2, COLUMN())) = 6, 46.125, IF(INDIRECT(ADDRESS(ROW() - 2, COLUMN())) = 7, 50.184, IF(INDIRECT(ADDRESS(ROW() - 2, COLUMN())) = 8, 54.2429999999999, IF(INDIRECT(ADDRESS(ROW() - 2, COLUMN())) = 9, 58.302, IF(INDIRECT(ADDRESS(ROW() - 2, COLUMN())) = 10, 62.73, IF(INDIRECT(ADDRESS(ROW() - 2, COLUMN())) = 11, 67.8037,0)))))))))))</f>
        <v>#VALUE!</v>
      </c>
      <c r="JJ7" s="88" t="str">
        <f> IF(INDIRECT(ADDRESS(ROW() - 2, COLUMN())) = 1, 35.604, IF(INDIRECT(ADDRESS(ROW() - 2, COLUMN())) = 2, 38.5019999999999, IF(INDIRECT(ADDRESS(ROW() - 2, COLUMN())) = 3, 41.4, IF(INDIRECT(ADDRESS(ROW() - 2, COLUMN())) = 4, 45.54, IF(INDIRECT(ADDRESS(ROW() - 2, COLUMN())) = 5, 48.4379999999999, IF(INDIRECT(ADDRESS(ROW() - 2, COLUMN())) = 6, 51.7499999999999, IF(INDIRECT(ADDRESS(ROW() - 2, COLUMN())) = 7, 56.304, IF(INDIRECT(ADDRESS(ROW() - 2, COLUMN())) = 8, 60.858, IF(INDIRECT(ADDRESS(ROW() - 2, COLUMN())) = 9, 65.412, IF(INDIRECT(ADDRESS(ROW() - 2, COLUMN())) = 10, 70.38, IF(INDIRECT(ADDRESS(ROW() - 2, COLUMN())) = 11, 76.0725,0)))))))))))</f>
        <v>#VALUE!</v>
      </c>
      <c r="JK7" s="88" t="str">
        <f t="shared" ref="JK7:JL7" si="461"> IF(INDIRECT(ADDRESS(ROW() - 2, COLUMN())) = 1, 45.494, IF(INDIRECT(ADDRESS(ROW() - 2, COLUMN())) = 2, 49.197, IF(INDIRECT(ADDRESS(ROW() - 2, COLUMN())) = 3, 52.9, IF(INDIRECT(ADDRESS(ROW() - 2, COLUMN())) = 4, 58.19, IF(INDIRECT(ADDRESS(ROW() - 2, COLUMN())) = 5, 61.893, IF(INDIRECT(ADDRESS(ROW() - 2, COLUMN())) = 6, 66.125, IF(INDIRECT(ADDRESS(ROW() - 2, COLUMN())) = 7, 71.944, IF(INDIRECT(ADDRESS(ROW() - 2, COLUMN())) = 8, 77.763, IF(INDIRECT(ADDRESS(ROW() - 2, COLUMN())) = 9, 83.582, IF(INDIRECT(ADDRESS(ROW() - 2, COLUMN())) = 10, 89.9299999999999, IF(INDIRECT(ADDRESS(ROW() - 2, COLUMN())) = 11, 97.2038,0)))))))))))</f>
        <v>#VALUE!</v>
      </c>
      <c r="JL7" s="88" t="str">
        <f t="shared" si="461"/>
        <v>#VALUE!</v>
      </c>
      <c r="JM7" s="88" t="str">
        <f> IF(INDIRECT(ADDRESS(ROW() - 2, COLUMN())) = 1, 48.246, IF(INDIRECT(ADDRESS(ROW() - 2, COLUMN())) = 2, 52.173, IF(INDIRECT(ADDRESS(ROW() - 2, COLUMN())) = 3, 56.1, IF(INDIRECT(ADDRESS(ROW() - 2, COLUMN())) = 4, 61.71, IF(INDIRECT(ADDRESS(ROW() - 2, COLUMN())) = 5, 65.637, IF(INDIRECT(ADDRESS(ROW() - 2, COLUMN())) = 6, 70.125, IF(INDIRECT(ADDRESS(ROW() - 2, COLUMN())) = 7, 76.2959999999999, IF(INDIRECT(ADDRESS(ROW() - 2, COLUMN())) = 8, 82.467, IF(INDIRECT(ADDRESS(ROW() - 2, COLUMN())) = 9, 88.6379999999999, IF(INDIRECT(ADDRESS(ROW() - 2, COLUMN())) = 10, 95.37, IF(INDIRECT(ADDRESS(ROW() - 2, COLUMN())) = 11, 103.0838,0)))))))))))</f>
        <v>#VALUE!</v>
      </c>
      <c r="JN7" s="88" t="str">
        <f> IF(INDIRECT(ADDRESS(ROW() - 2, COLUMN())) = 1, 57.62, IF(INDIRECT(ADDRESS(ROW() - 2, COLUMN())) = 2, 62.31, IF(INDIRECT(ADDRESS(ROW() - 2, COLUMN())) = 3, 67, IF(INDIRECT(ADDRESS(ROW() - 2, COLUMN())) = 4, 73.7, IF(INDIRECT(ADDRESS(ROW() - 2, COLUMN())) = 5, 78.39, IF(INDIRECT(ADDRESS(ROW() - 2, COLUMN())) = 6, 83.75, IF(INDIRECT(ADDRESS(ROW() - 2, COLUMN())) = 7, 91.12, IF(INDIRECT(ADDRESS(ROW() - 2, COLUMN())) = 8, 98.49, IF(INDIRECT(ADDRESS(ROW() - 2, COLUMN())) = 9, 105.86, IF(INDIRECT(ADDRESS(ROW() - 2, COLUMN())) = 10, 113.9, IF(INDIRECT(ADDRESS(ROW() - 2, COLUMN())) = 11, 123.1125,0)))))))))))</f>
        <v>#VALUE!</v>
      </c>
      <c r="JO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JP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JQ7" s="88" t="str">
        <f> IF(INDIRECT(ADDRESS(ROW() - 2, COLUMN())) = 1, 128, IF(INDIRECT(ADDRESS(ROW() - 2, COLUMN())) = 2, 137.6, IF(INDIRECT(ADDRESS(ROW() - 2, COLUMN())) = 3, 147.2, IF(INDIRECT(ADDRESS(ROW() - 2, COLUMN())) = 4, 160, IF(INDIRECT(ADDRESS(ROW() - 2, COLUMN())) = 5, 169.6, IF(INDIRECT(ADDRESS(ROW() - 2, COLUMN())) = 6, 179.2, IF(INDIRECT(ADDRESS(ROW() - 2, COLUMN())) = 7, 192, IF(INDIRECT(ADDRESS(ROW() - 2, COLUMN())) = 8, 204.8, IF(INDIRECT(ADDRESS(ROW() - 2, COLUMN())) = 9, 217.6, IF(INDIRECT(ADDRESS(ROW() - 2, COLUMN())) = 10, 230.399999999999, IF(INDIRECT(ADDRESS(ROW() - 2, COLUMN())) = 11, 243.2,0)))))))))))</f>
        <v>#VALUE!</v>
      </c>
      <c r="JR7" s="88" t="str">
        <f> IF(INDIRECT(ADDRESS(ROW() - 2, COLUMN())) = 1, 217.6, IF(INDIRECT(ADDRESS(ROW() - 2, COLUMN())) = 2, 233.92, IF(INDIRECT(ADDRESS(ROW() - 2, COLUMN())) = 3, 250.24, IF(INDIRECT(ADDRESS(ROW() - 2, COLUMN())) = 4, 272, IF(INDIRECT(ADDRESS(ROW() - 2, COLUMN())) = 5, 288.32, IF(INDIRECT(ADDRESS(ROW() - 2, COLUMN())) = 6, 304.64, IF(INDIRECT(ADDRESS(ROW() - 2, COLUMN())) = 7, 326.4, IF(INDIRECT(ADDRESS(ROW() - 2, COLUMN())) = 8, 348.159999999999, IF(INDIRECT(ADDRESS(ROW() - 2, COLUMN())) = 9, 369.919999999999, IF(INDIRECT(ADDRESS(ROW() - 2, COLUMN())) = 10, 391.68, IF(INDIRECT(ADDRESS(ROW() - 2, COLUMN())) = 11, 413.44,0)))))))))))</f>
        <v>#VALUE!</v>
      </c>
      <c r="JS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JT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JU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JV7" s="88" t="str">
        <f> IF(INDIRECT(ADDRESS(ROW() - 2, COLUMN())) = 1, 132, IF(INDIRECT(ADDRESS(ROW() - 2, COLUMN())) = 2, 141.9, IF(INDIRECT(ADDRESS(ROW() - 2, COLUMN())) = 3, 151.8, IF(INDIRECT(ADDRESS(ROW() - 2, COLUMN())) = 4, 165, IF(INDIRECT(ADDRESS(ROW() - 2, COLUMN())) = 5, 174.9, IF(INDIRECT(ADDRESS(ROW() - 2, COLUMN())) = 6, 184.8, IF(INDIRECT(ADDRESS(ROW() - 2, COLUMN())) = 7, 198, IF(INDIRECT(ADDRESS(ROW() - 2, COLUMN())) = 8, 211.2, IF(INDIRECT(ADDRESS(ROW() - 2, COLUMN())) = 9, 224.4, IF(INDIRECT(ADDRESS(ROW() - 2, COLUMN())) = 10, 237.6, IF(INDIRECT(ADDRESS(ROW() - 2, COLUMN())) = 11, 250.8, IF(INDIRECT(ADDRESS(ROW() - 2, COLUMN())) = 12, 264, IF(INDIRECT(ADDRESS(ROW() - 2, COLUMN())) = 13, 280.5,0)))))))))))))</f>
        <v>#VALUE!</v>
      </c>
      <c r="JW7" s="88" t="str">
        <f> IF(INDIRECT(ADDRESS(ROW() - 2, COLUMN())) = 1, 70.272, IF(INDIRECT(ADDRESS(ROW() - 2, COLUMN())) = 2, 75.5424, IF(INDIRECT(ADDRESS(ROW() - 2, COLUMN())) = 3, 80.8128, IF(INDIRECT(ADDRESS(ROW() - 2, COLUMN())) = 4, 87.8399999999999, IF(INDIRECT(ADDRESS(ROW() - 2, COLUMN())) = 5, 93.1104, IF(INDIRECT(ADDRESS(ROW() - 2, COLUMN())) = 6, 98.3808, IF(INDIRECT(ADDRESS(ROW() - 2, COLUMN())) = 7, 105.407999999999, IF(INDIRECT(ADDRESS(ROW() - 2, COLUMN())) = 8, 112.4352, IF(INDIRECT(ADDRESS(ROW() - 2, COLUMN())) = 9, 119.462399999999, IF(INDIRECT(ADDRESS(ROW() - 2, COLUMN())) = 10, 126.4896, IF(INDIRECT(ADDRESS(ROW() - 2, COLUMN())) = 11, 133.5168, IF(INDIRECT(ADDRESS(ROW() - 2, COLUMN())) = 12, 140.544, IF(INDIRECT(ADDRESS(ROW() - 2, COLUMN())) = 13, 149.328,0)))))))))))))</f>
        <v>#VALUE!</v>
      </c>
      <c r="JX7" s="88" t="str">
        <f> IF(INDIRECT(ADDRESS(ROW() - 2, COLUMN())) = 1, 15.8823999999999, IF(INDIRECT(ADDRESS(ROW() - 2, COLUMN())) = 2, 17.0736, IF(INDIRECT(ADDRESS(ROW() - 2, COLUMN())) = 3, 18.2648, IF(INDIRECT(ADDRESS(ROW() - 2, COLUMN())) = 4, 19.853, IF(INDIRECT(ADDRESS(ROW() - 2, COLUMN())) = 5, 21.0442, IF(INDIRECT(ADDRESS(ROW() - 2, COLUMN())) = 6, 22.2354, IF(INDIRECT(ADDRESS(ROW() - 2, COLUMN())) = 7, 23.8236, IF(INDIRECT(ADDRESS(ROW() - 2, COLUMN())) = 8, 25.4118, IF(INDIRECT(ADDRESS(ROW() - 2, COLUMN())) = 9, 27.0001, IF(INDIRECT(ADDRESS(ROW() - 2, COLUMN())) = 10, 28.5883, IF(INDIRECT(ADDRESS(ROW() - 2, COLUMN())) = 11, 30.1765999999999, IF(INDIRECT(ADDRESS(ROW() - 2, COLUMN())) = 12, 31.7647999999999, IF(INDIRECT(ADDRESS(ROW() - 2, COLUMN())) = 13, 33.7500999999999,0)))))))))))))</f>
        <v>#VALUE!</v>
      </c>
      <c r="JY7" s="88" t="str">
        <f> IF(INDIRECT(ADDRESS(ROW() - 2, COLUMN())) = 1, 44.462, IF(INDIRECT(ADDRESS(ROW() - 2, COLUMN())) = 2, 48.081, IF(INDIRECT(ADDRESS(ROW() - 2, COLUMN())) = 3, 51.7, IF(INDIRECT(ADDRESS(ROW() - 2, COLUMN())) = 4, 56.87, IF(INDIRECT(ADDRESS(ROW() - 2, COLUMN())) = 5, 60.489, IF(INDIRECT(ADDRESS(ROW() - 2, COLUMN())) = 6, 64.625, IF(INDIRECT(ADDRESS(ROW() - 2, COLUMN())) = 7, 70.312, IF(INDIRECT(ADDRESS(ROW() - 2, COLUMN())) = 8, 75.999, IF(INDIRECT(ADDRESS(ROW() - 2, COLUMN())) = 9, 81.686, IF(INDIRECT(ADDRESS(ROW() - 2, COLUMN())) = 10, 87.89, IF(INDIRECT(ADDRESS(ROW() - 2, COLUMN())) = 11, 94.094,0)))))))))))</f>
        <v>#VALUE!</v>
      </c>
      <c r="JZ7" s="88" t="str">
        <f> IF(INDIRECT(ADDRESS(ROW() - 2, COLUMN())) = 1, 43.43, IF(INDIRECT(ADDRESS(ROW() - 2, COLUMN())) = 2, 46.965, IF(INDIRECT(ADDRESS(ROW() - 2, COLUMN())) = 3, 50.5, IF(INDIRECT(ADDRESS(ROW() - 2, COLUMN())) = 4, 55.55, IF(INDIRECT(ADDRESS(ROW() - 2, COLUMN())) = 5, 59.085, IF(INDIRECT(ADDRESS(ROW() - 2, COLUMN())) = 6, 63.125, IF(INDIRECT(ADDRESS(ROW() - 2, COLUMN())) = 7, 68.6799999999999, IF(INDIRECT(ADDRESS(ROW() - 2, COLUMN())) = 8, 74.235, IF(INDIRECT(ADDRESS(ROW() - 2, COLUMN())) = 9, 79.79, IF(INDIRECT(ADDRESS(ROW() - 2, COLUMN())) = 10, 85.85, IF(INDIRECT(ADDRESS(ROW() - 2, COLUMN())) = 11, 91.91,0)))))))))))</f>
        <v>#VALUE!</v>
      </c>
      <c r="KA7" s="88" t="str">
        <f> IF(INDIRECT(ADDRESS(ROW() - 2, COLUMN())) = 1, 52.976, IF(INDIRECT(ADDRESS(ROW() - 2, COLUMN())) = 2, 57.288, IF(INDIRECT(ADDRESS(ROW() - 2, COLUMN())) = 3, 61.6, IF(INDIRECT(ADDRESS(ROW() - 2, COLUMN())) = 4, 67.7599999999999, IF(INDIRECT(ADDRESS(ROW() - 2, COLUMN())) = 5, 72.072, IF(INDIRECT(ADDRESS(ROW() - 2, COLUMN())) = 6, 77, IF(INDIRECT(ADDRESS(ROW() - 2, COLUMN())) = 7, 83.776, IF(INDIRECT(ADDRESS(ROW() - 2, COLUMN())) = 8, 90.5519999999999, IF(INDIRECT(ADDRESS(ROW() - 2, COLUMN())) = 9, 97.328, IF(INDIRECT(ADDRESS(ROW() - 2, COLUMN())) = 10, 104.719999999999, IF(INDIRECT(ADDRESS(ROW() - 2, COLUMN())) = 11, 112.112,0)))))))))))</f>
        <v>#VALUE!</v>
      </c>
      <c r="KB7" s="88" t="str">
        <f> IF(INDIRECT(ADDRESS(ROW() - 2, COLUMN())) = 1, 58.308, IF(INDIRECT(ADDRESS(ROW() - 2, COLUMN())) = 2, 63.054, IF(INDIRECT(ADDRESS(ROW() - 2, COLUMN())) = 3, 67.8, IF(INDIRECT(ADDRESS(ROW() - 2, COLUMN())) = 4, 74.58, IF(INDIRECT(ADDRESS(ROW() - 2, COLUMN())) = 5, 79.326, IF(INDIRECT(ADDRESS(ROW() - 2, COLUMN())) = 6, 84.75, IF(INDIRECT(ADDRESS(ROW() - 2, COLUMN())) = 7, 92.208, IF(INDIRECT(ADDRESS(ROW() - 2, COLUMN())) = 8, 99.666, IF(INDIRECT(ADDRESS(ROW() - 2, COLUMN())) = 9, 107.124, IF(INDIRECT(ADDRESS(ROW() - 2, COLUMN())) = 10, 115.26, IF(INDIRECT(ADDRESS(ROW() - 2, COLUMN())) = 11, 123.396,0)))))))))))</f>
        <v>#VALUE!</v>
      </c>
      <c r="KC7" s="88" t="str">
        <f> IF(INDIRECT(ADDRESS(ROW() - 2, COLUMN())) = 1, 70.7779999999999, IF(INDIRECT(ADDRESS(ROW() - 2, COLUMN())) = 2, 76.539, IF(INDIRECT(ADDRESS(ROW() - 2, COLUMN())) = 3, 82.3, IF(INDIRECT(ADDRESS(ROW() - 2, COLUMN())) = 4, 90.53, IF(INDIRECT(ADDRESS(ROW() - 2, COLUMN())) = 5, 96.291, IF(INDIRECT(ADDRESS(ROW() - 2, COLUMN())) = 6, 102.875, IF(INDIRECT(ADDRESS(ROW() - 2, COLUMN())) = 7, 111.928, IF(INDIRECT(ADDRESS(ROW() - 2, COLUMN())) = 8, 120.981, IF(INDIRECT(ADDRESS(ROW() - 2, COLUMN())) = 9, 130.034, IF(INDIRECT(ADDRESS(ROW() - 2, COLUMN())) = 10, 139.91, IF(INDIRECT(ADDRESS(ROW() - 2, COLUMN())) = 11, 149.786,0)))))))))))</f>
        <v>#VALUE!</v>
      </c>
      <c r="KD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KE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KF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KG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KH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KI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KJ7" s="88">
        <f>60</f>
        <v>60</v>
      </c>
      <c r="KK7" s="88" t="str">
        <f> IF(INDIRECT(ADDRESS(ROW() - 2, COLUMN())) = 1, 248, IF(INDIRECT(ADDRESS(ROW() - 2, COLUMN())) = 2, 266.599999999999, IF(INDIRECT(ADDRESS(ROW() - 2, COLUMN())) = 3, 285.2, IF(INDIRECT(ADDRESS(ROW() - 2, COLUMN())) = 4, 310, IF(INDIRECT(ADDRESS(ROW() - 2, COLUMN())) = 5, 328.6, IF(INDIRECT(ADDRESS(ROW() - 2, COLUMN())) = 6, 347.2, IF(INDIRECT(ADDRESS(ROW() - 2, COLUMN())) = 7, 372, IF(INDIRECT(ADDRESS(ROW() - 2, COLUMN())) = 8, 396.8, IF(INDIRECT(ADDRESS(ROW() - 2, COLUMN())) = 9, 421.6, IF(INDIRECT(ADDRESS(ROW() - 2, COLUMN())) = 10, 446.4, IF(INDIRECT(ADDRESS(ROW() - 2, COLUMN())) = 11, 471.2, IF(INDIRECT(ADDRESS(ROW() - 2, COLUMN())) = 12, 496, IF(INDIRECT(ADDRESS(ROW() - 2, COLUMN())) = 13, 527,0)))))))))))))</f>
        <v>#VALUE!</v>
      </c>
      <c r="KL7" s="88" t="str">
        <f> IF(INDIRECT(ADDRESS(ROW() - 2, COLUMN())) = 1, 148, IF(INDIRECT(ADDRESS(ROW() - 2, COLUMN())) = 2, 159.1, IF(INDIRECT(ADDRESS(ROW() - 2, COLUMN())) = 3, 170.2, IF(INDIRECT(ADDRESS(ROW() - 2, COLUMN())) = 4, 185, IF(INDIRECT(ADDRESS(ROW() - 2, COLUMN())) = 5, 196.1, IF(INDIRECT(ADDRESS(ROW() - 2, COLUMN())) = 6, 207.2, IF(INDIRECT(ADDRESS(ROW() - 2, COLUMN())) = 7, 222, IF(INDIRECT(ADDRESS(ROW() - 2, COLUMN())) = 8, 236.799999999999, IF(INDIRECT(ADDRESS(ROW() - 2, COLUMN())) = 9, 251.6, IF(INDIRECT(ADDRESS(ROW() - 2, COLUMN())) = 10, 266.4, IF(INDIRECT(ADDRESS(ROW() - 2, COLUMN())) = 11, 281.2, IF(INDIRECT(ADDRESS(ROW() - 2, COLUMN())) = 12, 296, IF(INDIRECT(ADDRESS(ROW() - 2, COLUMN())) = 13, 314.5,0)))))))))))))</f>
        <v>#VALUE!</v>
      </c>
      <c r="KM7" s="88" t="str">
        <f> IF(INDIRECT(ADDRESS(ROW() - 2, COLUMN())) = 1, 37.754, IF(INDIRECT(ADDRESS(ROW() - 2, COLUMN())) = 2, 40.827, IF(INDIRECT(ADDRESS(ROW() - 2, COLUMN())) = 3, 43.9, IF(INDIRECT(ADDRESS(ROW() - 2, COLUMN())) = 4, 48.29, IF(INDIRECT(ADDRESS(ROW() - 2, COLUMN())) = 5, 51.363, IF(INDIRECT(ADDRESS(ROW() - 2, COLUMN())) = 6, 54.8749999999999, IF(INDIRECT(ADDRESS(ROW() - 2, COLUMN())) = 7, 59.704, IF(INDIRECT(ADDRESS(ROW() - 2, COLUMN())) = 8, 64.533, IF(INDIRECT(ADDRESS(ROW() - 2, COLUMN())) = 9, 69.362, IF(INDIRECT(ADDRESS(ROW() - 2, COLUMN())) = 10, 74.63, IF(INDIRECT(ADDRESS(ROW() - 2, COLUMN())) = 11, 79.898,0)))))))))))</f>
        <v>#VALUE!</v>
      </c>
      <c r="KN7" s="88" t="str">
        <f> IF(INDIRECT(ADDRESS(ROW() - 2, COLUMN())) = 1, 37.152, IF(INDIRECT(ADDRESS(ROW() - 2, COLUMN())) = 2, 40.176, IF(INDIRECT(ADDRESS(ROW() - 2, COLUMN())) = 3, 43.2, IF(INDIRECT(ADDRESS(ROW() - 2, COLUMN())) = 4, 47.52, IF(INDIRECT(ADDRESS(ROW() - 2, COLUMN())) = 5, 50.544, IF(INDIRECT(ADDRESS(ROW() - 2, COLUMN())) = 6, 54, IF(INDIRECT(ADDRESS(ROW() - 2, COLUMN())) = 7, 58.752, IF(INDIRECT(ADDRESS(ROW() - 2, COLUMN())) = 8, 63.504, IF(INDIRECT(ADDRESS(ROW() - 2, COLUMN())) = 9, 68.256, IF(INDIRECT(ADDRESS(ROW() - 2, COLUMN())) = 10, 73.44, IF(INDIRECT(ADDRESS(ROW() - 2, COLUMN())) = 11, 78.624,0)))))))))))</f>
        <v>#VALUE!</v>
      </c>
      <c r="KO7" s="88" t="str">
        <f> IF(INDIRECT(ADDRESS(ROW() - 2, COLUMN())) = 1, 49.45, IF(INDIRECT(ADDRESS(ROW() - 2, COLUMN())) = 2, 53.4749999999999, IF(INDIRECT(ADDRESS(ROW() - 2, COLUMN())) = 3, 57.4999999999999, IF(INDIRECT(ADDRESS(ROW() - 2, COLUMN())) = 4, 63.2499999999999, IF(INDIRECT(ADDRESS(ROW() - 2, COLUMN())) = 5, 67.2749999999999, IF(INDIRECT(ADDRESS(ROW() - 2, COLUMN())) = 6, 71.875, IF(INDIRECT(ADDRESS(ROW() - 2, COLUMN())) = 7, 78.2, IF(INDIRECT(ADDRESS(ROW() - 2, COLUMN())) = 8, 84.5249999999999, IF(INDIRECT(ADDRESS(ROW() - 2, COLUMN())) = 9, 90.85, IF(INDIRECT(ADDRESS(ROW() - 2, COLUMN())) = 10, 97.75, IF(INDIRECT(ADDRESS(ROW() - 2, COLUMN())) = 11, 104.65,0)))))))))))</f>
        <v>#VALUE!</v>
      </c>
      <c r="KP7" s="88" t="str">
        <f> IF(INDIRECT(ADDRESS(ROW() - 2, COLUMN())) = 1, 58.996, IF(INDIRECT(ADDRESS(ROW() - 2, COLUMN())) = 2, 63.798, IF(INDIRECT(ADDRESS(ROW() - 2, COLUMN())) = 3, 68.6, IF(INDIRECT(ADDRESS(ROW() - 2, COLUMN())) = 4, 75.46, IF(INDIRECT(ADDRESS(ROW() - 2, COLUMN())) = 5, 80.262, IF(INDIRECT(ADDRESS(ROW() - 2, COLUMN())) = 6, 85.75, IF(INDIRECT(ADDRESS(ROW() - 2, COLUMN())) = 7, 93.296, IF(INDIRECT(ADDRESS(ROW() - 2, COLUMN())) = 8, 100.842, IF(INDIRECT(ADDRESS(ROW() - 2, COLUMN())) = 9, 108.387999999999, IF(INDIRECT(ADDRESS(ROW() - 2, COLUMN())) = 10, 116.619999999999, IF(INDIRECT(ADDRESS(ROW() - 2, COLUMN())) = 11, 124.852,0)))))))))))</f>
        <v>#VALUE!</v>
      </c>
      <c r="KQ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KR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KS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KT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KU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KV7" s="88" t="str">
        <f> IF(INDIRECT(ADDRESS(ROW() - 2, COLUMN())) = 1, 107.2, IF(INDIRECT(ADDRESS(ROW() - 2, COLUMN())) = 2, 115.24, IF(INDIRECT(ADDRESS(ROW() - 2, COLUMN())) = 3, 123.279999999999, IF(INDIRECT(ADDRESS(ROW() - 2, COLUMN())) = 4, 134, IF(INDIRECT(ADDRESS(ROW() - 2, COLUMN())) = 5, 142.04, IF(INDIRECT(ADDRESS(ROW() - 2, COLUMN())) = 6, 150.079999999999, IF(INDIRECT(ADDRESS(ROW() - 2, COLUMN())) = 7, 160.8, IF(INDIRECT(ADDRESS(ROW() - 2, COLUMN())) = 8, 171.52, IF(INDIRECT(ADDRESS(ROW() - 2, COLUMN())) = 9, 182.24, IF(INDIRECT(ADDRESS(ROW() - 2, COLUMN())) = 10, 192.96, IF(INDIRECT(ADDRESS(ROW() - 2, COLUMN())) = 11, 203.68, IF(INDIRECT(ADDRESS(ROW() - 2, COLUMN())) = 12, 214.4, IF(INDIRECT(ADDRESS(ROW() - 2, COLUMN())) = 13, 227.8,0)))))))))))))</f>
        <v>#VALUE!</v>
      </c>
      <c r="KY7" s="88" t="str">
        <f> IF(INDIRECT(ADDRESS(ROW() - 2, COLUMN())) = 1, 37.4736, IF(INDIRECT(ADDRESS(ROW() - 2, COLUMN())) = 2, 40.2841, IF(INDIRECT(ADDRESS(ROW() - 2, COLUMN())) = 3, 43.0946, IF(INDIRECT(ADDRESS(ROW() - 2, COLUMN())) = 4, 46.842, IF(INDIRECT(ADDRESS(ROW() - 2, COLUMN())) = 5, 49.6524999999999, IF(INDIRECT(ADDRESS(ROW() - 2, COLUMN())) = 6, 52.463, IF(INDIRECT(ADDRESS(ROW() - 2, COLUMN())) = 7, 56.2104, IF(INDIRECT(ADDRESS(ROW() - 2, COLUMN())) = 8, 59.9578, IF(INDIRECT(ADDRESS(ROW() - 2, COLUMN())) = 9, 63.7051, IF(INDIRECT(ADDRESS(ROW() - 2, COLUMN())) = 10, 67.4525, IF(INDIRECT(ADDRESS(ROW() - 2, COLUMN())) = 11, 71.1998,0)))))))))))</f>
        <v>#VALUE!</v>
      </c>
      <c r="KZ7" s="88" t="str">
        <f> IF(INDIRECT(ADDRESS(ROW() - 2, COLUMN())) = 1, 36.852, IF(INDIRECT(ADDRESS(ROW() - 2, COLUMN())) = 2, 39.6158999999999, IF(INDIRECT(ADDRESS(ROW() - 2, COLUMN())) = 3, 42.3798, IF(INDIRECT(ADDRESS(ROW() - 2, COLUMN())) = 4, 46.065, IF(INDIRECT(ADDRESS(ROW() - 2, COLUMN())) = 5, 48.8289, IF(INDIRECT(ADDRESS(ROW() - 2, COLUMN())) = 6, 51.5928, IF(INDIRECT(ADDRESS(ROW() - 2, COLUMN())) = 7, 55.278, IF(INDIRECT(ADDRESS(ROW() - 2, COLUMN())) = 8, 58.9632, IF(INDIRECT(ADDRESS(ROW() - 2, COLUMN())) = 9, 62.6484, IF(INDIRECT(ADDRESS(ROW() - 2, COLUMN())) = 10, 66.3336, IF(INDIRECT(ADDRESS(ROW() - 2, COLUMN())) = 11, 70.0188,0)))))))))))</f>
        <v>#VALUE!</v>
      </c>
      <c r="LA7" s="88" t="str">
        <f> IF(INDIRECT(ADDRESS(ROW() - 2, COLUMN())) = 1, 51.06, IF(INDIRECT(ADDRESS(ROW() - 2, COLUMN())) = 2, 54.8895, IF(INDIRECT(ADDRESS(ROW() - 2, COLUMN())) = 3, 58.719, IF(INDIRECT(ADDRESS(ROW() - 2, COLUMN())) = 4, 63.8249999999999, IF(INDIRECT(ADDRESS(ROW() - 2, COLUMN())) = 5, 67.6545, IF(INDIRECT(ADDRESS(ROW() - 2, COLUMN())) = 6, 71.484, IF(INDIRECT(ADDRESS(ROW() - 2, COLUMN())) = 7, 76.59, IF(INDIRECT(ADDRESS(ROW() - 2, COLUMN())) = 8, 81.696, IF(INDIRECT(ADDRESS(ROW() - 2, COLUMN())) = 9, 86.802, IF(INDIRECT(ADDRESS(ROW() - 2, COLUMN())) = 10, 91.908, IF(INDIRECT(ADDRESS(ROW() - 2, COLUMN())) = 11, 97.014,0)))))))))))</f>
        <v>#VALUE!</v>
      </c>
      <c r="LB7" s="88" t="str">
        <f> IF(INDIRECT(ADDRESS(ROW() - 2, COLUMN())) = 1, 14.7824, IF(INDIRECT(ADDRESS(ROW() - 2, COLUMN())) = 2, 15.8911, IF(INDIRECT(ADDRESS(ROW() - 2, COLUMN())) = 3, 16.9998, IF(INDIRECT(ADDRESS(ROW() - 2, COLUMN())) = 4, 18.478, IF(INDIRECT(ADDRESS(ROW() - 2, COLUMN())) = 5, 19.5867, IF(INDIRECT(ADDRESS(ROW() - 2, COLUMN())) = 6, 20.6954, IF(INDIRECT(ADDRESS(ROW() - 2, COLUMN())) = 7, 22.1736, IF(INDIRECT(ADDRESS(ROW() - 2, COLUMN())) = 8, 23.6518, IF(INDIRECT(ADDRESS(ROW() - 2, COLUMN())) = 9, 25.1301, IF(INDIRECT(ADDRESS(ROW() - 2, COLUMN())) = 10, 26.6083, IF(INDIRECT(ADDRESS(ROW() - 2, COLUMN())) = 11, 28.0866,0)))))))))))</f>
        <v>#VALUE!</v>
      </c>
      <c r="LC7" s="88" t="str">
        <f> IF(INDIRECT(ADDRESS(ROW() - 2, COLUMN())) = 1, 16.2608, IF(INDIRECT(ADDRESS(ROW() - 2, COLUMN())) = 2, 17.4804, IF(INDIRECT(ADDRESS(ROW() - 2, COLUMN())) = 3, 18.6999, IF(INDIRECT(ADDRESS(ROW() - 2, COLUMN())) = 4, 20.326, IF(INDIRECT(ADDRESS(ROW() - 2, COLUMN())) = 5, 21.5456, IF(INDIRECT(ADDRESS(ROW() - 2, COLUMN())) = 6, 22.7651, IF(INDIRECT(ADDRESS(ROW() - 2, COLUMN())) = 7, 24.3911999999999, IF(INDIRECT(ADDRESS(ROW() - 2, COLUMN())) = 8, 26.0173, IF(INDIRECT(ADDRESS(ROW() - 2, COLUMN())) = 9, 27.6434, IF(INDIRECT(ADDRESS(ROW() - 2, COLUMN())) = 10, 29.2694, IF(INDIRECT(ADDRESS(ROW() - 2, COLUMN())) = 11, 30.8955,0)))))))))))</f>
        <v>#VALUE!</v>
      </c>
      <c r="LD7" s="88" t="str">
        <f> IF(INDIRECT(ADDRESS(ROW() - 2, COLUMN())) = 1, 19.2176, IF(INDIRECT(ADDRESS(ROW() - 2, COLUMN())) = 2, 20.6589, IF(INDIRECT(ADDRESS(ROW() - 2, COLUMN())) = 3, 22.1002, IF(INDIRECT(ADDRESS(ROW() - 2, COLUMN())) = 4, 24.022, IF(INDIRECT(ADDRESS(ROW() - 2, COLUMN())) = 5, 25.4633, IF(INDIRECT(ADDRESS(ROW() - 2, COLUMN())) = 6, 26.9046, IF(INDIRECT(ADDRESS(ROW() - 2, COLUMN())) = 7, 28.8264, IF(INDIRECT(ADDRESS(ROW() - 2, COLUMN())) = 8, 30.7481999999999, IF(INDIRECT(ADDRESS(ROW() - 2, COLUMN())) = 9, 32.6699, IF(INDIRECT(ADDRESS(ROW() - 2, COLUMN())) = 10, 34.5916999999999, IF(INDIRECT(ADDRESS(ROW() - 2, COLUMN())) = 11, 36.5134,0)))))))))))</f>
        <v>#VALUE!</v>
      </c>
      <c r="LE7" s="88" t="str">
        <f> IF(INDIRECT(ADDRESS(ROW() - 2, COLUMN())) = 1, 61.4496, IF(INDIRECT(ADDRESS(ROW() - 2, COLUMN())) = 2, 66.0583, IF(INDIRECT(ADDRESS(ROW() - 2, COLUMN())) = 3, 70.667, IF(INDIRECT(ADDRESS(ROW() - 2, COLUMN())) = 4, 76.812, IF(INDIRECT(ADDRESS(ROW() - 2, COLUMN())) = 5, 81.4207, IF(INDIRECT(ADDRESS(ROW() - 2, COLUMN())) = 6, 86.0294, IF(INDIRECT(ADDRESS(ROW() - 2, COLUMN())) = 7, 92.1744, IF(INDIRECT(ADDRESS(ROW() - 2, COLUMN())) = 8, 98.3194, IF(INDIRECT(ADDRESS(ROW() - 2, COLUMN())) = 9, 104.4643, IF(INDIRECT(ADDRESS(ROW() - 2, COLUMN())) = 10, 110.6093, IF(INDIRECT(ADDRESS(ROW() - 2, COLUMN())) = 11, 116.7542,0)))))))))))</f>
        <v>#VALUE!</v>
      </c>
      <c r="LF7" s="88" t="str">
        <f> IF(INDIRECT(ADDRESS(ROW() - 2, COLUMN())) = 1, 73, IF(INDIRECT(ADDRESS(ROW() - 2, COLUMN())) = 2, 78.475, IF(INDIRECT(ADDRESS(ROW() - 2, COLUMN())) = 3, 83.95, IF(INDIRECT(ADDRESS(ROW() - 2, COLUMN())) = 4, 91.25, IF(INDIRECT(ADDRESS(ROW() - 2, COLUMN())) = 5, 96.725, IF(INDIRECT(ADDRESS(ROW() - 2, COLUMN())) = 6, 102.2, IF(INDIRECT(ADDRESS(ROW() - 2, COLUMN())) = 7, 109.5, IF(INDIRECT(ADDRESS(ROW() - 2, COLUMN())) = 8, 116.8, IF(INDIRECT(ADDRESS(ROW() - 2, COLUMN())) = 9, 124.1, IF(INDIRECT(ADDRESS(ROW() - 2, COLUMN())) = 10, 131.4, IF(INDIRECT(ADDRESS(ROW() - 2, COLUMN())) = 11, 138.7,0)))))))))))</f>
        <v>#VALUE!</v>
      </c>
      <c r="LG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LH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LI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LJ7" s="88" t="str">
        <f t="shared" ref="LJ7:LN7" si="462"> IF(INDIRECT(ADDRESS(ROW() - 2, COLUMN())) = 1, 227.519999999999, IF(INDIRECT(ADDRESS(ROW() - 2, COLUMN())) = 2, 244.584, IF(INDIRECT(ADDRESS(ROW() - 2, COLUMN())) = 3, 261.648, IF(INDIRECT(ADDRESS(ROW() - 2, COLUMN())) = 4, 284.4, IF(INDIRECT(ADDRESS(ROW() - 2, COLUMN())) = 5, 301.464, IF(INDIRECT(ADDRESS(ROW() - 2, COLUMN())) = 6, 318.528, IF(INDIRECT(ADDRESS(ROW() - 2, COLUMN())) = 7, 341.28, IF(INDIRECT(ADDRESS(ROW() - 2, COLUMN())) = 8, 364.032, IF(INDIRECT(ADDRESS(ROW() - 2, COLUMN())) = 9, 386.784, IF(INDIRECT(ADDRESS(ROW() - 2, COLUMN())) = 10, 409.536, IF(INDIRECT(ADDRESS(ROW() - 2, COLUMN())) = 11, 432.287999999999, IF(INDIRECT(ADDRESS(ROW() - 2, COLUMN())) = 12, 455.039999999999, IF(INDIRECT(ADDRESS(ROW() - 2, COLUMN())) = 13, 483.48,0)))))))))))))</f>
        <v>#VALUE!</v>
      </c>
      <c r="LK7" s="88" t="str">
        <f t="shared" si="462"/>
        <v>#VALUE!</v>
      </c>
      <c r="LL7" s="88" t="str">
        <f t="shared" si="462"/>
        <v>#VALUE!</v>
      </c>
      <c r="LM7" s="88" t="str">
        <f t="shared" si="462"/>
        <v>#VALUE!</v>
      </c>
      <c r="LN7" s="88" t="str">
        <f t="shared" si="462"/>
        <v>#VALUE!</v>
      </c>
      <c r="LO7" s="88" t="str">
        <f> IF(INDIRECT(ADDRESS(ROW() - 2, COLUMN())) = 1, 314.688, IF(INDIRECT(ADDRESS(ROW() - 2, COLUMN())) = 2, 338.2896, IF(INDIRECT(ADDRESS(ROW() - 2, COLUMN())) = 3, 361.891199999999, IF(INDIRECT(ADDRESS(ROW() - 2, COLUMN())) = 4, 393.36, IF(INDIRECT(ADDRESS(ROW() - 2, COLUMN())) = 5, 416.9616, IF(INDIRECT(ADDRESS(ROW() - 2, COLUMN())) = 6, 440.5632, IF(INDIRECT(ADDRESS(ROW() - 2, COLUMN())) = 7, 472.032, IF(INDIRECT(ADDRESS(ROW() - 2, COLUMN())) = 8, 503.5008, IF(INDIRECT(ADDRESS(ROW() - 2, COLUMN())) = 9, 534.9696, IF(INDIRECT(ADDRESS(ROW() - 2, COLUMN())) = 10, 566.4384, IF(INDIRECT(ADDRESS(ROW() - 2, COLUMN())) = 11, 597.9072, IF(INDIRECT(ADDRESS(ROW() - 2, COLUMN())) = 12, 629.376, IF(INDIRECT(ADDRESS(ROW() - 2, COLUMN())) = 13, 668.712,0)))))))))))))</f>
        <v>#VALUE!</v>
      </c>
      <c r="LP7" s="88" t="str">
        <f> IF(INDIRECT(ADDRESS(ROW() - 2, COLUMN())) = 1, 21.456, IF(INDIRECT(ADDRESS(ROW() - 2, COLUMN())) = 2, 23.0652, IF(INDIRECT(ADDRESS(ROW() - 2, COLUMN())) = 3, 24.6744, IF(INDIRECT(ADDRESS(ROW() - 2, COLUMN())) = 4, 26.82, IF(INDIRECT(ADDRESS(ROW() - 2, COLUMN())) = 5, 28.4291999999999, IF(INDIRECT(ADDRESS(ROW() - 2, COLUMN())) = 6, 30.0384, IF(INDIRECT(ADDRESS(ROW() - 2, COLUMN())) = 7, 32.184, IF(INDIRECT(ADDRESS(ROW() - 2, COLUMN())) = 8, 34.3296, IF(INDIRECT(ADDRESS(ROW() - 2, COLUMN())) = 9, 36.4752, IF(INDIRECT(ADDRESS(ROW() - 2, COLUMN())) = 10, 38.6208, IF(INDIRECT(ADDRESS(ROW() - 2, COLUMN())) = 11, 40.7664, IF(INDIRECT(ADDRESS(ROW() - 2, COLUMN())) = 12, 42.912, IF(INDIRECT(ADDRESS(ROW() - 2, COLUMN())) = 13, 45.594,0)))))))))))))</f>
        <v>#VALUE!</v>
      </c>
      <c r="LQ7" s="88" t="str">
        <f> IF(INDIRECT(ADDRESS(ROW() - 2, COLUMN())) = 1, 79.2317999999999, IF(INDIRECT(ADDRESS(ROW() - 2, COLUMN())) = 2, 85.6809, IF(INDIRECT(ADDRESS(ROW() - 2, COLUMN())) = 3, 92.13, IF(INDIRECT(ADDRESS(ROW() - 2, COLUMN())) = 4, 101.343, IF(INDIRECT(ADDRESS(ROW() - 2, COLUMN())) = 5, 107.792099999999, IF(INDIRECT(ADDRESS(ROW() - 2, COLUMN())) = 6, 115.1625, IF(INDIRECT(ADDRESS(ROW() - 2, COLUMN())) = 7, 125.2968, IF(INDIRECT(ADDRESS(ROW() - 2, COLUMN())) = 8, 135.4311, IF(INDIRECT(ADDRESS(ROW() - 2, COLUMN())) = 9, 145.5654, IF(INDIRECT(ADDRESS(ROW() - 2, COLUMN())) = 10, 156.621, IF(INDIRECT(ADDRESS(ROW() - 2, COLUMN())) = 11, 169.2889,0)))))))))))</f>
        <v>#VALUE!</v>
      </c>
      <c r="LR7" s="88" t="str">
        <f> IF(INDIRECT(ADDRESS(ROW() - 2, COLUMN())) = 1, 76.368, IF(INDIRECT(ADDRESS(ROW() - 2, COLUMN())) = 2, 82.584, IF(INDIRECT(ADDRESS(ROW() - 2, COLUMN())) = 3, 88.8, IF(INDIRECT(ADDRESS(ROW() - 2, COLUMN())) = 4, 97.68, IF(INDIRECT(ADDRESS(ROW() - 2, COLUMN())) = 5, 103.896, IF(INDIRECT(ADDRESS(ROW() - 2, COLUMN())) = 6, 111, IF(INDIRECT(ADDRESS(ROW() - 2, COLUMN())) = 7, 120.768, IF(INDIRECT(ADDRESS(ROW() - 2, COLUMN())) = 8, 130.536, IF(INDIRECT(ADDRESS(ROW() - 2, COLUMN())) = 9, 140.304, IF(INDIRECT(ADDRESS(ROW() - 2, COLUMN())) = 10, 150.96, IF(INDIRECT(ADDRESS(ROW() - 2, COLUMN())) = 11, 163.17,0)))))))))))</f>
        <v>#VALUE!</v>
      </c>
      <c r="LS7" s="88" t="str">
        <f> IF(INDIRECT(ADDRESS(ROW() - 2, COLUMN())) = 1, 91.6416, IF(INDIRECT(ADDRESS(ROW() - 2, COLUMN())) = 2, 99.1008, IF(INDIRECT(ADDRESS(ROW() - 2, COLUMN())) = 3, 106.56, IF(INDIRECT(ADDRESS(ROW() - 2, COLUMN())) = 4, 117.216, IF(INDIRECT(ADDRESS(ROW() - 2, COLUMN())) = 5, 124.6752, IF(INDIRECT(ADDRESS(ROW() - 2, COLUMN())) = 6, 133.2, IF(INDIRECT(ADDRESS(ROW() - 2, COLUMN())) = 7, 144.9216, IF(INDIRECT(ADDRESS(ROW() - 2, COLUMN())) = 8, 156.6432, IF(INDIRECT(ADDRESS(ROW() - 2, COLUMN())) = 9, 168.3648, IF(INDIRECT(ADDRESS(ROW() - 2, COLUMN())) = 10, 181.152, IF(INDIRECT(ADDRESS(ROW() - 2, COLUMN())) = 11, 195.804,0)))))))))))</f>
        <v>#VALUE!</v>
      </c>
      <c r="LT7" s="88" t="str">
        <f> IF(INDIRECT(ADDRESS(ROW() - 2, COLUMN())) = 1, 117.2249, IF(INDIRECT(ADDRESS(ROW() - 2, COLUMN())) = 2, 126.766399999999, IF(INDIRECT(ADDRESS(ROW() - 2, COLUMN())) = 3, 136.308, IF(INDIRECT(ADDRESS(ROW() - 2, COLUMN())) = 4, 149.9388, IF(INDIRECT(ADDRESS(ROW() - 2, COLUMN())) = 5, 159.4804, IF(INDIRECT(ADDRESS(ROW() - 2, COLUMN())) = 6, 170.385, IF(INDIRECT(ADDRESS(ROW() - 2, COLUMN())) = 7, 185.3789, IF(INDIRECT(ADDRESS(ROW() - 2, COLUMN())) = 8, 200.3728, IF(INDIRECT(ADDRESS(ROW() - 2, COLUMN())) = 9, 215.366599999999, IF(INDIRECT(ADDRESS(ROW() - 2, COLUMN())) = 10, 231.723599999999, IF(INDIRECT(ADDRESS(ROW() - 2, COLUMN())) = 11, 250.4659,0)))))))))))</f>
        <v>#VALUE!</v>
      </c>
      <c r="LU7" s="88" t="str">
        <f> IF(INDIRECT(ADDRESS(ROW() - 2, COLUMN())) = 1, 91.16, IF(INDIRECT(ADDRESS(ROW() - 2, COLUMN())) = 2, 98.58, IF(INDIRECT(ADDRESS(ROW() - 2, COLUMN())) = 3, 106, IF(INDIRECT(ADDRESS(ROW() - 2, COLUMN())) = 4, 116.6, IF(INDIRECT(ADDRESS(ROW() - 2, COLUMN())) = 5, 124.02, IF(INDIRECT(ADDRESS(ROW() - 2, COLUMN())) = 6, 132.5, IF(INDIRECT(ADDRESS(ROW() - 2, COLUMN())) = 7, 144.16, IF(INDIRECT(ADDRESS(ROW() - 2, COLUMN())) = 8, 155.82, IF(INDIRECT(ADDRESS(ROW() - 2, COLUMN())) = 9, 167.48, IF(INDIRECT(ADDRESS(ROW() - 2, COLUMN())) = 10, 180.2, IF(INDIRECT(ADDRESS(ROW() - 2, COLUMN())) = 11, 194.775,0)))))))))))</f>
        <v>#VALUE!</v>
      </c>
      <c r="LV7" s="88" t="str">
        <f> IF(INDIRECT(ADDRESS(ROW() - 2, COLUMN())) = 1, 190.92, IF(INDIRECT(ADDRESS(ROW() - 2, COLUMN())) = 2, 206.46, IF(INDIRECT(ADDRESS(ROW() - 2, COLUMN())) = 3, 222, IF(INDIRECT(ADDRESS(ROW() - 2, COLUMN())) = 4, 244.2, IF(INDIRECT(ADDRESS(ROW() - 2, COLUMN())) = 5, 259.74, IF(INDIRECT(ADDRESS(ROW() - 2, COLUMN())) = 6, 277.5, IF(INDIRECT(ADDRESS(ROW() - 2, COLUMN())) = 7, 301.92, IF(INDIRECT(ADDRESS(ROW() - 2, COLUMN())) = 8, 326.34, IF(INDIRECT(ADDRESS(ROW() - 2, COLUMN())) = 9, 350.76, IF(INDIRECT(ADDRESS(ROW() - 2, COLUMN())) = 10, 377.4, IF(INDIRECT(ADDRESS(ROW() - 2, COLUMN())) = 11, 407.925,0)))))))))))</f>
        <v>#VALUE!</v>
      </c>
      <c r="LW7" s="88" t="str">
        <f> IF(INDIRECT(ADDRESS(ROW() - 2, COLUMN())) = 1, 90.472, IF(INDIRECT(ADDRESS(ROW() - 2, COLUMN())) = 2, 97.836, IF(INDIRECT(ADDRESS(ROW() - 2, COLUMN())) = 3, 105.2, IF(INDIRECT(ADDRESS(ROW() - 2, COLUMN())) = 4, 115.72, IF(INDIRECT(ADDRESS(ROW() - 2, COLUMN())) = 5, 123.083999999999, IF(INDIRECT(ADDRESS(ROW() - 2, COLUMN())) = 6, 131.5, IF(INDIRECT(ADDRESS(ROW() - 2, COLUMN())) = 7, 143.072, IF(INDIRECT(ADDRESS(ROW() - 2, COLUMN())) = 8, 154.644, IF(INDIRECT(ADDRESS(ROW() - 2, COLUMN())) = 9, 166.216, IF(INDIRECT(ADDRESS(ROW() - 2, COLUMN())) = 10, 178.84, IF(INDIRECT(ADDRESS(ROW() - 2, COLUMN())) = 11, 193.305,0)))))))))))</f>
        <v>#VALUE!</v>
      </c>
      <c r="LX7" s="88" t="str">
        <f> IF(INDIRECT(ADDRESS(ROW() - 2, COLUMN())) = 1, 81.8335, IF(INDIRECT(ADDRESS(ROW() - 2, COLUMN())) = 2, 88.4943, IF(INDIRECT(ADDRESS(ROW() - 2, COLUMN())) = 3, 95.1552, IF(INDIRECT(ADDRESS(ROW() - 2, COLUMN())) = 4, 104.6707, IF(INDIRECT(ADDRESS(ROW() - 2, COLUMN())) = 5, 111.3316, IF(INDIRECT(ADDRESS(ROW() - 2, COLUMN())) = 6, 118.944, IF(INDIRECT(ADDRESS(ROW() - 2, COLUMN())) = 7, 129.4111, IF(INDIRECT(ADDRESS(ROW() - 2, COLUMN())) = 8, 139.8781, IF(INDIRECT(ADDRESS(ROW() - 2, COLUMN())) = 9, 150.3452, IF(INDIRECT(ADDRESS(ROW() - 2, COLUMN())) = 10, 161.7638, IF(INDIRECT(ADDRESS(ROW() - 2, COLUMN())) = 11, 173.1825,0)))))))))))</f>
        <v>#VALUE!</v>
      </c>
      <c r="LY7" s="88" t="str">
        <f> IF(INDIRECT(ADDRESS(ROW() - 2, COLUMN())) = 1, 163.6323, IF(INDIRECT(ADDRESS(ROW() - 2, COLUMN())) = 2, 176.9512, IF(INDIRECT(ADDRESS(ROW() - 2, COLUMN())) = 3, 190.270099999999, IF(INDIRECT(ADDRESS(ROW() - 2, COLUMN())) = 4, 209.2971, IF(INDIRECT(ADDRESS(ROW() - 2, COLUMN())) = 5, 222.616, IF(INDIRECT(ADDRESS(ROW() - 2, COLUMN())) = 6, 237.837599999999, IF(INDIRECT(ADDRESS(ROW() - 2, COLUMN())) = 7, 258.7673, IF(INDIRECT(ADDRESS(ROW() - 2, COLUMN())) = 8, 279.697, IF(INDIRECT(ADDRESS(ROW() - 2, COLUMN())) = 9, 300.626699999999, IF(INDIRECT(ADDRESS(ROW() - 2, COLUMN())) = 10, 323.4591, IF(INDIRECT(ADDRESS(ROW() - 2, COLUMN())) = 11, 346.2915,0)))))))))))</f>
        <v>#VALUE!</v>
      </c>
      <c r="LZ7" s="88" t="str">
        <f> IF(INDIRECT(ADDRESS(ROW() - 2, COLUMN())) = 1, 204.3855, IF(INDIRECT(ADDRESS(ROW() - 2, COLUMN())) = 2, 221.0216, IF(INDIRECT(ADDRESS(ROW() - 2, COLUMN())) = 3, 237.6576, IF(INDIRECT(ADDRESS(ROW() - 2, COLUMN())) = 4, 261.4234, IF(INDIRECT(ADDRESS(ROW() - 2, COLUMN())) = 5, 278.0594, IF(INDIRECT(ADDRESS(ROW() - 2, COLUMN())) = 6, 297.072, IF(INDIRECT(ADDRESS(ROW() - 2, COLUMN())) = 7, 323.2143, IF(INDIRECT(ADDRESS(ROW() - 2, COLUMN())) = 8, 349.3567, IF(INDIRECT(ADDRESS(ROW() - 2, COLUMN())) = 9, 375.498999999999, IF(INDIRECT(ADDRESS(ROW() - 2, COLUMN())) = 10, 404.0179, IF(INDIRECT(ADDRESS(ROW() - 2, COLUMN())) = 11, 432.5368,0)))))))))))</f>
        <v>#VALUE!</v>
      </c>
      <c r="MA7" s="88" t="str">
        <f> IF(INDIRECT(ADDRESS(ROW() - 2, COLUMN())) = 1, 307.2, IF(INDIRECT(ADDRESS(ROW() - 2, COLUMN())) = 2, 330.24, IF(INDIRECT(ADDRESS(ROW() - 2, COLUMN())) = 3, 353.28, IF(INDIRECT(ADDRESS(ROW() - 2, COLUMN())) = 4, 384, IF(INDIRECT(ADDRESS(ROW() - 2, COLUMN())) = 5, 407.04, IF(INDIRECT(ADDRESS(ROW() - 2, COLUMN())) = 6, 430.08, IF(INDIRECT(ADDRESS(ROW() - 2, COLUMN())) = 7, 460.799999999999, IF(INDIRECT(ADDRESS(ROW() - 2, COLUMN())) = 8, 491.52, IF(INDIRECT(ADDRESS(ROW() - 2, COLUMN())) = 9, 522.24, IF(INDIRECT(ADDRESS(ROW() - 2, COLUMN())) = 10, 552.96, IF(INDIRECT(ADDRESS(ROW() - 2, COLUMN())) = 11, 583.68, IF(INDIRECT(ADDRESS(ROW() - 2, COLUMN())) = 12, 614.4, IF(INDIRECT(ADDRESS(ROW() - 2, COLUMN())) = 13, 652.8,0)))))))))))))</f>
        <v>#VALUE!</v>
      </c>
      <c r="MB7" s="88" t="str">
        <f> IF(INDIRECT(ADDRESS(ROW() - 2, COLUMN())) = 1, 48.332, IF(INDIRECT(ADDRESS(ROW() - 2, COLUMN())) = 2, 52.266, IF(INDIRECT(ADDRESS(ROW() - 2, COLUMN())) = 3, 56.2, IF(INDIRECT(ADDRESS(ROW() - 2, COLUMN())) = 4, 61.82, IF(INDIRECT(ADDRESS(ROW() - 2, COLUMN())) = 5, 65.754, IF(INDIRECT(ADDRESS(ROW() - 2, COLUMN())) = 6, 70.25, IF(INDIRECT(ADDRESS(ROW() - 2, COLUMN())) = 7, 76.432, IF(INDIRECT(ADDRESS(ROW() - 2, COLUMN())) = 8, 82.614, IF(INDIRECT(ADDRESS(ROW() - 2, COLUMN())) = 9, 88.7959999999999, IF(INDIRECT(ADDRESS(ROW() - 2, COLUMN())) = 10, 95.54, IF(INDIRECT(ADDRESS(ROW() - 2, COLUMN())) = 11, 103.2675,0)))))))))))</f>
        <v>#VALUE!</v>
      </c>
      <c r="MC7" s="88" t="str">
        <f> IF(INDIRECT(ADDRESS(ROW() - 2, COLUMN())) = 1, 45.58, IF(INDIRECT(ADDRESS(ROW() - 2, COLUMN())) = 2, 49.29, IF(INDIRECT(ADDRESS(ROW() - 2, COLUMN())) = 3, 53, IF(INDIRECT(ADDRESS(ROW() - 2, COLUMN())) = 4, 58.3, IF(INDIRECT(ADDRESS(ROW() - 2, COLUMN())) = 5, 62.01, IF(INDIRECT(ADDRESS(ROW() - 2, COLUMN())) = 6, 66.25, IF(INDIRECT(ADDRESS(ROW() - 2, COLUMN())) = 7, 72.08, IF(INDIRECT(ADDRESS(ROW() - 2, COLUMN())) = 8, 77.91, IF(INDIRECT(ADDRESS(ROW() - 2, COLUMN())) = 9, 83.74, IF(INDIRECT(ADDRESS(ROW() - 2, COLUMN())) = 10, 90.1, IF(INDIRECT(ADDRESS(ROW() - 2, COLUMN())) = 11, 97.3875,0)))))))))))</f>
        <v>#VALUE!</v>
      </c>
      <c r="MD7" s="88" t="str">
        <f> IF(INDIRECT(ADDRESS(ROW() - 2, COLUMN())) = 1, 60.2859999999999, IF(INDIRECT(ADDRESS(ROW() - 2, COLUMN())) = 2, 65.193, IF(INDIRECT(ADDRESS(ROW() - 2, COLUMN())) = 3, 70.1, IF(INDIRECT(ADDRESS(ROW() - 2, COLUMN())) = 4, 77.11, IF(INDIRECT(ADDRESS(ROW() - 2, COLUMN())) = 5, 82.017, IF(INDIRECT(ADDRESS(ROW() - 2, COLUMN())) = 6, 87.625, IF(INDIRECT(ADDRESS(ROW() - 2, COLUMN())) = 7, 95.336, IF(INDIRECT(ADDRESS(ROW() - 2, COLUMN())) = 8, 103.047, IF(INDIRECT(ADDRESS(ROW() - 2, COLUMN())) = 9, 110.758, IF(INDIRECT(ADDRESS(ROW() - 2, COLUMN())) = 10, 119.17, IF(INDIRECT(ADDRESS(ROW() - 2, COLUMN())) = 11, 128.8088,0)))))))))))</f>
        <v>#VALUE!</v>
      </c>
      <c r="ME7" s="88" t="str">
        <f> IF(INDIRECT(ADDRESS(ROW() - 2, COLUMN())) = 1, 65.876, IF(INDIRECT(ADDRESS(ROW() - 2, COLUMN())) = 2, 71.238, IF(INDIRECT(ADDRESS(ROW() - 2, COLUMN())) = 3, 76.6, IF(INDIRECT(ADDRESS(ROW() - 2, COLUMN())) = 4, 84.26, IF(INDIRECT(ADDRESS(ROW() - 2, COLUMN())) = 5, 89.622, IF(INDIRECT(ADDRESS(ROW() - 2, COLUMN())) = 6, 95.75, IF(INDIRECT(ADDRESS(ROW() - 2, COLUMN())) = 7, 104.176, IF(INDIRECT(ADDRESS(ROW() - 2, COLUMN())) = 8, 112.602, IF(INDIRECT(ADDRESS(ROW() - 2, COLUMN())) = 9, 121.028, IF(INDIRECT(ADDRESS(ROW() - 2, COLUMN())) = 10, 130.22, IF(INDIRECT(ADDRESS(ROW() - 2, COLUMN())) = 11, 140.7525,0)))))))))))</f>
        <v>#VALUE!</v>
      </c>
      <c r="MF7" s="88" t="str">
        <f> IF(INDIRECT(ADDRESS(ROW() - 2, COLUMN())) = 1, 79.206, IF(INDIRECT(ADDRESS(ROW() - 2, COLUMN())) = 2, 85.653, IF(INDIRECT(ADDRESS(ROW() - 2, COLUMN())) = 3, 92.1, IF(INDIRECT(ADDRESS(ROW() - 2, COLUMN())) = 4, 101.309999999999, IF(INDIRECT(ADDRESS(ROW() - 2, COLUMN())) = 5, 107.756999999999, IF(INDIRECT(ADDRESS(ROW() - 2, COLUMN())) = 6, 115.125, IF(INDIRECT(ADDRESS(ROW() - 2, COLUMN())) = 7, 125.255999999999, IF(INDIRECT(ADDRESS(ROW() - 2, COLUMN())) = 8, 135.387, IF(INDIRECT(ADDRESS(ROW() - 2, COLUMN())) = 9, 145.518, IF(INDIRECT(ADDRESS(ROW() - 2, COLUMN())) = 10, 156.57, IF(INDIRECT(ADDRESS(ROW() - 2, COLUMN())) = 11, 169.2338,0)))))))))))</f>
        <v>#VALUE!</v>
      </c>
      <c r="MG7" s="88" t="str">
        <f> IF(INDIRECT(ADDRESS(ROW() - 2, COLUMN())) = 1, 162.024, IF(INDIRECT(ADDRESS(ROW() - 2, COLUMN())) = 2, 175.212, IF(INDIRECT(ADDRESS(ROW() - 2, COLUMN())) = 3, 188.399999999999, IF(INDIRECT(ADDRESS(ROW() - 2, COLUMN())) = 4, 207.24, IF(INDIRECT(ADDRESS(ROW() - 2, COLUMN())) = 5, 220.427999999999, IF(INDIRECT(ADDRESS(ROW() - 2, COLUMN())) = 6, 235.5, IF(INDIRECT(ADDRESS(ROW() - 2, COLUMN())) = 7, 256.224, IF(INDIRECT(ADDRESS(ROW() - 2, COLUMN())) = 8, 276.948, IF(INDIRECT(ADDRESS(ROW() - 2, COLUMN())) = 9, 297.671999999999, IF(INDIRECT(ADDRESS(ROW() - 2, COLUMN())) = 10, 320.28, IF(INDIRECT(ADDRESS(ROW() - 2, COLUMN())) = 11, 346.185,0)))))))))))</f>
        <v>#VALUE!</v>
      </c>
      <c r="MH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MI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MJ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MK7" s="88" t="str">
        <f> IF(INDIRECT(ADDRESS(ROW() - 2, COLUMN())) = 1, 292, IF(INDIRECT(ADDRESS(ROW() - 2, COLUMN())) = 2, 313.9, IF(INDIRECT(ADDRESS(ROW() - 2, COLUMN())) = 3, 335.8, IF(INDIRECT(ADDRESS(ROW() - 2, COLUMN())) = 4, 365, IF(INDIRECT(ADDRESS(ROW() - 2, COLUMN())) = 5, 386.9, IF(INDIRECT(ADDRESS(ROW() - 2, COLUMN())) = 6, 408.8, IF(INDIRECT(ADDRESS(ROW() - 2, COLUMN())) = 7, 438, IF(INDIRECT(ADDRESS(ROW() - 2, COLUMN())) = 8, 467.2, IF(INDIRECT(ADDRESS(ROW() - 2, COLUMN())) = 9, 496.4, IF(INDIRECT(ADDRESS(ROW() - 2, COLUMN())) = 10, 525.6, IF(INDIRECT(ADDRESS(ROW() - 2, COLUMN())) = 11, 554.8, IF(INDIRECT(ADDRESS(ROW() - 2, COLUMN())) = 12, 584, IF(INDIRECT(ADDRESS(ROW() - 2, COLUMN())) = 13, 620.5,0)))))))))))))</f>
        <v>#VALUE!</v>
      </c>
      <c r="ML7" s="88" t="str">
        <f> IF(INDIRECT(ADDRESS(ROW() - 2, COLUMN())) = 1, 424.8, IF(INDIRECT(ADDRESS(ROW() - 2, COLUMN())) = 2, 456.66, IF(INDIRECT(ADDRESS(ROW() - 2, COLUMN())) = 3, 488.52, IF(INDIRECT(ADDRESS(ROW() - 2, COLUMN())) = 4, 531, IF(INDIRECT(ADDRESS(ROW() - 2, COLUMN())) = 5, 562.86, IF(INDIRECT(ADDRESS(ROW() - 2, COLUMN())) = 6, 594.719999999999, IF(INDIRECT(ADDRESS(ROW() - 2, COLUMN())) = 7, 637.2, IF(INDIRECT(ADDRESS(ROW() - 2, COLUMN())) = 8, 679.68, IF(INDIRECT(ADDRESS(ROW() - 2, COLUMN())) = 9, 722.16, IF(INDIRECT(ADDRESS(ROW() - 2, COLUMN())) = 10, 764.64, IF(INDIRECT(ADDRESS(ROW() - 2, COLUMN())) = 11, 807.119999999999, IF(INDIRECT(ADDRESS(ROW() - 2, COLUMN())) = 12, 849.6, IF(INDIRECT(ADDRESS(ROW() - 2, COLUMN())) = 13, 902.699999999999,0)))))))))))))</f>
        <v>#VALUE!</v>
      </c>
      <c r="MM7" s="88" t="str">
        <f> IF(INDIRECT(ADDRESS(ROW() - 2, COLUMN())) = 1, 78.4, IF(INDIRECT(ADDRESS(ROW() - 2, COLUMN())) = 2, 84.28, IF(INDIRECT(ADDRESS(ROW() - 2, COLUMN())) = 3, 90.16, IF(INDIRECT(ADDRESS(ROW() - 2, COLUMN())) = 4, 98, IF(INDIRECT(ADDRESS(ROW() - 2, COLUMN())) = 5, 103.88, IF(INDIRECT(ADDRESS(ROW() - 2, COLUMN())) = 6, 109.759999999999, IF(INDIRECT(ADDRESS(ROW() - 2, COLUMN())) = 7, 117.6, IF(INDIRECT(ADDRESS(ROW() - 2, COLUMN())) = 8, 125.44, IF(INDIRECT(ADDRESS(ROW() - 2, COLUMN())) = 9, 133.28, IF(INDIRECT(ADDRESS(ROW() - 2, COLUMN())) = 10, 141.12, IF(INDIRECT(ADDRESS(ROW() - 2, COLUMN())) = 11, 148.96, IF(INDIRECT(ADDRESS(ROW() - 2, COLUMN())) = 12, 156.8, IF(INDIRECT(ADDRESS(ROW() - 2, COLUMN())) = 13, 166.6,0)))))))))))))</f>
        <v>#VALUE!</v>
      </c>
      <c r="MN7" s="88" t="str">
        <f> IF(INDIRECT(ADDRESS(ROW() - 2, COLUMN())) = 1, 53.75, IF(INDIRECT(ADDRESS(ROW() - 2, COLUMN())) = 2, 58.125, IF(INDIRECT(ADDRESS(ROW() - 2, COLUMN())) = 3, 62.5, IF(INDIRECT(ADDRESS(ROW() - 2, COLUMN())) = 4, 68.75, IF(INDIRECT(ADDRESS(ROW() - 2, COLUMN())) = 5, 73.125, IF(INDIRECT(ADDRESS(ROW() - 2, COLUMN())) = 6, 78.125, IF(INDIRECT(ADDRESS(ROW() - 2, COLUMN())) = 7, 85, IF(INDIRECT(ADDRESS(ROW() - 2, COLUMN())) = 8, 91.875, IF(INDIRECT(ADDRESS(ROW() - 2, COLUMN())) = 9, 98.75, IF(INDIRECT(ADDRESS(ROW() - 2, COLUMN())) = 10, 106.25, IF(INDIRECT(ADDRESS(ROW() - 2, COLUMN())) = 11, 114.8438,0)))))))))))</f>
        <v>#VALUE!</v>
      </c>
      <c r="MO7" s="88" t="str">
        <f> IF(INDIRECT(ADDRESS(ROW() - 2, COLUMN())) = 1, 51.686, IF(INDIRECT(ADDRESS(ROW() - 2, COLUMN())) = 2, 55.893, IF(INDIRECT(ADDRESS(ROW() - 2, COLUMN())) = 3, 60.0999999999999, IF(INDIRECT(ADDRESS(ROW() - 2, COLUMN())) = 4, 66.11, IF(INDIRECT(ADDRESS(ROW() - 2, COLUMN())) = 5, 70.317, IF(INDIRECT(ADDRESS(ROW() - 2, COLUMN())) = 6, 75.125, IF(INDIRECT(ADDRESS(ROW() - 2, COLUMN())) = 7, 81.736, IF(INDIRECT(ADDRESS(ROW() - 2, COLUMN())) = 8, 88.347, IF(INDIRECT(ADDRESS(ROW() - 2, COLUMN())) = 9, 94.958, IF(INDIRECT(ADDRESS(ROW() - 2, COLUMN())) = 10, 102.17, IF(INDIRECT(ADDRESS(ROW() - 2, COLUMN())) = 11, 110.433699999999,0)))))))))))</f>
        <v>#VALUE!</v>
      </c>
      <c r="MP7" s="88" t="str">
        <f> IF(INDIRECT(ADDRESS(ROW() - 2, COLUMN())) = 1, 65.274, IF(INDIRECT(ADDRESS(ROW() - 2, COLUMN())) = 2, 70.587, IF(INDIRECT(ADDRESS(ROW() - 2, COLUMN())) = 3, 75.9, IF(INDIRECT(ADDRESS(ROW() - 2, COLUMN())) = 4, 83.49, IF(INDIRECT(ADDRESS(ROW() - 2, COLUMN())) = 5, 88.803, IF(INDIRECT(ADDRESS(ROW() - 2, COLUMN())) = 6, 94.875, IF(INDIRECT(ADDRESS(ROW() - 2, COLUMN())) = 7, 103.224, IF(INDIRECT(ADDRESS(ROW() - 2, COLUMN())) = 8, 111.573, IF(INDIRECT(ADDRESS(ROW() - 2, COLUMN())) = 9, 119.922, IF(INDIRECT(ADDRESS(ROW() - 2, COLUMN())) = 10, 129.03, IF(INDIRECT(ADDRESS(ROW() - 2, COLUMN())) = 11, 139.4662,0)))))))))))</f>
        <v>#VALUE!</v>
      </c>
      <c r="MQ7" s="88" t="str">
        <f> IF(INDIRECT(ADDRESS(ROW() - 2, COLUMN())) = 1, 70.864, IF(INDIRECT(ADDRESS(ROW() - 2, COLUMN())) = 2, 76.632, IF(INDIRECT(ADDRESS(ROW() - 2, COLUMN())) = 3, 82.3999999999999, IF(INDIRECT(ADDRESS(ROW() - 2, COLUMN())) = 4, 90.64, IF(INDIRECT(ADDRESS(ROW() - 2, COLUMN())) = 5, 96.408, IF(INDIRECT(ADDRESS(ROW() - 2, COLUMN())) = 6, 103, IF(INDIRECT(ADDRESS(ROW() - 2, COLUMN())) = 7, 112.064, IF(INDIRECT(ADDRESS(ROW() - 2, COLUMN())) = 8, 121.127999999999, IF(INDIRECT(ADDRESS(ROW() - 2, COLUMN())) = 9, 130.192, IF(INDIRECT(ADDRESS(ROW() - 2, COLUMN())) = 10, 140.08, IF(INDIRECT(ADDRESS(ROW() - 2, COLUMN())) = 11, 151.41,0)))))))))))</f>
        <v>#VALUE!</v>
      </c>
      <c r="MR7" s="88" t="str">
        <f> IF(INDIRECT(ADDRESS(ROW() - 2, COLUMN())) = 1, 88.236, IF(INDIRECT(ADDRESS(ROW() - 2, COLUMN())) = 2, 95.418, IF(INDIRECT(ADDRESS(ROW() - 2, COLUMN())) = 3, 102.6, IF(INDIRECT(ADDRESS(ROW() - 2, COLUMN())) = 4, 112.86, IF(INDIRECT(ADDRESS(ROW() - 2, COLUMN())) = 5, 120.042, IF(INDIRECT(ADDRESS(ROW() - 2, COLUMN())) = 6, 128.25, IF(INDIRECT(ADDRESS(ROW() - 2, COLUMN())) = 7, 139.536, IF(INDIRECT(ADDRESS(ROW() - 2, COLUMN())) = 8, 150.822, IF(INDIRECT(ADDRESS(ROW() - 2, COLUMN())) = 9, 162.108, IF(INDIRECT(ADDRESS(ROW() - 2, COLUMN())) = 10, 174.42, IF(INDIRECT(ADDRESS(ROW() - 2, COLUMN())) = 11, 188.5275,0)))))))))))</f>
        <v>#VALUE!</v>
      </c>
      <c r="MS7" s="88" t="str">
        <f> IF(INDIRECT(ADDRESS(ROW() - 2, COLUMN())) = 1, 55.04, IF(INDIRECT(ADDRESS(ROW() - 2, COLUMN())) = 2, 59.5199999999999, IF(INDIRECT(ADDRESS(ROW() - 2, COLUMN())) = 3, 64, IF(INDIRECT(ADDRESS(ROW() - 2, COLUMN())) = 4, 70.3999999999999, IF(INDIRECT(ADDRESS(ROW() - 2, COLUMN())) = 5, 74.88, IF(INDIRECT(ADDRESS(ROW() - 2, COLUMN())) = 6, 80, IF(INDIRECT(ADDRESS(ROW() - 2, COLUMN())) = 7, 87.0399999999999, IF(INDIRECT(ADDRESS(ROW() - 2, COLUMN())) = 8, 94.08, IF(INDIRECT(ADDRESS(ROW() - 2, COLUMN())) = 9, 101.12, IF(INDIRECT(ADDRESS(ROW() - 2, COLUMN())) = 10, 108.8, IF(INDIRECT(ADDRESS(ROW() - 2, COLUMN())) = 11, 117.6,0)))))))))))</f>
        <v>#VALUE!</v>
      </c>
      <c r="MT7" s="88" t="str">
        <f> IF(INDIRECT(ADDRESS(ROW() - 2, COLUMN())) = 1, 73.1, IF(INDIRECT(ADDRESS(ROW() - 2, COLUMN())) = 2, 79.05, IF(INDIRECT(ADDRESS(ROW() - 2, COLUMN())) = 3, 85, IF(INDIRECT(ADDRESS(ROW() - 2, COLUMN())) = 4, 93.5, IF(INDIRECT(ADDRESS(ROW() - 2, COLUMN())) = 5, 99.45, IF(INDIRECT(ADDRESS(ROW() - 2, COLUMN())) = 6, 106.25, IF(INDIRECT(ADDRESS(ROW() - 2, COLUMN())) = 7, 115.6, IF(INDIRECT(ADDRESS(ROW() - 2, COLUMN())) = 8, 124.95, IF(INDIRECT(ADDRESS(ROW() - 2, COLUMN())) = 9, 134.3, IF(INDIRECT(ADDRESS(ROW() - 2, COLUMN())) = 10, 144.5, IF(INDIRECT(ADDRESS(ROW() - 2, COLUMN())) = 11, 156.1875,0)))))))))))</f>
        <v>#VALUE!</v>
      </c>
      <c r="MU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MV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MW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MX7" s="88" t="str">
        <f> IF(INDIRECT(ADDRESS(ROW() - 2, COLUMN())) = 1, 191.2, IF(INDIRECT(ADDRESS(ROW() - 2, COLUMN())) = 2, 205.54, IF(INDIRECT(ADDRESS(ROW() - 2, COLUMN())) = 3, 219.88, IF(INDIRECT(ADDRESS(ROW() - 2, COLUMN())) = 4, 239, IF(INDIRECT(ADDRESS(ROW() - 2, COLUMN())) = 5, 253.339999999999, IF(INDIRECT(ADDRESS(ROW() - 2, COLUMN())) = 6, 267.68, IF(INDIRECT(ADDRESS(ROW() - 2, COLUMN())) = 7, 286.8, IF(INDIRECT(ADDRESS(ROW() - 2, COLUMN())) = 8, 305.92, IF(INDIRECT(ADDRESS(ROW() - 2, COLUMN())) = 9, 325.04, IF(INDIRECT(ADDRESS(ROW() - 2, COLUMN())) = 10, 344.16, IF(INDIRECT(ADDRESS(ROW() - 2, COLUMN())) = 11, 363.28, IF(INDIRECT(ADDRESS(ROW() - 2, COLUMN())) = 12, 382.4, IF(INDIRECT(ADDRESS(ROW() - 2, COLUMN())) = 13, 406.299999999999,0)))))))))))))</f>
        <v>#VALUE!</v>
      </c>
      <c r="MY7" s="88" t="str">
        <f> IF(INDIRECT(ADDRESS(ROW() - 2, COLUMN())) = 1, 77.6, IF(INDIRECT(ADDRESS(ROW() - 2, COLUMN())) = 2, 83.42, IF(INDIRECT(ADDRESS(ROW() - 2, COLUMN())) = 3, 89.24, IF(INDIRECT(ADDRESS(ROW() - 2, COLUMN())) = 4, 97, IF(INDIRECT(ADDRESS(ROW() - 2, COLUMN())) = 5, 102.82, IF(INDIRECT(ADDRESS(ROW() - 2, COLUMN())) = 6, 108.64, IF(INDIRECT(ADDRESS(ROW() - 2, COLUMN())) = 7, 116.399999999999, IF(INDIRECT(ADDRESS(ROW() - 2, COLUMN())) = 8, 124.16, IF(INDIRECT(ADDRESS(ROW() - 2, COLUMN())) = 9, 131.92, IF(INDIRECT(ADDRESS(ROW() - 2, COLUMN())) = 10, 139.68, IF(INDIRECT(ADDRESS(ROW() - 2, COLUMN())) = 11, 147.44, IF(INDIRECT(ADDRESS(ROW() - 2, COLUMN())) = 12, 155.2, IF(INDIRECT(ADDRESS(ROW() - 2, COLUMN())) = 13, 164.9,0)))))))))))))</f>
        <v>#VALUE!</v>
      </c>
      <c r="MZ7" s="88" t="str">
        <f> IF(INDIRECT(ADDRESS(ROW() - 2, COLUMN())) = 1, 44.978, IF(INDIRECT(ADDRESS(ROW() - 2, COLUMN())) = 2, 48.6389999999999, IF(INDIRECT(ADDRESS(ROW() - 2, COLUMN())) = 3, 52.3, IF(INDIRECT(ADDRESS(ROW() - 2, COLUMN())) = 4, 57.53, IF(INDIRECT(ADDRESS(ROW() - 2, COLUMN())) = 5, 61.1909999999999, IF(INDIRECT(ADDRESS(ROW() - 2, COLUMN())) = 6, 65.375, IF(INDIRECT(ADDRESS(ROW() - 2, COLUMN())) = 7, 71.128, IF(INDIRECT(ADDRESS(ROW() - 2, COLUMN())) = 8, 76.881, IF(INDIRECT(ADDRESS(ROW() - 2, COLUMN())) = 9, 82.634, IF(INDIRECT(ADDRESS(ROW() - 2, COLUMN())) = 10, 88.91, IF(INDIRECT(ADDRESS(ROW() - 2, COLUMN())) = 11, 96.1013,0)))))))))))</f>
        <v>#VALUE!</v>
      </c>
      <c r="NA7" s="88" t="str">
        <f> IF(INDIRECT(ADDRESS(ROW() - 2, COLUMN())) = 1, 45.236, IF(INDIRECT(ADDRESS(ROW() - 2, COLUMN())) = 2, 48.918, IF(INDIRECT(ADDRESS(ROW() - 2, COLUMN())) = 3, 52.6, IF(INDIRECT(ADDRESS(ROW() - 2, COLUMN())) = 4, 57.86, IF(INDIRECT(ADDRESS(ROW() - 2, COLUMN())) = 5, 61.5419999999999, IF(INDIRECT(ADDRESS(ROW() - 2, COLUMN())) = 6, 65.75, IF(INDIRECT(ADDRESS(ROW() - 2, COLUMN())) = 7, 71.536, IF(INDIRECT(ADDRESS(ROW() - 2, COLUMN())) = 8, 77.322, IF(INDIRECT(ADDRESS(ROW() - 2, COLUMN())) = 9, 83.108, IF(INDIRECT(ADDRESS(ROW() - 2, COLUMN())) = 10, 89.42, IF(INDIRECT(ADDRESS(ROW() - 2, COLUMN())) = 11, 96.6525,0)))))))))))</f>
        <v>#VALUE!</v>
      </c>
      <c r="NB7" s="88" t="str">
        <f> IF(INDIRECT(ADDRESS(ROW() - 2, COLUMN())) = 1, 25.8, IF(INDIRECT(ADDRESS(ROW() - 2, COLUMN())) = 2, 27.9, IF(INDIRECT(ADDRESS(ROW() - 2, COLUMN())) = 3, 30, IF(INDIRECT(ADDRESS(ROW() - 2, COLUMN())) = 4, 33, IF(INDIRECT(ADDRESS(ROW() - 2, COLUMN())) = 5, 35.0999999999999, IF(INDIRECT(ADDRESS(ROW() - 2, COLUMN())) = 6, 37.5, IF(INDIRECT(ADDRESS(ROW() - 2, COLUMN())) = 7, 40.8, IF(INDIRECT(ADDRESS(ROW() - 2, COLUMN())) = 8, 44.1, IF(INDIRECT(ADDRESS(ROW() - 2, COLUMN())) = 9, 47.4, IF(INDIRECT(ADDRESS(ROW() - 2, COLUMN())) = 10, 51, IF(INDIRECT(ADDRESS(ROW() - 2, COLUMN())) = 11, 55.125,0)))))))))))</f>
        <v>#VALUE!</v>
      </c>
      <c r="NC7" s="88" t="str">
        <f> IF(INDIRECT(ADDRESS(ROW() - 2, COLUMN())) = 1, 30.9599999999999, IF(INDIRECT(ADDRESS(ROW() - 2, COLUMN())) = 2, 33.48, IF(INDIRECT(ADDRESS(ROW() - 2, COLUMN())) = 3, 36, IF(INDIRECT(ADDRESS(ROW() - 2, COLUMN())) = 4, 39.6, IF(INDIRECT(ADDRESS(ROW() - 2, COLUMN())) = 5, 42.12, IF(INDIRECT(ADDRESS(ROW() - 2, COLUMN())) = 6, 45, IF(INDIRECT(ADDRESS(ROW() - 2, COLUMN())) = 7, 48.96, IF(INDIRECT(ADDRESS(ROW() - 2, COLUMN())) = 8, 52.92, IF(INDIRECT(ADDRESS(ROW() - 2, COLUMN())) = 9, 56.8799999999999, IF(INDIRECT(ADDRESS(ROW() - 2, COLUMN())) = 10, 61.1999999999999, IF(INDIRECT(ADDRESS(ROW() - 2, COLUMN())) = 11, 66.1499999999999,0)))))))))))</f>
        <v>#VALUE!</v>
      </c>
      <c r="ND7" s="88" t="str">
        <f> IF(INDIRECT(ADDRESS(ROW() - 2, COLUMN())) = 1, 60.716, IF(INDIRECT(ADDRESS(ROW() - 2, COLUMN())) = 2, 65.658, IF(INDIRECT(ADDRESS(ROW() - 2, COLUMN())) = 3, 70.6, IF(INDIRECT(ADDRESS(ROW() - 2, COLUMN())) = 4, 77.66, IF(INDIRECT(ADDRESS(ROW() - 2, COLUMN())) = 5, 82.602, IF(INDIRECT(ADDRESS(ROW() - 2, COLUMN())) = 6, 88.25, IF(INDIRECT(ADDRESS(ROW() - 2, COLUMN())) = 7, 96.016, IF(INDIRECT(ADDRESS(ROW() - 2, COLUMN())) = 8, 103.782, IF(INDIRECT(ADDRESS(ROW() - 2, COLUMN())) = 9, 111.548, IF(INDIRECT(ADDRESS(ROW() - 2, COLUMN())) = 10, 120.02, IF(INDIRECT(ADDRESS(ROW() - 2, COLUMN())) = 11, 129.7275,0)))))))))))</f>
        <v>#VALUE!</v>
      </c>
      <c r="NE7" s="88" t="str">
        <f> IF(INDIRECT(ADDRESS(ROW() - 2, COLUMN())) = 1, 25.3699999999999, IF(INDIRECT(ADDRESS(ROW() - 2, COLUMN())) = 2, 27.435, IF(INDIRECT(ADDRESS(ROW() - 2, COLUMN())) = 3, 29.5, IF(INDIRECT(ADDRESS(ROW() - 2, COLUMN())) = 4, 32.45, IF(INDIRECT(ADDRESS(ROW() - 2, COLUMN())) = 5, 34.515, IF(INDIRECT(ADDRESS(ROW() - 2, COLUMN())) = 6, 36.875, IF(INDIRECT(ADDRESS(ROW() - 2, COLUMN())) = 7, 40.12, IF(INDIRECT(ADDRESS(ROW() - 2, COLUMN())) = 8, 43.3649999999999, IF(INDIRECT(ADDRESS(ROW() - 2, COLUMN())) = 9, 46.61, IF(INDIRECT(ADDRESS(ROW() - 2, COLUMN())) = 10, 50.1499999999999, IF(INDIRECT(ADDRESS(ROW() - 2, COLUMN())) = 11, 54.2063,0)))))))))))</f>
        <v>#VALUE!</v>
      </c>
      <c r="NF7" s="88" t="str">
        <f> IF(INDIRECT(ADDRESS(ROW() - 2, COLUMN())) = 1, 43, IF(INDIRECT(ADDRESS(ROW() - 2, COLUMN())) = 2, 46.5, IF(INDIRECT(ADDRESS(ROW() - 2, COLUMN())) = 3, 50, IF(INDIRECT(ADDRESS(ROW() - 2, COLUMN())) = 4, 55, IF(INDIRECT(ADDRESS(ROW() - 2, COLUMN())) = 5, 58.5, IF(INDIRECT(ADDRESS(ROW() - 2, COLUMN())) = 6, 62.5, IF(INDIRECT(ADDRESS(ROW() - 2, COLUMN())) = 7, 68, IF(INDIRECT(ADDRESS(ROW() - 2, COLUMN())) = 8, 73.5, IF(INDIRECT(ADDRESS(ROW() - 2, COLUMN())) = 9, 79, IF(INDIRECT(ADDRESS(ROW() - 2, COLUMN())) = 10, 85, IF(INDIRECT(ADDRESS(ROW() - 2, COLUMN())) = 11, 91.875,0)))))))))))</f>
        <v>#VALUE!</v>
      </c>
      <c r="NG7" s="88" t="str">
        <f> IF(INDIRECT(ADDRESS(ROW() - 2, COLUMN())) = 1, 74.648, IF(INDIRECT(ADDRESS(ROW() - 2, COLUMN())) = 2, 80.7239999999999, IF(INDIRECT(ADDRESS(ROW() - 2, COLUMN())) = 3, 86.8, IF(INDIRECT(ADDRESS(ROW() - 2, COLUMN())) = 4, 95.48, IF(INDIRECT(ADDRESS(ROW() - 2, COLUMN())) = 5, 101.556, IF(INDIRECT(ADDRESS(ROW() - 2, COLUMN())) = 6, 108.5, IF(INDIRECT(ADDRESS(ROW() - 2, COLUMN())) = 7, 118.048, IF(INDIRECT(ADDRESS(ROW() - 2, COLUMN())) = 8, 127.596, IF(INDIRECT(ADDRESS(ROW() - 2, COLUMN())) = 9, 137.144, IF(INDIRECT(ADDRESS(ROW() - 2, COLUMN())) = 10, 147.56, IF(INDIRECT(ADDRESS(ROW() - 2, COLUMN())) = 11, 159.495,0)))))))))))</f>
        <v>#VALUE!</v>
      </c>
      <c r="NH7" s="88" t="str">
        <f> IF(INDIRECT(ADDRESS(ROW() - 2, COLUMN())) = 1, 81.8335, IF(INDIRECT(ADDRESS(ROW() - 2, COLUMN())) = 2, 88.4943, IF(INDIRECT(ADDRESS(ROW() - 2, COLUMN())) = 3, 95.1552, IF(INDIRECT(ADDRESS(ROW() - 2, COLUMN())) = 4, 104.6707, IF(INDIRECT(ADDRESS(ROW() - 2, COLUMN())) = 5, 111.3316, IF(INDIRECT(ADDRESS(ROW() - 2, COLUMN())) = 6, 118.944, IF(INDIRECT(ADDRESS(ROW() - 2, COLUMN())) = 7, 129.4111, IF(INDIRECT(ADDRESS(ROW() - 2, COLUMN())) = 8, 139.8781, IF(INDIRECT(ADDRESS(ROW() - 2, COLUMN())) = 9, 150.3452, IF(INDIRECT(ADDRESS(ROW() - 2, COLUMN())) = 10, 161.7638, IF(INDIRECT(ADDRESS(ROW() - 2, COLUMN())) = 11, 173.1825,0)))))))))))</f>
        <v>#VALUE!</v>
      </c>
      <c r="NI7" s="88" t="str">
        <f> IF(INDIRECT(ADDRESS(ROW() - 2, COLUMN())) = 1, 163.6323, IF(INDIRECT(ADDRESS(ROW() - 2, COLUMN())) = 2, 176.9512, IF(INDIRECT(ADDRESS(ROW() - 2, COLUMN())) = 3, 190.270099999999, IF(INDIRECT(ADDRESS(ROW() - 2, COLUMN())) = 4, 209.2971, IF(INDIRECT(ADDRESS(ROW() - 2, COLUMN())) = 5, 222.616, IF(INDIRECT(ADDRESS(ROW() - 2, COLUMN())) = 6, 237.837599999999, IF(INDIRECT(ADDRESS(ROW() - 2, COLUMN())) = 7, 258.7673, IF(INDIRECT(ADDRESS(ROW() - 2, COLUMN())) = 8, 279.697, IF(INDIRECT(ADDRESS(ROW() - 2, COLUMN())) = 9, 300.626699999999, IF(INDIRECT(ADDRESS(ROW() - 2, COLUMN())) = 10, 323.4591, IF(INDIRECT(ADDRESS(ROW() - 2, COLUMN())) = 11, 346.2915,0)))))))))))</f>
        <v>#VALUE!</v>
      </c>
      <c r="NJ7" s="88" t="str">
        <f> IF(INDIRECT(ADDRESS(ROW() - 2, COLUMN())) = 1, 204.3855, IF(INDIRECT(ADDRESS(ROW() - 2, COLUMN())) = 2, 221.0216, IF(INDIRECT(ADDRESS(ROW() - 2, COLUMN())) = 3, 237.6576, IF(INDIRECT(ADDRESS(ROW() - 2, COLUMN())) = 4, 261.4234, IF(INDIRECT(ADDRESS(ROW() - 2, COLUMN())) = 5, 278.0594, IF(INDIRECT(ADDRESS(ROW() - 2, COLUMN())) = 6, 297.072, IF(INDIRECT(ADDRESS(ROW() - 2, COLUMN())) = 7, 323.2143, IF(INDIRECT(ADDRESS(ROW() - 2, COLUMN())) = 8, 349.3567, IF(INDIRECT(ADDRESS(ROW() - 2, COLUMN())) = 9, 375.498999999999, IF(INDIRECT(ADDRESS(ROW() - 2, COLUMN())) = 10, 404.0179, IF(INDIRECT(ADDRESS(ROW() - 2, COLUMN())) = 11, 432.5368,0)))))))))))</f>
        <v>#VALUE!</v>
      </c>
      <c r="NK7" s="88">
        <f>200</f>
        <v>200</v>
      </c>
      <c r="NL7" s="88" t="str">
        <f> IF(INDIRECT(ADDRESS(ROW() - 2, COLUMN())) = 1, 192, IF(INDIRECT(ADDRESS(ROW() - 2, COLUMN())) = 2, 206.4, IF(INDIRECT(ADDRESS(ROW() - 2, COLUMN())) = 3, 220.8, IF(INDIRECT(ADDRESS(ROW() - 2, COLUMN())) = 4, 240, IF(INDIRECT(ADDRESS(ROW() - 2, COLUMN())) = 5, 254.4, IF(INDIRECT(ADDRESS(ROW() - 2, COLUMN())) = 6, 268.8, IF(INDIRECT(ADDRESS(ROW() - 2, COLUMN())) = 7, 288, IF(INDIRECT(ADDRESS(ROW() - 2, COLUMN())) = 8, 307.2, IF(INDIRECT(ADDRESS(ROW() - 2, COLUMN())) = 9, 326.4, IF(INDIRECT(ADDRESS(ROW() - 2, COLUMN())) = 10, 345.6, IF(INDIRECT(ADDRESS(ROW() - 2, COLUMN())) = 11, 364.8, IF(INDIRECT(ADDRESS(ROW() - 2, COLUMN())) = 12, 384, IF(INDIRECT(ADDRESS(ROW() - 2, COLUMN())) = 13, 408,0)))))))))))))</f>
        <v>#VALUE!</v>
      </c>
      <c r="NM7" s="88" t="str">
        <f> IF(INDIRECT(ADDRESS(ROW() - 2, COLUMN())) = 1, 260.8, IF(INDIRECT(ADDRESS(ROW() - 2, COLUMN())) = 2, 280.36, IF(INDIRECT(ADDRESS(ROW() - 2, COLUMN())) = 3, 299.92, IF(INDIRECT(ADDRESS(ROW() - 2, COLUMN())) = 4, 326, IF(INDIRECT(ADDRESS(ROW() - 2, COLUMN())) = 5, 345.56, IF(INDIRECT(ADDRESS(ROW() - 2, COLUMN())) = 6, 365.12, IF(INDIRECT(ADDRESS(ROW() - 2, COLUMN())) = 7, 391.2, IF(INDIRECT(ADDRESS(ROW() - 2, COLUMN())) = 8, 417.28, IF(INDIRECT(ADDRESS(ROW() - 2, COLUMN())) = 9, 443.36, IF(INDIRECT(ADDRESS(ROW() - 2, COLUMN())) = 10, 469.44, IF(INDIRECT(ADDRESS(ROW() - 2, COLUMN())) = 11, 495.52, IF(INDIRECT(ADDRESS(ROW() - 2, COLUMN())) = 12, 521.6, IF(INDIRECT(ADDRESS(ROW() - 2, COLUMN())) = 13, 554.199999999999,0)))))))))))))</f>
        <v>#VALUE!</v>
      </c>
      <c r="NN7" s="88" t="str">
        <f> IF(INDIRECT(ADDRESS(ROW() - 2, COLUMN())) = 1, 262.4, IF(INDIRECT(ADDRESS(ROW() - 2, COLUMN())) = 2, 282.08, IF(INDIRECT(ADDRESS(ROW() - 2, COLUMN())) = 3, 301.76, IF(INDIRECT(ADDRESS(ROW() - 2, COLUMN())) = 4, 328, IF(INDIRECT(ADDRESS(ROW() - 2, COLUMN())) = 5, 347.68, IF(INDIRECT(ADDRESS(ROW() - 2, COLUMN())) = 6, 367.36, IF(INDIRECT(ADDRESS(ROW() - 2, COLUMN())) = 7, 393.6, IF(INDIRECT(ADDRESS(ROW() - 2, COLUMN())) = 8, 419.84, IF(INDIRECT(ADDRESS(ROW() - 2, COLUMN())) = 9, 446.08, IF(INDIRECT(ADDRESS(ROW() - 2, COLUMN())) = 10, 472.32, IF(INDIRECT(ADDRESS(ROW() - 2, COLUMN())) = 11, 498.56, IF(INDIRECT(ADDRESS(ROW() - 2, COLUMN())) = 12, 524.8, IF(INDIRECT(ADDRESS(ROW() - 2, COLUMN())) = 13, 557.599999999999,0)))))))))))))</f>
        <v>#VALUE!</v>
      </c>
      <c r="NO7" s="88" t="str">
        <f> IF(INDIRECT(ADDRESS(ROW() - 2, COLUMN())) = 1, 120, IF(INDIRECT(ADDRESS(ROW() - 2, COLUMN())) = 2, 129, IF(INDIRECT(ADDRESS(ROW() - 2, COLUMN())) = 3, 138, IF(INDIRECT(ADDRESS(ROW() - 2, COLUMN())) = 4, 150, IF(INDIRECT(ADDRESS(ROW() - 2, COLUMN())) = 5, 159, IF(INDIRECT(ADDRESS(ROW() - 2, COLUMN())) = 6, 168, IF(INDIRECT(ADDRESS(ROW() - 2, COLUMN())) = 7, 180, IF(INDIRECT(ADDRESS(ROW() - 2, COLUMN())) = 8, 192, IF(INDIRECT(ADDRESS(ROW() - 2, COLUMN())) = 9, 204, IF(INDIRECT(ADDRESS(ROW() - 2, COLUMN())) = 10, 216, IF(INDIRECT(ADDRESS(ROW() - 2, COLUMN())) = 11, 227.999999999999, IF(INDIRECT(ADDRESS(ROW() - 2, COLUMN())) = 12, 240, IF(INDIRECT(ADDRESS(ROW() - 2, COLUMN())) = 13, 254.999999999999,0)))))))))))))</f>
        <v>#VALUE!</v>
      </c>
      <c r="NP7" s="88" t="str">
        <f> IF(INDIRECT(ADDRESS(ROW() - 2, COLUMN())) = 1, 36, IF(INDIRECT(ADDRESS(ROW() - 2, COLUMN())) = 2, 38.7, IF(INDIRECT(ADDRESS(ROW() - 2, COLUMN())) = 3, 41.4, IF(INDIRECT(ADDRESS(ROW() - 2, COLUMN())) = 4, 45, IF(INDIRECT(ADDRESS(ROW() - 2, COLUMN())) = 5, 47.6999999999999, IF(INDIRECT(ADDRESS(ROW() - 2, COLUMN())) = 6, 50.4, IF(INDIRECT(ADDRESS(ROW() - 2, COLUMN())) = 7, 54, IF(INDIRECT(ADDRESS(ROW() - 2, COLUMN())) = 8, 57.5999999999999, IF(INDIRECT(ADDRESS(ROW() - 2, COLUMN())) = 9, 61.1999999999999, IF(INDIRECT(ADDRESS(ROW() - 2, COLUMN())) = 10, 64.8, IF(INDIRECT(ADDRESS(ROW() - 2, COLUMN())) = 11, 68.4, IF(INDIRECT(ADDRESS(ROW() - 2, COLUMN())) = 12, 72, IF(INDIRECT(ADDRESS(ROW() - 2, COLUMN())) = 13, 76.5,0)))))))))))))</f>
        <v>#VALUE!</v>
      </c>
      <c r="NQ7" s="88" t="str">
        <f t="shared" ref="NQ7:NR7" si="463"> IF(INDIRECT(ADDRESS(ROW() - 2, COLUMN())) = 1, 41.022, IF(INDIRECT(ADDRESS(ROW() - 2, COLUMN())) = 2, 44.361, IF(INDIRECT(ADDRESS(ROW() - 2, COLUMN())) = 3, 47.6999999999999, IF(INDIRECT(ADDRESS(ROW() - 2, COLUMN())) = 4, 52.47, IF(INDIRECT(ADDRESS(ROW() - 2, COLUMN())) = 5, 55.809, IF(INDIRECT(ADDRESS(ROW() - 2, COLUMN())) = 6, 59.6249999999999, IF(INDIRECT(ADDRESS(ROW() - 2, COLUMN())) = 7, 64.872, IF(INDIRECT(ADDRESS(ROW() - 2, COLUMN())) = 8, 70.119, IF(INDIRECT(ADDRESS(ROW() - 2, COLUMN())) = 9, 75.366, IF(INDIRECT(ADDRESS(ROW() - 2, COLUMN())) = 10, 81.0899999999999, IF(INDIRECT(ADDRESS(ROW() - 2, COLUMN())) = 11, 86.814,0)))))))))))</f>
        <v>#VALUE!</v>
      </c>
      <c r="NR7" s="88" t="str">
        <f t="shared" si="463"/>
        <v>#VALUE!</v>
      </c>
      <c r="NS7" s="88" t="str">
        <f> IF(INDIRECT(ADDRESS(ROW() - 2, COLUMN())) = 1, 54.4379999999999, IF(INDIRECT(ADDRESS(ROW() - 2, COLUMN())) = 2, 58.869, IF(INDIRECT(ADDRESS(ROW() - 2, COLUMN())) = 3, 63.3, IF(INDIRECT(ADDRESS(ROW() - 2, COLUMN())) = 4, 69.63, IF(INDIRECT(ADDRESS(ROW() - 2, COLUMN())) = 5, 74.0609999999999, IF(INDIRECT(ADDRESS(ROW() - 2, COLUMN())) = 6, 79.125, IF(INDIRECT(ADDRESS(ROW() - 2, COLUMN())) = 7, 86.088, IF(INDIRECT(ADDRESS(ROW() - 2, COLUMN())) = 8, 93.0509999999999, IF(INDIRECT(ADDRESS(ROW() - 2, COLUMN())) = 9, 100.014, IF(INDIRECT(ADDRESS(ROW() - 2, COLUMN())) = 10, 107.61, IF(INDIRECT(ADDRESS(ROW() - 2, COLUMN())) = 11, 115.206,0)))))))))))</f>
        <v>#VALUE!</v>
      </c>
      <c r="NT7" s="88" t="str">
        <f> IF(INDIRECT(ADDRESS(ROW() - 2, COLUMN())) = 1, 31.476, IF(INDIRECT(ADDRESS(ROW() - 2, COLUMN())) = 2, 34.038, IF(INDIRECT(ADDRESS(ROW() - 2, COLUMN())) = 3, 36.6, IF(INDIRECT(ADDRESS(ROW() - 2, COLUMN())) = 4, 40.26, IF(INDIRECT(ADDRESS(ROW() - 2, COLUMN())) = 5, 42.8219999999999, IF(INDIRECT(ADDRESS(ROW() - 2, COLUMN())) = 6, 45.75, IF(INDIRECT(ADDRESS(ROW() - 2, COLUMN())) = 7, 49.7759999999999, IF(INDIRECT(ADDRESS(ROW() - 2, COLUMN())) = 8, 53.802, IF(INDIRECT(ADDRESS(ROW() - 2, COLUMN())) = 9, 57.828, IF(INDIRECT(ADDRESS(ROW() - 2, COLUMN())) = 10, 62.22, IF(INDIRECT(ADDRESS(ROW() - 2, COLUMN())) = 11, 66.612,0)))))))))))</f>
        <v>#VALUE!</v>
      </c>
      <c r="NU7" s="88" t="str">
        <f> IF(INDIRECT(ADDRESS(ROW() - 2, COLUMN())) = 1, 34.4, IF(INDIRECT(ADDRESS(ROW() - 2, COLUMN())) = 2, 37.2, IF(INDIRECT(ADDRESS(ROW() - 2, COLUMN())) = 3, 40, IF(INDIRECT(ADDRESS(ROW() - 2, COLUMN())) = 4, 44, IF(INDIRECT(ADDRESS(ROW() - 2, COLUMN())) = 5, 46.8, IF(INDIRECT(ADDRESS(ROW() - 2, COLUMN())) = 6, 50, IF(INDIRECT(ADDRESS(ROW() - 2, COLUMN())) = 7, 54.4, IF(INDIRECT(ADDRESS(ROW() - 2, COLUMN())) = 8, 58.8, IF(INDIRECT(ADDRESS(ROW() - 2, COLUMN())) = 9, 63.2, IF(INDIRECT(ADDRESS(ROW() - 2, COLUMN())) = 10, 68, IF(INDIRECT(ADDRESS(ROW() - 2, COLUMN())) = 11, 72.8,0)))))))))))</f>
        <v>#VALUE!</v>
      </c>
      <c r="NV7" s="88" t="str">
        <f> IF(INDIRECT(ADDRESS(ROW() - 2, COLUMN())) = 1, 66.994, IF(INDIRECT(ADDRESS(ROW() - 2, COLUMN())) = 2, 72.4469999999999, IF(INDIRECT(ADDRESS(ROW() - 2, COLUMN())) = 3, 77.9, IF(INDIRECT(ADDRESS(ROW() - 2, COLUMN())) = 4, 85.69, IF(INDIRECT(ADDRESS(ROW() - 2, COLUMN())) = 5, 91.143, IF(INDIRECT(ADDRESS(ROW() - 2, COLUMN())) = 6, 97.375, IF(INDIRECT(ADDRESS(ROW() - 2, COLUMN())) = 7, 105.943999999999, IF(INDIRECT(ADDRESS(ROW() - 2, COLUMN())) = 8, 114.513, IF(INDIRECT(ADDRESS(ROW() - 2, COLUMN())) = 9, 123.082, IF(INDIRECT(ADDRESS(ROW() - 2, COLUMN())) = 10, 132.43, IF(INDIRECT(ADDRESS(ROW() - 2, COLUMN())) = 11, 141.778,0)))))))))))</f>
        <v>#VALUE!</v>
      </c>
      <c r="NW7" s="88" t="str">
        <f> IF(INDIRECT(ADDRESS(ROW() - 2, COLUMN())) = 1, 76.798, IF(INDIRECT(ADDRESS(ROW() - 2, COLUMN())) = 2, 83.0489999999999, IF(INDIRECT(ADDRESS(ROW() - 2, COLUMN())) = 3, 89.3, IF(INDIRECT(ADDRESS(ROW() - 2, COLUMN())) = 4, 98.2299999999999, IF(INDIRECT(ADDRESS(ROW() - 2, COLUMN())) = 5, 104.481, IF(INDIRECT(ADDRESS(ROW() - 2, COLUMN())) = 6, 111.625, IF(INDIRECT(ADDRESS(ROW() - 2, COLUMN())) = 7, 121.448, IF(INDIRECT(ADDRESS(ROW() - 2, COLUMN())) = 8, 131.271, IF(INDIRECT(ADDRESS(ROW() - 2, COLUMN())) = 9, 141.094, IF(INDIRECT(ADDRESS(ROW() - 2, COLUMN())) = 10, 151.81, IF(INDIRECT(ADDRESS(ROW() - 2, COLUMN())) = 11, 162.525999999999,0)))))))))))</f>
        <v>#VALUE!</v>
      </c>
      <c r="NX7" s="88" t="str">
        <f> IF(INDIRECT(ADDRESS(ROW() - 2, COLUMN())) = 1, 86, IF(INDIRECT(ADDRESS(ROW() - 2, COLUMN())) = 2, 93, IF(INDIRECT(ADDRESS(ROW() - 2, COLUMN())) = 3, 100, IF(INDIRECT(ADDRESS(ROW() - 2, COLUMN())) = 4, 110, IF(INDIRECT(ADDRESS(ROW() - 2, COLUMN())) = 5, 117, IF(INDIRECT(ADDRESS(ROW() - 2, COLUMN())) = 6, 125, IF(INDIRECT(ADDRESS(ROW() - 2, COLUMN())) = 7, 136, IF(INDIRECT(ADDRESS(ROW() - 2, COLUMN())) = 8, 147, IF(INDIRECT(ADDRESS(ROW() - 2, COLUMN())) = 9, 158, IF(INDIRECT(ADDRESS(ROW() - 2, COLUMN())) = 10, 170, IF(INDIRECT(ADDRESS(ROW() - 2, COLUMN())) = 11, 182,0)))))))))))</f>
        <v>#VALUE!</v>
      </c>
      <c r="NY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NZ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OA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OB7" s="88" t="str">
        <f> IF(INDIRECT(ADDRESS(ROW() - 2, COLUMN())) = 1, 50.4, IF(INDIRECT(ADDRESS(ROW() - 2, COLUMN())) = 2, 54.1799999999999, IF(INDIRECT(ADDRESS(ROW() - 2, COLUMN())) = 3, 57.96, IF(INDIRECT(ADDRESS(ROW() - 2, COLUMN())) = 4, 63, IF(INDIRECT(ADDRESS(ROW() - 2, COLUMN())) = 5, 66.78, IF(INDIRECT(ADDRESS(ROW() - 2, COLUMN())) = 6, 70.56, IF(INDIRECT(ADDRESS(ROW() - 2, COLUMN())) = 7, 75.6, IF(INDIRECT(ADDRESS(ROW() - 2, COLUMN())) = 8, 80.64, IF(INDIRECT(ADDRESS(ROW() - 2, COLUMN())) = 9, 85.68, IF(INDIRECT(ADDRESS(ROW() - 2, COLUMN())) = 10, 90.72, IF(INDIRECT(ADDRESS(ROW() - 2, COLUMN())) = 11, 95.76, IF(INDIRECT(ADDRESS(ROW() - 2, COLUMN())) = 12, 100.8, IF(INDIRECT(ADDRESS(ROW() - 2, COLUMN())) = 13, 107.1,0)))))))))))))</f>
        <v>#VALUE!</v>
      </c>
      <c r="OC7" s="88" t="str">
        <f> IF(INDIRECT(ADDRESS(ROW() - 2, COLUMN())) = 1, 168, IF(INDIRECT(ADDRESS(ROW() - 2, COLUMN())) = 2, 180.6, IF(INDIRECT(ADDRESS(ROW() - 2, COLUMN())) = 3, 193.2, IF(INDIRECT(ADDRESS(ROW() - 2, COLUMN())) = 4, 210, IF(INDIRECT(ADDRESS(ROW() - 2, COLUMN())) = 5, 222.6, IF(INDIRECT(ADDRESS(ROW() - 2, COLUMN())) = 6, 235.2, IF(INDIRECT(ADDRESS(ROW() - 2, COLUMN())) = 7, 252, IF(INDIRECT(ADDRESS(ROW() - 2, COLUMN())) = 8, 268.8, IF(INDIRECT(ADDRESS(ROW() - 2, COLUMN())) = 9, 285.599999999999, IF(INDIRECT(ADDRESS(ROW() - 2, COLUMN())) = 10, 302.4, IF(INDIRECT(ADDRESS(ROW() - 2, COLUMN())) = 11, 319.2, IF(INDIRECT(ADDRESS(ROW() - 2, COLUMN())) = 12, 336, IF(INDIRECT(ADDRESS(ROW() - 2, COLUMN())) = 13, 357,0)))))))))))))</f>
        <v>#VALUE!</v>
      </c>
      <c r="OD7" s="88" t="str">
        <f> IF(INDIRECT(ADDRESS(ROW() - 2, COLUMN())) = 1, 84, IF(INDIRECT(ADDRESS(ROW() - 2, COLUMN())) = 2, 90.3, IF(INDIRECT(ADDRESS(ROW() - 2, COLUMN())) = 3, 96.6, IF(INDIRECT(ADDRESS(ROW() - 2, COLUMN())) = 4, 105, IF(INDIRECT(ADDRESS(ROW() - 2, COLUMN())) = 5, 111.3, IF(INDIRECT(ADDRESS(ROW() - 2, COLUMN())) = 6, 117.6, IF(INDIRECT(ADDRESS(ROW() - 2, COLUMN())) = 7, 126, IF(INDIRECT(ADDRESS(ROW() - 2, COLUMN())) = 8, 134.4, IF(INDIRECT(ADDRESS(ROW() - 2, COLUMN())) = 9, 142.799999999999, IF(INDIRECT(ADDRESS(ROW() - 2, COLUMN())) = 10, 151.2, IF(INDIRECT(ADDRESS(ROW() - 2, COLUMN())) = 11, 159.6, IF(INDIRECT(ADDRESS(ROW() - 2, COLUMN())) = 12, 168, IF(INDIRECT(ADDRESS(ROW() - 2, COLUMN())) = 13, 178.5,0)))))))))))))</f>
        <v>#VALUE!</v>
      </c>
      <c r="OE7" s="88" t="str">
        <f> IF(INDIRECT(ADDRESS(ROW() - 2, COLUMN())) = 1, 88, IF(INDIRECT(ADDRESS(ROW() - 2, COLUMN())) = 2, 94.6, IF(INDIRECT(ADDRESS(ROW() - 2, COLUMN())) = 3, 101.2, IF(INDIRECT(ADDRESS(ROW() - 2, COLUMN())) = 4, 110, IF(INDIRECT(ADDRESS(ROW() - 2, COLUMN())) = 5, 116.6, IF(INDIRECT(ADDRESS(ROW() - 2, COLUMN())) = 6, 123.2, IF(INDIRECT(ADDRESS(ROW() - 2, COLUMN())) = 7, 132, IF(INDIRECT(ADDRESS(ROW() - 2, COLUMN())) = 8, 140.799999999999, IF(INDIRECT(ADDRESS(ROW() - 2, COLUMN())) = 9, 149.6, IF(INDIRECT(ADDRESS(ROW() - 2, COLUMN())) = 10, 158.4, IF(INDIRECT(ADDRESS(ROW() - 2, COLUMN())) = 11, 167.2, IF(INDIRECT(ADDRESS(ROW() - 2, COLUMN())) = 12, 176, IF(INDIRECT(ADDRESS(ROW() - 2, COLUMN())) = 13, 187,0)))))))))))))</f>
        <v>#VALUE!</v>
      </c>
      <c r="OF7" s="88" t="str">
        <f> IF(INDIRECT(ADDRESS(ROW() - 2, COLUMN())) = 1, 24, IF(INDIRECT(ADDRESS(ROW() - 2, COLUMN())) = 2, 25.8, IF(INDIRECT(ADDRESS(ROW() - 2, COLUMN())) = 3, 27.6, IF(INDIRECT(ADDRESS(ROW() - 2, COLUMN())) = 4, 30, IF(INDIRECT(ADDRESS(ROW() - 2, COLUMN())) = 5, 31.8, IF(INDIRECT(ADDRESS(ROW() - 2, COLUMN())) = 6, 33.6, IF(INDIRECT(ADDRESS(ROW() - 2, COLUMN())) = 7, 36, IF(INDIRECT(ADDRESS(ROW() - 2, COLUMN())) = 8, 38.4, IF(INDIRECT(ADDRESS(ROW() - 2, COLUMN())) = 9, 40.8, IF(INDIRECT(ADDRESS(ROW() - 2, COLUMN())) = 10, 43.2, IF(INDIRECT(ADDRESS(ROW() - 2, COLUMN())) = 11, 45.6, IF(INDIRECT(ADDRESS(ROW() - 2, COLUMN())) = 12, 48, IF(INDIRECT(ADDRESS(ROW() - 2, COLUMN())) = 13, 51,0)))))))))))))</f>
        <v>#VALUE!</v>
      </c>
      <c r="OG7" s="88" t="str">
        <f> IF(INDIRECT(ADDRESS(ROW() - 2, COLUMN())) = 1, 188.799999999999, IF(INDIRECT(ADDRESS(ROW() - 2, COLUMN())) = 2, 202.959999999999, IF(INDIRECT(ADDRESS(ROW() - 2, COLUMN())) = 3, 217.119999999999, IF(INDIRECT(ADDRESS(ROW() - 2, COLUMN())) = 4, 236, IF(INDIRECT(ADDRESS(ROW() - 2, COLUMN())) = 5, 250.159999999999, IF(INDIRECT(ADDRESS(ROW() - 2, COLUMN())) = 6, 264.32, IF(INDIRECT(ADDRESS(ROW() - 2, COLUMN())) = 7, 283.2, IF(INDIRECT(ADDRESS(ROW() - 2, COLUMN())) = 8, 302.08, IF(INDIRECT(ADDRESS(ROW() - 2, COLUMN())) = 9, 320.96, IF(INDIRECT(ADDRESS(ROW() - 2, COLUMN())) = 10, 339.84, IF(INDIRECT(ADDRESS(ROW() - 2, COLUMN())) = 11, 358.72, IF(INDIRECT(ADDRESS(ROW() - 2, COLUMN())) = 12, 377.599999999999, IF(INDIRECT(ADDRESS(ROW() - 2, COLUMN())) = 13, 401.199999999999,0)))))))))))))</f>
        <v>#VALUE!</v>
      </c>
      <c r="OH7" s="88" t="str">
        <f> IF(INDIRECT(ADDRESS(ROW() - 2, COLUMN())) = 1, 72.16, IF(INDIRECT(ADDRESS(ROW() - 2, COLUMN())) = 2, 77.572, IF(INDIRECT(ADDRESS(ROW() - 2, COLUMN())) = 3, 82.984, IF(INDIRECT(ADDRESS(ROW() - 2, COLUMN())) = 4, 90.2, IF(INDIRECT(ADDRESS(ROW() - 2, COLUMN())) = 5, 95.612, IF(INDIRECT(ADDRESS(ROW() - 2, COLUMN())) = 6, 101.024, IF(INDIRECT(ADDRESS(ROW() - 2, COLUMN())) = 7, 108.24, IF(INDIRECT(ADDRESS(ROW() - 2, COLUMN())) = 8, 115.456, IF(INDIRECT(ADDRESS(ROW() - 2, COLUMN())) = 9, 122.672, IF(INDIRECT(ADDRESS(ROW() - 2, COLUMN())) = 10, 129.888, IF(INDIRECT(ADDRESS(ROW() - 2, COLUMN())) = 11, 137.3926,0)))))))))))</f>
        <v>#VALUE!</v>
      </c>
      <c r="OI7" s="88" t="str">
        <f> IF(INDIRECT(ADDRESS(ROW() - 2, COLUMN())) = 1, 62.4, IF(INDIRECT(ADDRESS(ROW() - 2, COLUMN())) = 2, 67.08, IF(INDIRECT(ADDRESS(ROW() - 2, COLUMN())) = 3, 71.76, IF(INDIRECT(ADDRESS(ROW() - 2, COLUMN())) = 4, 78, IF(INDIRECT(ADDRESS(ROW() - 2, COLUMN())) = 5, 82.6799999999999, IF(INDIRECT(ADDRESS(ROW() - 2, COLUMN())) = 6, 87.36, IF(INDIRECT(ADDRESS(ROW() - 2, COLUMN())) = 7, 93.6, IF(INDIRECT(ADDRESS(ROW() - 2, COLUMN())) = 8, 99.8399999999999, IF(INDIRECT(ADDRESS(ROW() - 2, COLUMN())) = 9, 106.08, IF(INDIRECT(ADDRESS(ROW() - 2, COLUMN())) = 10, 112.32, IF(INDIRECT(ADDRESS(ROW() - 2, COLUMN())) = 11, 118.8096,0)))))))))))</f>
        <v>#VALUE!</v>
      </c>
      <c r="OJ7" s="88" t="str">
        <f> IF(INDIRECT(ADDRESS(ROW() - 2, COLUMN())) = 1, 89.92, IF(INDIRECT(ADDRESS(ROW() - 2, COLUMN())) = 2, 96.664, IF(INDIRECT(ADDRESS(ROW() - 2, COLUMN())) = 3, 103.408, IF(INDIRECT(ADDRESS(ROW() - 2, COLUMN())) = 4, 112.4, IF(INDIRECT(ADDRESS(ROW() - 2, COLUMN())) = 5, 119.144, IF(INDIRECT(ADDRESS(ROW() - 2, COLUMN())) = 6, 125.888, IF(INDIRECT(ADDRESS(ROW() - 2, COLUMN())) = 7, 134.88, IF(INDIRECT(ADDRESS(ROW() - 2, COLUMN())) = 8, 143.872, IF(INDIRECT(ADDRESS(ROW() - 2, COLUMN())) = 9, 152.864, IF(INDIRECT(ADDRESS(ROW() - 2, COLUMN())) = 10, 161.856, IF(INDIRECT(ADDRESS(ROW() - 2, COLUMN())) = 11, 171.2077,0)))))))))))</f>
        <v>#VALUE!</v>
      </c>
      <c r="OK7" s="88" t="str">
        <f> IF(INDIRECT(ADDRESS(ROW() - 2, COLUMN())) = 1, 157.36, IF(INDIRECT(ADDRESS(ROW() - 2, COLUMN())) = 2, 169.161999999999, IF(INDIRECT(ADDRESS(ROW() - 2, COLUMN())) = 3, 180.964, IF(INDIRECT(ADDRESS(ROW() - 2, COLUMN())) = 4, 196.7, IF(INDIRECT(ADDRESS(ROW() - 2, COLUMN())) = 5, 208.502, IF(INDIRECT(ADDRESS(ROW() - 2, COLUMN())) = 6, 220.304, IF(INDIRECT(ADDRESS(ROW() - 2, COLUMN())) = 7, 236.04, IF(INDIRECT(ADDRESS(ROW() - 2, COLUMN())) = 8, 251.776, IF(INDIRECT(ADDRESS(ROW() - 2, COLUMN())) = 9, 267.512, IF(INDIRECT(ADDRESS(ROW() - 2, COLUMN())) = 10, 283.248, IF(INDIRECT(ADDRESS(ROW() - 2, COLUMN())) = 11, 299.6134,0)))))))))))</f>
        <v>#VALUE!</v>
      </c>
      <c r="OL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OM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ON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OO7" s="88" t="str">
        <f> IF(INDIRECT(ADDRESS(ROW() - 2, COLUMN())) = 1, 95.1999999999999, IF(INDIRECT(ADDRESS(ROW() - 2, COLUMN())) = 2, 102.34, IF(INDIRECT(ADDRESS(ROW() - 2, COLUMN())) = 3, 109.48, IF(INDIRECT(ADDRESS(ROW() - 2, COLUMN())) = 4, 119, IF(INDIRECT(ADDRESS(ROW() - 2, COLUMN())) = 5, 126.14, IF(INDIRECT(ADDRESS(ROW() - 2, COLUMN())) = 6, 133.28, IF(INDIRECT(ADDRESS(ROW() - 2, COLUMN())) = 7, 142.799999999999, IF(INDIRECT(ADDRESS(ROW() - 2, COLUMN())) = 8, 152.32, IF(INDIRECT(ADDRESS(ROW() - 2, COLUMN())) = 9, 161.84, IF(INDIRECT(ADDRESS(ROW() - 2, COLUMN())) = 10, 171.36, IF(INDIRECT(ADDRESS(ROW() - 2, COLUMN())) = 11, 180.88, IF(INDIRECT(ADDRESS(ROW() - 2, COLUMN())) = 12, 190.399999999999, IF(INDIRECT(ADDRESS(ROW() - 2, COLUMN())) = 13, 202.3,0)))))))))))))</f>
        <v>#VALUE!</v>
      </c>
      <c r="OP7" s="88" t="str">
        <f> IF(INDIRECT(ADDRESS(ROW() - 2, COLUMN())) = 1, 32.8, IF(INDIRECT(ADDRESS(ROW() - 2, COLUMN())) = 2, 35.26, IF(INDIRECT(ADDRESS(ROW() - 2, COLUMN())) = 3, 37.72, IF(INDIRECT(ADDRESS(ROW() - 2, COLUMN())) = 4, 41, IF(INDIRECT(ADDRESS(ROW() - 2, COLUMN())) = 5, 43.46, IF(INDIRECT(ADDRESS(ROW() - 2, COLUMN())) = 6, 45.92, IF(INDIRECT(ADDRESS(ROW() - 2, COLUMN())) = 7, 49.2, IF(INDIRECT(ADDRESS(ROW() - 2, COLUMN())) = 8, 52.48, IF(INDIRECT(ADDRESS(ROW() - 2, COLUMN())) = 9, 55.76, IF(INDIRECT(ADDRESS(ROW() - 2, COLUMN())) = 10, 59.04, IF(INDIRECT(ADDRESS(ROW() - 2, COLUMN())) = 11, 62.32, IF(INDIRECT(ADDRESS(ROW() - 2, COLUMN())) = 12, 65.6, IF(INDIRECT(ADDRESS(ROW() - 2, COLUMN())) = 13, 69.6999999999999,0)))))))))))))</f>
        <v>#VALUE!</v>
      </c>
      <c r="OQ7" s="88" t="str">
        <f> IF(INDIRECT(ADDRESS(ROW() - 2, COLUMN())) = 1, 42.64, IF(INDIRECT(ADDRESS(ROW() - 2, COLUMN())) = 2, 45.838, IF(INDIRECT(ADDRESS(ROW() - 2, COLUMN())) = 3, 49.036, IF(INDIRECT(ADDRESS(ROW() - 2, COLUMN())) = 4, 53.3, IF(INDIRECT(ADDRESS(ROW() - 2, COLUMN())) = 5, 56.498, IF(INDIRECT(ADDRESS(ROW() - 2, COLUMN())) = 6, 59.696, IF(INDIRECT(ADDRESS(ROW() - 2, COLUMN())) = 7, 63.9599999999999, IF(INDIRECT(ADDRESS(ROW() - 2, COLUMN())) = 8, 68.2239999999999, IF(INDIRECT(ADDRESS(ROW() - 2, COLUMN())) = 9, 72.488, IF(INDIRECT(ADDRESS(ROW() - 2, COLUMN())) = 10, 76.752, IF(INDIRECT(ADDRESS(ROW() - 2, COLUMN())) = 11, 81.016, IF(INDIRECT(ADDRESS(ROW() - 2, COLUMN())) = 12, 85.28, IF(INDIRECT(ADDRESS(ROW() - 2, COLUMN())) = 13, 90.61,0)))))))))))))</f>
        <v>#VALUE!</v>
      </c>
      <c r="OR7" s="88" t="str">
        <f> IF(INDIRECT(ADDRESS(ROW() - 2, COLUMN())) = 1, 68.376, IF(INDIRECT(ADDRESS(ROW() - 2, COLUMN())) = 2, 73.5042, IF(INDIRECT(ADDRESS(ROW() - 2, COLUMN())) = 3, 78.6324, IF(INDIRECT(ADDRESS(ROW() - 2, COLUMN())) = 4, 85.47, IF(INDIRECT(ADDRESS(ROW() - 2, COLUMN())) = 5, 90.5981999999999, IF(INDIRECT(ADDRESS(ROW() - 2, COLUMN())) = 6, 95.7264, IF(INDIRECT(ADDRESS(ROW() - 2, COLUMN())) = 7, 102.564, IF(INDIRECT(ADDRESS(ROW() - 2, COLUMN())) = 8, 109.4016, IF(INDIRECT(ADDRESS(ROW() - 2, COLUMN())) = 9, 116.2392, IF(INDIRECT(ADDRESS(ROW() - 2, COLUMN())) = 10, 123.0768, IF(INDIRECT(ADDRESS(ROW() - 2, COLUMN())) = 11, 129.9144,0)))))))))))</f>
        <v>#VALUE!</v>
      </c>
      <c r="OS7" s="88" t="str">
        <f> IF(INDIRECT(ADDRESS(ROW() - 2, COLUMN())) = 1, 61.5384, IF(INDIRECT(ADDRESS(ROW() - 2, COLUMN())) = 2, 66.1537999999999, IF(INDIRECT(ADDRESS(ROW() - 2, COLUMN())) = 3, 70.7692, IF(INDIRECT(ADDRESS(ROW() - 2, COLUMN())) = 4, 76.923, IF(INDIRECT(ADDRESS(ROW() - 2, COLUMN())) = 5, 81.5384, IF(INDIRECT(ADDRESS(ROW() - 2, COLUMN())) = 6, 86.1538, IF(INDIRECT(ADDRESS(ROW() - 2, COLUMN())) = 7, 92.3076, IF(INDIRECT(ADDRESS(ROW() - 2, COLUMN())) = 8, 98.4614, IF(INDIRECT(ADDRESS(ROW() - 2, COLUMN())) = 9, 104.6153, IF(INDIRECT(ADDRESS(ROW() - 2, COLUMN())) = 10, 110.7691, IF(INDIRECT(ADDRESS(ROW() - 2, COLUMN())) = 11, 116.923,0)))))))))))</f>
        <v>#VALUE!</v>
      </c>
      <c r="OT7" s="88" t="str">
        <f> IF(INDIRECT(ADDRESS(ROW() - 2, COLUMN())) = 1, 94.3056, IF(INDIRECT(ADDRESS(ROW() - 2, COLUMN())) = 2, 101.378499999999, IF(INDIRECT(ADDRESS(ROW() - 2, COLUMN())) = 3, 108.451399999999, IF(INDIRECT(ADDRESS(ROW() - 2, COLUMN())) = 4, 117.882, IF(INDIRECT(ADDRESS(ROW() - 2, COLUMN())) = 5, 124.9549, IF(INDIRECT(ADDRESS(ROW() - 2, COLUMN())) = 6, 132.0278, IF(INDIRECT(ADDRESS(ROW() - 2, COLUMN())) = 7, 141.4584, IF(INDIRECT(ADDRESS(ROW() - 2, COLUMN())) = 8, 150.889, IF(INDIRECT(ADDRESS(ROW() - 2, COLUMN())) = 9, 160.3195, IF(INDIRECT(ADDRESS(ROW() - 2, COLUMN())) = 10, 169.7501, IF(INDIRECT(ADDRESS(ROW() - 2, COLUMN())) = 11, 179.1806,0)))))))))))</f>
        <v>#VALUE!</v>
      </c>
      <c r="OU7" s="88" t="str">
        <f> IF(INDIRECT(ADDRESS(ROW() - 2, COLUMN())) = 1, 148.32, IF(INDIRECT(ADDRESS(ROW() - 2, COLUMN())) = 2, 159.444, IF(INDIRECT(ADDRESS(ROW() - 2, COLUMN())) = 3, 170.568, IF(INDIRECT(ADDRESS(ROW() - 2, COLUMN())) = 4, 185.4, IF(INDIRECT(ADDRESS(ROW() - 2, COLUMN())) = 5, 196.524, IF(INDIRECT(ADDRESS(ROW() - 2, COLUMN())) = 6, 207.648, IF(INDIRECT(ADDRESS(ROW() - 2, COLUMN())) = 7, 222.48, IF(INDIRECT(ADDRESS(ROW() - 2, COLUMN())) = 8, 237.312, IF(INDIRECT(ADDRESS(ROW() - 2, COLUMN())) = 9, 252.144, IF(INDIRECT(ADDRESS(ROW() - 2, COLUMN())) = 10, 266.976, IF(INDIRECT(ADDRESS(ROW() - 2, COLUMN())) = 11, 281.808,0)))))))))))</f>
        <v>#VALUE!</v>
      </c>
      <c r="OV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OW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OX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OY7" s="88" t="str">
        <f> IF(INDIRECT(ADDRESS(ROW() - 2, COLUMN())) = 1, 109.1904, IF(INDIRECT(ADDRESS(ROW() - 2, COLUMN())) = 2, 117.3797, IF(INDIRECT(ADDRESS(ROW() - 2, COLUMN())) = 3, 125.569, IF(INDIRECT(ADDRESS(ROW() - 2, COLUMN())) = 4, 136.488, IF(INDIRECT(ADDRESS(ROW() - 2, COLUMN())) = 5, 144.6773, IF(INDIRECT(ADDRESS(ROW() - 2, COLUMN())) = 6, 152.8666, IF(INDIRECT(ADDRESS(ROW() - 2, COLUMN())) = 7, 163.7856, IF(INDIRECT(ADDRESS(ROW() - 2, COLUMN())) = 8, 174.7046, IF(INDIRECT(ADDRESS(ROW() - 2, COLUMN())) = 9, 185.623699999999, IF(INDIRECT(ADDRESS(ROW() - 2, COLUMN())) = 10, 196.5427, IF(INDIRECT(ADDRESS(ROW() - 2, COLUMN())) = 11, 207.4618, IF(INDIRECT(ADDRESS(ROW() - 2, COLUMN())) = 12, 218.3808, IF(INDIRECT(ADDRESS(ROW() - 2, COLUMN())) = 13, 232.0296,0)))))))))))))</f>
        <v>#VALUE!</v>
      </c>
      <c r="PA7" s="88" t="str">
        <f> IF(INDIRECT(ADDRESS(ROW() - 2, COLUMN())) = 1, 109.1904, IF(INDIRECT(ADDRESS(ROW() - 2, COLUMN())) = 2, 117.3797, IF(INDIRECT(ADDRESS(ROW() - 2, COLUMN())) = 3, 125.569, IF(INDIRECT(ADDRESS(ROW() - 2, COLUMN())) = 4, 136.488, IF(INDIRECT(ADDRESS(ROW() - 2, COLUMN())) = 5, 144.6773, IF(INDIRECT(ADDRESS(ROW() - 2, COLUMN())) = 6, 152.8666, IF(INDIRECT(ADDRESS(ROW() - 2, COLUMN())) = 7, 163.7856, IF(INDIRECT(ADDRESS(ROW() - 2, COLUMN())) = 8, 174.7046, IF(INDIRECT(ADDRESS(ROW() - 2, COLUMN())) = 9, 185.623699999999, IF(INDIRECT(ADDRESS(ROW() - 2, COLUMN())) = 10, 196.5427, IF(INDIRECT(ADDRESS(ROW() - 2, COLUMN())) = 11, 207.4618, IF(INDIRECT(ADDRESS(ROW() - 2, COLUMN())) = 12, 218.3808, IF(INDIRECT(ADDRESS(ROW() - 2, COLUMN())) = 13, 232.0296,0)))))))))))))</f>
        <v>#VALUE!</v>
      </c>
      <c r="PB7" s="88" t="str">
        <f> IF(INDIRECT(ADDRESS(ROW() - 2, COLUMN())) = 1, 68.376, IF(INDIRECT(ADDRESS(ROW() - 2, COLUMN())) = 2, 73.5042, IF(INDIRECT(ADDRESS(ROW() - 2, COLUMN())) = 3, 78.6324, IF(INDIRECT(ADDRESS(ROW() - 2, COLUMN())) = 4, 85.47, IF(INDIRECT(ADDRESS(ROW() - 2, COLUMN())) = 5, 90.5981999999999, IF(INDIRECT(ADDRESS(ROW() - 2, COLUMN())) = 6, 95.7264, IF(INDIRECT(ADDRESS(ROW() - 2, COLUMN())) = 7, 102.564, IF(INDIRECT(ADDRESS(ROW() - 2, COLUMN())) = 8, 109.4016, IF(INDIRECT(ADDRESS(ROW() - 2, COLUMN())) = 9, 116.2392, IF(INDIRECT(ADDRESS(ROW() - 2, COLUMN())) = 10, 123.0768, IF(INDIRECT(ADDRESS(ROW() - 2, COLUMN())) = 11, 129.9144,0)))))))))))</f>
        <v>#VALUE!</v>
      </c>
      <c r="PC7" s="88" t="str">
        <f> IF(INDIRECT(ADDRESS(ROW() - 2, COLUMN())) = 1, 61.5384, IF(INDIRECT(ADDRESS(ROW() - 2, COLUMN())) = 2, 66.1537999999999, IF(INDIRECT(ADDRESS(ROW() - 2, COLUMN())) = 3, 70.7692, IF(INDIRECT(ADDRESS(ROW() - 2, COLUMN())) = 4, 76.923, IF(INDIRECT(ADDRESS(ROW() - 2, COLUMN())) = 5, 81.5384, IF(INDIRECT(ADDRESS(ROW() - 2, COLUMN())) = 6, 86.1538, IF(INDIRECT(ADDRESS(ROW() - 2, COLUMN())) = 7, 92.3076, IF(INDIRECT(ADDRESS(ROW() - 2, COLUMN())) = 8, 98.4614, IF(INDIRECT(ADDRESS(ROW() - 2, COLUMN())) = 9, 104.6153, IF(INDIRECT(ADDRESS(ROW() - 2, COLUMN())) = 10, 110.7691, IF(INDIRECT(ADDRESS(ROW() - 2, COLUMN())) = 11, 116.923,0)))))))))))</f>
        <v>#VALUE!</v>
      </c>
      <c r="PD7" s="88" t="str">
        <f> IF(INDIRECT(ADDRESS(ROW() - 2, COLUMN())) = 1, 94.3056, IF(INDIRECT(ADDRESS(ROW() - 2, COLUMN())) = 2, 101.378499999999, IF(INDIRECT(ADDRESS(ROW() - 2, COLUMN())) = 3, 108.451399999999, IF(INDIRECT(ADDRESS(ROW() - 2, COLUMN())) = 4, 117.882, IF(INDIRECT(ADDRESS(ROW() - 2, COLUMN())) = 5, 124.9549, IF(INDIRECT(ADDRESS(ROW() - 2, COLUMN())) = 6, 132.0278, IF(INDIRECT(ADDRESS(ROW() - 2, COLUMN())) = 7, 141.4584, IF(INDIRECT(ADDRESS(ROW() - 2, COLUMN())) = 8, 150.889, IF(INDIRECT(ADDRESS(ROW() - 2, COLUMN())) = 9, 160.3195, IF(INDIRECT(ADDRESS(ROW() - 2, COLUMN())) = 10, 169.7501, IF(INDIRECT(ADDRESS(ROW() - 2, COLUMN())) = 11, 179.1806,0)))))))))))</f>
        <v>#VALUE!</v>
      </c>
      <c r="PE7" s="88" t="str">
        <f> IF(INDIRECT(ADDRESS(ROW() - 2, COLUMN())) = 1, 148.32, IF(INDIRECT(ADDRESS(ROW() - 2, COLUMN())) = 2, 159.444, IF(INDIRECT(ADDRESS(ROW() - 2, COLUMN())) = 3, 170.568, IF(INDIRECT(ADDRESS(ROW() - 2, COLUMN())) = 4, 185.4, IF(INDIRECT(ADDRESS(ROW() - 2, COLUMN())) = 5, 196.524, IF(INDIRECT(ADDRESS(ROW() - 2, COLUMN())) = 6, 207.648, IF(INDIRECT(ADDRESS(ROW() - 2, COLUMN())) = 7, 222.48, IF(INDIRECT(ADDRESS(ROW() - 2, COLUMN())) = 8, 237.312, IF(INDIRECT(ADDRESS(ROW() - 2, COLUMN())) = 9, 252.144, IF(INDIRECT(ADDRESS(ROW() - 2, COLUMN())) = 10, 266.976, IF(INDIRECT(ADDRESS(ROW() - 2, COLUMN())) = 11, 281.808,0)))))))))))</f>
        <v>#VALUE!</v>
      </c>
      <c r="PF7" s="88" t="str">
        <f> IF(INDIRECT(ADDRESS(ROW() - 2, COLUMN())) = 1, 39.6, IF(INDIRECT(ADDRESS(ROW() - 2, COLUMN())) = 2, 42.57, IF(INDIRECT(ADDRESS(ROW() - 2, COLUMN())) = 3, 45.54, IF(INDIRECT(ADDRESS(ROW() - 2, COLUMN())) = 4, 49.5, IF(INDIRECT(ADDRESS(ROW() - 2, COLUMN())) = 5, 52.47, IF(INDIRECT(ADDRESS(ROW() - 2, COLUMN())) = 6, 55.44, IF(INDIRECT(ADDRESS(ROW() - 2, COLUMN())) = 7, 59.4, IF(INDIRECT(ADDRESS(ROW() - 2, COLUMN())) = 8, 63.36, IF(INDIRECT(ADDRESS(ROW() - 2, COLUMN())) = 9, 67.32, IF(INDIRECT(ADDRESS(ROW() - 2, COLUMN())) = 10, 71.28, IF(INDIRECT(ADDRESS(ROW() - 2, COLUMN())) = 11, 75.3984,0)))))))))))</f>
        <v>#VALUE!</v>
      </c>
      <c r="PG7" s="88" t="str">
        <f> IF(INDIRECT(ADDRESS(ROW() - 2, COLUMN())) = 1, 35.92, IF(INDIRECT(ADDRESS(ROW() - 2, COLUMN())) = 2, 38.614, IF(INDIRECT(ADDRESS(ROW() - 2, COLUMN())) = 3, 41.308, IF(INDIRECT(ADDRESS(ROW() - 2, COLUMN())) = 4, 44.9, IF(INDIRECT(ADDRESS(ROW() - 2, COLUMN())) = 5, 47.5939999999999, IF(INDIRECT(ADDRESS(ROW() - 2, COLUMN())) = 6, 50.288, IF(INDIRECT(ADDRESS(ROW() - 2, COLUMN())) = 7, 53.8799999999999, IF(INDIRECT(ADDRESS(ROW() - 2, COLUMN())) = 8, 57.472, IF(INDIRECT(ADDRESS(ROW() - 2, COLUMN())) = 9, 61.0639999999999, IF(INDIRECT(ADDRESS(ROW() - 2, COLUMN())) = 10, 64.656, IF(INDIRECT(ADDRESS(ROW() - 2, COLUMN())) = 11, 68.3917,0)))))))))))</f>
        <v>#VALUE!</v>
      </c>
      <c r="PH7" s="88" t="str">
        <f> IF(INDIRECT(ADDRESS(ROW() - 2, COLUMN())) = 1, 42.8, IF(INDIRECT(ADDRESS(ROW() - 2, COLUMN())) = 2, 46.01, IF(INDIRECT(ADDRESS(ROW() - 2, COLUMN())) = 3, 49.22, IF(INDIRECT(ADDRESS(ROW() - 2, COLUMN())) = 4, 53.5, IF(INDIRECT(ADDRESS(ROW() - 2, COLUMN())) = 5, 56.71, IF(INDIRECT(ADDRESS(ROW() - 2, COLUMN())) = 6, 59.9199999999999, IF(INDIRECT(ADDRESS(ROW() - 2, COLUMN())) = 7, 64.2, IF(INDIRECT(ADDRESS(ROW() - 2, COLUMN())) = 8, 68.4799999999999, IF(INDIRECT(ADDRESS(ROW() - 2, COLUMN())) = 9, 72.76, IF(INDIRECT(ADDRESS(ROW() - 2, COLUMN())) = 10, 77.0399999999999, IF(INDIRECT(ADDRESS(ROW() - 2, COLUMN())) = 11, 81.4911999999999,0)))))))))))</f>
        <v>#VALUE!</v>
      </c>
      <c r="PI7" s="88" t="str">
        <f> IF(INDIRECT(ADDRESS(ROW() - 2, COLUMN())) = 1, 54.96, IF(INDIRECT(ADDRESS(ROW() - 2, COLUMN())) = 2, 59.082, IF(INDIRECT(ADDRESS(ROW() - 2, COLUMN())) = 3, 63.204, IF(INDIRECT(ADDRESS(ROW() - 2, COLUMN())) = 4, 68.7, IF(INDIRECT(ADDRESS(ROW() - 2, COLUMN())) = 5, 72.822, IF(INDIRECT(ADDRESS(ROW() - 2, COLUMN())) = 6, 76.944, IF(INDIRECT(ADDRESS(ROW() - 2, COLUMN())) = 7, 82.44, IF(INDIRECT(ADDRESS(ROW() - 2, COLUMN())) = 8, 87.936, IF(INDIRECT(ADDRESS(ROW() - 2, COLUMN())) = 9, 93.432, IF(INDIRECT(ADDRESS(ROW() - 2, COLUMN())) = 10, 98.928, IF(INDIRECT(ADDRESS(ROW() - 2, COLUMN())) = 11, 104.6438,0)))))))))))</f>
        <v>#VALUE!</v>
      </c>
      <c r="PJ7" s="88" t="str">
        <f> IF(INDIRECT(ADDRESS(ROW() - 2, COLUMN())) = 1, 177.12, IF(INDIRECT(ADDRESS(ROW() - 2, COLUMN())) = 2, 190.404, IF(INDIRECT(ADDRESS(ROW() - 2, COLUMN())) = 3, 203.688, IF(INDIRECT(ADDRESS(ROW() - 2, COLUMN())) = 4, 221.4, IF(INDIRECT(ADDRESS(ROW() - 2, COLUMN())) = 5, 234.683999999999, IF(INDIRECT(ADDRESS(ROW() - 2, COLUMN())) = 6, 247.968, IF(INDIRECT(ADDRESS(ROW() - 2, COLUMN())) = 7, 265.68, IF(INDIRECT(ADDRESS(ROW() - 2, COLUMN())) = 8, 283.392, IF(INDIRECT(ADDRESS(ROW() - 2, COLUMN())) = 9, 301.104, IF(INDIRECT(ADDRESS(ROW() - 2, COLUMN())) = 10, 318.816, IF(INDIRECT(ADDRESS(ROW() - 2, COLUMN())) = 11, 337.2365,0)))))))))))</f>
        <v>#VALUE!</v>
      </c>
      <c r="PK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PL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PM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PN7" s="88" t="str">
        <f> IF(INDIRECT(ADDRESS(ROW() - 2, COLUMN())) = 1, 80, IF(INDIRECT(ADDRESS(ROW() - 2, COLUMN())) = 2, 86, IF(INDIRECT(ADDRESS(ROW() - 2, COLUMN())) = 3, 92, IF(INDIRECT(ADDRESS(ROW() - 2, COLUMN())) = 4, 100, IF(INDIRECT(ADDRESS(ROW() - 2, COLUMN())) = 5, 106, IF(INDIRECT(ADDRESS(ROW() - 2, COLUMN())) = 6, 112, IF(INDIRECT(ADDRESS(ROW() - 2, COLUMN())) = 7, 120, IF(INDIRECT(ADDRESS(ROW() - 2, COLUMN())) = 8, 128, IF(INDIRECT(ADDRESS(ROW() - 2, COLUMN())) = 9, 136, IF(INDIRECT(ADDRESS(ROW() - 2, COLUMN())) = 10, 144, IF(INDIRECT(ADDRESS(ROW() - 2, COLUMN())) = 11, 152, IF(INDIRECT(ADDRESS(ROW() - 2, COLUMN())) = 12, 160, IF(INDIRECT(ADDRESS(ROW() - 2, COLUMN())) = 13, 170,0)))))))))))))</f>
        <v>#VALUE!</v>
      </c>
      <c r="PO7" s="88" t="str">
        <f> IF(INDIRECT(ADDRESS(ROW() - 2, COLUMN())) = 1, 320, IF(INDIRECT(ADDRESS(ROW() - 2, COLUMN())) = 2, 344, IF(INDIRECT(ADDRESS(ROW() - 2, COLUMN())) = 3, 368, IF(INDIRECT(ADDRESS(ROW() - 2, COLUMN())) = 4, 400, IF(INDIRECT(ADDRESS(ROW() - 2, COLUMN())) = 5, 424, IF(INDIRECT(ADDRESS(ROW() - 2, COLUMN())) = 6, 448, IF(INDIRECT(ADDRESS(ROW() - 2, COLUMN())) = 7, 480, IF(INDIRECT(ADDRESS(ROW() - 2, COLUMN())) = 8, 512, IF(INDIRECT(ADDRESS(ROW() - 2, COLUMN())) = 9, 544, IF(INDIRECT(ADDRESS(ROW() - 2, COLUMN())) = 10, 576, IF(INDIRECT(ADDRESS(ROW() - 2, COLUMN())) = 11, 608, IF(INDIRECT(ADDRESS(ROW() - 2, COLUMN())) = 12, 640, IF(INDIRECT(ADDRESS(ROW() - 2, COLUMN())) = 13, 680,0)))))))))))))</f>
        <v>#VALUE!</v>
      </c>
      <c r="PP7" s="88" t="str">
        <f> IF(INDIRECT(ADDRESS(ROW() - 2, COLUMN())) = 1, 368, IF(INDIRECT(ADDRESS(ROW() - 2, COLUMN())) = 2, 395.6, IF(INDIRECT(ADDRESS(ROW() - 2, COLUMN())) = 3, 423.2, IF(INDIRECT(ADDRESS(ROW() - 2, COLUMN())) = 4, 459.999999999999, IF(INDIRECT(ADDRESS(ROW() - 2, COLUMN())) = 5, 487.6, IF(INDIRECT(ADDRESS(ROW() - 2, COLUMN())) = 6, 515.2, IF(INDIRECT(ADDRESS(ROW() - 2, COLUMN())) = 7, 552, IF(INDIRECT(ADDRESS(ROW() - 2, COLUMN())) = 8, 588.8, IF(INDIRECT(ADDRESS(ROW() - 2, COLUMN())) = 9, 625.6, IF(INDIRECT(ADDRESS(ROW() - 2, COLUMN())) = 10, 662.4, IF(INDIRECT(ADDRESS(ROW() - 2, COLUMN())) = 11, 699.2, IF(INDIRECT(ADDRESS(ROW() - 2, COLUMN())) = 12, 736, IF(INDIRECT(ADDRESS(ROW() - 2, COLUMN())) = 13, 782,0)))))))))))))</f>
        <v>#VALUE!</v>
      </c>
      <c r="PQ7" s="88" t="str">
        <f> IF(INDIRECT(ADDRESS(ROW() - 2, COLUMN())) = 1, 424, IF(INDIRECT(ADDRESS(ROW() - 2, COLUMN())) = 2, 455.799999999999, IF(INDIRECT(ADDRESS(ROW() - 2, COLUMN())) = 3, 487.6, IF(INDIRECT(ADDRESS(ROW() - 2, COLUMN())) = 4, 530, IF(INDIRECT(ADDRESS(ROW() - 2, COLUMN())) = 5, 561.8, IF(INDIRECT(ADDRESS(ROW() - 2, COLUMN())) = 6, 593.6, IF(INDIRECT(ADDRESS(ROW() - 2, COLUMN())) = 7, 636, IF(INDIRECT(ADDRESS(ROW() - 2, COLUMN())) = 8, 678.4, IF(INDIRECT(ADDRESS(ROW() - 2, COLUMN())) = 9, 720.8, IF(INDIRECT(ADDRESS(ROW() - 2, COLUMN())) = 10, 763.199999999999, IF(INDIRECT(ADDRESS(ROW() - 2, COLUMN())) = 11, 805.599999999999, IF(INDIRECT(ADDRESS(ROW() - 2, COLUMN())) = 12, 848, IF(INDIRECT(ADDRESS(ROW() - 2, COLUMN())) = 13, 901,0)))))))))))))</f>
        <v>#VALUE!</v>
      </c>
      <c r="PR7" s="88" t="str">
        <f> IF(INDIRECT(ADDRESS(ROW() - 2, COLUMN())) = 1, 487.2, IF(INDIRECT(ADDRESS(ROW() - 2, COLUMN())) = 2, 523.74, IF(INDIRECT(ADDRESS(ROW() - 2, COLUMN())) = 3, 560.28, IF(INDIRECT(ADDRESS(ROW() - 2, COLUMN())) = 4, 609, IF(INDIRECT(ADDRESS(ROW() - 2, COLUMN())) = 5, 645.54, IF(INDIRECT(ADDRESS(ROW() - 2, COLUMN())) = 6, 682.08, IF(INDIRECT(ADDRESS(ROW() - 2, COLUMN())) = 7, 730.8, IF(INDIRECT(ADDRESS(ROW() - 2, COLUMN())) = 8, 779.52, IF(INDIRECT(ADDRESS(ROW() - 2, COLUMN())) = 9, 828.24, IF(INDIRECT(ADDRESS(ROW() - 2, COLUMN())) = 10, 876.96, IF(INDIRECT(ADDRESS(ROW() - 2, COLUMN())) = 11, 925.68, IF(INDIRECT(ADDRESS(ROW() - 2, COLUMN())) = 12, 974.4, IF(INDIRECT(ADDRESS(ROW() - 2, COLUMN())) = 13, 1035.3,0)))))))))))))</f>
        <v>#VALUE!</v>
      </c>
      <c r="PS7" s="88">
        <f>10</f>
        <v>10</v>
      </c>
      <c r="PT7" s="88" t="str">
        <f> IF(INDIRECT(ADDRESS(ROW() - 2, COLUMN())) = 1, 36.5599999999999, IF(INDIRECT(ADDRESS(ROW() - 2, COLUMN())) = 2, 39.302, IF(INDIRECT(ADDRESS(ROW() - 2, COLUMN())) = 3, 42.044, IF(INDIRECT(ADDRESS(ROW() - 2, COLUMN())) = 4, 45.7, IF(INDIRECT(ADDRESS(ROW() - 2, COLUMN())) = 5, 48.442, IF(INDIRECT(ADDRESS(ROW() - 2, COLUMN())) = 6, 51.184, IF(INDIRECT(ADDRESS(ROW() - 2, COLUMN())) = 7, 54.84, IF(INDIRECT(ADDRESS(ROW() - 2, COLUMN())) = 8, 58.496, IF(INDIRECT(ADDRESS(ROW() - 2, COLUMN())) = 9, 62.1519999999999, IF(INDIRECT(ADDRESS(ROW() - 2, COLUMN())) = 10, 65.8079999999999, IF(INDIRECT(ADDRESS(ROW() - 2, COLUMN())) = 11, 69.464, IF(INDIRECT(ADDRESS(ROW() - 2, COLUMN())) = 12, 73.1199999999999, IF(INDIRECT(ADDRESS(ROW() - 2, COLUMN())) = 13, 77.69,0)))))))))))))</f>
        <v>#VALUE!</v>
      </c>
      <c r="PU7" s="88" t="str">
        <f> IF(INDIRECT(ADDRESS(ROW() - 2, COLUMN())) = 1, 37.6, IF(INDIRECT(ADDRESS(ROW() - 2, COLUMN())) = 2, 40.42, IF(INDIRECT(ADDRESS(ROW() - 2, COLUMN())) = 3, 43.24, IF(INDIRECT(ADDRESS(ROW() - 2, COLUMN())) = 4, 47, IF(INDIRECT(ADDRESS(ROW() - 2, COLUMN())) = 5, 49.82, IF(INDIRECT(ADDRESS(ROW() - 2, COLUMN())) = 6, 52.64, IF(INDIRECT(ADDRESS(ROW() - 2, COLUMN())) = 7, 56.3999999999999, IF(INDIRECT(ADDRESS(ROW() - 2, COLUMN())) = 8, 60.16, IF(INDIRECT(ADDRESS(ROW() - 2, COLUMN())) = 9, 63.92, IF(INDIRECT(ADDRESS(ROW() - 2, COLUMN())) = 10, 67.6799999999999, IF(INDIRECT(ADDRESS(ROW() - 2, COLUMN())) = 11, 71.44,0)))))))))))</f>
        <v>#VALUE!</v>
      </c>
      <c r="PV7" s="88" t="str">
        <f> IF(INDIRECT(ADDRESS(ROW() - 2, COLUMN())) = 1, 36, IF(INDIRECT(ADDRESS(ROW() - 2, COLUMN())) = 2, 38.7, IF(INDIRECT(ADDRESS(ROW() - 2, COLUMN())) = 3, 41.4, IF(INDIRECT(ADDRESS(ROW() - 2, COLUMN())) = 4, 45, IF(INDIRECT(ADDRESS(ROW() - 2, COLUMN())) = 5, 47.6999999999999, IF(INDIRECT(ADDRESS(ROW() - 2, COLUMN())) = 6, 50.4, IF(INDIRECT(ADDRESS(ROW() - 2, COLUMN())) = 7, 54, IF(INDIRECT(ADDRESS(ROW() - 2, COLUMN())) = 8, 57.5999999999999, IF(INDIRECT(ADDRESS(ROW() - 2, COLUMN())) = 9, 61.1999999999999, IF(INDIRECT(ADDRESS(ROW() - 2, COLUMN())) = 10, 64.8, IF(INDIRECT(ADDRESS(ROW() - 2, COLUMN())) = 11, 68.4,0)))))))))))</f>
        <v>#VALUE!</v>
      </c>
      <c r="PW7" s="88" t="str">
        <f> IF(INDIRECT(ADDRESS(ROW() - 2, COLUMN())) = 1, 44.8, IF(INDIRECT(ADDRESS(ROW() - 2, COLUMN())) = 2, 48.16, IF(INDIRECT(ADDRESS(ROW() - 2, COLUMN())) = 3, 51.5199999999999, IF(INDIRECT(ADDRESS(ROW() - 2, COLUMN())) = 4, 56, IF(INDIRECT(ADDRESS(ROW() - 2, COLUMN())) = 5, 59.36, IF(INDIRECT(ADDRESS(ROW() - 2, COLUMN())) = 6, 62.72, IF(INDIRECT(ADDRESS(ROW() - 2, COLUMN())) = 7, 67.2, IF(INDIRECT(ADDRESS(ROW() - 2, COLUMN())) = 8, 71.6799999999999, IF(INDIRECT(ADDRESS(ROW() - 2, COLUMN())) = 9, 76.16, IF(INDIRECT(ADDRESS(ROW() - 2, COLUMN())) = 10, 80.64, IF(INDIRECT(ADDRESS(ROW() - 2, COLUMN())) = 11, 85.1199999999999,0)))))))))))</f>
        <v>#VALUE!</v>
      </c>
      <c r="PX7" s="88" t="str">
        <f> IF(INDIRECT(ADDRESS(ROW() - 2, COLUMN())) = 1, 56.16, IF(INDIRECT(ADDRESS(ROW() - 2, COLUMN())) = 2, 60.372, IF(INDIRECT(ADDRESS(ROW() - 2, COLUMN())) = 3, 64.584, IF(INDIRECT(ADDRESS(ROW() - 2, COLUMN())) = 4, 70.1999999999999, IF(INDIRECT(ADDRESS(ROW() - 2, COLUMN())) = 5, 74.412, IF(INDIRECT(ADDRESS(ROW() - 2, COLUMN())) = 6, 78.624, IF(INDIRECT(ADDRESS(ROW() - 2, COLUMN())) = 7, 84.24, IF(INDIRECT(ADDRESS(ROW() - 2, COLUMN())) = 8, 89.856, IF(INDIRECT(ADDRESS(ROW() - 2, COLUMN())) = 9, 95.472, IF(INDIRECT(ADDRESS(ROW() - 2, COLUMN())) = 10, 101.088, IF(INDIRECT(ADDRESS(ROW() - 2, COLUMN())) = 11, 106.704,0)))))))))))</f>
        <v>#VALUE!</v>
      </c>
      <c r="PY7" s="88" t="str">
        <f> IF(INDIRECT(ADDRESS(ROW() - 2, COLUMN())) = 1, 149.72, IF(INDIRECT(ADDRESS(ROW() - 2, COLUMN())) = 2, 160.949, IF(INDIRECT(ADDRESS(ROW() - 2, COLUMN())) = 3, 172.178, IF(INDIRECT(ADDRESS(ROW() - 2, COLUMN())) = 4, 187.15, IF(INDIRECT(ADDRESS(ROW() - 2, COLUMN())) = 5, 198.379, IF(INDIRECT(ADDRESS(ROW() - 2, COLUMN())) = 6, 209.608, IF(INDIRECT(ADDRESS(ROW() - 2, COLUMN())) = 7, 224.58, IF(INDIRECT(ADDRESS(ROW() - 2, COLUMN())) = 8, 239.552, IF(INDIRECT(ADDRESS(ROW() - 2, COLUMN())) = 9, 254.524, IF(INDIRECT(ADDRESS(ROW() - 2, COLUMN())) = 10, 269.496, IF(INDIRECT(ADDRESS(ROW() - 2, COLUMN())) = 11, 285.0669,0)))))))))))</f>
        <v>#VALUE!</v>
      </c>
      <c r="PZ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QA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QB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QC7" s="88" t="str">
        <f> IF(INDIRECT(ADDRESS(ROW() - 2, COLUMN())) = 1, 32, IF(INDIRECT(ADDRESS(ROW() - 2, COLUMN())) = 2, 34.4, IF(INDIRECT(ADDRESS(ROW() - 2, COLUMN())) = 3, 36.8, IF(INDIRECT(ADDRESS(ROW() - 2, COLUMN())) = 4, 40, IF(INDIRECT(ADDRESS(ROW() - 2, COLUMN())) = 5, 42.4, IF(INDIRECT(ADDRESS(ROW() - 2, COLUMN())) = 6, 44.8, IF(INDIRECT(ADDRESS(ROW() - 2, COLUMN())) = 7, 48, IF(INDIRECT(ADDRESS(ROW() - 2, COLUMN())) = 8, 51.2, IF(INDIRECT(ADDRESS(ROW() - 2, COLUMN())) = 9, 54.4, IF(INDIRECT(ADDRESS(ROW() - 2, COLUMN())) = 10, 57.5999999999999, IF(INDIRECT(ADDRESS(ROW() - 2, COLUMN())) = 11, 60.8, IF(INDIRECT(ADDRESS(ROW() - 2, COLUMN())) = 12, 64, IF(INDIRECT(ADDRESS(ROW() - 2, COLUMN())) = 13, 68,0)))))))))))))</f>
        <v>#VALUE!</v>
      </c>
      <c r="QD7" s="88" t="str">
        <f> IF(INDIRECT(ADDRESS(ROW() - 2, COLUMN())) = 1, 132.8, IF(INDIRECT(ADDRESS(ROW() - 2, COLUMN())) = 2, 142.76, IF(INDIRECT(ADDRESS(ROW() - 2, COLUMN())) = 3, 152.72, IF(INDIRECT(ADDRESS(ROW() - 2, COLUMN())) = 4, 166, IF(INDIRECT(ADDRESS(ROW() - 2, COLUMN())) = 5, 175.96, IF(INDIRECT(ADDRESS(ROW() - 2, COLUMN())) = 6, 185.92, IF(INDIRECT(ADDRESS(ROW() - 2, COLUMN())) = 7, 199.2, IF(INDIRECT(ADDRESS(ROW() - 2, COLUMN())) = 8, 212.48, IF(INDIRECT(ADDRESS(ROW() - 2, COLUMN())) = 9, 225.76, IF(INDIRECT(ADDRESS(ROW() - 2, COLUMN())) = 10, 239.04, IF(INDIRECT(ADDRESS(ROW() - 2, COLUMN())) = 11, 252.32, IF(INDIRECT(ADDRESS(ROW() - 2, COLUMN())) = 12, 265.6, IF(INDIRECT(ADDRESS(ROW() - 2, COLUMN())) = 13, 282.2,0)))))))))))))</f>
        <v>#VALUE!</v>
      </c>
      <c r="QE7" s="88" t="str">
        <f> IF(INDIRECT(ADDRESS(ROW() - 2, COLUMN())) = 1, 442.4, IF(INDIRECT(ADDRESS(ROW() - 2, COLUMN())) = 2, 475.58, IF(INDIRECT(ADDRESS(ROW() - 2, COLUMN())) = 3, 508.76, IF(INDIRECT(ADDRESS(ROW() - 2, COLUMN())) = 4, 553, IF(INDIRECT(ADDRESS(ROW() - 2, COLUMN())) = 5, 586.18, IF(INDIRECT(ADDRESS(ROW() - 2, COLUMN())) = 6, 619.36, IF(INDIRECT(ADDRESS(ROW() - 2, COLUMN())) = 7, 663.6, IF(INDIRECT(ADDRESS(ROW() - 2, COLUMN())) = 8, 707.84, IF(INDIRECT(ADDRESS(ROW() - 2, COLUMN())) = 9, 752.08, IF(INDIRECT(ADDRESS(ROW() - 2, COLUMN())) = 10, 796.319999999999, IF(INDIRECT(ADDRESS(ROW() - 2, COLUMN())) = 11, 840.56, IF(INDIRECT(ADDRESS(ROW() - 2, COLUMN())) = 12, 884.8, IF(INDIRECT(ADDRESS(ROW() - 2, COLUMN())) = 13, 940.1,0)))))))))))))</f>
        <v>#VALUE!</v>
      </c>
      <c r="QF7" s="88" t="str">
        <f> IF(INDIRECT(ADDRESS(ROW() - 2, COLUMN())) = 1, 28, IF(INDIRECT(ADDRESS(ROW() - 2, COLUMN())) = 2, 30.0999999999999, IF(INDIRECT(ADDRESS(ROW() - 2, COLUMN())) = 3, 32.2, IF(INDIRECT(ADDRESS(ROW() - 2, COLUMN())) = 4, 35, IF(INDIRECT(ADDRESS(ROW() - 2, COLUMN())) = 5, 37.1, IF(INDIRECT(ADDRESS(ROW() - 2, COLUMN())) = 6, 39.2, IF(INDIRECT(ADDRESS(ROW() - 2, COLUMN())) = 7, 42, IF(INDIRECT(ADDRESS(ROW() - 2, COLUMN())) = 8, 44.8, IF(INDIRECT(ADDRESS(ROW() - 2, COLUMN())) = 9, 47.5999999999999, IF(INDIRECT(ADDRESS(ROW() - 2, COLUMN())) = 10, 50.4, IF(INDIRECT(ADDRESS(ROW() - 2, COLUMN())) = 11, 53.312,0)))))))))))</f>
        <v>#VALUE!</v>
      </c>
      <c r="QG7" s="88" t="str">
        <f> IF(INDIRECT(ADDRESS(ROW() - 2, COLUMN())) = 1, 174.079999999999, IF(INDIRECT(ADDRESS(ROW() - 2, COLUMN())) = 2, 187.136, IF(INDIRECT(ADDRESS(ROW() - 2, COLUMN())) = 3, 200.192, IF(INDIRECT(ADDRESS(ROW() - 2, COLUMN())) = 4, 217.6, IF(INDIRECT(ADDRESS(ROW() - 2, COLUMN())) = 5, 230.656, IF(INDIRECT(ADDRESS(ROW() - 2, COLUMN())) = 6, 243.712, IF(INDIRECT(ADDRESS(ROW() - 2, COLUMN())) = 7, 261.12, IF(INDIRECT(ADDRESS(ROW() - 2, COLUMN())) = 8, 278.528, IF(INDIRECT(ADDRESS(ROW() - 2, COLUMN())) = 9, 295.936, IF(INDIRECT(ADDRESS(ROW() - 2, COLUMN())) = 10, 313.344, IF(INDIRECT(ADDRESS(ROW() - 2, COLUMN())) = 11, 331.4483,0)))))))))))</f>
        <v>#VALUE!</v>
      </c>
      <c r="QH7" s="88" t="str">
        <f> IF(INDIRECT(ADDRESS(ROW() - 2, COLUMN())) = 1, 49.6, IF(INDIRECT(ADDRESS(ROW() - 2, COLUMN())) = 2, 53.32, IF(INDIRECT(ADDRESS(ROW() - 2, COLUMN())) = 3, 57.04, IF(INDIRECT(ADDRESS(ROW() - 2, COLUMN())) = 4, 62, IF(INDIRECT(ADDRESS(ROW() - 2, COLUMN())) = 5, 65.72, IF(INDIRECT(ADDRESS(ROW() - 2, COLUMN())) = 6, 69.44, IF(INDIRECT(ADDRESS(ROW() - 2, COLUMN())) = 7, 74.4, IF(INDIRECT(ADDRESS(ROW() - 2, COLUMN())) = 8, 79.36, IF(INDIRECT(ADDRESS(ROW() - 2, COLUMN())) = 9, 84.32, IF(INDIRECT(ADDRESS(ROW() - 2, COLUMN())) = 10, 89.28, IF(INDIRECT(ADDRESS(ROW() - 2, COLUMN())) = 11, 94.4384,0)))))))))))</f>
        <v>#VALUE!</v>
      </c>
      <c r="QI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QJ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QK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QL7" s="88" t="str">
        <f> IF(INDIRECT(ADDRESS(ROW() - 2, COLUMN())) = 1, 230.399999999999, IF(INDIRECT(ADDRESS(ROW() - 2, COLUMN())) = 2, 247.679999999999, IF(INDIRECT(ADDRESS(ROW() - 2, COLUMN())) = 3, 264.96, IF(INDIRECT(ADDRESS(ROW() - 2, COLUMN())) = 4, 288, IF(INDIRECT(ADDRESS(ROW() - 2, COLUMN())) = 5, 305.28, IF(INDIRECT(ADDRESS(ROW() - 2, COLUMN())) = 6, 322.56, IF(INDIRECT(ADDRESS(ROW() - 2, COLUMN())) = 7, 345.6, IF(INDIRECT(ADDRESS(ROW() - 2, COLUMN())) = 8, 368.64, IF(INDIRECT(ADDRESS(ROW() - 2, COLUMN())) = 9, 391.68, IF(INDIRECT(ADDRESS(ROW() - 2, COLUMN())) = 10, 414.719999999999, IF(INDIRECT(ADDRESS(ROW() - 2, COLUMN())) = 11, 437.76, IF(INDIRECT(ADDRESS(ROW() - 2, COLUMN())) = 12, 460.799999999999, IF(INDIRECT(ADDRESS(ROW() - 2, COLUMN())) = 13, 489.599999999999,0)))))))))))))</f>
        <v>#VALUE!</v>
      </c>
      <c r="QM7" s="88" t="str">
        <f> IF(INDIRECT(ADDRESS(ROW() - 2, COLUMN())) = 1, 86.96, IF(INDIRECT(ADDRESS(ROW() - 2, COLUMN())) = 2, 93.482, IF(INDIRECT(ADDRESS(ROW() - 2, COLUMN())) = 3, 100.004, IF(INDIRECT(ADDRESS(ROW() - 2, COLUMN())) = 4, 108.7, IF(INDIRECT(ADDRESS(ROW() - 2, COLUMN())) = 5, 115.222, IF(INDIRECT(ADDRESS(ROW() - 2, COLUMN())) = 6, 121.744, IF(INDIRECT(ADDRESS(ROW() - 2, COLUMN())) = 7, 130.44, IF(INDIRECT(ADDRESS(ROW() - 2, COLUMN())) = 8, 139.136, IF(INDIRECT(ADDRESS(ROW() - 2, COLUMN())) = 9, 147.832, IF(INDIRECT(ADDRESS(ROW() - 2, COLUMN())) = 10, 156.528, IF(INDIRECT(ADDRESS(ROW() - 2, COLUMN())) = 11, 165.224, IF(INDIRECT(ADDRESS(ROW() - 2, COLUMN())) = 12, 173.92, IF(INDIRECT(ADDRESS(ROW() - 2, COLUMN())) = 13, 184.79,0)))))))))))))</f>
        <v>#VALUE!</v>
      </c>
      <c r="QN7" s="88" t="str">
        <f> IF(INDIRECT(ADDRESS(ROW() - 2, COLUMN())) = 1, 79.12, IF(INDIRECT(ADDRESS(ROW() - 2, COLUMN())) = 2, 85.56, IF(INDIRECT(ADDRESS(ROW() - 2, COLUMN())) = 3, 92, IF(INDIRECT(ADDRESS(ROW() - 2, COLUMN())) = 4, 101.2, IF(INDIRECT(ADDRESS(ROW() - 2, COLUMN())) = 5, 107.64, IF(INDIRECT(ADDRESS(ROW() - 2, COLUMN())) = 6, 114.999999999999, IF(INDIRECT(ADDRESS(ROW() - 2, COLUMN())) = 7, 125.12, IF(INDIRECT(ADDRESS(ROW() - 2, COLUMN())) = 8, 135.24, IF(INDIRECT(ADDRESS(ROW() - 2, COLUMN())) = 9, 145.36, IF(INDIRECT(ADDRESS(ROW() - 2, COLUMN())) = 10, 156.4, IF(INDIRECT(ADDRESS(ROW() - 2, COLUMN())) = 11, 167.44,0)))))))))))</f>
        <v>#VALUE!</v>
      </c>
      <c r="QO7" s="88" t="str">
        <f> IF(INDIRECT(ADDRESS(ROW() - 2, COLUMN())) = 1, 73.358, IF(INDIRECT(ADDRESS(ROW() - 2, COLUMN())) = 2, 79.329, IF(INDIRECT(ADDRESS(ROW() - 2, COLUMN())) = 3, 85.3, IF(INDIRECT(ADDRESS(ROW() - 2, COLUMN())) = 4, 93.83, IF(INDIRECT(ADDRESS(ROW() - 2, COLUMN())) = 5, 99.801, IF(INDIRECT(ADDRESS(ROW() - 2, COLUMN())) = 6, 106.624999999999, IF(INDIRECT(ADDRESS(ROW() - 2, COLUMN())) = 7, 116.008, IF(INDIRECT(ADDRESS(ROW() - 2, COLUMN())) = 8, 125.391, IF(INDIRECT(ADDRESS(ROW() - 2, COLUMN())) = 9, 134.774, IF(INDIRECT(ADDRESS(ROW() - 2, COLUMN())) = 10, 145.01, IF(INDIRECT(ADDRESS(ROW() - 2, COLUMN())) = 11, 155.245999999999,0)))))))))))</f>
        <v>#VALUE!</v>
      </c>
      <c r="QP7" s="88" t="str">
        <f> IF(INDIRECT(ADDRESS(ROW() - 2, COLUMN())) = 1, 86.258, IF(INDIRECT(ADDRESS(ROW() - 2, COLUMN())) = 2, 93.279, IF(INDIRECT(ADDRESS(ROW() - 2, COLUMN())) = 3, 100.299999999999, IF(INDIRECT(ADDRESS(ROW() - 2, COLUMN())) = 4, 110.33, IF(INDIRECT(ADDRESS(ROW() - 2, COLUMN())) = 5, 117.351, IF(INDIRECT(ADDRESS(ROW() - 2, COLUMN())) = 6, 125.374999999999, IF(INDIRECT(ADDRESS(ROW() - 2, COLUMN())) = 7, 136.408, IF(INDIRECT(ADDRESS(ROW() - 2, COLUMN())) = 8, 147.441, IF(INDIRECT(ADDRESS(ROW() - 2, COLUMN())) = 9, 158.474, IF(INDIRECT(ADDRESS(ROW() - 2, COLUMN())) = 10, 170.51, IF(INDIRECT(ADDRESS(ROW() - 2, COLUMN())) = 11, 182.546,0)))))))))))</f>
        <v>#VALUE!</v>
      </c>
      <c r="QQ7" s="88" t="str">
        <f> IF(INDIRECT(ADDRESS(ROW() - 2, COLUMN())) = 1, 113.434, IF(INDIRECT(ADDRESS(ROW() - 2, COLUMN())) = 2, 122.666999999999, IF(INDIRECT(ADDRESS(ROW() - 2, COLUMN())) = 3, 131.9, IF(INDIRECT(ADDRESS(ROW() - 2, COLUMN())) = 4, 145.09, IF(INDIRECT(ADDRESS(ROW() - 2, COLUMN())) = 5, 154.323, IF(INDIRECT(ADDRESS(ROW() - 2, COLUMN())) = 6, 164.875, IF(INDIRECT(ADDRESS(ROW() - 2, COLUMN())) = 7, 179.384, IF(INDIRECT(ADDRESS(ROW() - 2, COLUMN())) = 8, 193.893, IF(INDIRECT(ADDRESS(ROW() - 2, COLUMN())) = 9, 208.402, IF(INDIRECT(ADDRESS(ROW() - 2, COLUMN())) = 10, 224.23, IF(INDIRECT(ADDRESS(ROW() - 2, COLUMN())) = 11, 240.058,0)))))))))))</f>
        <v>#VALUE!</v>
      </c>
      <c r="QR7" s="88" t="str">
        <f> IF(INDIRECT(ADDRESS(ROW() - 2, COLUMN())) = 1, 50.7399999999999, IF(INDIRECT(ADDRESS(ROW() - 2, COLUMN())) = 2, 54.87, IF(INDIRECT(ADDRESS(ROW() - 2, COLUMN())) = 3, 59, IF(INDIRECT(ADDRESS(ROW() - 2, COLUMN())) = 4, 64.9, IF(INDIRECT(ADDRESS(ROW() - 2, COLUMN())) = 5, 69.03, IF(INDIRECT(ADDRESS(ROW() - 2, COLUMN())) = 6, 73.75, IF(INDIRECT(ADDRESS(ROW() - 2, COLUMN())) = 7, 80.24, IF(INDIRECT(ADDRESS(ROW() - 2, COLUMN())) = 8, 86.7299999999999, IF(INDIRECT(ADDRESS(ROW() - 2, COLUMN())) = 9, 93.22, IF(INDIRECT(ADDRESS(ROW() - 2, COLUMN())) = 10, 100.299999999999, IF(INDIRECT(ADDRESS(ROW() - 2, COLUMN())) = 11, 107.38,0)))))))))))</f>
        <v>#VALUE!</v>
      </c>
      <c r="QS7" s="88" t="str">
        <f> IF(INDIRECT(ADDRESS(ROW() - 2, COLUMN())) = 1, 90.472, IF(INDIRECT(ADDRESS(ROW() - 2, COLUMN())) = 2, 97.836, IF(INDIRECT(ADDRESS(ROW() - 2, COLUMN())) = 3, 105.2, IF(INDIRECT(ADDRESS(ROW() - 2, COLUMN())) = 4, 115.72, IF(INDIRECT(ADDRESS(ROW() - 2, COLUMN())) = 5, 123.083999999999, IF(INDIRECT(ADDRESS(ROW() - 2, COLUMN())) = 6, 131.5, IF(INDIRECT(ADDRESS(ROW() - 2, COLUMN())) = 7, 143.072, IF(INDIRECT(ADDRESS(ROW() - 2, COLUMN())) = 8, 154.644, IF(INDIRECT(ADDRESS(ROW() - 2, COLUMN())) = 9, 166.216, IF(INDIRECT(ADDRESS(ROW() - 2, COLUMN())) = 10, 178.84, IF(INDIRECT(ADDRESS(ROW() - 2, COLUMN())) = 11, 191.464,0)))))))))))</f>
        <v>#VALUE!</v>
      </c>
      <c r="QT7" s="88" t="str">
        <f> IF(INDIRECT(ADDRESS(ROW() - 2, COLUMN())) = 1, 74.5878, IF(INDIRECT(ADDRESS(ROW() - 2, COLUMN())) = 2, 80.6589, IF(INDIRECT(ADDRESS(ROW() - 2, COLUMN())) = 3, 86.7299999999999, IF(INDIRECT(ADDRESS(ROW() - 2, COLUMN())) = 4, 95.403, IF(INDIRECT(ADDRESS(ROW() - 2, COLUMN())) = 5, 101.474099999999, IF(INDIRECT(ADDRESS(ROW() - 2, COLUMN())) = 6, 108.4125, IF(INDIRECT(ADDRESS(ROW() - 2, COLUMN())) = 7, 117.9528, IF(INDIRECT(ADDRESS(ROW() - 2, COLUMN())) = 8, 127.4931, IF(INDIRECT(ADDRESS(ROW() - 2, COLUMN())) = 9, 137.0334, IF(INDIRECT(ADDRESS(ROW() - 2, COLUMN())) = 10, 147.441, IF(INDIRECT(ADDRESS(ROW() - 2, COLUMN())) = 11, 157.8486,0)))))))))))</f>
        <v>#VALUE!</v>
      </c>
      <c r="QU7" s="88" t="str">
        <f> IF(INDIRECT(ADDRESS(ROW() - 2, COLUMN())) = 1, 149.144, IF(INDIRECT(ADDRESS(ROW() - 2, COLUMN())) = 2, 161.2836, IF(INDIRECT(ADDRESS(ROW() - 2, COLUMN())) = 3, 173.423299999999, IF(INDIRECT(ADDRESS(ROW() - 2, COLUMN())) = 4, 190.7656, IF(INDIRECT(ADDRESS(ROW() - 2, COLUMN())) = 5, 202.9052, IF(INDIRECT(ADDRESS(ROW() - 2, COLUMN())) = 6, 216.779099999999, IF(INDIRECT(ADDRESS(ROW() - 2, COLUMN())) = 7, 235.8556, IF(INDIRECT(ADDRESS(ROW() - 2, COLUMN())) = 8, 254.9322, IF(INDIRECT(ADDRESS(ROW() - 2, COLUMN())) = 9, 274.0087, IF(INDIRECT(ADDRESS(ROW() - 2, COLUMN())) = 10, 294.8195, IF(INDIRECT(ADDRESS(ROW() - 2, COLUMN())) = 11, 315.6303,0)))))))))))</f>
        <v>#VALUE!</v>
      </c>
      <c r="QV7" s="88" t="str">
        <f> IF(INDIRECT(ADDRESS(ROW() - 2, COLUMN())) = 1, 186.2889, IF(INDIRECT(ADDRESS(ROW() - 2, COLUMN())) = 2, 201.452, IF(INDIRECT(ADDRESS(ROW() - 2, COLUMN())) = 3, 216.615, IF(INDIRECT(ADDRESS(ROW() - 2, COLUMN())) = 4, 238.2765, IF(INDIRECT(ADDRESS(ROW() - 2, COLUMN())) = 5, 253.4396, IF(INDIRECT(ADDRESS(ROW() - 2, COLUMN())) = 6, 270.7688, IF(INDIRECT(ADDRESS(ROW() - 2, COLUMN())) = 7, 294.5964, IF(INDIRECT(ADDRESS(ROW() - 2, COLUMN())) = 8, 318.4241, IF(INDIRECT(ADDRESS(ROW() - 2, COLUMN())) = 9, 342.2517, IF(INDIRECT(ADDRESS(ROW() - 2, COLUMN())) = 10, 368.2455, IF(INDIRECT(ADDRESS(ROW() - 2, COLUMN())) = 11, 394.2393,0)))))))))))</f>
        <v>#VALUE!</v>
      </c>
      <c r="QX7" s="88" t="str">
        <f> IF(INDIRECT(ADDRESS(ROW() - 2, COLUMN())) = 1, 67.2, IF(INDIRECT(ADDRESS(ROW() - 2, COLUMN())) = 2, 72.24, IF(INDIRECT(ADDRESS(ROW() - 2, COLUMN())) = 3, 77.28, IF(INDIRECT(ADDRESS(ROW() - 2, COLUMN())) = 4, 84, IF(INDIRECT(ADDRESS(ROW() - 2, COLUMN())) = 5, 89.0399999999999, IF(INDIRECT(ADDRESS(ROW() - 2, COLUMN())) = 6, 94.08, IF(INDIRECT(ADDRESS(ROW() - 2, COLUMN())) = 7, 100.8, IF(INDIRECT(ADDRESS(ROW() - 2, COLUMN())) = 8, 107.52, IF(INDIRECT(ADDRESS(ROW() - 2, COLUMN())) = 9, 114.24, IF(INDIRECT(ADDRESS(ROW() - 2, COLUMN())) = 10, 120.96, IF(INDIRECT(ADDRESS(ROW() - 2, COLUMN())) = 11, 127.679999999999, IF(INDIRECT(ADDRESS(ROW() - 2, COLUMN())) = 12, 134.4, IF(INDIRECT(ADDRESS(ROW() - 2, COLUMN())) = 13, 142.799999999999,0)))))))))))))</f>
        <v>#VALUE!</v>
      </c>
      <c r="QY7" s="88" t="str">
        <f> IF(INDIRECT(ADDRESS(ROW() - 2, COLUMN())) = 1, 92.8, IF(INDIRECT(ADDRESS(ROW() - 2, COLUMN())) = 2, 99.76, IF(INDIRECT(ADDRESS(ROW() - 2, COLUMN())) = 3, 106.72, IF(INDIRECT(ADDRESS(ROW() - 2, COLUMN())) = 4, 115.999999999999, IF(INDIRECT(ADDRESS(ROW() - 2, COLUMN())) = 5, 122.96, IF(INDIRECT(ADDRESS(ROW() - 2, COLUMN())) = 6, 129.92, IF(INDIRECT(ADDRESS(ROW() - 2, COLUMN())) = 7, 139.2, IF(INDIRECT(ADDRESS(ROW() - 2, COLUMN())) = 8, 148.48, IF(INDIRECT(ADDRESS(ROW() - 2, COLUMN())) = 9, 157.76, IF(INDIRECT(ADDRESS(ROW() - 2, COLUMN())) = 10, 167.04, IF(INDIRECT(ADDRESS(ROW() - 2, COLUMN())) = 11, 176.32, IF(INDIRECT(ADDRESS(ROW() - 2, COLUMN())) = 12, 185.6, IF(INDIRECT(ADDRESS(ROW() - 2, COLUMN())) = 13, 197.2,0)))))))))))))</f>
        <v>#VALUE!</v>
      </c>
      <c r="QZ7" s="88" t="str">
        <f> IF(INDIRECT(ADDRESS(ROW() - 2, COLUMN())) = 1, 37.754, IF(INDIRECT(ADDRESS(ROW() - 2, COLUMN())) = 2, 40.827, IF(INDIRECT(ADDRESS(ROW() - 2, COLUMN())) = 3, 43.9, IF(INDIRECT(ADDRESS(ROW() - 2, COLUMN())) = 4, 48.29, IF(INDIRECT(ADDRESS(ROW() - 2, COLUMN())) = 5, 51.363, IF(INDIRECT(ADDRESS(ROW() - 2, COLUMN())) = 6, 54.8749999999999, IF(INDIRECT(ADDRESS(ROW() - 2, COLUMN())) = 7, 59.704, IF(INDIRECT(ADDRESS(ROW() - 2, COLUMN())) = 8, 64.533, IF(INDIRECT(ADDRESS(ROW() - 2, COLUMN())) = 9, 69.362, IF(INDIRECT(ADDRESS(ROW() - 2, COLUMN())) = 10, 74.63, IF(INDIRECT(ADDRESS(ROW() - 2, COLUMN())) = 11, 79.898,0)))))))))))</f>
        <v>#VALUE!</v>
      </c>
      <c r="RA7" s="88" t="str">
        <f> IF(INDIRECT(ADDRESS(ROW() - 2, COLUMN())) = 1, 38.872, IF(INDIRECT(ADDRESS(ROW() - 2, COLUMN())) = 2, 42.036, IF(INDIRECT(ADDRESS(ROW() - 2, COLUMN())) = 3, 45.2, IF(INDIRECT(ADDRESS(ROW() - 2, COLUMN())) = 4, 49.72, IF(INDIRECT(ADDRESS(ROW() - 2, COLUMN())) = 5, 52.884, IF(INDIRECT(ADDRESS(ROW() - 2, COLUMN())) = 6, 56.4999999999999, IF(INDIRECT(ADDRESS(ROW() - 2, COLUMN())) = 7, 61.472, IF(INDIRECT(ADDRESS(ROW() - 2, COLUMN())) = 8, 66.444, IF(INDIRECT(ADDRESS(ROW() - 2, COLUMN())) = 9, 71.416, IF(INDIRECT(ADDRESS(ROW() - 2, COLUMN())) = 10, 76.84, IF(INDIRECT(ADDRESS(ROW() - 2, COLUMN())) = 11, 82.264,0)))))))))))</f>
        <v>#VALUE!</v>
      </c>
      <c r="RB7" s="88" t="str">
        <f> IF(INDIRECT(ADDRESS(ROW() - 2, COLUMN())) = 1, 24.166, IF(INDIRECT(ADDRESS(ROW() - 2, COLUMN())) = 2, 26.133, IF(INDIRECT(ADDRESS(ROW() - 2, COLUMN())) = 3, 28.1, IF(INDIRECT(ADDRESS(ROW() - 2, COLUMN())) = 4, 30.91, IF(INDIRECT(ADDRESS(ROW() - 2, COLUMN())) = 5, 32.877, IF(INDIRECT(ADDRESS(ROW() - 2, COLUMN())) = 6, 35.125, IF(INDIRECT(ADDRESS(ROW() - 2, COLUMN())) = 7, 38.216, IF(INDIRECT(ADDRESS(ROW() - 2, COLUMN())) = 8, 41.307, IF(INDIRECT(ADDRESS(ROW() - 2, COLUMN())) = 9, 44.3979999999999, IF(INDIRECT(ADDRESS(ROW() - 2, COLUMN())) = 10, 47.77, IF(INDIRECT(ADDRESS(ROW() - 2, COLUMN())) = 11, 51.1419999999999,0)))))))))))</f>
        <v>#VALUE!</v>
      </c>
      <c r="RC7" s="88" t="str">
        <f> IF(INDIRECT(ADDRESS(ROW() - 2, COLUMN())) = 1, 24.682, IF(INDIRECT(ADDRESS(ROW() - 2, COLUMN())) = 2, 26.691, IF(INDIRECT(ADDRESS(ROW() - 2, COLUMN())) = 3, 28.7, IF(INDIRECT(ADDRESS(ROW() - 2, COLUMN())) = 4, 31.5699999999999, IF(INDIRECT(ADDRESS(ROW() - 2, COLUMN())) = 5, 33.579, IF(INDIRECT(ADDRESS(ROW() - 2, COLUMN())) = 6, 35.875, IF(INDIRECT(ADDRESS(ROW() - 2, COLUMN())) = 7, 39.032, IF(INDIRECT(ADDRESS(ROW() - 2, COLUMN())) = 8, 42.189, IF(INDIRECT(ADDRESS(ROW() - 2, COLUMN())) = 9, 45.346, IF(INDIRECT(ADDRESS(ROW() - 2, COLUMN())) = 10, 48.79, IF(INDIRECT(ADDRESS(ROW() - 2, COLUMN())) = 11, 52.234,0)))))))))))</f>
        <v>#VALUE!</v>
      </c>
      <c r="RD7" s="88" t="str">
        <f> IF(INDIRECT(ADDRESS(ROW() - 2, COLUMN())) = 1, 63.038, IF(INDIRECT(ADDRESS(ROW() - 2, COLUMN())) = 2, 68.169, IF(INDIRECT(ADDRESS(ROW() - 2, COLUMN())) = 3, 73.3, IF(INDIRECT(ADDRESS(ROW() - 2, COLUMN())) = 4, 80.63, IF(INDIRECT(ADDRESS(ROW() - 2, COLUMN())) = 5, 85.761, IF(INDIRECT(ADDRESS(ROW() - 2, COLUMN())) = 6, 91.625, IF(INDIRECT(ADDRESS(ROW() - 2, COLUMN())) = 7, 99.688, IF(INDIRECT(ADDRESS(ROW() - 2, COLUMN())) = 8, 107.750999999999, IF(INDIRECT(ADDRESS(ROW() - 2, COLUMN())) = 9, 115.814, IF(INDIRECT(ADDRESS(ROW() - 2, COLUMN())) = 10, 124.61, IF(INDIRECT(ADDRESS(ROW() - 2, COLUMN())) = 11, 133.406,0)))))))))))</f>
        <v>#VALUE!</v>
      </c>
      <c r="RE7" s="88" t="str">
        <f> IF(INDIRECT(ADDRESS(ROW() - 2, COLUMN())) = 1, 64.328, IF(INDIRECT(ADDRESS(ROW() - 2, COLUMN())) = 2, 69.564, IF(INDIRECT(ADDRESS(ROW() - 2, COLUMN())) = 3, 74.8, IF(INDIRECT(ADDRESS(ROW() - 2, COLUMN())) = 4, 82.28, IF(INDIRECT(ADDRESS(ROW() - 2, COLUMN())) = 5, 87.516, IF(INDIRECT(ADDRESS(ROW() - 2, COLUMN())) = 6, 93.5, IF(INDIRECT(ADDRESS(ROW() - 2, COLUMN())) = 7, 101.728, IF(INDIRECT(ADDRESS(ROW() - 2, COLUMN())) = 8, 109.956, IF(INDIRECT(ADDRESS(ROW() - 2, COLUMN())) = 9, 118.184, IF(INDIRECT(ADDRESS(ROW() - 2, COLUMN())) = 10, 127.16, IF(INDIRECT(ADDRESS(ROW() - 2, COLUMN())) = 11, 136.136,0)))))))))))</f>
        <v>#VALUE!</v>
      </c>
      <c r="RF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RG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RH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RI7" s="88" t="str">
        <f> IF(INDIRECT(ADDRESS(ROW() - 2, COLUMN())) = 1, 96, IF(INDIRECT(ADDRESS(ROW() - 2, COLUMN())) = 2, 103.2, IF(INDIRECT(ADDRESS(ROW() - 2, COLUMN())) = 3, 110.4, IF(INDIRECT(ADDRESS(ROW() - 2, COLUMN())) = 4, 120, IF(INDIRECT(ADDRESS(ROW() - 2, COLUMN())) = 5, 127.2, IF(INDIRECT(ADDRESS(ROW() - 2, COLUMN())) = 6, 134.4, IF(INDIRECT(ADDRESS(ROW() - 2, COLUMN())) = 7, 144, IF(INDIRECT(ADDRESS(ROW() - 2, COLUMN())) = 8, 153.6, IF(INDIRECT(ADDRESS(ROW() - 2, COLUMN())) = 9, 163.2, IF(INDIRECT(ADDRESS(ROW() - 2, COLUMN())) = 10, 172.8, IF(INDIRECT(ADDRESS(ROW() - 2, COLUMN())) = 11, 182.4, IF(INDIRECT(ADDRESS(ROW() - 2, COLUMN())) = 12, 192, IF(INDIRECT(ADDRESS(ROW() - 2, COLUMN())) = 13, 204,0)))))))))))))</f>
        <v>#VALUE!</v>
      </c>
      <c r="RJ7" s="88" t="str">
        <f> IF(INDIRECT(ADDRESS(ROW() - 2, COLUMN())) = 1, 36, IF(INDIRECT(ADDRESS(ROW() - 2, COLUMN())) = 2, 38.7, IF(INDIRECT(ADDRESS(ROW() - 2, COLUMN())) = 3, 41.4, IF(INDIRECT(ADDRESS(ROW() - 2, COLUMN())) = 4, 45, IF(INDIRECT(ADDRESS(ROW() - 2, COLUMN())) = 5, 47.6999999999999, IF(INDIRECT(ADDRESS(ROW() - 2, COLUMN())) = 6, 50.4, IF(INDIRECT(ADDRESS(ROW() - 2, COLUMN())) = 7, 54, IF(INDIRECT(ADDRESS(ROW() - 2, COLUMN())) = 8, 57.5999999999999, IF(INDIRECT(ADDRESS(ROW() - 2, COLUMN())) = 9, 61.1999999999999, IF(INDIRECT(ADDRESS(ROW() - 2, COLUMN())) = 10, 64.8, IF(INDIRECT(ADDRESS(ROW() - 2, COLUMN())) = 11, 68.4, IF(INDIRECT(ADDRESS(ROW() - 2, COLUMN())) = 12, 72, IF(INDIRECT(ADDRESS(ROW() - 2, COLUMN())) = 13, 76.5,0)))))))))))))</f>
        <v>#VALUE!</v>
      </c>
      <c r="RK7" s="88" t="str">
        <f> IF(INDIRECT(ADDRESS(ROW() - 2, COLUMN())) = 1, 284.8, IF(INDIRECT(ADDRESS(ROW() - 2, COLUMN())) = 2, 306.159999999999, IF(INDIRECT(ADDRESS(ROW() - 2, COLUMN())) = 3, 327.52, IF(INDIRECT(ADDRESS(ROW() - 2, COLUMN())) = 4, 356, IF(INDIRECT(ADDRESS(ROW() - 2, COLUMN())) = 5, 377.36, IF(INDIRECT(ADDRESS(ROW() - 2, COLUMN())) = 6, 398.72, IF(INDIRECT(ADDRESS(ROW() - 2, COLUMN())) = 7, 427.2, IF(INDIRECT(ADDRESS(ROW() - 2, COLUMN())) = 8, 455.68, IF(INDIRECT(ADDRESS(ROW() - 2, COLUMN())) = 9, 484.159999999999, IF(INDIRECT(ADDRESS(ROW() - 2, COLUMN())) = 10, 512.64, IF(INDIRECT(ADDRESS(ROW() - 2, COLUMN())) = 11, 541.12, IF(INDIRECT(ADDRESS(ROW() - 2, COLUMN())) = 12, 569.6, IF(INDIRECT(ADDRESS(ROW() - 2, COLUMN())) = 13, 605.199999999999,0)))))))))))))</f>
        <v>#VALUE!</v>
      </c>
      <c r="RL7" s="88" t="str">
        <f> IF(INDIRECT(ADDRESS(ROW() - 2, COLUMN())) = 1, 39.646, IF(INDIRECT(ADDRESS(ROW() - 2, COLUMN())) = 2, 42.873, IF(INDIRECT(ADDRESS(ROW() - 2, COLUMN())) = 3, 46.1, IF(INDIRECT(ADDRESS(ROW() - 2, COLUMN())) = 4, 50.71, IF(INDIRECT(ADDRESS(ROW() - 2, COLUMN())) = 5, 53.937, IF(INDIRECT(ADDRESS(ROW() - 2, COLUMN())) = 6, 57.625, IF(INDIRECT(ADDRESS(ROW() - 2, COLUMN())) = 7, 62.696, IF(INDIRECT(ADDRESS(ROW() - 2, COLUMN())) = 8, 67.767, IF(INDIRECT(ADDRESS(ROW() - 2, COLUMN())) = 9, 72.838, IF(INDIRECT(ADDRESS(ROW() - 2, COLUMN())) = 10, 78.3699999999999, IF(INDIRECT(ADDRESS(ROW() - 2, COLUMN())) = 11, 84.7087,0)))))))))))</f>
        <v>#VALUE!</v>
      </c>
      <c r="RM7" s="88" t="str">
        <f> IF(INDIRECT(ADDRESS(ROW() - 2, COLUMN())) = 1, 39.732, IF(INDIRECT(ADDRESS(ROW() - 2, COLUMN())) = 2, 42.966, IF(INDIRECT(ADDRESS(ROW() - 2, COLUMN())) = 3, 46.2, IF(INDIRECT(ADDRESS(ROW() - 2, COLUMN())) = 4, 50.82, IF(INDIRECT(ADDRESS(ROW() - 2, COLUMN())) = 5, 54.054, IF(INDIRECT(ADDRESS(ROW() - 2, COLUMN())) = 6, 57.75, IF(INDIRECT(ADDRESS(ROW() - 2, COLUMN())) = 7, 62.832, IF(INDIRECT(ADDRESS(ROW() - 2, COLUMN())) = 8, 67.914, IF(INDIRECT(ADDRESS(ROW() - 2, COLUMN())) = 9, 72.996, IF(INDIRECT(ADDRESS(ROW() - 2, COLUMN())) = 10, 78.5399999999999, IF(INDIRECT(ADDRESS(ROW() - 2, COLUMN())) = 11, 84.8925,0)))))))))))</f>
        <v>#VALUE!</v>
      </c>
      <c r="RN7" s="88" t="str">
        <f> IF(INDIRECT(ADDRESS(ROW() - 2, COLUMN())) = 1, 49.88, IF(INDIRECT(ADDRESS(ROW() - 2, COLUMN())) = 2, 53.94, IF(INDIRECT(ADDRESS(ROW() - 2, COLUMN())) = 3, 57.9999999999999, IF(INDIRECT(ADDRESS(ROW() - 2, COLUMN())) = 4, 63.8, IF(INDIRECT(ADDRESS(ROW() - 2, COLUMN())) = 5, 67.86, IF(INDIRECT(ADDRESS(ROW() - 2, COLUMN())) = 6, 72.5, IF(INDIRECT(ADDRESS(ROW() - 2, COLUMN())) = 7, 78.88, IF(INDIRECT(ADDRESS(ROW() - 2, COLUMN())) = 8, 85.26, IF(INDIRECT(ADDRESS(ROW() - 2, COLUMN())) = 9, 91.64, IF(INDIRECT(ADDRESS(ROW() - 2, COLUMN())) = 10, 98.6, IF(INDIRECT(ADDRESS(ROW() - 2, COLUMN())) = 11, 106.575,0)))))))))))</f>
        <v>#VALUE!</v>
      </c>
      <c r="RO7" s="88" t="str">
        <f> IF(INDIRECT(ADDRESS(ROW() - 2, COLUMN())) = 1, 28.982, IF(INDIRECT(ADDRESS(ROW() - 2, COLUMN())) = 2, 31.341, IF(INDIRECT(ADDRESS(ROW() - 2, COLUMN())) = 3, 33.7, IF(INDIRECT(ADDRESS(ROW() - 2, COLUMN())) = 4, 37.07, IF(INDIRECT(ADDRESS(ROW() - 2, COLUMN())) = 5, 39.4289999999999, IF(INDIRECT(ADDRESS(ROW() - 2, COLUMN())) = 6, 42.125, IF(INDIRECT(ADDRESS(ROW() - 2, COLUMN())) = 7, 45.832, IF(INDIRECT(ADDRESS(ROW() - 2, COLUMN())) = 8, 49.539, IF(INDIRECT(ADDRESS(ROW() - 2, COLUMN())) = 9, 53.246, IF(INDIRECT(ADDRESS(ROW() - 2, COLUMN())) = 10, 57.29, IF(INDIRECT(ADDRESS(ROW() - 2, COLUMN())) = 11, 61.9237,0)))))))))))</f>
        <v>#VALUE!</v>
      </c>
      <c r="RP7" s="88" t="str">
        <f> IF(INDIRECT(ADDRESS(ROW() - 2, COLUMN())) = 1, 65.446, IF(INDIRECT(ADDRESS(ROW() - 2, COLUMN())) = 2, 70.773, IF(INDIRECT(ADDRESS(ROW() - 2, COLUMN())) = 3, 76.1, IF(INDIRECT(ADDRESS(ROW() - 2, COLUMN())) = 4, 83.71, IF(INDIRECT(ADDRESS(ROW() - 2, COLUMN())) = 5, 89.037, IF(INDIRECT(ADDRESS(ROW() - 2, COLUMN())) = 6, 95.125, IF(INDIRECT(ADDRESS(ROW() - 2, COLUMN())) = 7, 103.496, IF(INDIRECT(ADDRESS(ROW() - 2, COLUMN())) = 8, 111.867, IF(INDIRECT(ADDRESS(ROW() - 2, COLUMN())) = 9, 120.238, IF(INDIRECT(ADDRESS(ROW() - 2, COLUMN())) = 10, 129.37, IF(INDIRECT(ADDRESS(ROW() - 2, COLUMN())) = 11, 139.8338,0)))))))))))</f>
        <v>#VALUE!</v>
      </c>
      <c r="RQ7" s="88" t="str">
        <f> IF(INDIRECT(ADDRESS(ROW() - 2, COLUMN())) = 1, 99.588, IF(INDIRECT(ADDRESS(ROW() - 2, COLUMN())) = 2, 107.694, IF(INDIRECT(ADDRESS(ROW() - 2, COLUMN())) = 3, 115.8, IF(INDIRECT(ADDRESS(ROW() - 2, COLUMN())) = 4, 127.38, IF(INDIRECT(ADDRESS(ROW() - 2, COLUMN())) = 5, 135.486, IF(INDIRECT(ADDRESS(ROW() - 2, COLUMN())) = 6, 144.75, IF(INDIRECT(ADDRESS(ROW() - 2, COLUMN())) = 7, 157.488, IF(INDIRECT(ADDRESS(ROW() - 2, COLUMN())) = 8, 170.226, IF(INDIRECT(ADDRESS(ROW() - 2, COLUMN())) = 9, 182.964, IF(INDIRECT(ADDRESS(ROW() - 2, COLUMN())) = 10, 196.859999999999, IF(INDIRECT(ADDRESS(ROW() - 2, COLUMN())) = 11, 212.7825,0)))))))))))</f>
        <v>#VALUE!</v>
      </c>
      <c r="RR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RS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RT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RU7" s="88" t="str">
        <f> IF(INDIRECT(ADDRESS(ROW() - 2, COLUMN())) = 1, 117.199999999999, IF(INDIRECT(ADDRESS(ROW() - 2, COLUMN())) = 2, 125.99, IF(INDIRECT(ADDRESS(ROW() - 2, COLUMN())) = 3, 134.78, IF(INDIRECT(ADDRESS(ROW() - 2, COLUMN())) = 4, 146.5, IF(INDIRECT(ADDRESS(ROW() - 2, COLUMN())) = 5, 155.29, IF(INDIRECT(ADDRESS(ROW() - 2, COLUMN())) = 6, 164.08, IF(INDIRECT(ADDRESS(ROW() - 2, COLUMN())) = 7, 175.8, IF(INDIRECT(ADDRESS(ROW() - 2, COLUMN())) = 8, 187.52, IF(INDIRECT(ADDRESS(ROW() - 2, COLUMN())) = 9, 199.24, IF(INDIRECT(ADDRESS(ROW() - 2, COLUMN())) = 10, 210.959999999999, IF(INDIRECT(ADDRESS(ROW() - 2, COLUMN())) = 11, 222.679999999999, IF(INDIRECT(ADDRESS(ROW() - 2, COLUMN())) = 12, 234.399999999999, IF(INDIRECT(ADDRESS(ROW() - 2, COLUMN())) = 13, 249.049999999999,0)))))))))))))</f>
        <v>#VALUE!</v>
      </c>
      <c r="RV7" s="88" t="str">
        <f> IF(INDIRECT(ADDRESS(ROW() - 2, COLUMN())) = 1, 42, IF(INDIRECT(ADDRESS(ROW() - 2, COLUMN())) = 2, 45.15, IF(INDIRECT(ADDRESS(ROW() - 2, COLUMN())) = 3, 48.3, IF(INDIRECT(ADDRESS(ROW() - 2, COLUMN())) = 4, 52.5, IF(INDIRECT(ADDRESS(ROW() - 2, COLUMN())) = 5, 55.65, IF(INDIRECT(ADDRESS(ROW() - 2, COLUMN())) = 6, 58.8, IF(INDIRECT(ADDRESS(ROW() - 2, COLUMN())) = 7, 63, IF(INDIRECT(ADDRESS(ROW() - 2, COLUMN())) = 8, 67.2, IF(INDIRECT(ADDRESS(ROW() - 2, COLUMN())) = 9, 71.3999999999999, IF(INDIRECT(ADDRESS(ROW() - 2, COLUMN())) = 10, 75.6, IF(INDIRECT(ADDRESS(ROW() - 2, COLUMN())) = 11, 79.8, IF(INDIRECT(ADDRESS(ROW() - 2, COLUMN())) = 12, 84, IF(INDIRECT(ADDRESS(ROW() - 2, COLUMN())) = 13, 89.25,0)))))))))))))</f>
        <v>#VALUE!</v>
      </c>
      <c r="RW7" s="88" t="str">
        <f> IF(INDIRECT(ADDRESS(ROW() - 2, COLUMN())) = 1, 400.8, IF(INDIRECT(ADDRESS(ROW() - 2, COLUMN())) = 2, 430.86, IF(INDIRECT(ADDRESS(ROW() - 2, COLUMN())) = 3, 460.92, IF(INDIRECT(ADDRESS(ROW() - 2, COLUMN())) = 4, 501, IF(INDIRECT(ADDRESS(ROW() - 2, COLUMN())) = 5, 531.06, IF(INDIRECT(ADDRESS(ROW() - 2, COLUMN())) = 6, 561.12, IF(INDIRECT(ADDRESS(ROW() - 2, COLUMN())) = 7, 601.199999999999, IF(INDIRECT(ADDRESS(ROW() - 2, COLUMN())) = 8, 641.28, IF(INDIRECT(ADDRESS(ROW() - 2, COLUMN())) = 9, 681.36, IF(INDIRECT(ADDRESS(ROW() - 2, COLUMN())) = 10, 721.44, IF(INDIRECT(ADDRESS(ROW() - 2, COLUMN())) = 11, 761.52, IF(INDIRECT(ADDRESS(ROW() - 2, COLUMN())) = 12, 801.6, IF(INDIRECT(ADDRESS(ROW() - 2, COLUMN())) = 13, 851.699999999999,0)))))))))))))</f>
        <v>#VALUE!</v>
      </c>
      <c r="RX7" s="88" t="str">
        <f> IF(INDIRECT(ADDRESS(ROW() - 2, COLUMN())) = 1, 44.7374, IF(INDIRECT(ADDRESS(ROW() - 2, COLUMN())) = 2, 47.7877, IF(INDIRECT(ADDRESS(ROW() - 2, COLUMN())) = 3, 50.838, IF(INDIRECT(ADDRESS(ROW() - 2, COLUMN())) = 4, 54.905, IF(INDIRECT(ADDRESS(ROW() - 2, COLUMN())) = 5, 57.9553, IF(INDIRECT(ADDRESS(ROW() - 2, COLUMN())) = 6, 61.514, IF(INDIRECT(ADDRESS(ROW() - 2, COLUMN())) = 7, 66.0894, IF(INDIRECT(ADDRESS(ROW() - 2, COLUMN())) = 8, 70.6648, IF(INDIRECT(ADDRESS(ROW() - 2, COLUMN())) = 9, 75.2402, IF(INDIRECT(ADDRESS(ROW() - 2, COLUMN())) = 10, 79.8157, IF(INDIRECT(ADDRESS(ROW() - 2, COLUMN())) = 11, 84.3911, IF(INDIRECT(ADDRESS(ROW() - 2, COLUMN())) = 12, 88.9665, IF(INDIRECT(ADDRESS(ROW() - 2, COLUMN())) = 13, 93.5419,0)))))))))))))</f>
        <v>#VALUE!</v>
      </c>
      <c r="RY7" s="88" t="str">
        <f> IF(INDIRECT(ADDRESS(ROW() - 2, COLUMN())) = 1, 43.956, IF(INDIRECT(ADDRESS(ROW() - 2, COLUMN())) = 2, 46.953, IF(INDIRECT(ADDRESS(ROW() - 2, COLUMN())) = 3, 49.95, IF(INDIRECT(ADDRESS(ROW() - 2, COLUMN())) = 4, 53.946, IF(INDIRECT(ADDRESS(ROW() - 2, COLUMN())) = 5, 56.943, IF(INDIRECT(ADDRESS(ROW() - 2, COLUMN())) = 6, 60.4395, IF(INDIRECT(ADDRESS(ROW() - 2, COLUMN())) = 7, 64.935, IF(INDIRECT(ADDRESS(ROW() - 2, COLUMN())) = 8, 69.4305, IF(INDIRECT(ADDRESS(ROW() - 2, COLUMN())) = 9, 73.926, IF(INDIRECT(ADDRESS(ROW() - 2, COLUMN())) = 10, 78.4215, IF(INDIRECT(ADDRESS(ROW() - 2, COLUMN())) = 11, 82.917, IF(INDIRECT(ADDRESS(ROW() - 2, COLUMN())) = 12, 87.4125, IF(INDIRECT(ADDRESS(ROW() - 2, COLUMN())) = 13, 91.908,0)))))))))))))</f>
        <v>#VALUE!</v>
      </c>
      <c r="RZ7" s="88" t="str">
        <f> IF(INDIRECT(ADDRESS(ROW() - 2, COLUMN())) = 1, 53.8216999999999, IF(INDIRECT(ADDRESS(ROW() - 2, COLUMN())) = 2, 57.4913, IF(INDIRECT(ADDRESS(ROW() - 2, COLUMN())) = 3, 61.161, IF(INDIRECT(ADDRESS(ROW() - 2, COLUMN())) = 4, 66.0539, IF(INDIRECT(ADDRESS(ROW() - 2, COLUMN())) = 5, 69.7235, IF(INDIRECT(ADDRESS(ROW() - 2, COLUMN())) = 6, 74.0048, IF(INDIRECT(ADDRESS(ROW() - 2, COLUMN())) = 7, 79.5093, IF(INDIRECT(ADDRESS(ROW() - 2, COLUMN())) = 8, 85.0137999999999, IF(INDIRECT(ADDRESS(ROW() - 2, COLUMN())) = 9, 90.5183, IF(INDIRECT(ADDRESS(ROW() - 2, COLUMN())) = 10, 96.0228, IF(INDIRECT(ADDRESS(ROW() - 2, COLUMN())) = 11, 101.5273, IF(INDIRECT(ADDRESS(ROW() - 2, COLUMN())) = 12, 107.0318, IF(INDIRECT(ADDRESS(ROW() - 2, COLUMN())) = 13, 112.5362,0)))))))))))))</f>
        <v>#VALUE!</v>
      </c>
      <c r="SA7" s="88" t="str">
        <f> IF(INDIRECT(ADDRESS(ROW() - 2, COLUMN())) = 1, 30.8879999999999, IF(INDIRECT(ADDRESS(ROW() - 2, COLUMN())) = 2, 32.994, IF(INDIRECT(ADDRESS(ROW() - 2, COLUMN())) = 3, 35.0999999999999, IF(INDIRECT(ADDRESS(ROW() - 2, COLUMN())) = 4, 37.9079999999999, IF(INDIRECT(ADDRESS(ROW() - 2, COLUMN())) = 5, 40.014, IF(INDIRECT(ADDRESS(ROW() - 2, COLUMN())) = 6, 42.471, IF(INDIRECT(ADDRESS(ROW() - 2, COLUMN())) = 7, 45.6299999999999, IF(INDIRECT(ADDRESS(ROW() - 2, COLUMN())) = 8, 48.789, IF(INDIRECT(ADDRESS(ROW() - 2, COLUMN())) = 9, 51.948, IF(INDIRECT(ADDRESS(ROW() - 2, COLUMN())) = 10, 55.1069999999999, IF(INDIRECT(ADDRESS(ROW() - 2, COLUMN())) = 11, 58.266, IF(INDIRECT(ADDRESS(ROW() - 2, COLUMN())) = 12, 61.425, IF(INDIRECT(ADDRESS(ROW() - 2, COLUMN())) = 13, 64.584,0)))))))))))))</f>
        <v>#VALUE!</v>
      </c>
      <c r="SB7" s="88" t="str">
        <f> IF(INDIRECT(ADDRESS(ROW() - 2, COLUMN())) = 1, 30.976, IF(INDIRECT(ADDRESS(ROW() - 2, COLUMN())) = 2, 33.088, IF(INDIRECT(ADDRESS(ROW() - 2, COLUMN())) = 3, 35.1999999999999, IF(INDIRECT(ADDRESS(ROW() - 2, COLUMN())) = 4, 38.016, IF(INDIRECT(ADDRESS(ROW() - 2, COLUMN())) = 5, 40.128, IF(INDIRECT(ADDRESS(ROW() - 2, COLUMN())) = 6, 42.592, IF(INDIRECT(ADDRESS(ROW() - 2, COLUMN())) = 7, 45.76, IF(INDIRECT(ADDRESS(ROW() - 2, COLUMN())) = 8, 48.928, IF(INDIRECT(ADDRESS(ROW() - 2, COLUMN())) = 9, 52.096, IF(INDIRECT(ADDRESS(ROW() - 2, COLUMN())) = 10, 55.264, IF(INDIRECT(ADDRESS(ROW() - 2, COLUMN())) = 11, 58.4319999999999, IF(INDIRECT(ADDRESS(ROW() - 2, COLUMN())) = 12, 61.6, IF(INDIRECT(ADDRESS(ROW() - 2, COLUMN())) = 13, 64.768,0)))))))))))))</f>
        <v>#VALUE!</v>
      </c>
      <c r="SC7" s="88" t="str">
        <f> IF(INDIRECT(ADDRESS(ROW() - 2, COLUMN())) = 1, 73.9438, IF(INDIRECT(ADDRESS(ROW() - 2, COLUMN())) = 2, 78.9854, IF(INDIRECT(ADDRESS(ROW() - 2, COLUMN())) = 3, 84.027, IF(INDIRECT(ADDRESS(ROW() - 2, COLUMN())) = 4, 90.7492, IF(INDIRECT(ADDRESS(ROW() - 2, COLUMN())) = 5, 95.7908, IF(INDIRECT(ADDRESS(ROW() - 2, COLUMN())) = 6, 101.672699999999, IF(INDIRECT(ADDRESS(ROW() - 2, COLUMN())) = 7, 109.2351, IF(INDIRECT(ADDRESS(ROW() - 2, COLUMN())) = 8, 116.7975, IF(INDIRECT(ADDRESS(ROW() - 2, COLUMN())) = 9, 124.36, IF(INDIRECT(ADDRESS(ROW() - 2, COLUMN())) = 10, 131.922399999999, IF(INDIRECT(ADDRESS(ROW() - 2, COLUMN())) = 11, 139.4848, IF(INDIRECT(ADDRESS(ROW() - 2, COLUMN())) = 12, 147.047299999999, IF(INDIRECT(ADDRESS(ROW() - 2, COLUMN())) = 13, 154.6097,0)))))))))))))</f>
        <v>#VALUE!</v>
      </c>
      <c r="SD7" s="88" t="str">
        <f> IF(INDIRECT(ADDRESS(ROW() - 2, COLUMN())) = 1, 61.6, IF(INDIRECT(ADDRESS(ROW() - 2, COLUMN())) = 2, 65.8, IF(INDIRECT(ADDRESS(ROW() - 2, COLUMN())) = 3, 70, IF(INDIRECT(ADDRESS(ROW() - 2, COLUMN())) = 4, 75.6, IF(INDIRECT(ADDRESS(ROW() - 2, COLUMN())) = 5, 79.8, IF(INDIRECT(ADDRESS(ROW() - 2, COLUMN())) = 6, 84.7, IF(INDIRECT(ADDRESS(ROW() - 2, COLUMN())) = 7, 91, IF(INDIRECT(ADDRESS(ROW() - 2, COLUMN())) = 8, 97.3, IF(INDIRECT(ADDRESS(ROW() - 2, COLUMN())) = 9, 103.6, IF(INDIRECT(ADDRESS(ROW() - 2, COLUMN())) = 10, 109.899999999999, IF(INDIRECT(ADDRESS(ROW() - 2, COLUMN())) = 11, 116.199999999999, IF(INDIRECT(ADDRESS(ROW() - 2, COLUMN())) = 12, 122.5, IF(INDIRECT(ADDRESS(ROW() - 2, COLUMN())) = 13, 128.8,0)))))))))))))</f>
        <v>#VALUE!</v>
      </c>
      <c r="SE7" s="88" t="str">
        <f> IF(INDIRECT(ADDRESS(ROW() - 2, COLUMN())) = 1, 74.36, IF(INDIRECT(ADDRESS(ROW() - 2, COLUMN())) = 2, 79.43, IF(INDIRECT(ADDRESS(ROW() - 2, COLUMN())) = 3, 84.5, IF(INDIRECT(ADDRESS(ROW() - 2, COLUMN())) = 4, 91.2599999999999, IF(INDIRECT(ADDRESS(ROW() - 2, COLUMN())) = 5, 96.33, IF(INDIRECT(ADDRESS(ROW() - 2, COLUMN())) = 6, 102.245, IF(INDIRECT(ADDRESS(ROW() - 2, COLUMN())) = 7, 109.85, IF(INDIRECT(ADDRESS(ROW() - 2, COLUMN())) = 8, 117.455, IF(INDIRECT(ADDRESS(ROW() - 2, COLUMN())) = 9, 125.059999999999, IF(INDIRECT(ADDRESS(ROW() - 2, COLUMN())) = 10, 132.665, IF(INDIRECT(ADDRESS(ROW() - 2, COLUMN())) = 11, 140.27, IF(INDIRECT(ADDRESS(ROW() - 2, COLUMN())) = 12, 147.875, IF(INDIRECT(ADDRESS(ROW() - 2, COLUMN())) = 13, 155.48,0)))))))))))))</f>
        <v>#VALUE!</v>
      </c>
      <c r="SF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 IF(INDIRECT(ADDRESS(ROW() - 2, COLUMN())) = 12, 144.2196, IF(INDIRECT(ADDRESS(ROW() - 2, COLUMN())) = 13, 153.1404,0)))))))))))))</f>
        <v>#VALUE!</v>
      </c>
      <c r="SG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 IF(INDIRECT(ADDRESS(ROW() - 2, COLUMN())) = 12, 288.3781, IF(INDIRECT(ADDRESS(ROW() - 2, COLUMN())) = 13, 306.2159,0)))))))))))))</f>
        <v>#VALUE!</v>
      </c>
      <c r="SH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 IF(INDIRECT(ADDRESS(ROW() - 2, COLUMN())) = 12, 360.1998, IF(INDIRECT(ADDRESS(ROW() - 2, COLUMN())) = 13, 382.4802,0)))))))))))))</f>
        <v>#VALUE!</v>
      </c>
      <c r="SI7" s="88" t="str">
        <f> IF(INDIRECT(ADDRESS(ROW() - 2, COLUMN())) = 1, 95.92, IF(INDIRECT(ADDRESS(ROW() - 2, COLUMN())) = 2, 102.46, IF(INDIRECT(ADDRESS(ROW() - 2, COLUMN())) = 3, 109, IF(INDIRECT(ADDRESS(ROW() - 2, COLUMN())) = 4, 117.72, IF(INDIRECT(ADDRESS(ROW() - 2, COLUMN())) = 5, 124.259999999999, IF(INDIRECT(ADDRESS(ROW() - 2, COLUMN())) = 6, 131.89, IF(INDIRECT(ADDRESS(ROW() - 2, COLUMN())) = 7, 141.7, IF(INDIRECT(ADDRESS(ROW() - 2, COLUMN())) = 8, 151.51, IF(INDIRECT(ADDRESS(ROW() - 2, COLUMN())) = 9, 161.32, IF(INDIRECT(ADDRESS(ROW() - 2, COLUMN())) = 10, 171.13, IF(INDIRECT(ADDRESS(ROW() - 2, COLUMN())) = 11, 180.94,0)))))))))))</f>
        <v>#VALUE!</v>
      </c>
      <c r="SJ7" s="88" t="str">
        <f> IF(INDIRECT(ADDRESS(ROW() - 2, COLUMN())) = 1, 82.632, IF(INDIRECT(ADDRESS(ROW() - 2, COLUMN())) = 2, 88.266, IF(INDIRECT(ADDRESS(ROW() - 2, COLUMN())) = 3, 93.8999999999999, IF(INDIRECT(ADDRESS(ROW() - 2, COLUMN())) = 4, 101.411999999999, IF(INDIRECT(ADDRESS(ROW() - 2, COLUMN())) = 5, 107.045999999999, IF(INDIRECT(ADDRESS(ROW() - 2, COLUMN())) = 6, 113.619, IF(INDIRECT(ADDRESS(ROW() - 2, COLUMN())) = 7, 122.07, IF(INDIRECT(ADDRESS(ROW() - 2, COLUMN())) = 8, 130.521, IF(INDIRECT(ADDRESS(ROW() - 2, COLUMN())) = 9, 138.972, IF(INDIRECT(ADDRESS(ROW() - 2, COLUMN())) = 10, 147.423, IF(INDIRECT(ADDRESS(ROW() - 2, COLUMN())) = 11, 155.874,0)))))))))))</f>
        <v>#VALUE!</v>
      </c>
      <c r="SK7" s="88" t="str">
        <f> IF(INDIRECT(ADDRESS(ROW() - 2, COLUMN())) = 1, 103.312, IF(INDIRECT(ADDRESS(ROW() - 2, COLUMN())) = 2, 110.356, IF(INDIRECT(ADDRESS(ROW() - 2, COLUMN())) = 3, 117.399999999999, IF(INDIRECT(ADDRESS(ROW() - 2, COLUMN())) = 4, 126.791999999999, IF(INDIRECT(ADDRESS(ROW() - 2, COLUMN())) = 5, 133.836, IF(INDIRECT(ADDRESS(ROW() - 2, COLUMN())) = 6, 142.054, IF(INDIRECT(ADDRESS(ROW() - 2, COLUMN())) = 7, 152.62, IF(INDIRECT(ADDRESS(ROW() - 2, COLUMN())) = 8, 163.186, IF(INDIRECT(ADDRESS(ROW() - 2, COLUMN())) = 9, 173.752, IF(INDIRECT(ADDRESS(ROW() - 2, COLUMN())) = 10, 184.318, IF(INDIRECT(ADDRESS(ROW() - 2, COLUMN())) = 11, 194.884,0)))))))))))</f>
        <v>#VALUE!</v>
      </c>
      <c r="SL7" s="88" t="str">
        <f> IF(INDIRECT(ADDRESS(ROW() - 2, COLUMN())) = 1, 136.048, IF(INDIRECT(ADDRESS(ROW() - 2, COLUMN())) = 2, 145.324, IF(INDIRECT(ADDRESS(ROW() - 2, COLUMN())) = 3, 154.6, IF(INDIRECT(ADDRESS(ROW() - 2, COLUMN())) = 4, 166.968, IF(INDIRECT(ADDRESS(ROW() - 2, COLUMN())) = 5, 176.244, IF(INDIRECT(ADDRESS(ROW() - 2, COLUMN())) = 6, 187.066, IF(INDIRECT(ADDRESS(ROW() - 2, COLUMN())) = 7, 200.98, IF(INDIRECT(ADDRESS(ROW() - 2, COLUMN())) = 8, 214.894, IF(INDIRECT(ADDRESS(ROW() - 2, COLUMN())) = 9, 228.808, IF(INDIRECT(ADDRESS(ROW() - 2, COLUMN())) = 10, 242.722, IF(INDIRECT(ADDRESS(ROW() - 2, COLUMN())) = 11, 256.636,0)))))))))))</f>
        <v>#VALUE!</v>
      </c>
      <c r="SM7" s="88" t="str">
        <f> IF(INDIRECT(ADDRESS(ROW() - 2, COLUMN())) = 1, 62.5391999999999, IF(INDIRECT(ADDRESS(ROW() - 2, COLUMN())) = 2, 67.6296, IF(INDIRECT(ADDRESS(ROW() - 2, COLUMN())) = 3, 72.72, IF(INDIRECT(ADDRESS(ROW() - 2, COLUMN())) = 4, 79.9919999999999, IF(INDIRECT(ADDRESS(ROW() - 2, COLUMN())) = 5, 85.0824, IF(INDIRECT(ADDRESS(ROW() - 2, COLUMN())) = 6, 90.9, IF(INDIRECT(ADDRESS(ROW() - 2, COLUMN())) = 7, 98.8992, IF(INDIRECT(ADDRESS(ROW() - 2, COLUMN())) = 8, 106.8984, IF(INDIRECT(ADDRESS(ROW() - 2, COLUMN())) = 9, 114.8976, IF(INDIRECT(ADDRESS(ROW() - 2, COLUMN())) = 10, 123.624, IF(INDIRECT(ADDRESS(ROW() - 2, COLUMN())) = 11, 132.3504,0)))))))))))</f>
        <v>#VALUE!</v>
      </c>
      <c r="SN7" s="88" t="str">
        <f> IF(INDIRECT(ADDRESS(ROW() - 2, COLUMN())) = 1, 113.09, IF(INDIRECT(ADDRESS(ROW() - 2, COLUMN())) = 2, 122.295, IF(INDIRECT(ADDRESS(ROW() - 2, COLUMN())) = 3, 131.5, IF(INDIRECT(ADDRESS(ROW() - 2, COLUMN())) = 4, 144.649999999999, IF(INDIRECT(ADDRESS(ROW() - 2, COLUMN())) = 5, 153.855, IF(INDIRECT(ADDRESS(ROW() - 2, COLUMN())) = 6, 164.375, IF(INDIRECT(ADDRESS(ROW() - 2, COLUMN())) = 7, 178.84, IF(INDIRECT(ADDRESS(ROW() - 2, COLUMN())) = 8, 193.305, IF(INDIRECT(ADDRESS(ROW() - 2, COLUMN())) = 9, 207.77, IF(INDIRECT(ADDRESS(ROW() - 2, COLUMN())) = 10, 223.55, IF(INDIRECT(ADDRESS(ROW() - 2, COLUMN())) = 11, 239.329999999999,0)))))))))))</f>
        <v>#VALUE!</v>
      </c>
      <c r="SO7" s="88" t="str">
        <f> IF(INDIRECT(ADDRESS(ROW() - 2, COLUMN())) = 1, 82.0466, IF(INDIRECT(ADDRESS(ROW() - 2, COLUMN())) = 2, 88.7248, IF(INDIRECT(ADDRESS(ROW() - 2, COLUMN())) = 3, 95.403, IF(INDIRECT(ADDRESS(ROW() - 2, COLUMN())) = 4, 104.9433, IF(INDIRECT(ADDRESS(ROW() - 2, COLUMN())) = 5, 111.6215, IF(INDIRECT(ADDRESS(ROW() - 2, COLUMN())) = 6, 119.2538, IF(INDIRECT(ADDRESS(ROW() - 2, COLUMN())) = 7, 129.7481, IF(INDIRECT(ADDRESS(ROW() - 2, COLUMN())) = 8, 140.242399999999, IF(INDIRECT(ADDRESS(ROW() - 2, COLUMN())) = 9, 150.736699999999, IF(INDIRECT(ADDRESS(ROW() - 2, COLUMN())) = 10, 162.1851, IF(INDIRECT(ADDRESS(ROW() - 2, COLUMN())) = 11, 173.6335,0)))))))))))</f>
        <v>#VALUE!</v>
      </c>
      <c r="SP7" s="88" t="str">
        <f> IF(INDIRECT(ADDRESS(ROW() - 2, COLUMN())) = 1, 164.0584, IF(INDIRECT(ADDRESS(ROW() - 2, COLUMN())) = 2, 177.411999999999, IF(INDIRECT(ADDRESS(ROW() - 2, COLUMN())) = 3, 190.7656, IF(INDIRECT(ADDRESS(ROW() - 2, COLUMN())) = 4, 209.8421, IF(INDIRECT(ADDRESS(ROW() - 2, COLUMN())) = 5, 223.1957, IF(INDIRECT(ADDRESS(ROW() - 2, COLUMN())) = 6, 238.457, IF(INDIRECT(ADDRESS(ROW() - 2, COLUMN())) = 7, 259.4412, IF(INDIRECT(ADDRESS(ROW() - 2, COLUMN())) = 8, 280.425399999999, IF(INDIRECT(ADDRESS(ROW() - 2, COLUMN())) = 9, 301.4096, IF(INDIRECT(ADDRESS(ROW() - 2, COLUMN())) = 10, 324.3015, IF(INDIRECT(ADDRESS(ROW() - 2, COLUMN())) = 11, 347.1933,0)))))))))))</f>
        <v>#VALUE!</v>
      </c>
      <c r="SQ7" s="88" t="str">
        <f> IF(INDIRECT(ADDRESS(ROW() - 2, COLUMN())) = 1, 204.9178, IF(INDIRECT(ADDRESS(ROW() - 2, COLUMN())) = 2, 221.5971, IF(INDIRECT(ADDRESS(ROW() - 2, COLUMN())) = 3, 238.2765, IF(INDIRECT(ADDRESS(ROW() - 2, COLUMN())) = 4, 262.1042, IF(INDIRECT(ADDRESS(ROW() - 2, COLUMN())) = 5, 278.7835, IF(INDIRECT(ADDRESS(ROW() - 2, COLUMN())) = 6, 297.8456, IF(INDIRECT(ADDRESS(ROW() - 2, COLUMN())) = 7, 324.056, IF(INDIRECT(ADDRESS(ROW() - 2, COLUMN())) = 8, 350.2665, IF(INDIRECT(ADDRESS(ROW() - 2, COLUMN())) = 9, 376.4769, IF(INDIRECT(ADDRESS(ROW() - 2, COLUMN())) = 10, 405.0701, IF(INDIRECT(ADDRESS(ROW() - 2, COLUMN())) = 11, 433.663199999999,0)))))))))))</f>
        <v>#VALUE!</v>
      </c>
      <c r="SR7" s="88" t="str">
        <f> IF(INDIRECT(ADDRESS(ROW() - 2, COLUMN())) = 1, 199.2, IF(INDIRECT(ADDRESS(ROW() - 2, COLUMN())) = 2, 214.14, IF(INDIRECT(ADDRESS(ROW() - 2, COLUMN())) = 3, 229.079999999999, IF(INDIRECT(ADDRESS(ROW() - 2, COLUMN())) = 4, 249, IF(INDIRECT(ADDRESS(ROW() - 2, COLUMN())) = 5, 263.94, IF(INDIRECT(ADDRESS(ROW() - 2, COLUMN())) = 6, 278.88, IF(INDIRECT(ADDRESS(ROW() - 2, COLUMN())) = 7, 298.8, IF(INDIRECT(ADDRESS(ROW() - 2, COLUMN())) = 8, 318.719999999999, IF(INDIRECT(ADDRESS(ROW() - 2, COLUMN())) = 9, 338.64, IF(INDIRECT(ADDRESS(ROW() - 2, COLUMN())) = 10, 358.56, IF(INDIRECT(ADDRESS(ROW() - 2, COLUMN())) = 11, 378.48, IF(INDIRECT(ADDRESS(ROW() - 2, COLUMN())) = 12, 398.4, IF(INDIRECT(ADDRESS(ROW() - 2, COLUMN())) = 13, 423.299999999999,0)))))))))))))</f>
        <v>#VALUE!</v>
      </c>
      <c r="SS7" s="88" t="str">
        <f> IF(INDIRECT(ADDRESS(ROW() - 2, COLUMN())) = 1, 295.2, IF(INDIRECT(ADDRESS(ROW() - 2, COLUMN())) = 2, 317.34, IF(INDIRECT(ADDRESS(ROW() - 2, COLUMN())) = 3, 339.48, IF(INDIRECT(ADDRESS(ROW() - 2, COLUMN())) = 4, 369, IF(INDIRECT(ADDRESS(ROW() - 2, COLUMN())) = 5, 391.14, IF(INDIRECT(ADDRESS(ROW() - 2, COLUMN())) = 6, 413.28, IF(INDIRECT(ADDRESS(ROW() - 2, COLUMN())) = 7, 442.8, IF(INDIRECT(ADDRESS(ROW() - 2, COLUMN())) = 8, 472.32, IF(INDIRECT(ADDRESS(ROW() - 2, COLUMN())) = 9, 501.84, IF(INDIRECT(ADDRESS(ROW() - 2, COLUMN())) = 10, 531.36, IF(INDIRECT(ADDRESS(ROW() - 2, COLUMN())) = 11, 560.88, IF(INDIRECT(ADDRESS(ROW() - 2, COLUMN())) = 12, 590.4, IF(INDIRECT(ADDRESS(ROW() - 2, COLUMN())) = 13, 627.3,0)))))))))))))</f>
        <v>#VALUE!</v>
      </c>
      <c r="ST7" s="88" t="str">
        <f> IF(INDIRECT(ADDRESS(ROW() - 2, COLUMN())) = 1, 160, IF(INDIRECT(ADDRESS(ROW() - 2, COLUMN())) = 2, 172, IF(INDIRECT(ADDRESS(ROW() - 2, COLUMN())) = 3, 184, IF(INDIRECT(ADDRESS(ROW() - 2, COLUMN())) = 4, 200, IF(INDIRECT(ADDRESS(ROW() - 2, COLUMN())) = 5, 212, IF(INDIRECT(ADDRESS(ROW() - 2, COLUMN())) = 6, 224, IF(INDIRECT(ADDRESS(ROW() - 2, COLUMN())) = 7, 240, IF(INDIRECT(ADDRESS(ROW() - 2, COLUMN())) = 8, 256, IF(INDIRECT(ADDRESS(ROW() - 2, COLUMN())) = 9, 272, IF(INDIRECT(ADDRESS(ROW() - 2, COLUMN())) = 10, 288, IF(INDIRECT(ADDRESS(ROW() - 2, COLUMN())) = 11, 304, IF(INDIRECT(ADDRESS(ROW() - 2, COLUMN())) = 12, 320, IF(INDIRECT(ADDRESS(ROW() - 2, COLUMN())) = 13, 340,0)))))))))))))</f>
        <v>#VALUE!</v>
      </c>
      <c r="SU7" s="88" t="str">
        <f> IF(INDIRECT(ADDRESS(ROW() - 2, COLUMN())) = 1, 95.92, IF(INDIRECT(ADDRESS(ROW() - 2, COLUMN())) = 2, 102.46, IF(INDIRECT(ADDRESS(ROW() - 2, COLUMN())) = 3, 109, IF(INDIRECT(ADDRESS(ROW() - 2, COLUMN())) = 4, 117.72, IF(INDIRECT(ADDRESS(ROW() - 2, COLUMN())) = 5, 124.259999999999, IF(INDIRECT(ADDRESS(ROW() - 2, COLUMN())) = 6, 131.89, IF(INDIRECT(ADDRESS(ROW() - 2, COLUMN())) = 7, 141.7, IF(INDIRECT(ADDRESS(ROW() - 2, COLUMN())) = 8, 151.51, IF(INDIRECT(ADDRESS(ROW() - 2, COLUMN())) = 9, 161.32, IF(INDIRECT(ADDRESS(ROW() - 2, COLUMN())) = 10, 171.13, IF(INDIRECT(ADDRESS(ROW() - 2, COLUMN())) = 11, 180.94,0)))))))))))</f>
        <v>#VALUE!</v>
      </c>
      <c r="SV7" s="88" t="str">
        <f> IF(INDIRECT(ADDRESS(ROW() - 2, COLUMN())) = 1, 82.632, IF(INDIRECT(ADDRESS(ROW() - 2, COLUMN())) = 2, 88.266, IF(INDIRECT(ADDRESS(ROW() - 2, COLUMN())) = 3, 93.8999999999999, IF(INDIRECT(ADDRESS(ROW() - 2, COLUMN())) = 4, 101.411999999999, IF(INDIRECT(ADDRESS(ROW() - 2, COLUMN())) = 5, 107.045999999999, IF(INDIRECT(ADDRESS(ROW() - 2, COLUMN())) = 6, 113.619, IF(INDIRECT(ADDRESS(ROW() - 2, COLUMN())) = 7, 122.07, IF(INDIRECT(ADDRESS(ROW() - 2, COLUMN())) = 8, 130.521, IF(INDIRECT(ADDRESS(ROW() - 2, COLUMN())) = 9, 138.972, IF(INDIRECT(ADDRESS(ROW() - 2, COLUMN())) = 10, 147.423, IF(INDIRECT(ADDRESS(ROW() - 2, COLUMN())) = 11, 155.874,0)))))))))))</f>
        <v>#VALUE!</v>
      </c>
      <c r="SW7" s="88" t="str">
        <f> IF(INDIRECT(ADDRESS(ROW() - 2, COLUMN())) = 1, 103.312, IF(INDIRECT(ADDRESS(ROW() - 2, COLUMN())) = 2, 110.356, IF(INDIRECT(ADDRESS(ROW() - 2, COLUMN())) = 3, 117.399999999999, IF(INDIRECT(ADDRESS(ROW() - 2, COLUMN())) = 4, 126.791999999999, IF(INDIRECT(ADDRESS(ROW() - 2, COLUMN())) = 5, 133.836, IF(INDIRECT(ADDRESS(ROW() - 2, COLUMN())) = 6, 142.054, IF(INDIRECT(ADDRESS(ROW() - 2, COLUMN())) = 7, 152.62, IF(INDIRECT(ADDRESS(ROW() - 2, COLUMN())) = 8, 163.186, IF(INDIRECT(ADDRESS(ROW() - 2, COLUMN())) = 9, 173.752, IF(INDIRECT(ADDRESS(ROW() - 2, COLUMN())) = 10, 184.318, IF(INDIRECT(ADDRESS(ROW() - 2, COLUMN())) = 11, 194.884,0)))))))))))</f>
        <v>#VALUE!</v>
      </c>
      <c r="SX7" s="88" t="str">
        <f> IF(INDIRECT(ADDRESS(ROW() - 2, COLUMN())) = 1, 136.048, IF(INDIRECT(ADDRESS(ROW() - 2, COLUMN())) = 2, 145.324, IF(INDIRECT(ADDRESS(ROW() - 2, COLUMN())) = 3, 154.6, IF(INDIRECT(ADDRESS(ROW() - 2, COLUMN())) = 4, 166.968, IF(INDIRECT(ADDRESS(ROW() - 2, COLUMN())) = 5, 176.244, IF(INDIRECT(ADDRESS(ROW() - 2, COLUMN())) = 6, 187.066, IF(INDIRECT(ADDRESS(ROW() - 2, COLUMN())) = 7, 200.98, IF(INDIRECT(ADDRESS(ROW() - 2, COLUMN())) = 8, 214.894, IF(INDIRECT(ADDRESS(ROW() - 2, COLUMN())) = 9, 228.808, IF(INDIRECT(ADDRESS(ROW() - 2, COLUMN())) = 10, 242.722, IF(INDIRECT(ADDRESS(ROW() - 2, COLUMN())) = 11, 256.636,0)))))))))))</f>
        <v>#VALUE!</v>
      </c>
      <c r="SY7" s="88" t="str">
        <f> IF(INDIRECT(ADDRESS(ROW() - 2, COLUMN())) = 1, 52.4599999999999, IF(INDIRECT(ADDRESS(ROW() - 2, COLUMN())) = 2, 56.73, IF(INDIRECT(ADDRESS(ROW() - 2, COLUMN())) = 3, 61, IF(INDIRECT(ADDRESS(ROW() - 2, COLUMN())) = 4, 67.1, IF(INDIRECT(ADDRESS(ROW() - 2, COLUMN())) = 5, 71.37, IF(INDIRECT(ADDRESS(ROW() - 2, COLUMN())) = 6, 76.25, IF(INDIRECT(ADDRESS(ROW() - 2, COLUMN())) = 7, 82.96, IF(INDIRECT(ADDRESS(ROW() - 2, COLUMN())) = 8, 89.67, IF(INDIRECT(ADDRESS(ROW() - 2, COLUMN())) = 9, 96.38, IF(INDIRECT(ADDRESS(ROW() - 2, COLUMN())) = 10, 103.699999999999, IF(INDIRECT(ADDRESS(ROW() - 2, COLUMN())) = 11, 111.02,0)))))))))))</f>
        <v>#VALUE!</v>
      </c>
      <c r="SZ7" s="88" t="str">
        <f> IF(INDIRECT(ADDRESS(ROW() - 2, COLUMN())) = 1, 51.6, IF(INDIRECT(ADDRESS(ROW() - 2, COLUMN())) = 2, 55.8, IF(INDIRECT(ADDRESS(ROW() - 2, COLUMN())) = 3, 60, IF(INDIRECT(ADDRESS(ROW() - 2, COLUMN())) = 4, 66, IF(INDIRECT(ADDRESS(ROW() - 2, COLUMN())) = 5, 70.1999999999999, IF(INDIRECT(ADDRESS(ROW() - 2, COLUMN())) = 6, 75, IF(INDIRECT(ADDRESS(ROW() - 2, COLUMN())) = 7, 81.6, IF(INDIRECT(ADDRESS(ROW() - 2, COLUMN())) = 8, 88.2, IF(INDIRECT(ADDRESS(ROW() - 2, COLUMN())) = 9, 94.8, IF(INDIRECT(ADDRESS(ROW() - 2, COLUMN())) = 10, 102, IF(INDIRECT(ADDRESS(ROW() - 2, COLUMN())) = 11, 109.2,0)))))))))))</f>
        <v>#VALUE!</v>
      </c>
      <c r="TA7" s="88" t="str">
        <f> IF(INDIRECT(ADDRESS(ROW() - 2, COLUMN())) = 1, 31.8199999999999, IF(INDIRECT(ADDRESS(ROW() - 2, COLUMN())) = 2, 34.41, IF(INDIRECT(ADDRESS(ROW() - 2, COLUMN())) = 3, 37, IF(INDIRECT(ADDRESS(ROW() - 2, COLUMN())) = 4, 40.6999999999999, IF(INDIRECT(ADDRESS(ROW() - 2, COLUMN())) = 5, 43.29, IF(INDIRECT(ADDRESS(ROW() - 2, COLUMN())) = 6, 46.25, IF(INDIRECT(ADDRESS(ROW() - 2, COLUMN())) = 7, 50.32, IF(INDIRECT(ADDRESS(ROW() - 2, COLUMN())) = 8, 54.39, IF(INDIRECT(ADDRESS(ROW() - 2, COLUMN())) = 9, 58.46, IF(INDIRECT(ADDRESS(ROW() - 2, COLUMN())) = 10, 62.9, IF(INDIRECT(ADDRESS(ROW() - 2, COLUMN())) = 11, 67.34,0)))))))))))</f>
        <v>#VALUE!</v>
      </c>
      <c r="TB7" s="88" t="str">
        <f> IF(INDIRECT(ADDRESS(ROW() - 2, COLUMN())) = 1, 69.66, IF(INDIRECT(ADDRESS(ROW() - 2, COLUMN())) = 2, 75.33, IF(INDIRECT(ADDRESS(ROW() - 2, COLUMN())) = 3, 81, IF(INDIRECT(ADDRESS(ROW() - 2, COLUMN())) = 4, 89.1, IF(INDIRECT(ADDRESS(ROW() - 2, COLUMN())) = 5, 94.77, IF(INDIRECT(ADDRESS(ROW() - 2, COLUMN())) = 6, 101.25, IF(INDIRECT(ADDRESS(ROW() - 2, COLUMN())) = 7, 110.16, IF(INDIRECT(ADDRESS(ROW() - 2, COLUMN())) = 8, 119.07, IF(INDIRECT(ADDRESS(ROW() - 2, COLUMN())) = 9, 127.98, IF(INDIRECT(ADDRESS(ROW() - 2, COLUMN())) = 10, 137.7, IF(INDIRECT(ADDRESS(ROW() - 2, COLUMN())) = 11, 147.42,0)))))))))))</f>
        <v>#VALUE!</v>
      </c>
      <c r="TC7" s="88" t="str">
        <f> IF(INDIRECT(ADDRESS(ROW() - 2, COLUMN())) = 1, 41.624, IF(INDIRECT(ADDRESS(ROW() - 2, COLUMN())) = 2, 45.012, IF(INDIRECT(ADDRESS(ROW() - 2, COLUMN())) = 3, 48.4, IF(INDIRECT(ADDRESS(ROW() - 2, COLUMN())) = 4, 53.2399999999999, IF(INDIRECT(ADDRESS(ROW() - 2, COLUMN())) = 5, 56.628, IF(INDIRECT(ADDRESS(ROW() - 2, COLUMN())) = 6, 60.5, IF(INDIRECT(ADDRESS(ROW() - 2, COLUMN())) = 7, 65.824, IF(INDIRECT(ADDRESS(ROW() - 2, COLUMN())) = 8, 71.148, IF(INDIRECT(ADDRESS(ROW() - 2, COLUMN())) = 9, 76.472, IF(INDIRECT(ADDRESS(ROW() - 2, COLUMN())) = 10, 82.28, IF(INDIRECT(ADDRESS(ROW() - 2, COLUMN())) = 11, 88.088,0)))))))))))</f>
        <v>#VALUE!</v>
      </c>
      <c r="TD7" s="88" t="str">
        <f> IF(INDIRECT(ADDRESS(ROW() - 2, COLUMN())) = 1, 43, IF(INDIRECT(ADDRESS(ROW() - 2, COLUMN())) = 2, 46.5, IF(INDIRECT(ADDRESS(ROW() - 2, COLUMN())) = 3, 50, IF(INDIRECT(ADDRESS(ROW() - 2, COLUMN())) = 4, 55, IF(INDIRECT(ADDRESS(ROW() - 2, COLUMN())) = 5, 58.5, IF(INDIRECT(ADDRESS(ROW() - 2, COLUMN())) = 6, 62.5, IF(INDIRECT(ADDRESS(ROW() - 2, COLUMN())) = 7, 68, IF(INDIRECT(ADDRESS(ROW() - 2, COLUMN())) = 8, 73.5, IF(INDIRECT(ADDRESS(ROW() - 2, COLUMN())) = 9, 79, IF(INDIRECT(ADDRESS(ROW() - 2, COLUMN())) = 10, 85, IF(INDIRECT(ADDRESS(ROW() - 2, COLUMN())) = 11, 91,0)))))))))))</f>
        <v>#VALUE!</v>
      </c>
      <c r="TE7" s="88" t="str">
        <f> IF(INDIRECT(ADDRESS(ROW() - 2, COLUMN())) = 1, 136.74, IF(INDIRECT(ADDRESS(ROW() - 2, COLUMN())) = 2, 147.87, IF(INDIRECT(ADDRESS(ROW() - 2, COLUMN())) = 3, 159, IF(INDIRECT(ADDRESS(ROW() - 2, COLUMN())) = 4, 174.9, IF(INDIRECT(ADDRESS(ROW() - 2, COLUMN())) = 5, 186.03, IF(INDIRECT(ADDRESS(ROW() - 2, COLUMN())) = 6, 198.75, IF(INDIRECT(ADDRESS(ROW() - 2, COLUMN())) = 7, 216.239999999999, IF(INDIRECT(ADDRESS(ROW() - 2, COLUMN())) = 8, 233.73, IF(INDIRECT(ADDRESS(ROW() - 2, COLUMN())) = 9, 251.22, IF(INDIRECT(ADDRESS(ROW() - 2, COLUMN())) = 10, 270.3, IF(INDIRECT(ADDRESS(ROW() - 2, COLUMN())) = 11, 289.38,0)))))))))))</f>
        <v>#VALUE!</v>
      </c>
      <c r="TF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TG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TH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TI7" s="88" t="str">
        <f> IF(INDIRECT(ADDRESS(ROW() - 2, COLUMN())) = 1, 58.4, IF(INDIRECT(ADDRESS(ROW() - 2, COLUMN())) = 2, 62.78, IF(INDIRECT(ADDRESS(ROW() - 2, COLUMN())) = 3, 67.16, IF(INDIRECT(ADDRESS(ROW() - 2, COLUMN())) = 4, 73, IF(INDIRECT(ADDRESS(ROW() - 2, COLUMN())) = 5, 77.38, IF(INDIRECT(ADDRESS(ROW() - 2, COLUMN())) = 6, 81.76, IF(INDIRECT(ADDRESS(ROW() - 2, COLUMN())) = 7, 87.6, IF(INDIRECT(ADDRESS(ROW() - 2, COLUMN())) = 8, 93.44, IF(INDIRECT(ADDRESS(ROW() - 2, COLUMN())) = 9, 99.28, IF(INDIRECT(ADDRESS(ROW() - 2, COLUMN())) = 10, 105.119999999999, IF(INDIRECT(ADDRESS(ROW() - 2, COLUMN())) = 11, 110.96, IF(INDIRECT(ADDRESS(ROW() - 2, COLUMN())) = 12, 116.8, IF(INDIRECT(ADDRESS(ROW() - 2, COLUMN())) = 13, 124.1,0)))))))))))))</f>
        <v>#VALUE!</v>
      </c>
      <c r="TJ7" s="88" t="str">
        <f> IF(INDIRECT(ADDRESS(ROW() - 2, COLUMN())) = 1, 136, IF(INDIRECT(ADDRESS(ROW() - 2, COLUMN())) = 2, 146.2, IF(INDIRECT(ADDRESS(ROW() - 2, COLUMN())) = 3, 156.4, IF(INDIRECT(ADDRESS(ROW() - 2, COLUMN())) = 4, 170, IF(INDIRECT(ADDRESS(ROW() - 2, COLUMN())) = 5, 180.2, IF(INDIRECT(ADDRESS(ROW() - 2, COLUMN())) = 6, 190.399999999999, IF(INDIRECT(ADDRESS(ROW() - 2, COLUMN())) = 7, 204, IF(INDIRECT(ADDRESS(ROW() - 2, COLUMN())) = 8, 217.6, IF(INDIRECT(ADDRESS(ROW() - 2, COLUMN())) = 9, 231.2, IF(INDIRECT(ADDRESS(ROW() - 2, COLUMN())) = 10, 244.799999999999, IF(INDIRECT(ADDRESS(ROW() - 2, COLUMN())) = 11, 258.4, IF(INDIRECT(ADDRESS(ROW() - 2, COLUMN())) = 12, 272, IF(INDIRECT(ADDRESS(ROW() - 2, COLUMN())) = 13, 289,0)))))))))))))</f>
        <v>#VALUE!</v>
      </c>
      <c r="TK7" s="88" t="str">
        <f> IF(INDIRECT(ADDRESS(ROW() - 2, COLUMN())) = 1, 104, IF(INDIRECT(ADDRESS(ROW() - 2, COLUMN())) = 2, 111.8, IF(INDIRECT(ADDRESS(ROW() - 2, COLUMN())) = 3, 119.6, IF(INDIRECT(ADDRESS(ROW() - 2, COLUMN())) = 4, 130, IF(INDIRECT(ADDRESS(ROW() - 2, COLUMN())) = 5, 137.799999999999, IF(INDIRECT(ADDRESS(ROW() - 2, COLUMN())) = 6, 145.6, IF(INDIRECT(ADDRESS(ROW() - 2, COLUMN())) = 7, 156, IF(INDIRECT(ADDRESS(ROW() - 2, COLUMN())) = 8, 166.4, IF(INDIRECT(ADDRESS(ROW() - 2, COLUMN())) = 9, 176.8, IF(INDIRECT(ADDRESS(ROW() - 2, COLUMN())) = 10, 187.2, IF(INDIRECT(ADDRESS(ROW() - 2, COLUMN())) = 11, 197.6, IF(INDIRECT(ADDRESS(ROW() - 2, COLUMN())) = 12, 208, IF(INDIRECT(ADDRESS(ROW() - 2, COLUMN())) = 13, 221,0)))))))))))))</f>
        <v>#VALUE!</v>
      </c>
      <c r="TL7" s="88" t="str">
        <f> IF(INDIRECT(ADDRESS(ROW() - 2, COLUMN())) = 1, 152, IF(INDIRECT(ADDRESS(ROW() - 2, COLUMN())) = 2, 163.399999999999, IF(INDIRECT(ADDRESS(ROW() - 2, COLUMN())) = 3, 174.8, IF(INDIRECT(ADDRESS(ROW() - 2, COLUMN())) = 4, 190, IF(INDIRECT(ADDRESS(ROW() - 2, COLUMN())) = 5, 201.399999999999, IF(INDIRECT(ADDRESS(ROW() - 2, COLUMN())) = 6, 212.8, IF(INDIRECT(ADDRESS(ROW() - 2, COLUMN())) = 7, 227.999999999999, IF(INDIRECT(ADDRESS(ROW() - 2, COLUMN())) = 8, 243.2, IF(INDIRECT(ADDRESS(ROW() - 2, COLUMN())) = 9, 258.4, IF(INDIRECT(ADDRESS(ROW() - 2, COLUMN())) = 10, 273.6, IF(INDIRECT(ADDRESS(ROW() - 2, COLUMN())) = 11, 288.8, IF(INDIRECT(ADDRESS(ROW() - 2, COLUMN())) = 12, 304, IF(INDIRECT(ADDRESS(ROW() - 2, COLUMN())) = 13, 323,0)))))))))))))</f>
        <v>#VALUE!</v>
      </c>
      <c r="TM7" s="88" t="str">
        <f> IF(INDIRECT(ADDRESS(ROW() - 2, COLUMN())) = 1, 132, IF(INDIRECT(ADDRESS(ROW() - 2, COLUMN())) = 2, 141.9, IF(INDIRECT(ADDRESS(ROW() - 2, COLUMN())) = 3, 151.8, IF(INDIRECT(ADDRESS(ROW() - 2, COLUMN())) = 4, 165, IF(INDIRECT(ADDRESS(ROW() - 2, COLUMN())) = 5, 174.9, IF(INDIRECT(ADDRESS(ROW() - 2, COLUMN())) = 6, 184.8, IF(INDIRECT(ADDRESS(ROW() - 2, COLUMN())) = 7, 198, IF(INDIRECT(ADDRESS(ROW() - 2, COLUMN())) = 8, 211.2, IF(INDIRECT(ADDRESS(ROW() - 2, COLUMN())) = 9, 224.4, IF(INDIRECT(ADDRESS(ROW() - 2, COLUMN())) = 10, 237.6, IF(INDIRECT(ADDRESS(ROW() - 2, COLUMN())) = 11, 250.8, IF(INDIRECT(ADDRESS(ROW() - 2, COLUMN())) = 12, 264, IF(INDIRECT(ADDRESS(ROW() - 2, COLUMN())) = 13, 280.5,0)))))))))))))</f>
        <v>#VALUE!</v>
      </c>
      <c r="TN7" s="88" t="str">
        <f> IF(INDIRECT(ADDRESS(ROW() - 2, COLUMN())) = 1, 36.894, IF(INDIRECT(ADDRESS(ROW() - 2, COLUMN())) = 2, 39.897, IF(INDIRECT(ADDRESS(ROW() - 2, COLUMN())) = 3, 42.9, IF(INDIRECT(ADDRESS(ROW() - 2, COLUMN())) = 4, 47.19, IF(INDIRECT(ADDRESS(ROW() - 2, COLUMN())) = 5, 50.193, IF(INDIRECT(ADDRESS(ROW() - 2, COLUMN())) = 6, 53.625, IF(INDIRECT(ADDRESS(ROW() - 2, COLUMN())) = 7, 58.3439999999999, IF(INDIRECT(ADDRESS(ROW() - 2, COLUMN())) = 8, 63.063, IF(INDIRECT(ADDRESS(ROW() - 2, COLUMN())) = 9, 67.782, IF(INDIRECT(ADDRESS(ROW() - 2, COLUMN())) = 10, 72.9299999999999, IF(INDIRECT(ADDRESS(ROW() - 2, COLUMN())) = 11, 78.078,0)))))))))))</f>
        <v>#VALUE!</v>
      </c>
      <c r="TO7" s="88" t="str">
        <f> IF(INDIRECT(ADDRESS(ROW() - 2, COLUMN())) = 1, 38.7, IF(INDIRECT(ADDRESS(ROW() - 2, COLUMN())) = 2, 41.85, IF(INDIRECT(ADDRESS(ROW() - 2, COLUMN())) = 3, 45, IF(INDIRECT(ADDRESS(ROW() - 2, COLUMN())) = 4, 49.5, IF(INDIRECT(ADDRESS(ROW() - 2, COLUMN())) = 5, 52.65, IF(INDIRECT(ADDRESS(ROW() - 2, COLUMN())) = 6, 56.25, IF(INDIRECT(ADDRESS(ROW() - 2, COLUMN())) = 7, 61.1999999999999, IF(INDIRECT(ADDRESS(ROW() - 2, COLUMN())) = 8, 66.1499999999999, IF(INDIRECT(ADDRESS(ROW() - 2, COLUMN())) = 9, 71.1, IF(INDIRECT(ADDRESS(ROW() - 2, COLUMN())) = 10, 76.5, IF(INDIRECT(ADDRESS(ROW() - 2, COLUMN())) = 11, 81.8999999999999,0)))))))))))</f>
        <v>#VALUE!</v>
      </c>
      <c r="TP7" s="88" t="str">
        <f> IF(INDIRECT(ADDRESS(ROW() - 2, COLUMN())) = 1, 48.504, IF(INDIRECT(ADDRESS(ROW() - 2, COLUMN())) = 2, 52.452, IF(INDIRECT(ADDRESS(ROW() - 2, COLUMN())) = 3, 56.3999999999999, IF(INDIRECT(ADDRESS(ROW() - 2, COLUMN())) = 4, 62.0399999999999, IF(INDIRECT(ADDRESS(ROW() - 2, COLUMN())) = 5, 65.988, IF(INDIRECT(ADDRESS(ROW() - 2, COLUMN())) = 6, 70.5, IF(INDIRECT(ADDRESS(ROW() - 2, COLUMN())) = 7, 76.704, IF(INDIRECT(ADDRESS(ROW() - 2, COLUMN())) = 8, 82.908, IF(INDIRECT(ADDRESS(ROW() - 2, COLUMN())) = 9, 89.112, IF(INDIRECT(ADDRESS(ROW() - 2, COLUMN())) = 10, 95.88, IF(INDIRECT(ADDRESS(ROW() - 2, COLUMN())) = 11, 102.648,0)))))))))))</f>
        <v>#VALUE!</v>
      </c>
      <c r="TQ7" s="88" t="str">
        <f> IF(INDIRECT(ADDRESS(ROW() - 2, COLUMN())) = 1, 50.3959999999999, IF(INDIRECT(ADDRESS(ROW() - 2, COLUMN())) = 2, 54.498, IF(INDIRECT(ADDRESS(ROW() - 2, COLUMN())) = 3, 58.5999999999999, IF(INDIRECT(ADDRESS(ROW() - 2, COLUMN())) = 4, 64.46, IF(INDIRECT(ADDRESS(ROW() - 2, COLUMN())) = 5, 68.562, IF(INDIRECT(ADDRESS(ROW() - 2, COLUMN())) = 6, 73.25, IF(INDIRECT(ADDRESS(ROW() - 2, COLUMN())) = 7, 79.696, IF(INDIRECT(ADDRESS(ROW() - 2, COLUMN())) = 8, 86.142, IF(INDIRECT(ADDRESS(ROW() - 2, COLUMN())) = 9, 92.588, IF(INDIRECT(ADDRESS(ROW() - 2, COLUMN())) = 10, 99.62, IF(INDIRECT(ADDRESS(ROW() - 2, COLUMN())) = 11, 106.651999999999,0)))))))))))</f>
        <v>#VALUE!</v>
      </c>
      <c r="TR7" s="88" t="str">
        <f> IF(INDIRECT(ADDRESS(ROW() - 2, COLUMN())) = 1, 58.05, IF(INDIRECT(ADDRESS(ROW() - 2, COLUMN())) = 2, 62.775, IF(INDIRECT(ADDRESS(ROW() - 2, COLUMN())) = 3, 67.5, IF(INDIRECT(ADDRESS(ROW() - 2, COLUMN())) = 4, 74.25, IF(INDIRECT(ADDRESS(ROW() - 2, COLUMN())) = 5, 78.975, IF(INDIRECT(ADDRESS(ROW() - 2, COLUMN())) = 6, 84.375, IF(INDIRECT(ADDRESS(ROW() - 2, COLUMN())) = 7, 91.8, IF(INDIRECT(ADDRESS(ROW() - 2, COLUMN())) = 8, 99.225, IF(INDIRECT(ADDRESS(ROW() - 2, COLUMN())) = 9, 106.65, IF(INDIRECT(ADDRESS(ROW() - 2, COLUMN())) = 10, 114.75, IF(INDIRECT(ADDRESS(ROW() - 2, COLUMN())) = 11, 122.85,0)))))))))))</f>
        <v>#VALUE!</v>
      </c>
      <c r="TS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TT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TU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TV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TW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TX7" s="88" t="str">
        <f> IF(INDIRECT(ADDRESS(ROW() - 2, COLUMN())) = 1, 125.76, IF(INDIRECT(ADDRESS(ROW() - 2, COLUMN())) = 2, 135.192, IF(INDIRECT(ADDRESS(ROW() - 2, COLUMN())) = 3, 144.624, IF(INDIRECT(ADDRESS(ROW() - 2, COLUMN())) = 4, 157.2, IF(INDIRECT(ADDRESS(ROW() - 2, COLUMN())) = 5, 166.632, IF(INDIRECT(ADDRESS(ROW() - 2, COLUMN())) = 6, 176.064, IF(INDIRECT(ADDRESS(ROW() - 2, COLUMN())) = 7, 188.64, IF(INDIRECT(ADDRESS(ROW() - 2, COLUMN())) = 8, 201.216, IF(INDIRECT(ADDRESS(ROW() - 2, COLUMN())) = 9, 213.791999999999, IF(INDIRECT(ADDRESS(ROW() - 2, COLUMN())) = 10, 226.368, IF(INDIRECT(ADDRESS(ROW() - 2, COLUMN())) = 11, 238.944, IF(INDIRECT(ADDRESS(ROW() - 2, COLUMN())) = 12, 251.52, IF(INDIRECT(ADDRESS(ROW() - 2, COLUMN())) = 13, 267.24,0)))))))))))))</f>
        <v>#VALUE!</v>
      </c>
      <c r="TY7" s="88" t="str">
        <f> IF(INDIRECT(ADDRESS(ROW() - 2, COLUMN())) = 1, 409.6, IF(INDIRECT(ADDRESS(ROW() - 2, COLUMN())) = 2, 440.32, IF(INDIRECT(ADDRESS(ROW() - 2, COLUMN())) = 3, 471.039999999999, IF(INDIRECT(ADDRESS(ROW() - 2, COLUMN())) = 4, 512, IF(INDIRECT(ADDRESS(ROW() - 2, COLUMN())) = 5, 542.72, IF(INDIRECT(ADDRESS(ROW() - 2, COLUMN())) = 6, 573.439999999999, IF(INDIRECT(ADDRESS(ROW() - 2, COLUMN())) = 7, 614.4, IF(INDIRECT(ADDRESS(ROW() - 2, COLUMN())) = 8, 655.36, IF(INDIRECT(ADDRESS(ROW() - 2, COLUMN())) = 9, 696.319999999999, IF(INDIRECT(ADDRESS(ROW() - 2, COLUMN())) = 10, 737.28, IF(INDIRECT(ADDRESS(ROW() - 2, COLUMN())) = 11, 778.24, IF(INDIRECT(ADDRESS(ROW() - 2, COLUMN())) = 12, 819.2, IF(INDIRECT(ADDRESS(ROW() - 2, COLUMN())) = 13, 870.4,0)))))))))))))</f>
        <v>#VALUE!</v>
      </c>
      <c r="TZ7" s="88" t="str">
        <f> IF(INDIRECT(ADDRESS(ROW() - 2, COLUMN())) = 1, 34.12, IF(INDIRECT(ADDRESS(ROW() - 2, COLUMN())) = 2, 36.679, IF(INDIRECT(ADDRESS(ROW() - 2, COLUMN())) = 3, 39.238, IF(INDIRECT(ADDRESS(ROW() - 2, COLUMN())) = 4, 42.65, IF(INDIRECT(ADDRESS(ROW() - 2, COLUMN())) = 5, 45.2089999999999, IF(INDIRECT(ADDRESS(ROW() - 2, COLUMN())) = 6, 47.768, IF(INDIRECT(ADDRESS(ROW() - 2, COLUMN())) = 7, 51.18, IF(INDIRECT(ADDRESS(ROW() - 2, COLUMN())) = 8, 54.592, IF(INDIRECT(ADDRESS(ROW() - 2, COLUMN())) = 9, 58.004, IF(INDIRECT(ADDRESS(ROW() - 2, COLUMN())) = 10, 61.416, IF(INDIRECT(ADDRESS(ROW() - 2, COLUMN())) = 11, 64.828, IF(INDIRECT(ADDRESS(ROW() - 2, COLUMN())) = 12, 68.24, IF(INDIRECT(ADDRESS(ROW() - 2, COLUMN())) = 13, 72.505,0)))))))))))))</f>
        <v>#VALUE!</v>
      </c>
      <c r="UA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154.35,0)))))))))))</f>
        <v>#VALUE!</v>
      </c>
      <c r="UB7" s="88" t="str">
        <f> IF(INDIRECT(ADDRESS(ROW() - 2, COLUMN())) = 1, 71.38, IF(INDIRECT(ADDRESS(ROW() - 2, COLUMN())) = 2, 77.19, IF(INDIRECT(ADDRESS(ROW() - 2, COLUMN())) = 3, 83, IF(INDIRECT(ADDRESS(ROW() - 2, COLUMN())) = 4, 91.3, IF(INDIRECT(ADDRESS(ROW() - 2, COLUMN())) = 5, 97.11, IF(INDIRECT(ADDRESS(ROW() - 2, COLUMN())) = 6, 103.75, IF(INDIRECT(ADDRESS(ROW() - 2, COLUMN())) = 7, 112.88, IF(INDIRECT(ADDRESS(ROW() - 2, COLUMN())) = 8, 122.009999999999, IF(INDIRECT(ADDRESS(ROW() - 2, COLUMN())) = 9, 131.14, IF(INDIRECT(ADDRESS(ROW() - 2, COLUMN())) = 10, 141.1, IF(INDIRECT(ADDRESS(ROW() - 2, COLUMN())) = 11, 152.5125,0)))))))))))</f>
        <v>#VALUE!</v>
      </c>
      <c r="UC7" s="88" t="str">
        <f> IF(INDIRECT(ADDRESS(ROW() - 2, COLUMN())) = 1, 43.43, IF(INDIRECT(ADDRESS(ROW() - 2, COLUMN())) = 2, 46.965, IF(INDIRECT(ADDRESS(ROW() - 2, COLUMN())) = 3, 50.5, IF(INDIRECT(ADDRESS(ROW() - 2, COLUMN())) = 4, 55.55, IF(INDIRECT(ADDRESS(ROW() - 2, COLUMN())) = 5, 59.085, IF(INDIRECT(ADDRESS(ROW() - 2, COLUMN())) = 6, 63.125, IF(INDIRECT(ADDRESS(ROW() - 2, COLUMN())) = 7, 68.6799999999999, IF(INDIRECT(ADDRESS(ROW() - 2, COLUMN())) = 8, 74.235, IF(INDIRECT(ADDRESS(ROW() - 2, COLUMN())) = 9, 79.79, IF(INDIRECT(ADDRESS(ROW() - 2, COLUMN())) = 10, 85.85, IF(INDIRECT(ADDRESS(ROW() - 2, COLUMN())) = 11, 92.7937,0)))))))))))</f>
        <v>#VALUE!</v>
      </c>
      <c r="UD7" s="88" t="str">
        <f> IF(INDIRECT(ADDRESS(ROW() - 2, COLUMN())) = 1, 98.126, IF(INDIRECT(ADDRESS(ROW() - 2, COLUMN())) = 2, 106.112999999999, IF(INDIRECT(ADDRESS(ROW() - 2, COLUMN())) = 3, 114.1, IF(INDIRECT(ADDRESS(ROW() - 2, COLUMN())) = 4, 125.51, IF(INDIRECT(ADDRESS(ROW() - 2, COLUMN())) = 5, 133.496999999999, IF(INDIRECT(ADDRESS(ROW() - 2, COLUMN())) = 6, 142.625, IF(INDIRECT(ADDRESS(ROW() - 2, COLUMN())) = 7, 155.176, IF(INDIRECT(ADDRESS(ROW() - 2, COLUMN())) = 8, 167.727, IF(INDIRECT(ADDRESS(ROW() - 2, COLUMN())) = 9, 180.278, IF(INDIRECT(ADDRESS(ROW() - 2, COLUMN())) = 10, 193.97, IF(INDIRECT(ADDRESS(ROW() - 2, COLUMN())) = 11, 209.6588,0)))))))))))</f>
        <v>#VALUE!</v>
      </c>
      <c r="UE7" s="88" t="str">
        <f> IF(INDIRECT(ADDRESS(ROW() - 2, COLUMN())) = 1, 62.5455, IF(INDIRECT(ADDRESS(ROW() - 2, COLUMN())) = 2, 67.6364, IF(INDIRECT(ADDRESS(ROW() - 2, COLUMN())) = 3, 72.7273, IF(INDIRECT(ADDRESS(ROW() - 2, COLUMN())) = 4, 80, IF(INDIRECT(ADDRESS(ROW() - 2, COLUMN())) = 5, 85.0909, IF(INDIRECT(ADDRESS(ROW() - 2, COLUMN())) = 6, 90.9091, IF(INDIRECT(ADDRESS(ROW() - 2, COLUMN())) = 7, 98.9091, IF(INDIRECT(ADDRESS(ROW() - 2, COLUMN())) = 8, 106.9091, IF(INDIRECT(ADDRESS(ROW() - 2, COLUMN())) = 9, 114.9091, IF(INDIRECT(ADDRESS(ROW() - 2, COLUMN())) = 10, 123.6364, IF(INDIRECT(ADDRESS(ROW() - 2, COLUMN())) = 11, 133.6364,0)))))))))))</f>
        <v>#VALUE!</v>
      </c>
      <c r="UF7" s="88" t="str">
        <f> IF(INDIRECT(ADDRESS(ROW() - 2, COLUMN())) = 1, 113.09, IF(INDIRECT(ADDRESS(ROW() - 2, COLUMN())) = 2, 122.295, IF(INDIRECT(ADDRESS(ROW() - 2, COLUMN())) = 3, 131.5, IF(INDIRECT(ADDRESS(ROW() - 2, COLUMN())) = 4, 144.649999999999, IF(INDIRECT(ADDRESS(ROW() - 2, COLUMN())) = 5, 153.855, IF(INDIRECT(ADDRESS(ROW() - 2, COLUMN())) = 6, 164.375, IF(INDIRECT(ADDRESS(ROW() - 2, COLUMN())) = 7, 178.84, IF(INDIRECT(ADDRESS(ROW() - 2, COLUMN())) = 8, 193.305, IF(INDIRECT(ADDRESS(ROW() - 2, COLUMN())) = 9, 207.77, IF(INDIRECT(ADDRESS(ROW() - 2, COLUMN())) = 10, 223.55, IF(INDIRECT(ADDRESS(ROW() - 2, COLUMN())) = 11, 241.6313,0)))))))))))</f>
        <v>#VALUE!</v>
      </c>
      <c r="UG7" s="88" t="str">
        <f> IF(INDIRECT(ADDRESS(ROW() - 2, COLUMN())) = 1, 74.5878, IF(INDIRECT(ADDRESS(ROW() - 2, COLUMN())) = 2, 80.6589, IF(INDIRECT(ADDRESS(ROW() - 2, COLUMN())) = 3, 86.7299999999999, IF(INDIRECT(ADDRESS(ROW() - 2, COLUMN())) = 4, 95.403, IF(INDIRECT(ADDRESS(ROW() - 2, COLUMN())) = 5, 101.474099999999, IF(INDIRECT(ADDRESS(ROW() - 2, COLUMN())) = 6, 108.4125, IF(INDIRECT(ADDRESS(ROW() - 2, COLUMN())) = 7, 117.9528, IF(INDIRECT(ADDRESS(ROW() - 2, COLUMN())) = 8, 127.4931, IF(INDIRECT(ADDRESS(ROW() - 2, COLUMN())) = 9, 137.0334, IF(INDIRECT(ADDRESS(ROW() - 2, COLUMN())) = 10, 147.441, IF(INDIRECT(ADDRESS(ROW() - 2, COLUMN())) = 11, 157.8486,0)))))))))))</f>
        <v>#VALUE!</v>
      </c>
      <c r="UH7" s="88" t="str">
        <f> IF(INDIRECT(ADDRESS(ROW() - 2, COLUMN())) = 1, 149.144, IF(INDIRECT(ADDRESS(ROW() - 2, COLUMN())) = 2, 161.2836, IF(INDIRECT(ADDRESS(ROW() - 2, COLUMN())) = 3, 173.423299999999, IF(INDIRECT(ADDRESS(ROW() - 2, COLUMN())) = 4, 190.7656, IF(INDIRECT(ADDRESS(ROW() - 2, COLUMN())) = 5, 202.9052, IF(INDIRECT(ADDRESS(ROW() - 2, COLUMN())) = 6, 216.779099999999, IF(INDIRECT(ADDRESS(ROW() - 2, COLUMN())) = 7, 235.8556, IF(INDIRECT(ADDRESS(ROW() - 2, COLUMN())) = 8, 254.9322, IF(INDIRECT(ADDRESS(ROW() - 2, COLUMN())) = 9, 274.0087, IF(INDIRECT(ADDRESS(ROW() - 2, COLUMN())) = 10, 294.8195, IF(INDIRECT(ADDRESS(ROW() - 2, COLUMN())) = 11, 315.6303,0)))))))))))</f>
        <v>#VALUE!</v>
      </c>
      <c r="UI7" s="88" t="str">
        <f> IF(INDIRECT(ADDRESS(ROW() - 2, COLUMN())) = 1, 186.2889, IF(INDIRECT(ADDRESS(ROW() - 2, COLUMN())) = 2, 201.452, IF(INDIRECT(ADDRESS(ROW() - 2, COLUMN())) = 3, 216.615, IF(INDIRECT(ADDRESS(ROW() - 2, COLUMN())) = 4, 238.2765, IF(INDIRECT(ADDRESS(ROW() - 2, COLUMN())) = 5, 253.4396, IF(INDIRECT(ADDRESS(ROW() - 2, COLUMN())) = 6, 270.7688, IF(INDIRECT(ADDRESS(ROW() - 2, COLUMN())) = 7, 294.5964, IF(INDIRECT(ADDRESS(ROW() - 2, COLUMN())) = 8, 318.4241, IF(INDIRECT(ADDRESS(ROW() - 2, COLUMN())) = 9, 342.2517, IF(INDIRECT(ADDRESS(ROW() - 2, COLUMN())) = 10, 368.2455, IF(INDIRECT(ADDRESS(ROW() - 2, COLUMN())) = 11, 394.2393,0)))))))))))</f>
        <v>#VALUE!</v>
      </c>
      <c r="UJ7" s="88" t="str">
        <f> IF(INDIRECT(ADDRESS(ROW() - 2, COLUMN())) = 1, 36, IF(INDIRECT(ADDRESS(ROW() - 2, COLUMN())) = 2, 38.7, IF(INDIRECT(ADDRESS(ROW() - 2, COLUMN())) = 3, 41.4, IF(INDIRECT(ADDRESS(ROW() - 2, COLUMN())) = 4, 45, IF(INDIRECT(ADDRESS(ROW() - 2, COLUMN())) = 5, 47.6999999999999, IF(INDIRECT(ADDRESS(ROW() - 2, COLUMN())) = 6, 50.4, IF(INDIRECT(ADDRESS(ROW() - 2, COLUMN())) = 7, 54, IF(INDIRECT(ADDRESS(ROW() - 2, COLUMN())) = 8, 57.5999999999999, IF(INDIRECT(ADDRESS(ROW() - 2, COLUMN())) = 9, 61.1999999999999, IF(INDIRECT(ADDRESS(ROW() - 2, COLUMN())) = 10, 64.8, IF(INDIRECT(ADDRESS(ROW() - 2, COLUMN())) = 11, 68.4, IF(INDIRECT(ADDRESS(ROW() - 2, COLUMN())) = 12, 72, IF(INDIRECT(ADDRESS(ROW() - 2, COLUMN())) = 13, 76.5,0)))))))))))))</f>
        <v>#VALUE!</v>
      </c>
      <c r="UK7" s="88" t="str">
        <f> IF(INDIRECT(ADDRESS(ROW() - 2, COLUMN())) = 1, 158.4, IF(INDIRECT(ADDRESS(ROW() - 2, COLUMN())) = 2, 170.28, IF(INDIRECT(ADDRESS(ROW() - 2, COLUMN())) = 3, 182.16, IF(INDIRECT(ADDRESS(ROW() - 2, COLUMN())) = 4, 198, IF(INDIRECT(ADDRESS(ROW() - 2, COLUMN())) = 5, 209.88, IF(INDIRECT(ADDRESS(ROW() - 2, COLUMN())) = 6, 221.76, IF(INDIRECT(ADDRESS(ROW() - 2, COLUMN())) = 7, 237.6, IF(INDIRECT(ADDRESS(ROW() - 2, COLUMN())) = 8, 253.44, IF(INDIRECT(ADDRESS(ROW() - 2, COLUMN())) = 9, 269.28, IF(INDIRECT(ADDRESS(ROW() - 2, COLUMN())) = 10, 285.12, IF(INDIRECT(ADDRESS(ROW() - 2, COLUMN())) = 11, 300.96, IF(INDIRECT(ADDRESS(ROW() - 2, COLUMN())) = 12, 316.8, IF(INDIRECT(ADDRESS(ROW() - 2, COLUMN())) = 13, 336.6,0)))))))))))))</f>
        <v>#VALUE!</v>
      </c>
      <c r="UL7" s="88" t="str">
        <f> IF(INDIRECT(ADDRESS(ROW() - 2, COLUMN())) = 1, 217.6, IF(INDIRECT(ADDRESS(ROW() - 2, COLUMN())) = 2, 233.92, IF(INDIRECT(ADDRESS(ROW() - 2, COLUMN())) = 3, 250.24, IF(INDIRECT(ADDRESS(ROW() - 2, COLUMN())) = 4, 272, IF(INDIRECT(ADDRESS(ROW() - 2, COLUMN())) = 5, 288.32, IF(INDIRECT(ADDRESS(ROW() - 2, COLUMN())) = 6, 304.64, IF(INDIRECT(ADDRESS(ROW() - 2, COLUMN())) = 7, 326.4, IF(INDIRECT(ADDRESS(ROW() - 2, COLUMN())) = 8, 348.159999999999, IF(INDIRECT(ADDRESS(ROW() - 2, COLUMN())) = 9, 369.919999999999, IF(INDIRECT(ADDRESS(ROW() - 2, COLUMN())) = 10, 391.68, IF(INDIRECT(ADDRESS(ROW() - 2, COLUMN())) = 11, 413.44, IF(INDIRECT(ADDRESS(ROW() - 2, COLUMN())) = 12, 435.2, IF(INDIRECT(ADDRESS(ROW() - 2, COLUMN())) = 13, 462.4,0)))))))))))))</f>
        <v>#VALUE!</v>
      </c>
      <c r="UM7" s="88" t="str">
        <f> IF(INDIRECT(ADDRESS(ROW() - 2, COLUMN())) = 1, 16.8, IF(INDIRECT(ADDRESS(ROW() - 2, COLUMN())) = 2, 18.06, IF(INDIRECT(ADDRESS(ROW() - 2, COLUMN())) = 3, 19.32, IF(INDIRECT(ADDRESS(ROW() - 2, COLUMN())) = 4, 21, IF(INDIRECT(ADDRESS(ROW() - 2, COLUMN())) = 5, 22.2599999999999, IF(INDIRECT(ADDRESS(ROW() - 2, COLUMN())) = 6, 23.52, IF(INDIRECT(ADDRESS(ROW() - 2, COLUMN())) = 7, 25.2, IF(INDIRECT(ADDRESS(ROW() - 2, COLUMN())) = 8, 26.88, IF(INDIRECT(ADDRESS(ROW() - 2, COLUMN())) = 9, 28.56, IF(INDIRECT(ADDRESS(ROW() - 2, COLUMN())) = 10, 30.24, IF(INDIRECT(ADDRESS(ROW() - 2, COLUMN())) = 11, 31.9199999999999, IF(INDIRECT(ADDRESS(ROW() - 2, COLUMN())) = 12, 33.6, IF(INDIRECT(ADDRESS(ROW() - 2, COLUMN())) = 13, 35.6999999999999,0)))))))))))))</f>
        <v>#VALUE!</v>
      </c>
      <c r="UN7" s="88" t="str">
        <f> IF(INDIRECT(ADDRESS(ROW() - 2, COLUMN())) = 1, 76.16, IF(INDIRECT(ADDRESS(ROW() - 2, COLUMN())) = 2, 81.872, IF(INDIRECT(ADDRESS(ROW() - 2, COLUMN())) = 3, 87.5839999999999, IF(INDIRECT(ADDRESS(ROW() - 2, COLUMN())) = 4, 95.1999999999999, IF(INDIRECT(ADDRESS(ROW() - 2, COLUMN())) = 5, 100.912, IF(INDIRECT(ADDRESS(ROW() - 2, COLUMN())) = 6, 106.624, IF(INDIRECT(ADDRESS(ROW() - 2, COLUMN())) = 7, 114.24, IF(INDIRECT(ADDRESS(ROW() - 2, COLUMN())) = 8, 121.856, IF(INDIRECT(ADDRESS(ROW() - 2, COLUMN())) = 9, 129.472, IF(INDIRECT(ADDRESS(ROW() - 2, COLUMN())) = 10, 137.088, IF(INDIRECT(ADDRESS(ROW() - 2, COLUMN())) = 11, 144.704, IF(INDIRECT(ADDRESS(ROW() - 2, COLUMN())) = 12, 152.32, IF(INDIRECT(ADDRESS(ROW() - 2, COLUMN())) = 13, 161.84,0)))))))))))))</f>
        <v>#VALUE!</v>
      </c>
      <c r="UO7" s="88" t="str">
        <f> IF(INDIRECT(ADDRESS(ROW() - 2, COLUMN())) = 1, 116.8, IF(INDIRECT(ADDRESS(ROW() - 2, COLUMN())) = 2, 125.56, IF(INDIRECT(ADDRESS(ROW() - 2, COLUMN())) = 3, 134.32, IF(INDIRECT(ADDRESS(ROW() - 2, COLUMN())) = 4, 146, IF(INDIRECT(ADDRESS(ROW() - 2, COLUMN())) = 5, 154.76, IF(INDIRECT(ADDRESS(ROW() - 2, COLUMN())) = 6, 163.52, IF(INDIRECT(ADDRESS(ROW() - 2, COLUMN())) = 7, 175.2, IF(INDIRECT(ADDRESS(ROW() - 2, COLUMN())) = 8, 186.88, IF(INDIRECT(ADDRESS(ROW() - 2, COLUMN())) = 9, 198.56, IF(INDIRECT(ADDRESS(ROW() - 2, COLUMN())) = 10, 210.239999999999, IF(INDIRECT(ADDRESS(ROW() - 2, COLUMN())) = 11, 221.92, IF(INDIRECT(ADDRESS(ROW() - 2, COLUMN())) = 12, 233.6, IF(INDIRECT(ADDRESS(ROW() - 2, COLUMN())) = 13, 248.2,0)))))))))))))</f>
        <v>#VALUE!</v>
      </c>
      <c r="UP7" s="88" t="str">
        <f> IF(INDIRECT(ADDRESS(ROW() - 2, COLUMN())) = 1, 52, IF(INDIRECT(ADDRESS(ROW() - 2, COLUMN())) = 2, 55.9, IF(INDIRECT(ADDRESS(ROW() - 2, COLUMN())) = 3, 59.8, IF(INDIRECT(ADDRESS(ROW() - 2, COLUMN())) = 4, 65, IF(INDIRECT(ADDRESS(ROW() - 2, COLUMN())) = 5, 68.8999999999999, IF(INDIRECT(ADDRESS(ROW() - 2, COLUMN())) = 6, 72.8, IF(INDIRECT(ADDRESS(ROW() - 2, COLUMN())) = 7, 78, IF(INDIRECT(ADDRESS(ROW() - 2, COLUMN())) = 8, 83.2, IF(INDIRECT(ADDRESS(ROW() - 2, COLUMN())) = 9, 88.4, IF(INDIRECT(ADDRESS(ROW() - 2, COLUMN())) = 10, 93.6, IF(INDIRECT(ADDRESS(ROW() - 2, COLUMN())) = 11, 98.8, IF(INDIRECT(ADDRESS(ROW() - 2, COLUMN())) = 12, 104, IF(INDIRECT(ADDRESS(ROW() - 2, COLUMN())) = 13, 110.5,0)))))))))))))</f>
        <v>#VALUE!</v>
      </c>
      <c r="UQ7" s="88" t="str">
        <f> IF(INDIRECT(ADDRESS(ROW() - 2, COLUMN())) = 1, 43.258, IF(INDIRECT(ADDRESS(ROW() - 2, COLUMN())) = 2, 46.7789999999999, IF(INDIRECT(ADDRESS(ROW() - 2, COLUMN())) = 3, 50.3, IF(INDIRECT(ADDRESS(ROW() - 2, COLUMN())) = 4, 55.33, IF(INDIRECT(ADDRESS(ROW() - 2, COLUMN())) = 5, 58.851, IF(INDIRECT(ADDRESS(ROW() - 2, COLUMN())) = 6, 62.875, IF(INDIRECT(ADDRESS(ROW() - 2, COLUMN())) = 7, 68.408, IF(INDIRECT(ADDRESS(ROW() - 2, COLUMN())) = 8, 73.941, IF(INDIRECT(ADDRESS(ROW() - 2, COLUMN())) = 9, 79.474, IF(INDIRECT(ADDRESS(ROW() - 2, COLUMN())) = 10, 85.5099999999999, IF(INDIRECT(ADDRESS(ROW() - 2, COLUMN())) = 11, 91.546,0)))))))))))</f>
        <v>#VALUE!</v>
      </c>
      <c r="UR7" s="88" t="str">
        <f> IF(INDIRECT(ADDRESS(ROW() - 2, COLUMN())) = 1, 40.248, IF(INDIRECT(ADDRESS(ROW() - 2, COLUMN())) = 2, 43.524, IF(INDIRECT(ADDRESS(ROW() - 2, COLUMN())) = 3, 46.8, IF(INDIRECT(ADDRESS(ROW() - 2, COLUMN())) = 4, 51.48, IF(INDIRECT(ADDRESS(ROW() - 2, COLUMN())) = 5, 54.756, IF(INDIRECT(ADDRESS(ROW() - 2, COLUMN())) = 6, 58.5, IF(INDIRECT(ADDRESS(ROW() - 2, COLUMN())) = 7, 63.648, IF(INDIRECT(ADDRESS(ROW() - 2, COLUMN())) = 8, 68.796, IF(INDIRECT(ADDRESS(ROW() - 2, COLUMN())) = 9, 73.944, IF(INDIRECT(ADDRESS(ROW() - 2, COLUMN())) = 10, 79.56, IF(INDIRECT(ADDRESS(ROW() - 2, COLUMN())) = 11, 85.176,0)))))))))))</f>
        <v>#VALUE!</v>
      </c>
      <c r="US7" s="88" t="str">
        <f> IF(INDIRECT(ADDRESS(ROW() - 2, COLUMN())) = 1, 53.32, IF(INDIRECT(ADDRESS(ROW() - 2, COLUMN())) = 2, 57.66, IF(INDIRECT(ADDRESS(ROW() - 2, COLUMN())) = 3, 62, IF(INDIRECT(ADDRESS(ROW() - 2, COLUMN())) = 4, 68.2, IF(INDIRECT(ADDRESS(ROW() - 2, COLUMN())) = 5, 72.54, IF(INDIRECT(ADDRESS(ROW() - 2, COLUMN())) = 6, 77.5, IF(INDIRECT(ADDRESS(ROW() - 2, COLUMN())) = 7, 84.32, IF(INDIRECT(ADDRESS(ROW() - 2, COLUMN())) = 8, 91.14, IF(INDIRECT(ADDRESS(ROW() - 2, COLUMN())) = 9, 97.96, IF(INDIRECT(ADDRESS(ROW() - 2, COLUMN())) = 10, 105.4, IF(INDIRECT(ADDRESS(ROW() - 2, COLUMN())) = 11, 112.84,0)))))))))))</f>
        <v>#VALUE!</v>
      </c>
      <c r="UT7" s="88" t="str">
        <f> IF(INDIRECT(ADDRESS(ROW() - 2, COLUMN())) = 1, 26.316, IF(INDIRECT(ADDRESS(ROW() - 2, COLUMN())) = 2, 28.458, IF(INDIRECT(ADDRESS(ROW() - 2, COLUMN())) = 3, 30.5999999999999, IF(INDIRECT(ADDRESS(ROW() - 2, COLUMN())) = 4, 33.66, IF(INDIRECT(ADDRESS(ROW() - 2, COLUMN())) = 5, 35.802, IF(INDIRECT(ADDRESS(ROW() - 2, COLUMN())) = 6, 38.25, IF(INDIRECT(ADDRESS(ROW() - 2, COLUMN())) = 7, 41.616, IF(INDIRECT(ADDRESS(ROW() - 2, COLUMN())) = 8, 44.982, IF(INDIRECT(ADDRESS(ROW() - 2, COLUMN())) = 9, 48.348, IF(INDIRECT(ADDRESS(ROW() - 2, COLUMN())) = 10, 52.0199999999999, IF(INDIRECT(ADDRESS(ROW() - 2, COLUMN())) = 11, 55.692,0)))))))))))</f>
        <v>#VALUE!</v>
      </c>
      <c r="UU7" s="88" t="str">
        <f> IF(INDIRECT(ADDRESS(ROW() - 2, COLUMN())) = 1, 65.618, IF(INDIRECT(ADDRESS(ROW() - 2, COLUMN())) = 2, 70.959, IF(INDIRECT(ADDRESS(ROW() - 2, COLUMN())) = 3, 76.3, IF(INDIRECT(ADDRESS(ROW() - 2, COLUMN())) = 4, 83.93, IF(INDIRECT(ADDRESS(ROW() - 2, COLUMN())) = 5, 89.271, IF(INDIRECT(ADDRESS(ROW() - 2, COLUMN())) = 6, 95.375, IF(INDIRECT(ADDRESS(ROW() - 2, COLUMN())) = 7, 103.768, IF(INDIRECT(ADDRESS(ROW() - 2, COLUMN())) = 8, 112.161, IF(INDIRECT(ADDRESS(ROW() - 2, COLUMN())) = 9, 120.554, IF(INDIRECT(ADDRESS(ROW() - 2, COLUMN())) = 10, 129.709999999999, IF(INDIRECT(ADDRESS(ROW() - 2, COLUMN())) = 11, 138.866,0)))))))))))</f>
        <v>#VALUE!</v>
      </c>
      <c r="UV7" s="88" t="str">
        <f> IF(INDIRECT(ADDRESS(ROW() - 2, COLUMN())) = 1, 110.6734, IF(INDIRECT(ADDRESS(ROW() - 2, COLUMN())) = 2, 119.6817, IF(INDIRECT(ADDRESS(ROW() - 2, COLUMN())) = 3, 128.69, IF(INDIRECT(ADDRESS(ROW() - 2, COLUMN())) = 4, 141.559, IF(INDIRECT(ADDRESS(ROW() - 2, COLUMN())) = 5, 150.5673, IF(INDIRECT(ADDRESS(ROW() - 2, COLUMN())) = 6, 160.8625, IF(INDIRECT(ADDRESS(ROW() - 2, COLUMN())) = 7, 175.018399999999, IF(INDIRECT(ADDRESS(ROW() - 2, COLUMN())) = 8, 189.1743, IF(INDIRECT(ADDRESS(ROW() - 2, COLUMN())) = 9, 203.3302, IF(INDIRECT(ADDRESS(ROW() - 2, COLUMN())) = 10, 218.773, IF(INDIRECT(ADDRESS(ROW() - 2, COLUMN())) = 11, 234.2158,0)))))))))))</f>
        <v>#VALUE!</v>
      </c>
      <c r="UW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UX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UY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UZ7" s="88" t="str">
        <f> IF(INDIRECT(ADDRESS(ROW() - 2, COLUMN())) = 1, 139.2, IF(INDIRECT(ADDRESS(ROW() - 2, COLUMN())) = 2, 149.64, IF(INDIRECT(ADDRESS(ROW() - 2, COLUMN())) = 3, 160.08, IF(INDIRECT(ADDRESS(ROW() - 2, COLUMN())) = 4, 174, IF(INDIRECT(ADDRESS(ROW() - 2, COLUMN())) = 5, 184.44, IF(INDIRECT(ADDRESS(ROW() - 2, COLUMN())) = 6, 194.88, IF(INDIRECT(ADDRESS(ROW() - 2, COLUMN())) = 7, 208.8, IF(INDIRECT(ADDRESS(ROW() - 2, COLUMN())) = 8, 222.719999999999, IF(INDIRECT(ADDRESS(ROW() - 2, COLUMN())) = 9, 236.64, IF(INDIRECT(ADDRESS(ROW() - 2, COLUMN())) = 10, 250.559999999999, IF(INDIRECT(ADDRESS(ROW() - 2, COLUMN())) = 11, 264.48, IF(INDIRECT(ADDRESS(ROW() - 2, COLUMN())) = 12, 278.4, IF(INDIRECT(ADDRESS(ROW() - 2, COLUMN())) = 13, 295.8,0)))))))))))))</f>
        <v>#VALUE!</v>
      </c>
      <c r="VA7" s="88" t="str">
        <f> IF(INDIRECT(ADDRESS(ROW() - 2, COLUMN())) = 1, 188.799999999999, IF(INDIRECT(ADDRESS(ROW() - 2, COLUMN())) = 2, 202.959999999999, IF(INDIRECT(ADDRESS(ROW() - 2, COLUMN())) = 3, 217.119999999999, IF(INDIRECT(ADDRESS(ROW() - 2, COLUMN())) = 4, 236, IF(INDIRECT(ADDRESS(ROW() - 2, COLUMN())) = 5, 250.159999999999, IF(INDIRECT(ADDRESS(ROW() - 2, COLUMN())) = 6, 264.32, IF(INDIRECT(ADDRESS(ROW() - 2, COLUMN())) = 7, 283.2, IF(INDIRECT(ADDRESS(ROW() - 2, COLUMN())) = 8, 302.08, IF(INDIRECT(ADDRESS(ROW() - 2, COLUMN())) = 9, 320.96, IF(INDIRECT(ADDRESS(ROW() - 2, COLUMN())) = 10, 339.84, IF(INDIRECT(ADDRESS(ROW() - 2, COLUMN())) = 11, 358.72, IF(INDIRECT(ADDRESS(ROW() - 2, COLUMN())) = 12, 377.599999999999, IF(INDIRECT(ADDRESS(ROW() - 2, COLUMN())) = 13, 401.199999999999,0)))))))))))))</f>
        <v>#VALUE!</v>
      </c>
      <c r="VB7" s="88" t="str">
        <f> IF(INDIRECT(ADDRESS(ROW() - 2, COLUMN())) = 1, 100.8, IF(INDIRECT(ADDRESS(ROW() - 2, COLUMN())) = 2, 108.359999999999, IF(INDIRECT(ADDRESS(ROW() - 2, COLUMN())) = 3, 115.92, IF(INDIRECT(ADDRESS(ROW() - 2, COLUMN())) = 4, 126, IF(INDIRECT(ADDRESS(ROW() - 2, COLUMN())) = 5, 133.56, IF(INDIRECT(ADDRESS(ROW() - 2, COLUMN())) = 6, 141.12, IF(INDIRECT(ADDRESS(ROW() - 2, COLUMN())) = 7, 151.2, IF(INDIRECT(ADDRESS(ROW() - 2, COLUMN())) = 8, 161.28, IF(INDIRECT(ADDRESS(ROW() - 2, COLUMN())) = 9, 171.36, IF(INDIRECT(ADDRESS(ROW() - 2, COLUMN())) = 10, 181.44, IF(INDIRECT(ADDRESS(ROW() - 2, COLUMN())) = 11, 191.52, IF(INDIRECT(ADDRESS(ROW() - 2, COLUMN())) = 12, 201.6, IF(INDIRECT(ADDRESS(ROW() - 2, COLUMN())) = 13, 214.2,0)))))))))))))</f>
        <v>#VALUE!</v>
      </c>
      <c r="VC7" s="88" t="str">
        <f> IF(INDIRECT(ADDRESS(ROW() - 2, COLUMN())) = 1, 33.12, IF(INDIRECT(ADDRESS(ROW() - 2, COLUMN())) = 2, 35.604, IF(INDIRECT(ADDRESS(ROW() - 2, COLUMN())) = 3, 38.088, IF(INDIRECT(ADDRESS(ROW() - 2, COLUMN())) = 4, 41.4, IF(INDIRECT(ADDRESS(ROW() - 2, COLUMN())) = 5, 43.884, IF(INDIRECT(ADDRESS(ROW() - 2, COLUMN())) = 6, 46.3679999999999, IF(INDIRECT(ADDRESS(ROW() - 2, COLUMN())) = 7, 49.68, IF(INDIRECT(ADDRESS(ROW() - 2, COLUMN())) = 8, 52.992, IF(INDIRECT(ADDRESS(ROW() - 2, COLUMN())) = 9, 56.304, IF(INDIRECT(ADDRESS(ROW() - 2, COLUMN())) = 10, 59.616, IF(INDIRECT(ADDRESS(ROW() - 2, COLUMN())) = 11, 62.928, IF(INDIRECT(ADDRESS(ROW() - 2, COLUMN())) = 12, 66.24, IF(INDIRECT(ADDRESS(ROW() - 2, COLUMN())) = 13, 70.38,0)))))))))))))</f>
        <v>#VALUE!</v>
      </c>
      <c r="VD7" s="88" t="str">
        <f> IF(INDIRECT(ADDRESS(ROW() - 2, COLUMN())) = 1, 48.762, IF(INDIRECT(ADDRESS(ROW() - 2, COLUMN())) = 2, 52.7309999999999, IF(INDIRECT(ADDRESS(ROW() - 2, COLUMN())) = 3, 56.6999999999999, IF(INDIRECT(ADDRESS(ROW() - 2, COLUMN())) = 4, 62.37, IF(INDIRECT(ADDRESS(ROW() - 2, COLUMN())) = 5, 66.339, IF(INDIRECT(ADDRESS(ROW() - 2, COLUMN())) = 6, 70.875, IF(INDIRECT(ADDRESS(ROW() - 2, COLUMN())) = 7, 77.112, IF(INDIRECT(ADDRESS(ROW() - 2, COLUMN())) = 8, 83.3489999999999, IF(INDIRECT(ADDRESS(ROW() - 2, COLUMN())) = 9, 89.586, IF(INDIRECT(ADDRESS(ROW() - 2, COLUMN())) = 10, 96.39, IF(INDIRECT(ADDRESS(ROW() - 2, COLUMN())) = 11, 103.194,0)))))))))))</f>
        <v>#VALUE!</v>
      </c>
      <c r="VE7" s="88" t="str">
        <f> IF(INDIRECT(ADDRESS(ROW() - 2, COLUMN())) = 1, 44.548, IF(INDIRECT(ADDRESS(ROW() - 2, COLUMN())) = 2, 48.174, IF(INDIRECT(ADDRESS(ROW() - 2, COLUMN())) = 3, 51.8, IF(INDIRECT(ADDRESS(ROW() - 2, COLUMN())) = 4, 56.98, IF(INDIRECT(ADDRESS(ROW() - 2, COLUMN())) = 5, 60.606, IF(INDIRECT(ADDRESS(ROW() - 2, COLUMN())) = 6, 64.75, IF(INDIRECT(ADDRESS(ROW() - 2, COLUMN())) = 7, 70.448, IF(INDIRECT(ADDRESS(ROW() - 2, COLUMN())) = 8, 76.146, IF(INDIRECT(ADDRESS(ROW() - 2, COLUMN())) = 9, 81.844, IF(INDIRECT(ADDRESS(ROW() - 2, COLUMN())) = 10, 88.06, IF(INDIRECT(ADDRESS(ROW() - 2, COLUMN())) = 11, 94.276,0)))))))))))</f>
        <v>#VALUE!</v>
      </c>
      <c r="VF7" s="88" t="str">
        <f> IF(INDIRECT(ADDRESS(ROW() - 2, COLUMN())) = 1, 59.34, IF(INDIRECT(ADDRESS(ROW() - 2, COLUMN())) = 2, 64.17, IF(INDIRECT(ADDRESS(ROW() - 2, COLUMN())) = 3, 69, IF(INDIRECT(ADDRESS(ROW() - 2, COLUMN())) = 4, 75.9, IF(INDIRECT(ADDRESS(ROW() - 2, COLUMN())) = 5, 80.73, IF(INDIRECT(ADDRESS(ROW() - 2, COLUMN())) = 6, 86.25, IF(INDIRECT(ADDRESS(ROW() - 2, COLUMN())) = 7, 93.84, IF(INDIRECT(ADDRESS(ROW() - 2, COLUMN())) = 8, 101.429999999999, IF(INDIRECT(ADDRESS(ROW() - 2, COLUMN())) = 9, 109.02, IF(INDIRECT(ADDRESS(ROW() - 2, COLUMN())) = 10, 117.3, IF(INDIRECT(ADDRESS(ROW() - 2, COLUMN())) = 11, 125.58,0)))))))))))</f>
        <v>#VALUE!</v>
      </c>
      <c r="VG7" s="88" t="str">
        <f> IF(INDIRECT(ADDRESS(ROW() - 2, COLUMN())) = 1, 76.11, IF(INDIRECT(ADDRESS(ROW() - 2, COLUMN())) = 2, 82.3049999999999, IF(INDIRECT(ADDRESS(ROW() - 2, COLUMN())) = 3, 88.5, IF(INDIRECT(ADDRESS(ROW() - 2, COLUMN())) = 4, 97.35, IF(INDIRECT(ADDRESS(ROW() - 2, COLUMN())) = 5, 103.545, IF(INDIRECT(ADDRESS(ROW() - 2, COLUMN())) = 6, 110.625, IF(INDIRECT(ADDRESS(ROW() - 2, COLUMN())) = 7, 120.36, IF(INDIRECT(ADDRESS(ROW() - 2, COLUMN())) = 8, 130.095, IF(INDIRECT(ADDRESS(ROW() - 2, COLUMN())) = 9, 139.83, IF(INDIRECT(ADDRESS(ROW() - 2, COLUMN())) = 10, 150.45, IF(INDIRECT(ADDRESS(ROW() - 2, COLUMN())) = 11, 161.07,0)))))))))))</f>
        <v>#VALUE!</v>
      </c>
      <c r="VH7" s="88" t="str">
        <f> IF(INDIRECT(ADDRESS(ROW() - 2, COLUMN())) = 1, 55.6334, IF(INDIRECT(ADDRESS(ROW() - 2, COLUMN())) = 2, 60.1616999999999, IF(INDIRECT(ADDRESS(ROW() - 2, COLUMN())) = 3, 64.69, IF(INDIRECT(ADDRESS(ROW() - 2, COLUMN())) = 4, 71.1589999999999, IF(INDIRECT(ADDRESS(ROW() - 2, COLUMN())) = 5, 75.6873, IF(INDIRECT(ADDRESS(ROW() - 2, COLUMN())) = 6, 80.8625, IF(INDIRECT(ADDRESS(ROW() - 2, COLUMN())) = 7, 87.9784, IF(INDIRECT(ADDRESS(ROW() - 2, COLUMN())) = 8, 95.0943, IF(INDIRECT(ADDRESS(ROW() - 2, COLUMN())) = 9, 102.2102, IF(INDIRECT(ADDRESS(ROW() - 2, COLUMN())) = 10, 109.973, IF(INDIRECT(ADDRESS(ROW() - 2, COLUMN())) = 11, 117.735799999999,0)))))))))))</f>
        <v>#VALUE!</v>
      </c>
      <c r="VI7" s="88" t="str">
        <f> IF(INDIRECT(ADDRESS(ROW() - 2, COLUMN())) = 1, 66.7652, IF(INDIRECT(ADDRESS(ROW() - 2, COLUMN())) = 2, 72.1996, IF(INDIRECT(ADDRESS(ROW() - 2, COLUMN())) = 3, 77.634, IF(INDIRECT(ADDRESS(ROW() - 2, COLUMN())) = 4, 85.3974, IF(INDIRECT(ADDRESS(ROW() - 2, COLUMN())) = 5, 90.8318, IF(INDIRECT(ADDRESS(ROW() - 2, COLUMN())) = 6, 97.0425, IF(INDIRECT(ADDRESS(ROW() - 2, COLUMN())) = 7, 105.5822, IF(INDIRECT(ADDRESS(ROW() - 2, COLUMN())) = 8, 114.121999999999, IF(INDIRECT(ADDRESS(ROW() - 2, COLUMN())) = 9, 122.6617, IF(INDIRECT(ADDRESS(ROW() - 2, COLUMN())) = 10, 131.9778, IF(INDIRECT(ADDRESS(ROW() - 2, COLUMN())) = 11, 141.2939,0)))))))))))</f>
        <v>#VALUE!</v>
      </c>
      <c r="VJ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VK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VL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VM7" s="88" t="str">
        <f> IF(INDIRECT(ADDRESS(ROW() - 2, COLUMN())) = 1, 75.712, IF(INDIRECT(ADDRESS(ROW() - 2, COLUMN())) = 2, 81.3904, IF(INDIRECT(ADDRESS(ROW() - 2, COLUMN())) = 3, 87.0688, IF(INDIRECT(ADDRESS(ROW() - 2, COLUMN())) = 4, 94.64, IF(INDIRECT(ADDRESS(ROW() - 2, COLUMN())) = 5, 100.3184, IF(INDIRECT(ADDRESS(ROW() - 2, COLUMN())) = 6, 105.9968, IF(INDIRECT(ADDRESS(ROW() - 2, COLUMN())) = 7, 113.568, IF(INDIRECT(ADDRESS(ROW() - 2, COLUMN())) = 8, 121.1392, IF(INDIRECT(ADDRESS(ROW() - 2, COLUMN())) = 9, 128.7104, IF(INDIRECT(ADDRESS(ROW() - 2, COLUMN())) = 10, 136.2816, IF(INDIRECT(ADDRESS(ROW() - 2, COLUMN())) = 11, 143.8528, IF(INDIRECT(ADDRESS(ROW() - 2, COLUMN())) = 12, 151.424, IF(INDIRECT(ADDRESS(ROW() - 2, COLUMN())) = 13, 160.888,0)))))))))))))</f>
        <v>#VALUE!</v>
      </c>
      <c r="VN7" s="88" t="str">
        <f> IF(INDIRECT(ADDRESS(ROW() - 2, COLUMN())) = 1, 25.24, IF(INDIRECT(ADDRESS(ROW() - 2, COLUMN())) = 2, 27.133, IF(INDIRECT(ADDRESS(ROW() - 2, COLUMN())) = 3, 29.026, IF(INDIRECT(ADDRESS(ROW() - 2, COLUMN())) = 4, 31.55, IF(INDIRECT(ADDRESS(ROW() - 2, COLUMN())) = 5, 33.443, IF(INDIRECT(ADDRESS(ROW() - 2, COLUMN())) = 6, 35.336, IF(INDIRECT(ADDRESS(ROW() - 2, COLUMN())) = 7, 37.86, IF(INDIRECT(ADDRESS(ROW() - 2, COLUMN())) = 8, 40.384, IF(INDIRECT(ADDRESS(ROW() - 2, COLUMN())) = 9, 42.908, IF(INDIRECT(ADDRESS(ROW() - 2, COLUMN())) = 10, 45.432, IF(INDIRECT(ADDRESS(ROW() - 2, COLUMN())) = 11, 47.9559999999999, IF(INDIRECT(ADDRESS(ROW() - 2, COLUMN())) = 12, 50.48, IF(INDIRECT(ADDRESS(ROW() - 2, COLUMN())) = 13, 53.635,0)))))))))))))</f>
        <v>#VALUE!</v>
      </c>
      <c r="VP7" s="88" t="str">
        <f> IF(INDIRECT(ADDRESS(ROW() - 2, COLUMN())) = 1, 33.464, IF(INDIRECT(ADDRESS(ROW() - 2, COLUMN())) = 2, 35.9738, IF(INDIRECT(ADDRESS(ROW() - 2, COLUMN())) = 3, 38.4836, IF(INDIRECT(ADDRESS(ROW() - 2, COLUMN())) = 4, 41.83, IF(INDIRECT(ADDRESS(ROW() - 2, COLUMN())) = 5, 44.3398, IF(INDIRECT(ADDRESS(ROW() - 2, COLUMN())) = 6, 46.8496, IF(INDIRECT(ADDRESS(ROW() - 2, COLUMN())) = 7, 50.196, IF(INDIRECT(ADDRESS(ROW() - 2, COLUMN())) = 8, 53.5424, IF(INDIRECT(ADDRESS(ROW() - 2, COLUMN())) = 9, 56.8887999999999, IF(INDIRECT(ADDRESS(ROW() - 2, COLUMN())) = 10, 60.2352, IF(INDIRECT(ADDRESS(ROW() - 2, COLUMN())) = 11, 63.5816,0)))))))))))</f>
        <v>#VALUE!</v>
      </c>
      <c r="VQ7" s="88" t="str">
        <f> IF(INDIRECT(ADDRESS(ROW() - 2, COLUMN())) = 1, 30.616, IF(INDIRECT(ADDRESS(ROW() - 2, COLUMN())) = 2, 32.9122, IF(INDIRECT(ADDRESS(ROW() - 2, COLUMN())) = 3, 35.2084, IF(INDIRECT(ADDRESS(ROW() - 2, COLUMN())) = 4, 38.2699999999999, IF(INDIRECT(ADDRESS(ROW() - 2, COLUMN())) = 5, 40.5662, IF(INDIRECT(ADDRESS(ROW() - 2, COLUMN())) = 6, 42.8624, IF(INDIRECT(ADDRESS(ROW() - 2, COLUMN())) = 7, 45.924, IF(INDIRECT(ADDRESS(ROW() - 2, COLUMN())) = 8, 48.9856, IF(INDIRECT(ADDRESS(ROW() - 2, COLUMN())) = 9, 52.0472, IF(INDIRECT(ADDRESS(ROW() - 2, COLUMN())) = 10, 55.1088, IF(INDIRECT(ADDRESS(ROW() - 2, COLUMN())) = 11, 58.1704,0)))))))))))</f>
        <v>#VALUE!</v>
      </c>
      <c r="VR7" s="88" t="str">
        <f> IF(INDIRECT(ADDRESS(ROW() - 2, COLUMN())) = 1, 38.448, IF(INDIRECT(ADDRESS(ROW() - 2, COLUMN())) = 2, 41.3316, IF(INDIRECT(ADDRESS(ROW() - 2, COLUMN())) = 3, 44.2151999999999, IF(INDIRECT(ADDRESS(ROW() - 2, COLUMN())) = 4, 48.06, IF(INDIRECT(ADDRESS(ROW() - 2, COLUMN())) = 5, 50.9436, IF(INDIRECT(ADDRESS(ROW() - 2, COLUMN())) = 6, 53.8272, IF(INDIRECT(ADDRESS(ROW() - 2, COLUMN())) = 7, 57.672, IF(INDIRECT(ADDRESS(ROW() - 2, COLUMN())) = 8, 61.5168, IF(INDIRECT(ADDRESS(ROW() - 2, COLUMN())) = 9, 65.3616, IF(INDIRECT(ADDRESS(ROW() - 2, COLUMN())) = 10, 69.2064, IF(INDIRECT(ADDRESS(ROW() - 2, COLUMN())) = 11, 73.0512,0)))))))))))</f>
        <v>#VALUE!</v>
      </c>
      <c r="VS7" s="88" t="str">
        <f> IF(INDIRECT(ADDRESS(ROW() - 2, COLUMN())) = 1, 47.9176, IF(INDIRECT(ADDRESS(ROW() - 2, COLUMN())) = 2, 51.5113999999999, IF(INDIRECT(ADDRESS(ROW() - 2, COLUMN())) = 3, 55.1051999999999, IF(INDIRECT(ADDRESS(ROW() - 2, COLUMN())) = 4, 59.897, IF(INDIRECT(ADDRESS(ROW() - 2, COLUMN())) = 5, 63.4908, IF(INDIRECT(ADDRESS(ROW() - 2, COLUMN())) = 6, 67.0846, IF(INDIRECT(ADDRESS(ROW() - 2, COLUMN())) = 7, 71.8763999999999, IF(INDIRECT(ADDRESS(ROW() - 2, COLUMN())) = 8, 76.6682, IF(INDIRECT(ADDRESS(ROW() - 2, COLUMN())) = 9, 81.4598999999999, IF(INDIRECT(ADDRESS(ROW() - 2, COLUMN())) = 10, 86.2517, IF(INDIRECT(ADDRESS(ROW() - 2, COLUMN())) = 11, 91.0433999999999,0)))))))))))</f>
        <v>#VALUE!</v>
      </c>
      <c r="VT7" s="88" t="str">
        <f> IF(INDIRECT(ADDRESS(ROW() - 2, COLUMN())) = 1, 120.16, IF(INDIRECT(ADDRESS(ROW() - 2, COLUMN())) = 2, 129.172, IF(INDIRECT(ADDRESS(ROW() - 2, COLUMN())) = 3, 138.184, IF(INDIRECT(ADDRESS(ROW() - 2, COLUMN())) = 4, 150.2, IF(INDIRECT(ADDRESS(ROW() - 2, COLUMN())) = 5, 159.212, IF(INDIRECT(ADDRESS(ROW() - 2, COLUMN())) = 6, 168.224, IF(INDIRECT(ADDRESS(ROW() - 2, COLUMN())) = 7, 180.24, IF(INDIRECT(ADDRESS(ROW() - 2, COLUMN())) = 8, 192.256, IF(INDIRECT(ADDRESS(ROW() - 2, COLUMN())) = 9, 204.272, IF(INDIRECT(ADDRESS(ROW() - 2, COLUMN())) = 10, 216.287999999999, IF(INDIRECT(ADDRESS(ROW() - 2, COLUMN())) = 11, 228.304,0)))))))))))</f>
        <v>#VALUE!</v>
      </c>
      <c r="VU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VV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VW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VX7" s="88" t="str">
        <f> IF(INDIRECT(ADDRESS(ROW() - 2, COLUMN())) = 1, 211.2, IF(INDIRECT(ADDRESS(ROW() - 2, COLUMN())) = 2, 227.04, IF(INDIRECT(ADDRESS(ROW() - 2, COLUMN())) = 3, 242.88, IF(INDIRECT(ADDRESS(ROW() - 2, COLUMN())) = 4, 264, IF(INDIRECT(ADDRESS(ROW() - 2, COLUMN())) = 5, 279.84, IF(INDIRECT(ADDRESS(ROW() - 2, COLUMN())) = 6, 295.68, IF(INDIRECT(ADDRESS(ROW() - 2, COLUMN())) = 7, 316.8, IF(INDIRECT(ADDRESS(ROW() - 2, COLUMN())) = 8, 337.92, IF(INDIRECT(ADDRESS(ROW() - 2, COLUMN())) = 9, 359.039999999999, IF(INDIRECT(ADDRESS(ROW() - 2, COLUMN())) = 10, 380.16, IF(INDIRECT(ADDRESS(ROW() - 2, COLUMN())) = 11, 401.28, IF(INDIRECT(ADDRESS(ROW() - 2, COLUMN())) = 12, 422.4, IF(INDIRECT(ADDRESS(ROW() - 2, COLUMN())) = 13, 448.8,0)))))))))))))</f>
        <v>#VALUE!</v>
      </c>
      <c r="VY7" s="88" t="str">
        <f> IF(INDIRECT(ADDRESS(ROW() - 2, COLUMN())) = 1, 148, IF(INDIRECT(ADDRESS(ROW() - 2, COLUMN())) = 2, 159.1, IF(INDIRECT(ADDRESS(ROW() - 2, COLUMN())) = 3, 170.2, IF(INDIRECT(ADDRESS(ROW() - 2, COLUMN())) = 4, 185, IF(INDIRECT(ADDRESS(ROW() - 2, COLUMN())) = 5, 196.1, IF(INDIRECT(ADDRESS(ROW() - 2, COLUMN())) = 6, 207.2, IF(INDIRECT(ADDRESS(ROW() - 2, COLUMN())) = 7, 222, IF(INDIRECT(ADDRESS(ROW() - 2, COLUMN())) = 8, 236.799999999999, IF(INDIRECT(ADDRESS(ROW() - 2, COLUMN())) = 9, 251.6, IF(INDIRECT(ADDRESS(ROW() - 2, COLUMN())) = 10, 266.4, IF(INDIRECT(ADDRESS(ROW() - 2, COLUMN())) = 11, 281.2, IF(INDIRECT(ADDRESS(ROW() - 2, COLUMN())) = 12, 296, IF(INDIRECT(ADDRESS(ROW() - 2, COLUMN())) = 13, 314.5,0)))))))))))))</f>
        <v>#VALUE!</v>
      </c>
      <c r="VZ7" s="88" t="str">
        <f> IF(INDIRECT(ADDRESS(ROW() - 2, COLUMN())) = 1, 44, IF(INDIRECT(ADDRESS(ROW() - 2, COLUMN())) = 2, 47.3, IF(INDIRECT(ADDRESS(ROW() - 2, COLUMN())) = 3, 50.6, IF(INDIRECT(ADDRESS(ROW() - 2, COLUMN())) = 4, 55, IF(INDIRECT(ADDRESS(ROW() - 2, COLUMN())) = 5, 58.3, IF(INDIRECT(ADDRESS(ROW() - 2, COLUMN())) = 6, 61.6, IF(INDIRECT(ADDRESS(ROW() - 2, COLUMN())) = 7, 66, IF(INDIRECT(ADDRESS(ROW() - 2, COLUMN())) = 8, 70.3999999999999, IF(INDIRECT(ADDRESS(ROW() - 2, COLUMN())) = 9, 74.8, IF(INDIRECT(ADDRESS(ROW() - 2, COLUMN())) = 10, 79.2, IF(INDIRECT(ADDRESS(ROW() - 2, COLUMN())) = 11, 83.6, IF(INDIRECT(ADDRESS(ROW() - 2, COLUMN())) = 12, 88, IF(INDIRECT(ADDRESS(ROW() - 2, COLUMN())) = 13, 93.5,0)))))))))))))</f>
        <v>#VALUE!</v>
      </c>
      <c r="WA7" s="88" t="str">
        <f> IF(INDIRECT(ADDRESS(ROW() - 2, COLUMN())) = 1, 41.28, IF(INDIRECT(ADDRESS(ROW() - 2, COLUMN())) = 2, 44.64, IF(INDIRECT(ADDRESS(ROW() - 2, COLUMN())) = 3, 48, IF(INDIRECT(ADDRESS(ROW() - 2, COLUMN())) = 4, 52.8, IF(INDIRECT(ADDRESS(ROW() - 2, COLUMN())) = 5, 56.16, IF(INDIRECT(ADDRESS(ROW() - 2, COLUMN())) = 6, 60, IF(INDIRECT(ADDRESS(ROW() - 2, COLUMN())) = 7, 65.28, IF(INDIRECT(ADDRESS(ROW() - 2, COLUMN())) = 8, 70.56, IF(INDIRECT(ADDRESS(ROW() - 2, COLUMN())) = 9, 75.84, IF(INDIRECT(ADDRESS(ROW() - 2, COLUMN())) = 10, 81.6, IF(INDIRECT(ADDRESS(ROW() - 2, COLUMN())) = 11, 87.36,0)))))))))))</f>
        <v>#VALUE!</v>
      </c>
      <c r="WB7" s="88" t="str">
        <f> IF(INDIRECT(ADDRESS(ROW() - 2, COLUMN())) = 1, 46.268, IF(INDIRECT(ADDRESS(ROW() - 2, COLUMN())) = 2, 50.034, IF(INDIRECT(ADDRESS(ROW() - 2, COLUMN())) = 3, 53.8, IF(INDIRECT(ADDRESS(ROW() - 2, COLUMN())) = 4, 59.18, IF(INDIRECT(ADDRESS(ROW() - 2, COLUMN())) = 5, 62.946, IF(INDIRECT(ADDRESS(ROW() - 2, COLUMN())) = 6, 67.25, IF(INDIRECT(ADDRESS(ROW() - 2, COLUMN())) = 7, 73.168, IF(INDIRECT(ADDRESS(ROW() - 2, COLUMN())) = 8, 79.086, IF(INDIRECT(ADDRESS(ROW() - 2, COLUMN())) = 9, 85.004, IF(INDIRECT(ADDRESS(ROW() - 2, COLUMN())) = 10, 91.46, IF(INDIRECT(ADDRESS(ROW() - 2, COLUMN())) = 11, 97.916,0)))))))))))</f>
        <v>#VALUE!</v>
      </c>
      <c r="WC7" s="88" t="str">
        <f> IF(INDIRECT(ADDRESS(ROW() - 2, COLUMN())) = 1, 55.384, IF(INDIRECT(ADDRESS(ROW() - 2, COLUMN())) = 2, 59.892, IF(INDIRECT(ADDRESS(ROW() - 2, COLUMN())) = 3, 64.4, IF(INDIRECT(ADDRESS(ROW() - 2, COLUMN())) = 4, 70.84, IF(INDIRECT(ADDRESS(ROW() - 2, COLUMN())) = 5, 75.348, IF(INDIRECT(ADDRESS(ROW() - 2, COLUMN())) = 6, 80.5, IF(INDIRECT(ADDRESS(ROW() - 2, COLUMN())) = 7, 87.5839999999999, IF(INDIRECT(ADDRESS(ROW() - 2, COLUMN())) = 8, 94.6679999999999, IF(INDIRECT(ADDRESS(ROW() - 2, COLUMN())) = 9, 101.752, IF(INDIRECT(ADDRESS(ROW() - 2, COLUMN())) = 10, 109.48, IF(INDIRECT(ADDRESS(ROW() - 2, COLUMN())) = 11, 117.208,0)))))))))))</f>
        <v>#VALUE!</v>
      </c>
      <c r="WD7" s="88" t="str">
        <f> IF(INDIRECT(ADDRESS(ROW() - 2, COLUMN())) = 1, 57.018, IF(INDIRECT(ADDRESS(ROW() - 2, COLUMN())) = 2, 61.659, IF(INDIRECT(ADDRESS(ROW() - 2, COLUMN())) = 3, 66.3, IF(INDIRECT(ADDRESS(ROW() - 2, COLUMN())) = 4, 72.9299999999999, IF(INDIRECT(ADDRESS(ROW() - 2, COLUMN())) = 5, 77.571, IF(INDIRECT(ADDRESS(ROW() - 2, COLUMN())) = 6, 82.875, IF(INDIRECT(ADDRESS(ROW() - 2, COLUMN())) = 7, 90.168, IF(INDIRECT(ADDRESS(ROW() - 2, COLUMN())) = 8, 97.461, IF(INDIRECT(ADDRESS(ROW() - 2, COLUMN())) = 9, 104.753999999999, IF(INDIRECT(ADDRESS(ROW() - 2, COLUMN())) = 10, 112.71, IF(INDIRECT(ADDRESS(ROW() - 2, COLUMN())) = 11, 120.666,0)))))))))))</f>
        <v>#VALUE!</v>
      </c>
      <c r="WE7" s="88" t="str">
        <f> IF(INDIRECT(ADDRESS(ROW() - 2, COLUMN())) = 1, 60.888, IF(INDIRECT(ADDRESS(ROW() - 2, COLUMN())) = 2, 65.844, IF(INDIRECT(ADDRESS(ROW() - 2, COLUMN())) = 3, 70.8, IF(INDIRECT(ADDRESS(ROW() - 2, COLUMN())) = 4, 77.88, IF(INDIRECT(ADDRESS(ROW() - 2, COLUMN())) = 5, 82.836, IF(INDIRECT(ADDRESS(ROW() - 2, COLUMN())) = 6, 88.5, IF(INDIRECT(ADDRESS(ROW() - 2, COLUMN())) = 7, 96.288, IF(INDIRECT(ADDRESS(ROW() - 2, COLUMN())) = 8, 104.076, IF(INDIRECT(ADDRESS(ROW() - 2, COLUMN())) = 9, 111.864, IF(INDIRECT(ADDRESS(ROW() - 2, COLUMN())) = 10, 120.36, IF(INDIRECT(ADDRESS(ROW() - 2, COLUMN())) = 11, 128.856,0)))))))))))</f>
        <v>#VALUE!</v>
      </c>
      <c r="WF7" s="88" t="str">
        <f> IF(INDIRECT(ADDRESS(ROW() - 2, COLUMN())) = 1, 72.756, IF(INDIRECT(ADDRESS(ROW() - 2, COLUMN())) = 2, 78.678, IF(INDIRECT(ADDRESS(ROW() - 2, COLUMN())) = 3, 84.6, IF(INDIRECT(ADDRESS(ROW() - 2, COLUMN())) = 4, 93.06, IF(INDIRECT(ADDRESS(ROW() - 2, COLUMN())) = 5, 98.982, IF(INDIRECT(ADDRESS(ROW() - 2, COLUMN())) = 6, 105.75, IF(INDIRECT(ADDRESS(ROW() - 2, COLUMN())) = 7, 115.056, IF(INDIRECT(ADDRESS(ROW() - 2, COLUMN())) = 8, 124.362, IF(INDIRECT(ADDRESS(ROW() - 2, COLUMN())) = 9, 133.668, IF(INDIRECT(ADDRESS(ROW() - 2, COLUMN())) = 10, 143.82, IF(INDIRECT(ADDRESS(ROW() - 2, COLUMN())) = 11, 153.972,0)))))))))))</f>
        <v>#VALUE!</v>
      </c>
      <c r="WG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WH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WI7" s="88" t="str">
        <f> IF(INDIRECT(ADDRESS(ROW() - 2, COLUMN())) = 1, 12.4, IF(INDIRECT(ADDRESS(ROW() - 2, COLUMN())) = 2, 13.33,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WJ7" s="88" t="str">
        <f> IF(INDIRECT(ADDRESS(ROW() - 2, COLUMN())) = 1, 62, IF(INDIRECT(ADDRESS(ROW() - 2, COLUMN())) = 2, 66.6499999999999, IF(INDIRECT(ADDRESS(ROW() - 2, COLUMN())) = 3, 71.3, IF(INDIRECT(ADDRESS(ROW() - 2, COLUMN())) = 4, 77.5, IF(INDIRECT(ADDRESS(ROW() - 2, COLUMN())) = 5, 82.15, IF(INDIRECT(ADDRESS(ROW() - 2, COLUMN())) = 6, 86.8, IF(INDIRECT(ADDRESS(ROW() - 2, COLUMN())) = 7, 93, IF(INDIRECT(ADDRESS(ROW() - 2, COLUMN())) = 8, 99.2, IF(INDIRECT(ADDRESS(ROW() - 2, COLUMN())) = 9, 105.4, IF(INDIRECT(ADDRESS(ROW() - 2, COLUMN())) = 10, 111.6, IF(INDIRECT(ADDRESS(ROW() - 2, COLUMN())) = 11, 117.8,0)))))))))))</f>
        <v>#VALUE!</v>
      </c>
      <c r="WK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WL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WM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WN7" s="88" t="str">
        <f> IF(INDIRECT(ADDRESS(ROW() - 2, COLUMN())) = 1, 72, IF(INDIRECT(ADDRESS(ROW() - 2, COLUMN())) = 2, 77.4, IF(INDIRECT(ADDRESS(ROW() - 2, COLUMN())) = 3, 82.8, IF(INDIRECT(ADDRESS(ROW() - 2, COLUMN())) = 4, 90, IF(INDIRECT(ADDRESS(ROW() - 2, COLUMN())) = 5, 95.3999999999999, IF(INDIRECT(ADDRESS(ROW() - 2, COLUMN())) = 6, 100.8, IF(INDIRECT(ADDRESS(ROW() - 2, COLUMN())) = 7, 108, IF(INDIRECT(ADDRESS(ROW() - 2, COLUMN())) = 8, 115.199999999999, IF(INDIRECT(ADDRESS(ROW() - 2, COLUMN())) = 9, 122.399999999999, IF(INDIRECT(ADDRESS(ROW() - 2, COLUMN())) = 10, 129.6, IF(INDIRECT(ADDRESS(ROW() - 2, COLUMN())) = 11, 136.8, IF(INDIRECT(ADDRESS(ROW() - 2, COLUMN())) = 12, 144, IF(INDIRECT(ADDRESS(ROW() - 2, COLUMN())) = 13, 153,0)))))))))))))</f>
        <v>#VALUE!</v>
      </c>
      <c r="WO7" s="88" t="str">
        <f> IF(INDIRECT(ADDRESS(ROW() - 2, COLUMN())) = 1, 38.872, IF(INDIRECT(ADDRESS(ROW() - 2, COLUMN())) = 2, 42.036, IF(INDIRECT(ADDRESS(ROW() - 2, COLUMN())) = 3, 45.2, IF(INDIRECT(ADDRESS(ROW() - 2, COLUMN())) = 4, 49.72, IF(INDIRECT(ADDRESS(ROW() - 2, COLUMN())) = 5, 52.884, IF(INDIRECT(ADDRESS(ROW() - 2, COLUMN())) = 6, 56.4999999999999, IF(INDIRECT(ADDRESS(ROW() - 2, COLUMN())) = 7, 61.472, IF(INDIRECT(ADDRESS(ROW() - 2, COLUMN())) = 8, 66.444, IF(INDIRECT(ADDRESS(ROW() - 2, COLUMN())) = 9, 71.416, IF(INDIRECT(ADDRESS(ROW() - 2, COLUMN())) = 10, 76.84, IF(INDIRECT(ADDRESS(ROW() - 2, COLUMN())) = 11, 82.264, IF(INDIRECT(ADDRESS(ROW() - 2, COLUMN())) = 12, 87.688, IF(INDIRECT(ADDRESS(ROW() - 2, COLUMN())) = 13, 93.112,0)))))))))))))</f>
        <v>#VALUE!</v>
      </c>
      <c r="WP7" s="88" t="str">
        <f> IF(INDIRECT(ADDRESS(ROW() - 2, COLUMN())) = 1, 41.624, IF(INDIRECT(ADDRESS(ROW() - 2, COLUMN())) = 2, 45.012, IF(INDIRECT(ADDRESS(ROW() - 2, COLUMN())) = 3, 48.4, IF(INDIRECT(ADDRESS(ROW() - 2, COLUMN())) = 4, 53.2399999999999, IF(INDIRECT(ADDRESS(ROW() - 2, COLUMN())) = 5, 56.628, IF(INDIRECT(ADDRESS(ROW() - 2, COLUMN())) = 6, 60.5, IF(INDIRECT(ADDRESS(ROW() - 2, COLUMN())) = 7, 65.824, IF(INDIRECT(ADDRESS(ROW() - 2, COLUMN())) = 8, 71.148, IF(INDIRECT(ADDRESS(ROW() - 2, COLUMN())) = 9, 76.472, IF(INDIRECT(ADDRESS(ROW() - 2, COLUMN())) = 10, 82.28, IF(INDIRECT(ADDRESS(ROW() - 2, COLUMN())) = 11, 88.088, IF(INDIRECT(ADDRESS(ROW() - 2, COLUMN())) = 12, 93.896, IF(INDIRECT(ADDRESS(ROW() - 2, COLUMN())) = 13, 99.704,0)))))))))))))</f>
        <v>#VALUE!</v>
      </c>
      <c r="WQ7" s="88" t="str">
        <f> IF(INDIRECT(ADDRESS(ROW() - 2, COLUMN())) = 1, 56.33, IF(INDIRECT(ADDRESS(ROW() - 2, COLUMN())) = 2, 60.915, IF(INDIRECT(ADDRESS(ROW() - 2, COLUMN())) = 3, 65.5, IF(INDIRECT(ADDRESS(ROW() - 2, COLUMN())) = 4, 72.05, IF(INDIRECT(ADDRESS(ROW() - 2, COLUMN())) = 5, 76.6349999999999, IF(INDIRECT(ADDRESS(ROW() - 2, COLUMN())) = 6, 81.875, IF(INDIRECT(ADDRESS(ROW() - 2, COLUMN())) = 7, 89.08, IF(INDIRECT(ADDRESS(ROW() - 2, COLUMN())) = 8, 96.285, IF(INDIRECT(ADDRESS(ROW() - 2, COLUMN())) = 9, 103.49, IF(INDIRECT(ADDRESS(ROW() - 2, COLUMN())) = 10, 111.35, IF(INDIRECT(ADDRESS(ROW() - 2, COLUMN())) = 11, 119.21, IF(INDIRECT(ADDRESS(ROW() - 2, COLUMN())) = 12, 127.07, IF(INDIRECT(ADDRESS(ROW() - 2, COLUMN())) = 13, 134.93,0)))))))))))))</f>
        <v>#VALUE!</v>
      </c>
      <c r="WR7" s="88" t="str">
        <f> IF(INDIRECT(ADDRESS(ROW() - 2, COLUMN())) = 1, 59.9419999999999, IF(INDIRECT(ADDRESS(ROW() - 2, COLUMN())) = 2, 64.821, IF(INDIRECT(ADDRESS(ROW() - 2, COLUMN())) = 3, 69.6999999999999, IF(INDIRECT(ADDRESS(ROW() - 2, COLUMN())) = 4, 76.67, IF(INDIRECT(ADDRESS(ROW() - 2, COLUMN())) = 5, 81.549, IF(INDIRECT(ADDRESS(ROW() - 2, COLUMN())) = 6, 87.125, IF(INDIRECT(ADDRESS(ROW() - 2, COLUMN())) = 7, 94.792, IF(INDIRECT(ADDRESS(ROW() - 2, COLUMN())) = 8, 102.458999999999, IF(INDIRECT(ADDRESS(ROW() - 2, COLUMN())) = 9, 110.125999999999, IF(INDIRECT(ADDRESS(ROW() - 2, COLUMN())) = 10, 118.49, IF(INDIRECT(ADDRESS(ROW() - 2, COLUMN())) = 11, 126.854, IF(INDIRECT(ADDRESS(ROW() - 2, COLUMN())) = 12, 135.218, IF(INDIRECT(ADDRESS(ROW() - 2, COLUMN())) = 13, 143.582,0)))))))))))))</f>
        <v>#VALUE!</v>
      </c>
      <c r="WS7" s="88" t="str">
        <f> IF(INDIRECT(ADDRESS(ROW() - 2, COLUMN())) = 1, 55.298, IF(INDIRECT(ADDRESS(ROW() - 2, COLUMN())) = 2, 59.799, IF(INDIRECT(ADDRESS(ROW() - 2, COLUMN())) = 3, 64.3, IF(INDIRECT(ADDRESS(ROW() - 2, COLUMN())) = 4, 70.73, IF(INDIRECT(ADDRESS(ROW() - 2, COLUMN())) = 5, 75.231, IF(INDIRECT(ADDRESS(ROW() - 2, COLUMN())) = 6, 80.375, IF(INDIRECT(ADDRESS(ROW() - 2, COLUMN())) = 7, 87.448, IF(INDIRECT(ADDRESS(ROW() - 2, COLUMN())) = 8, 94.521, IF(INDIRECT(ADDRESS(ROW() - 2, COLUMN())) = 9, 101.594, IF(INDIRECT(ADDRESS(ROW() - 2, COLUMN())) = 10, 109.31, IF(INDIRECT(ADDRESS(ROW() - 2, COLUMN())) = 11, 117.026, IF(INDIRECT(ADDRESS(ROW() - 2, COLUMN())) = 12, 124.741999999999, IF(INDIRECT(ADDRESS(ROW() - 2, COLUMN())) = 13, 132.458,0)))))))))))))</f>
        <v>#VALUE!</v>
      </c>
      <c r="WT7" s="88" t="str">
        <f> IF(INDIRECT(ADDRESS(ROW() - 2, COLUMN())) = 1, 35.432, IF(INDIRECT(ADDRESS(ROW() - 2, COLUMN())) = 2, 38.316, IF(INDIRECT(ADDRESS(ROW() - 2, COLUMN())) = 3, 41.1999999999999, IF(INDIRECT(ADDRESS(ROW() - 2, COLUMN())) = 4, 45.32, IF(INDIRECT(ADDRESS(ROW() - 2, COLUMN())) = 5, 48.204, IF(INDIRECT(ADDRESS(ROW() - 2, COLUMN())) = 6, 51.5, IF(INDIRECT(ADDRESS(ROW() - 2, COLUMN())) = 7, 56.032, IF(INDIRECT(ADDRESS(ROW() - 2, COLUMN())) = 8, 60.5639999999999, IF(INDIRECT(ADDRESS(ROW() - 2, COLUMN())) = 9, 65.096, IF(INDIRECT(ADDRESS(ROW() - 2, COLUMN())) = 10, 70.04, IF(INDIRECT(ADDRESS(ROW() - 2, COLUMN())) = 11, 74.984, IF(INDIRECT(ADDRESS(ROW() - 2, COLUMN())) = 12, 79.928, IF(INDIRECT(ADDRESS(ROW() - 2, COLUMN())) = 13, 84.872,0)))))))))))))</f>
        <v>#VALUE!</v>
      </c>
      <c r="WU7" s="88" t="str">
        <f> IF(INDIRECT(ADDRESS(ROW() - 2, COLUMN())) = 1, 37.668, IF(INDIRECT(ADDRESS(ROW() - 2, COLUMN())) = 2, 40.7339999999999, IF(INDIRECT(ADDRESS(ROW() - 2, COLUMN())) = 3, 43.8, IF(INDIRECT(ADDRESS(ROW() - 2, COLUMN())) = 4, 48.18, IF(INDIRECT(ADDRESS(ROW() - 2, COLUMN())) = 5, 51.246, IF(INDIRECT(ADDRESS(ROW() - 2, COLUMN())) = 6, 54.75, IF(INDIRECT(ADDRESS(ROW() - 2, COLUMN())) = 7, 59.568, IF(INDIRECT(ADDRESS(ROW() - 2, COLUMN())) = 8, 64.386, IF(INDIRECT(ADDRESS(ROW() - 2, COLUMN())) = 9, 69.204, IF(INDIRECT(ADDRESS(ROW() - 2, COLUMN())) = 10, 74.46, IF(INDIRECT(ADDRESS(ROW() - 2, COLUMN())) = 11, 79.716, IF(INDIRECT(ADDRESS(ROW() - 2, COLUMN())) = 12, 84.972, IF(INDIRECT(ADDRESS(ROW() - 2, COLUMN())) = 13, 90.228,0)))))))))))))</f>
        <v>#VALUE!</v>
      </c>
      <c r="WV7" s="88" t="str">
        <f> IF(INDIRECT(ADDRESS(ROW() - 2, COLUMN())) = 1, 60.1999999999999, IF(INDIRECT(ADDRESS(ROW() - 2, COLUMN())) = 2, 65.1, IF(INDIRECT(ADDRESS(ROW() - 2, COLUMN())) = 3, 70, IF(INDIRECT(ADDRESS(ROW() - 2, COLUMN())) = 4, 77, IF(INDIRECT(ADDRESS(ROW() - 2, COLUMN())) = 5, 81.8999999999999, IF(INDIRECT(ADDRESS(ROW() - 2, COLUMN())) = 6, 87.5, IF(INDIRECT(ADDRESS(ROW() - 2, COLUMN())) = 7, 95.1999999999999, IF(INDIRECT(ADDRESS(ROW() - 2, COLUMN())) = 8, 102.899999999999, IF(INDIRECT(ADDRESS(ROW() - 2, COLUMN())) = 9, 110.6, IF(INDIRECT(ADDRESS(ROW() - 2, COLUMN())) = 10, 119, IF(INDIRECT(ADDRESS(ROW() - 2, COLUMN())) = 11, 127.4, IF(INDIRECT(ADDRESS(ROW() - 2, COLUMN())) = 12, 135.8, IF(INDIRECT(ADDRESS(ROW() - 2, COLUMN())) = 13, 144.2,0)))))))))))))</f>
        <v>#VALUE!</v>
      </c>
      <c r="WW7" s="88" t="str">
        <f> IF(INDIRECT(ADDRESS(ROW() - 2, COLUMN())) = 1, 71.982, IF(INDIRECT(ADDRESS(ROW() - 2, COLUMN())) = 2, 77.841, IF(INDIRECT(ADDRESS(ROW() - 2, COLUMN())) = 3, 83.7, IF(INDIRECT(ADDRESS(ROW() - 2, COLUMN())) = 4, 92.07, IF(INDIRECT(ADDRESS(ROW() - 2, COLUMN())) = 5, 97.929, IF(INDIRECT(ADDRESS(ROW() - 2, COLUMN())) = 6, 104.624999999999, IF(INDIRECT(ADDRESS(ROW() - 2, COLUMN())) = 7, 113.832, IF(INDIRECT(ADDRESS(ROW() - 2, COLUMN())) = 8, 123.039, IF(INDIRECT(ADDRESS(ROW() - 2, COLUMN())) = 9, 132.246, IF(INDIRECT(ADDRESS(ROW() - 2, COLUMN())) = 10, 142.29, IF(INDIRECT(ADDRESS(ROW() - 2, COLUMN())) = 11, 152.334, IF(INDIRECT(ADDRESS(ROW() - 2, COLUMN())) = 12, 162.378, IF(INDIRECT(ADDRESS(ROW() - 2, COLUMN())) = 13, 172.422,0)))))))))))))</f>
        <v>#VALUE!</v>
      </c>
      <c r="WX7" s="88" t="str">
        <f> IF(INDIRECT(ADDRESS(ROW() - 2, COLUMN())) = 1, 60.1999999999999, IF(INDIRECT(ADDRESS(ROW() - 2, COLUMN())) = 2, 65.1, IF(INDIRECT(ADDRESS(ROW() - 2, COLUMN())) = 3, 70, IF(INDIRECT(ADDRESS(ROW() - 2, COLUMN())) = 4, 77, IF(INDIRECT(ADDRESS(ROW() - 2, COLUMN())) = 5, 81.8999999999999, IF(INDIRECT(ADDRESS(ROW() - 2, COLUMN())) = 6, 87.5, IF(INDIRECT(ADDRESS(ROW() - 2, COLUMN())) = 7, 95.1999999999999, IF(INDIRECT(ADDRESS(ROW() - 2, COLUMN())) = 8, 102.899999999999, IF(INDIRECT(ADDRESS(ROW() - 2, COLUMN())) = 9, 110.6, IF(INDIRECT(ADDRESS(ROW() - 2, COLUMN())) = 10, 119, IF(INDIRECT(ADDRESS(ROW() - 2, COLUMN())) = 11, 127.4, IF(INDIRECT(ADDRESS(ROW() - 2, COLUMN())) = 12, 135.8, IF(INDIRECT(ADDRESS(ROW() - 2, COLUMN())) = 13, 144.2,0)))))))))))))</f>
        <v>#VALUE!</v>
      </c>
      <c r="WY7" s="88" t="str">
        <f> IF(INDIRECT(ADDRESS(ROW() - 2, COLUMN())) = 1, 463.999999999999, IF(INDIRECT(ADDRESS(ROW() - 2, COLUMN())) = 2, 498.8, IF(INDIRECT(ADDRESS(ROW() - 2, COLUMN())) = 3, 533.6, IF(INDIRECT(ADDRESS(ROW() - 2, COLUMN())) = 4, 580, IF(INDIRECT(ADDRESS(ROW() - 2, COLUMN())) = 5, 614.8, IF(INDIRECT(ADDRESS(ROW() - 2, COLUMN())) = 6, 649.6, IF(INDIRECT(ADDRESS(ROW() - 2, COLUMN())) = 7, 696, IF(INDIRECT(ADDRESS(ROW() - 2, COLUMN())) = 8, 742.4, IF(INDIRECT(ADDRESS(ROW() - 2, COLUMN())) = 9, 788.8, IF(INDIRECT(ADDRESS(ROW() - 2, COLUMN())) = 10, 835.2, IF(INDIRECT(ADDRESS(ROW() - 2, COLUMN())) = 11, 881.6, IF(INDIRECT(ADDRESS(ROW() - 2, COLUMN())) = 12, 927.999999999999, IF(INDIRECT(ADDRESS(ROW() - 2, COLUMN())) = 13, 986,0)))))))))))))</f>
        <v>#VALUE!</v>
      </c>
      <c r="WZ7" s="88" t="str">
        <f> IF(INDIRECT(ADDRESS(ROW() - 2, COLUMN())) = 1, 378.4, IF(INDIRECT(ADDRESS(ROW() - 2, COLUMN())) = 2, 406.78, IF(INDIRECT(ADDRESS(ROW() - 2, COLUMN())) = 3, 435.16, IF(INDIRECT(ADDRESS(ROW() - 2, COLUMN())) = 4, 473, IF(INDIRECT(ADDRESS(ROW() - 2, COLUMN())) = 5, 501.38, IF(INDIRECT(ADDRESS(ROW() - 2, COLUMN())) = 6, 529.76, IF(INDIRECT(ADDRESS(ROW() - 2, COLUMN())) = 7, 567.6, IF(INDIRECT(ADDRESS(ROW() - 2, COLUMN())) = 8, 605.44, IF(INDIRECT(ADDRESS(ROW() - 2, COLUMN())) = 9, 643.28, IF(INDIRECT(ADDRESS(ROW() - 2, COLUMN())) = 10, 681.12, IF(INDIRECT(ADDRESS(ROW() - 2, COLUMN())) = 11, 718.96, IF(INDIRECT(ADDRESS(ROW() - 2, COLUMN())) = 12, 756.8, IF(INDIRECT(ADDRESS(ROW() - 2, COLUMN())) = 13, 804.1,0)))))))))))))</f>
        <v>#VALUE!</v>
      </c>
      <c r="XA7" s="88" t="str">
        <f> IF(INDIRECT(ADDRESS(ROW() - 2, COLUMN())) = 1, 120, IF(INDIRECT(ADDRESS(ROW() - 2, COLUMN())) = 2, 129, IF(INDIRECT(ADDRESS(ROW() - 2, COLUMN())) = 3, 138, IF(INDIRECT(ADDRESS(ROW() - 2, COLUMN())) = 4, 150, IF(INDIRECT(ADDRESS(ROW() - 2, COLUMN())) = 5, 159, IF(INDIRECT(ADDRESS(ROW() - 2, COLUMN())) = 6, 168, IF(INDIRECT(ADDRESS(ROW() - 2, COLUMN())) = 7, 180, IF(INDIRECT(ADDRESS(ROW() - 2, COLUMN())) = 8, 192, IF(INDIRECT(ADDRESS(ROW() - 2, COLUMN())) = 9, 204, IF(INDIRECT(ADDRESS(ROW() - 2, COLUMN())) = 10, 216, IF(INDIRECT(ADDRESS(ROW() - 2, COLUMN())) = 11, 227.999999999999, IF(INDIRECT(ADDRESS(ROW() - 2, COLUMN())) = 12, 240, IF(INDIRECT(ADDRESS(ROW() - 2, COLUMN())) = 13, 254.999999999999,0)))))))))))))</f>
        <v>#VALUE!</v>
      </c>
      <c r="XB7" s="88" t="str">
        <f> IF(INDIRECT(ADDRESS(ROW() - 2, COLUMN())) = 1, 44.3932, IF(INDIRECT(ADDRESS(ROW() - 2, COLUMN())) = 2, 48.0066, IF(INDIRECT(ADDRESS(ROW() - 2, COLUMN())) = 3, 51.62, IF(INDIRECT(ADDRESS(ROW() - 2, COLUMN())) = 4, 56.782, IF(INDIRECT(ADDRESS(ROW() - 2, COLUMN())) = 5, 60.3954, IF(INDIRECT(ADDRESS(ROW() - 2, COLUMN())) = 6, 64.525, IF(INDIRECT(ADDRESS(ROW() - 2, COLUMN())) = 7, 70.2032, IF(INDIRECT(ADDRESS(ROW() - 2, COLUMN())) = 8, 75.8814, IF(INDIRECT(ADDRESS(ROW() - 2, COLUMN())) = 9, 81.5596, IF(INDIRECT(ADDRESS(ROW() - 2, COLUMN())) = 10, 87.754, IF(INDIRECT(ADDRESS(ROW() - 2, COLUMN())) = 11, 93.9483999999999,0)))))))))))</f>
        <v>#VALUE!</v>
      </c>
      <c r="XC7" s="88" t="str">
        <f> IF(INDIRECT(ADDRESS(ROW() - 2, COLUMN())) = 1, 43.6278, IF(INDIRECT(ADDRESS(ROW() - 2, COLUMN())) = 2, 47.1789, IF(INDIRECT(ADDRESS(ROW() - 2, COLUMN())) = 3, 50.73, IF(INDIRECT(ADDRESS(ROW() - 2, COLUMN())) = 4, 55.803, IF(INDIRECT(ADDRESS(ROW() - 2, COLUMN())) = 5, 59.3540999999999, IF(INDIRECT(ADDRESS(ROW() - 2, COLUMN())) = 6, 63.4125, IF(INDIRECT(ADDRESS(ROW() - 2, COLUMN())) = 7, 68.9928, IF(INDIRECT(ADDRESS(ROW() - 2, COLUMN())) = 8, 74.5731, IF(INDIRECT(ADDRESS(ROW() - 2, COLUMN())) = 9, 80.1533999999999, IF(INDIRECT(ADDRESS(ROW() - 2, COLUMN())) = 10, 86.241, IF(INDIRECT(ADDRESS(ROW() - 2, COLUMN())) = 11, 92.3286,0)))))))))))</f>
        <v>#VALUE!</v>
      </c>
      <c r="XD7" s="88" t="str">
        <f> IF(INDIRECT(ADDRESS(ROW() - 2, COLUMN())) = 1, 26.789, IF(INDIRECT(ADDRESS(ROW() - 2, COLUMN())) = 2, 28.9694999999999, IF(INDIRECT(ADDRESS(ROW() - 2, COLUMN())) = 3, 31.15, IF(INDIRECT(ADDRESS(ROW() - 2, COLUMN())) = 4, 34.265, IF(INDIRECT(ADDRESS(ROW() - 2, COLUMN())) = 5, 36.4454999999999, IF(INDIRECT(ADDRESS(ROW() - 2, COLUMN())) = 6, 38.9375, IF(INDIRECT(ADDRESS(ROW() - 2, COLUMN())) = 7, 42.364, IF(INDIRECT(ADDRESS(ROW() - 2, COLUMN())) = 8, 45.7905, IF(INDIRECT(ADDRESS(ROW() - 2, COLUMN())) = 9, 49.217, IF(INDIRECT(ADDRESS(ROW() - 2, COLUMN())) = 10, 52.955, IF(INDIRECT(ADDRESS(ROW() - 2, COLUMN())) = 11, 56.693,0)))))))))))</f>
        <v>#VALUE!</v>
      </c>
      <c r="XE7" s="88" t="str">
        <f> IF(INDIRECT(ADDRESS(ROW() - 2, COLUMN())) = 1, 67.3552, IF(INDIRECT(ADDRESS(ROW() - 2, COLUMN())) = 2, 72.8376, IF(INDIRECT(ADDRESS(ROW() - 2, COLUMN())) = 3, 78.32, IF(INDIRECT(ADDRESS(ROW() - 2, COLUMN())) = 4, 86.152, IF(INDIRECT(ADDRESS(ROW() - 2, COLUMN())) = 5, 91.6344, IF(INDIRECT(ADDRESS(ROW() - 2, COLUMN())) = 6, 97.8999999999999, IF(INDIRECT(ADDRESS(ROW() - 2, COLUMN())) = 7, 106.5152, IF(INDIRECT(ADDRESS(ROW() - 2, COLUMN())) = 8, 115.1304, IF(INDIRECT(ADDRESS(ROW() - 2, COLUMN())) = 9, 123.7456, IF(INDIRECT(ADDRESS(ROW() - 2, COLUMN())) = 10, 133.144, IF(INDIRECT(ADDRESS(ROW() - 2, COLUMN())) = 11, 142.5424,0)))))))))))</f>
        <v>#VALUE!</v>
      </c>
      <c r="XF7" s="88" t="str">
        <f> IF(INDIRECT(ADDRESS(ROW() - 2, COLUMN())) = 1, 112.746, IF(INDIRECT(ADDRESS(ROW() - 2, COLUMN())) = 2, 121.923, IF(INDIRECT(ADDRESS(ROW() - 2, COLUMN())) = 3, 131.1, IF(INDIRECT(ADDRESS(ROW() - 2, COLUMN())) = 4, 144.209999999999, IF(INDIRECT(ADDRESS(ROW() - 2, COLUMN())) = 5, 153.387, IF(INDIRECT(ADDRESS(ROW() - 2, COLUMN())) = 6, 163.875, IF(INDIRECT(ADDRESS(ROW() - 2, COLUMN())) = 7, 178.296, IF(INDIRECT(ADDRESS(ROW() - 2, COLUMN())) = 8, 192.717, IF(INDIRECT(ADDRESS(ROW() - 2, COLUMN())) = 9, 207.138, IF(INDIRECT(ADDRESS(ROW() - 2, COLUMN())) = 10, 222.87, IF(INDIRECT(ADDRESS(ROW() - 2, COLUMN())) = 11, 238.601999999999,0)))))))))))</f>
        <v>#VALUE!</v>
      </c>
      <c r="XG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XH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XI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XJ7" s="88" t="str">
        <f> IF(INDIRECT(ADDRESS(ROW() - 2, COLUMN())) = 1, 146.4, IF(INDIRECT(ADDRESS(ROW() - 2, COLUMN())) = 2, 157.38, IF(INDIRECT(ADDRESS(ROW() - 2, COLUMN())) = 3, 168.359999999999, IF(INDIRECT(ADDRESS(ROW() - 2, COLUMN())) = 4, 183, IF(INDIRECT(ADDRESS(ROW() - 2, COLUMN())) = 5, 193.98, IF(INDIRECT(ADDRESS(ROW() - 2, COLUMN())) = 6, 204.959999999999, IF(INDIRECT(ADDRESS(ROW() - 2, COLUMN())) = 7, 219.6, IF(INDIRECT(ADDRESS(ROW() - 2, COLUMN())) = 8, 234.24, IF(INDIRECT(ADDRESS(ROW() - 2, COLUMN())) = 9, 248.88, IF(INDIRECT(ADDRESS(ROW() - 2, COLUMN())) = 10, 263.52, IF(INDIRECT(ADDRESS(ROW() - 2, COLUMN())) = 11, 278.16, IF(INDIRECT(ADDRESS(ROW() - 2, COLUMN())) = 12, 292.8, IF(INDIRECT(ADDRESS(ROW() - 2, COLUMN())) = 13, 311.1,0)))))))))))))</f>
        <v>#VALUE!</v>
      </c>
      <c r="XK7" s="88" t="str">
        <f> IF(INDIRECT(ADDRESS(ROW() - 2, COLUMN())) = 1, 88, IF(INDIRECT(ADDRESS(ROW() - 2, COLUMN())) = 2, 94.6, IF(INDIRECT(ADDRESS(ROW() - 2, COLUMN())) = 3, 101.2, IF(INDIRECT(ADDRESS(ROW() - 2, COLUMN())) = 4, 110, IF(INDIRECT(ADDRESS(ROW() - 2, COLUMN())) = 5, 116.6, IF(INDIRECT(ADDRESS(ROW() - 2, COLUMN())) = 6, 123.2, IF(INDIRECT(ADDRESS(ROW() - 2, COLUMN())) = 7, 132, IF(INDIRECT(ADDRESS(ROW() - 2, COLUMN())) = 8, 140.799999999999, IF(INDIRECT(ADDRESS(ROW() - 2, COLUMN())) = 9, 149.6, IF(INDIRECT(ADDRESS(ROW() - 2, COLUMN())) = 10, 158.4, IF(INDIRECT(ADDRESS(ROW() - 2, COLUMN())) = 11, 167.2, IF(INDIRECT(ADDRESS(ROW() - 2, COLUMN())) = 12, 176, IF(INDIRECT(ADDRESS(ROW() - 2, COLUMN())) = 13, 187,0)))))))))))))</f>
        <v>#VALUE!</v>
      </c>
      <c r="XL7" s="88" t="str">
        <f> IF(INDIRECT(ADDRESS(ROW() - 2, COLUMN())) = 1, 57.9999999999999, IF(INDIRECT(ADDRESS(ROW() - 2, COLUMN())) = 2, 62.35, IF(INDIRECT(ADDRESS(ROW() - 2, COLUMN())) = 3, 66.7, IF(INDIRECT(ADDRESS(ROW() - 2, COLUMN())) = 4, 72.5, IF(INDIRECT(ADDRESS(ROW() - 2, COLUMN())) = 5, 76.85, IF(INDIRECT(ADDRESS(ROW() - 2, COLUMN())) = 6, 81.2, IF(INDIRECT(ADDRESS(ROW() - 2, COLUMN())) = 7, 87, IF(INDIRECT(ADDRESS(ROW() - 2, COLUMN())) = 8, 92.8, IF(INDIRECT(ADDRESS(ROW() - 2, COLUMN())) = 9, 98.6, IF(INDIRECT(ADDRESS(ROW() - 2, COLUMN())) = 10, 104.4, IF(INDIRECT(ADDRESS(ROW() - 2, COLUMN())) = 11, 110.2, IF(INDIRECT(ADDRESS(ROW() - 2, COLUMN())) = 12, 115.999999999999, IF(INDIRECT(ADDRESS(ROW() - 2, COLUMN())) = 13, 123.25,0)))))))))))))</f>
        <v>#VALUE!</v>
      </c>
      <c r="XM7" s="88" t="str">
        <f> IF(INDIRECT(ADDRESS(ROW() - 2, COLUMN())) = 1, 44.634, IF(INDIRECT(ADDRESS(ROW() - 2, COLUMN())) = 2, 48.2669999999999, IF(INDIRECT(ADDRESS(ROW() - 2, COLUMN())) = 3, 51.9, IF(INDIRECT(ADDRESS(ROW() - 2, COLUMN())) = 4, 57.0899999999999, IF(INDIRECT(ADDRESS(ROW() - 2, COLUMN())) = 5, 60.723, IF(INDIRECT(ADDRESS(ROW() - 2, COLUMN())) = 6, 64.875, IF(INDIRECT(ADDRESS(ROW() - 2, COLUMN())) = 7, 70.584, IF(INDIRECT(ADDRESS(ROW() - 2, COLUMN())) = 8, 76.293, IF(INDIRECT(ADDRESS(ROW() - 2, COLUMN())) = 9, 82.002, IF(INDIRECT(ADDRESS(ROW() - 2, COLUMN())) = 10, 88.23, IF(INDIRECT(ADDRESS(ROW() - 2, COLUMN())) = 11, 94.458,0)))))))))))</f>
        <v>#VALUE!</v>
      </c>
      <c r="XN7" s="88" t="str">
        <f> IF(INDIRECT(ADDRESS(ROW() - 2, COLUMN())) = 1, 41.9679999999999, IF(INDIRECT(ADDRESS(ROW() - 2, COLUMN())) = 2, 45.384, IF(INDIRECT(ADDRESS(ROW() - 2, COLUMN())) = 3, 48.8, IF(INDIRECT(ADDRESS(ROW() - 2, COLUMN())) = 4, 53.68, IF(INDIRECT(ADDRESS(ROW() - 2, COLUMN())) = 5, 57.096, IF(INDIRECT(ADDRESS(ROW() - 2, COLUMN())) = 6, 61, IF(INDIRECT(ADDRESS(ROW() - 2, COLUMN())) = 7, 66.368, IF(INDIRECT(ADDRESS(ROW() - 2, COLUMN())) = 8, 71.736, IF(INDIRECT(ADDRESS(ROW() - 2, COLUMN())) = 9, 77.104, IF(INDIRECT(ADDRESS(ROW() - 2, COLUMN())) = 10, 82.96, IF(INDIRECT(ADDRESS(ROW() - 2, COLUMN())) = 11, 88.8159999999999,0)))))))))))</f>
        <v>#VALUE!</v>
      </c>
      <c r="XO7" s="88" t="str">
        <f> IF(INDIRECT(ADDRESS(ROW() - 2, COLUMN())) = 1, 26.445, IF(INDIRECT(ADDRESS(ROW() - 2, COLUMN())) = 2, 28.5974999999999, IF(INDIRECT(ADDRESS(ROW() - 2, COLUMN())) = 3, 30.75, IF(INDIRECT(ADDRESS(ROW() - 2, COLUMN())) = 4, 33.825, IF(INDIRECT(ADDRESS(ROW() - 2, COLUMN())) = 5, 35.9775, IF(INDIRECT(ADDRESS(ROW() - 2, COLUMN())) = 6, 38.4375, IF(INDIRECT(ADDRESS(ROW() - 2, COLUMN())) = 7, 41.82, IF(INDIRECT(ADDRESS(ROW() - 2, COLUMN())) = 8, 45.2025, IF(INDIRECT(ADDRESS(ROW() - 2, COLUMN())) = 9, 48.585, IF(INDIRECT(ADDRESS(ROW() - 2, COLUMN())) = 10, 52.275, IF(INDIRECT(ADDRESS(ROW() - 2, COLUMN())) = 11, 55.9649999999999,0)))))))))))</f>
        <v>#VALUE!</v>
      </c>
      <c r="XP7" s="88" t="str">
        <f> IF(INDIRECT(ADDRESS(ROW() - 2, COLUMN())) = 1, 68.628, IF(INDIRECT(ADDRESS(ROW() - 2, COLUMN())) = 2, 74.214, IF(INDIRECT(ADDRESS(ROW() - 2, COLUMN())) = 3, 79.8, IF(INDIRECT(ADDRESS(ROW() - 2, COLUMN())) = 4, 87.78, IF(INDIRECT(ADDRESS(ROW() - 2, COLUMN())) = 5, 93.366, IF(INDIRECT(ADDRESS(ROW() - 2, COLUMN())) = 6, 99.75, IF(INDIRECT(ADDRESS(ROW() - 2, COLUMN())) = 7, 108.528, IF(INDIRECT(ADDRESS(ROW() - 2, COLUMN())) = 8, 117.306, IF(INDIRECT(ADDRESS(ROW() - 2, COLUMN())) = 9, 126.084, IF(INDIRECT(ADDRESS(ROW() - 2, COLUMN())) = 10, 135.66, IF(INDIRECT(ADDRESS(ROW() - 2, COLUMN())) = 11, 145.236,0)))))))))))</f>
        <v>#VALUE!</v>
      </c>
      <c r="XQ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XR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XS7" s="88" t="str">
        <f> IF(INDIRECT(ADDRESS(ROW() - 2, COLUMN())) = 1, 87.2, IF(INDIRECT(ADDRESS(ROW() - 2, COLUMN())) = 2, 93.74, IF(INDIRECT(ADDRESS(ROW() - 2, COLUMN())) = 3, 100.279999999999, IF(INDIRECT(ADDRESS(ROW() - 2, COLUMN())) = 4, 109, IF(INDIRECT(ADDRESS(ROW() - 2, COLUMN())) = 5, 115.539999999999, IF(INDIRECT(ADDRESS(ROW() - 2, COLUMN())) = 6, 122.08, IF(INDIRECT(ADDRESS(ROW() - 2, COLUMN())) = 7, 130.8, IF(INDIRECT(ADDRESS(ROW() - 2, COLUMN())) = 8, 139.52, IF(INDIRECT(ADDRESS(ROW() - 2, COLUMN())) = 9, 148.239999999999, IF(INDIRECT(ADDRESS(ROW() - 2, COLUMN())) = 10, 156.96, IF(INDIRECT(ADDRESS(ROW() - 2, COLUMN())) = 11, 165.68,0)))))))))))</f>
        <v>#VALUE!</v>
      </c>
      <c r="XT7" s="88" t="str">
        <f> IF(INDIRECT(ADDRESS(ROW() - 2, COLUMN())) = 1, 38.6, IF(INDIRECT(ADDRESS(ROW() - 2, COLUMN())) = 2, 41.495, IF(INDIRECT(ADDRESS(ROW() - 2, COLUMN())) = 3, 44.39, IF(INDIRECT(ADDRESS(ROW() - 2, COLUMN())) = 4, 48.25, IF(INDIRECT(ADDRESS(ROW() - 2, COLUMN())) = 5, 51.1449999999999, IF(INDIRECT(ADDRESS(ROW() - 2, COLUMN())) = 6, 54.04, IF(INDIRECT(ADDRESS(ROW() - 2, COLUMN())) = 7, 57.9, IF(INDIRECT(ADDRESS(ROW() - 2, COLUMN())) = 8, 61.76, IF(INDIRECT(ADDRESS(ROW() - 2, COLUMN())) = 9, 65.62, IF(INDIRECT(ADDRESS(ROW() - 2, COLUMN())) = 10, 69.48, IF(INDIRECT(ADDRESS(ROW() - 2, COLUMN())) = 11, 73.34,0)))))))))))</f>
        <v>#VALUE!</v>
      </c>
      <c r="XU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XV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XW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XX7" s="88" t="str">
        <f> IF(INDIRECT(ADDRESS(ROW() - 2, COLUMN())) = 1, 149.6, IF(INDIRECT(ADDRESS(ROW() - 2, COLUMN())) = 2, 160.82, IF(INDIRECT(ADDRESS(ROW() - 2, COLUMN())) = 3, 172.04, IF(INDIRECT(ADDRESS(ROW() - 2, COLUMN())) = 4, 187, IF(INDIRECT(ADDRESS(ROW() - 2, COLUMN())) = 5, 198.22, IF(INDIRECT(ADDRESS(ROW() - 2, COLUMN())) = 6, 209.439999999999, IF(INDIRECT(ADDRESS(ROW() - 2, COLUMN())) = 7, 224.4, IF(INDIRECT(ADDRESS(ROW() - 2, COLUMN())) = 8, 239.36, IF(INDIRECT(ADDRESS(ROW() - 2, COLUMN())) = 9, 254.32, IF(INDIRECT(ADDRESS(ROW() - 2, COLUMN())) = 10, 269.28, IF(INDIRECT(ADDRESS(ROW() - 2, COLUMN())) = 11, 284.24, IF(INDIRECT(ADDRESS(ROW() - 2, COLUMN())) = 12, 299.2, IF(INDIRECT(ADDRESS(ROW() - 2, COLUMN())) = 13, 317.9,0)))))))))))))</f>
        <v>#VALUE!</v>
      </c>
      <c r="XY7" s="88" t="str">
        <f> IF(INDIRECT(ADDRESS(ROW() - 2, COLUMN())) = 1, 55.62, IF(INDIRECT(ADDRESS(ROW() - 2, COLUMN())) = 2, 59.7915, IF(INDIRECT(ADDRESS(ROW() - 2, COLUMN())) = 3, 63.963, IF(INDIRECT(ADDRESS(ROW() - 2, COLUMN())) = 4, 69.525, IF(INDIRECT(ADDRESS(ROW() - 2, COLUMN())) = 5, 73.6965, IF(INDIRECT(ADDRESS(ROW() - 2, COLUMN())) = 6, 77.868, IF(INDIRECT(ADDRESS(ROW() - 2, COLUMN())) = 7, 83.43, IF(INDIRECT(ADDRESS(ROW() - 2, COLUMN())) = 8, 88.992, IF(INDIRECT(ADDRESS(ROW() - 2, COLUMN())) = 9, 94.554, IF(INDIRECT(ADDRESS(ROW() - 2, COLUMN())) = 10, 100.116, IF(INDIRECT(ADDRESS(ROW() - 2, COLUMN())) = 11, 105.678, IF(INDIRECT(ADDRESS(ROW() - 2, COLUMN())) = 12, 111.24, IF(INDIRECT(ADDRESS(ROW() - 2, COLUMN())) = 13, 118.1925,0)))))))))))))</f>
        <v>#VALUE!</v>
      </c>
      <c r="XZ7" s="88" t="str">
        <f> IF(INDIRECT(ADDRESS(ROW() - 2, COLUMN())) = 1, 67.9799999999999, IF(INDIRECT(ADDRESS(ROW() - 2, COLUMN())) = 2, 73.0785, IF(INDIRECT(ADDRESS(ROW() - 2, COLUMN())) = 3, 78.1769999999999, IF(INDIRECT(ADDRESS(ROW() - 2, COLUMN())) = 4, 84.975, IF(INDIRECT(ADDRESS(ROW() - 2, COLUMN())) = 5, 90.0735, IF(INDIRECT(ADDRESS(ROW() - 2, COLUMN())) = 6, 95.172, IF(INDIRECT(ADDRESS(ROW() - 2, COLUMN())) = 7, 101.97, IF(INDIRECT(ADDRESS(ROW() - 2, COLUMN())) = 8, 108.768, IF(INDIRECT(ADDRESS(ROW() - 2, COLUMN())) = 9, 115.565999999999, IF(INDIRECT(ADDRESS(ROW() - 2, COLUMN())) = 10, 122.364, IF(INDIRECT(ADDRESS(ROW() - 2, COLUMN())) = 11, 129.162, IF(INDIRECT(ADDRESS(ROW() - 2, COLUMN())) = 12, 135.959999999999, IF(INDIRECT(ADDRESS(ROW() - 2, COLUMN())) = 13, 144.457499999999,0)))))))))))))</f>
        <v>#VALUE!</v>
      </c>
      <c r="YA7" s="88" t="str">
        <f> IF(INDIRECT(ADDRESS(ROW() - 2, COLUMN())) = 1, 20.382, IF(INDIRECT(ADDRESS(ROW() - 2, COLUMN())) = 2, 22.041, IF(INDIRECT(ADDRESS(ROW() - 2, COLUMN())) = 3, 23.7, IF(INDIRECT(ADDRESS(ROW() - 2, COLUMN())) = 4, 26.07, IF(INDIRECT(ADDRESS(ROW() - 2, COLUMN())) = 5, 27.729, IF(INDIRECT(ADDRESS(ROW() - 2, COLUMN())) = 6, 29.625, IF(INDIRECT(ADDRESS(ROW() - 2, COLUMN())) = 7, 32.232, IF(INDIRECT(ADDRESS(ROW() - 2, COLUMN())) = 8, 34.839, IF(INDIRECT(ADDRESS(ROW() - 2, COLUMN())) = 9, 37.446, IF(INDIRECT(ADDRESS(ROW() - 2, COLUMN())) = 10, 40.29, IF(INDIRECT(ADDRESS(ROW() - 2, COLUMN())) = 11, 43.5487,0)))))))))))</f>
        <v>#VALUE!</v>
      </c>
      <c r="YB7" s="88" t="str">
        <f> IF(INDIRECT(ADDRESS(ROW() - 2, COLUMN())) = 1, 44.376, IF(INDIRECT(ADDRESS(ROW() - 2, COLUMN())) = 2, 47.988, IF(INDIRECT(ADDRESS(ROW() - 2, COLUMN())) = 3, 51.6, IF(INDIRECT(ADDRESS(ROW() - 2, COLUMN())) = 4, 56.76, IF(INDIRECT(ADDRESS(ROW() - 2, COLUMN())) = 5, 60.372, IF(INDIRECT(ADDRESS(ROW() - 2, COLUMN())) = 6, 64.5, IF(INDIRECT(ADDRESS(ROW() - 2, COLUMN())) = 7, 70.176, IF(INDIRECT(ADDRESS(ROW() - 2, COLUMN())) = 8, 75.852, IF(INDIRECT(ADDRESS(ROW() - 2, COLUMN())) = 9, 81.528, IF(INDIRECT(ADDRESS(ROW() - 2, COLUMN())) = 10, 87.72, IF(INDIRECT(ADDRESS(ROW() - 2, COLUMN())) = 11, 94.815,0)))))))))))</f>
        <v>#VALUE!</v>
      </c>
      <c r="YC7" s="88" t="str">
        <f> IF(INDIRECT(ADDRESS(ROW() - 2, COLUMN())) = 1, 52.3739999999999, IF(INDIRECT(ADDRESS(ROW() - 2, COLUMN())) = 2, 56.637, IF(INDIRECT(ADDRESS(ROW() - 2, COLUMN())) = 3, 60.9, IF(INDIRECT(ADDRESS(ROW() - 2, COLUMN())) = 4, 66.99, IF(INDIRECT(ADDRESS(ROW() - 2, COLUMN())) = 5, 71.253, IF(INDIRECT(ADDRESS(ROW() - 2, COLUMN())) = 6, 76.125, IF(INDIRECT(ADDRESS(ROW() - 2, COLUMN())) = 7, 82.824, IF(INDIRECT(ADDRESS(ROW() - 2, COLUMN())) = 8, 89.523, IF(INDIRECT(ADDRESS(ROW() - 2, COLUMN())) = 9, 96.222, IF(INDIRECT(ADDRESS(ROW() - 2, COLUMN())) = 10, 103.53, IF(INDIRECT(ADDRESS(ROW() - 2, COLUMN())) = 11, 111.9037,0)))))))))))</f>
        <v>#VALUE!</v>
      </c>
      <c r="YD7" s="88" t="str">
        <f> IF(INDIRECT(ADDRESS(ROW() - 2, COLUMN())) = 1, 26.0579999999999, IF(INDIRECT(ADDRESS(ROW() - 2, COLUMN())) = 2, 28.179, IF(INDIRECT(ADDRESS(ROW() - 2, COLUMN())) = 3, 30.3, IF(INDIRECT(ADDRESS(ROW() - 2, COLUMN())) = 4, 33.33, IF(INDIRECT(ADDRESS(ROW() - 2, COLUMN())) = 5, 35.451, IF(INDIRECT(ADDRESS(ROW() - 2, COLUMN())) = 6, 37.875, IF(INDIRECT(ADDRESS(ROW() - 2, COLUMN())) = 7, 41.208, IF(INDIRECT(ADDRESS(ROW() - 2, COLUMN())) = 8, 44.541, IF(INDIRECT(ADDRESS(ROW() - 2, COLUMN())) = 9, 47.874, IF(INDIRECT(ADDRESS(ROW() - 2, COLUMN())) = 10, 51.51, IF(INDIRECT(ADDRESS(ROW() - 2, COLUMN())) = 11, 55.6761999999999,0)))))))))))</f>
        <v>#VALUE!</v>
      </c>
      <c r="YE7" s="88" t="str">
        <f> IF(INDIRECT(ADDRESS(ROW() - 2, COLUMN())) = 1, 50.6539999999999, IF(INDIRECT(ADDRESS(ROW() - 2, COLUMN())) = 2, 54.777, IF(INDIRECT(ADDRESS(ROW() - 2, COLUMN())) = 3, 58.9, IF(INDIRECT(ADDRESS(ROW() - 2, COLUMN())) = 4, 64.79, IF(INDIRECT(ADDRESS(ROW() - 2, COLUMN())) = 5, 68.913, IF(INDIRECT(ADDRESS(ROW() - 2, COLUMN())) = 6, 73.625, IF(INDIRECT(ADDRESS(ROW() - 2, COLUMN())) = 7, 80.104, IF(INDIRECT(ADDRESS(ROW() - 2, COLUMN())) = 8, 86.583, IF(INDIRECT(ADDRESS(ROW() - 2, COLUMN())) = 9, 93.062, IF(INDIRECT(ADDRESS(ROW() - 2, COLUMN())) = 10, 100.13, IF(INDIRECT(ADDRESS(ROW() - 2, COLUMN())) = 11, 108.228799999999,0)))))))))))</f>
        <v>#VALUE!</v>
      </c>
      <c r="YF7" s="88" t="str">
        <f> IF(INDIRECT(ADDRESS(ROW() - 2, COLUMN())) = 1, 70.95, IF(INDIRECT(ADDRESS(ROW() - 2, COLUMN())) = 2, 76.725, IF(INDIRECT(ADDRESS(ROW() - 2, COLUMN())) = 3, 82.5, IF(INDIRECT(ADDRESS(ROW() - 2, COLUMN())) = 4, 90.75, IF(INDIRECT(ADDRESS(ROW() - 2, COLUMN())) = 5, 96.525, IF(INDIRECT(ADDRESS(ROW() - 2, COLUMN())) = 6, 103.125, IF(INDIRECT(ADDRESS(ROW() - 2, COLUMN())) = 7, 112.2, IF(INDIRECT(ADDRESS(ROW() - 2, COLUMN())) = 8, 121.275, IF(INDIRECT(ADDRESS(ROW() - 2, COLUMN())) = 9, 130.35, IF(INDIRECT(ADDRESS(ROW() - 2, COLUMN())) = 10, 140.25, IF(INDIRECT(ADDRESS(ROW() - 2, COLUMN())) = 11, 151.5937,0)))))))))))</f>
        <v>#VALUE!</v>
      </c>
      <c r="YG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93.7125,0)))))))))))</f>
        <v>#VALUE!</v>
      </c>
      <c r="YH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236.096,0)))))))))))</f>
        <v>#VALUE!</v>
      </c>
      <c r="YI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YJ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YK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YL7" s="88" t="str">
        <f> IF(INDIRECT(ADDRESS(ROW() - 2, COLUMN())) = 1, 276, IF(INDIRECT(ADDRESS(ROW() - 2, COLUMN())) = 2, 296.7, IF(INDIRECT(ADDRESS(ROW() - 2, COLUMN())) = 3, 317.4, IF(INDIRECT(ADDRESS(ROW() - 2, COLUMN())) = 4, 345, IF(INDIRECT(ADDRESS(ROW() - 2, COLUMN())) = 5, 365.7, IF(INDIRECT(ADDRESS(ROW() - 2, COLUMN())) = 6, 386.4, IF(INDIRECT(ADDRESS(ROW() - 2, COLUMN())) = 7, 413.999999999999, IF(INDIRECT(ADDRESS(ROW() - 2, COLUMN())) = 8, 441.6, IF(INDIRECT(ADDRESS(ROW() - 2, COLUMN())) = 9, 469.2, IF(INDIRECT(ADDRESS(ROW() - 2, COLUMN())) = 10, 496.8, IF(INDIRECT(ADDRESS(ROW() - 2, COLUMN())) = 11, 524.4, IF(INDIRECT(ADDRESS(ROW() - 2, COLUMN())) = 12, 552, IF(INDIRECT(ADDRESS(ROW() - 2, COLUMN())) = 13, 586.5,0)))))))))))))</f>
        <v>#VALUE!</v>
      </c>
      <c r="YM7" s="88" t="str">
        <f> IF(INDIRECT(ADDRESS(ROW() - 2, COLUMN())) = 1, 380, IF(INDIRECT(ADDRESS(ROW() - 2, COLUMN())) = 2, 408.5, IF(INDIRECT(ADDRESS(ROW() - 2, COLUMN())) = 3, 437, IF(INDIRECT(ADDRESS(ROW() - 2, COLUMN())) = 4, 475, IF(INDIRECT(ADDRESS(ROW() - 2, COLUMN())) = 5, 503.5, IF(INDIRECT(ADDRESS(ROW() - 2, COLUMN())) = 6, 532, IF(INDIRECT(ADDRESS(ROW() - 2, COLUMN())) = 7, 570, IF(INDIRECT(ADDRESS(ROW() - 2, COLUMN())) = 8, 608, IF(INDIRECT(ADDRESS(ROW() - 2, COLUMN())) = 9, 646, IF(INDIRECT(ADDRESS(ROW() - 2, COLUMN())) = 10, 684, IF(INDIRECT(ADDRESS(ROW() - 2, COLUMN())) = 11, 722, IF(INDIRECT(ADDRESS(ROW() - 2, COLUMN())) = 12, 760, IF(INDIRECT(ADDRESS(ROW() - 2, COLUMN())) = 13, 807.499999999999,0)))))))))))))</f>
        <v>#VALUE!</v>
      </c>
      <c r="YN7" s="88" t="str">
        <f> IF(INDIRECT(ADDRESS(ROW() - 2, COLUMN())) = 1, 37.6, IF(INDIRECT(ADDRESS(ROW() - 2, COLUMN())) = 2, 40.42, IF(INDIRECT(ADDRESS(ROW() - 2, COLUMN())) = 3, 43.24, IF(INDIRECT(ADDRESS(ROW() - 2, COLUMN())) = 4, 47, IF(INDIRECT(ADDRESS(ROW() - 2, COLUMN())) = 5, 49.82, IF(INDIRECT(ADDRESS(ROW() - 2, COLUMN())) = 6, 52.64, IF(INDIRECT(ADDRESS(ROW() - 2, COLUMN())) = 7, 56.3999999999999, IF(INDIRECT(ADDRESS(ROW() - 2, COLUMN())) = 8, 60.16, IF(INDIRECT(ADDRESS(ROW() - 2, COLUMN())) = 9, 63.92, IF(INDIRECT(ADDRESS(ROW() - 2, COLUMN())) = 10, 67.6799999999999, IF(INDIRECT(ADDRESS(ROW() - 2, COLUMN())) = 11, 71.44, IF(INDIRECT(ADDRESS(ROW() - 2, COLUMN())) = 12, 75.2, IF(INDIRECT(ADDRESS(ROW() - 2, COLUMN())) = 13, 79.9,0)))))))))))))</f>
        <v>#VALUE!</v>
      </c>
      <c r="YO7" s="88" t="str">
        <f> IF(INDIRECT(ADDRESS(ROW() - 2, COLUMN())) = 1, 18.8, IF(INDIRECT(ADDRESS(ROW() - 2, COLUMN())) = 2, 20.21, IF(INDIRECT(ADDRESS(ROW() - 2, COLUMN())) = 3, 21.62, IF(INDIRECT(ADDRESS(ROW() - 2, COLUMN())) = 4, 23.5, IF(INDIRECT(ADDRESS(ROW() - 2, COLUMN())) = 5, 24.91, IF(INDIRECT(ADDRESS(ROW() - 2, COLUMN())) = 6, 26.32, IF(INDIRECT(ADDRESS(ROW() - 2, COLUMN())) = 7, 28.1999999999999, IF(INDIRECT(ADDRESS(ROW() - 2, COLUMN())) = 8, 30.08, IF(INDIRECT(ADDRESS(ROW() - 2, COLUMN())) = 9, 31.96, IF(INDIRECT(ADDRESS(ROW() - 2, COLUMN())) = 10, 33.8399999999999, IF(INDIRECT(ADDRESS(ROW() - 2, COLUMN())) = 11, 35.72, IF(INDIRECT(ADDRESS(ROW() - 2, COLUMN())) = 12, 37.6, IF(INDIRECT(ADDRESS(ROW() - 2, COLUMN())) = 13, 39.95,0)))))))))))))</f>
        <v>#VALUE!</v>
      </c>
      <c r="YP7" s="88" t="str">
        <f> IF(INDIRECT(ADDRESS(ROW() - 2, COLUMN())) = 1, 42.054, IF(INDIRECT(ADDRESS(ROW() - 2, COLUMN())) = 2, 45.477, IF(INDIRECT(ADDRESS(ROW() - 2, COLUMN())) = 3, 48.9, IF(INDIRECT(ADDRESS(ROW() - 2, COLUMN())) = 4, 53.79, IF(INDIRECT(ADDRESS(ROW() - 2, COLUMN())) = 5, 57.213, IF(INDIRECT(ADDRESS(ROW() - 2, COLUMN())) = 6, 61.1249999999999, IF(INDIRECT(ADDRESS(ROW() - 2, COLUMN())) = 7, 66.5039999999999, IF(INDIRECT(ADDRESS(ROW() - 2, COLUMN())) = 8, 71.883, IF(INDIRECT(ADDRESS(ROW() - 2, COLUMN())) = 9, 77.262, IF(INDIRECT(ADDRESS(ROW() - 2, COLUMN())) = 10, 83.13, IF(INDIRECT(ADDRESS(ROW() - 2, COLUMN())) = 11, 89.8537,0)))))))))))</f>
        <v>#VALUE!</v>
      </c>
      <c r="YQ7" s="88" t="str">
        <f> IF(INDIRECT(ADDRESS(ROW() - 2, COLUMN())) = 1, 42.14, IF(INDIRECT(ADDRESS(ROW() - 2, COLUMN())) = 2, 45.57, IF(INDIRECT(ADDRESS(ROW() - 2, COLUMN())) = 3, 49, IF(INDIRECT(ADDRESS(ROW() - 2, COLUMN())) = 4, 53.9, IF(INDIRECT(ADDRESS(ROW() - 2, COLUMN())) = 5, 57.33, IF(INDIRECT(ADDRESS(ROW() - 2, COLUMN())) = 6, 61.25, IF(INDIRECT(ADDRESS(ROW() - 2, COLUMN())) = 7, 66.64, IF(INDIRECT(ADDRESS(ROW() - 2, COLUMN())) = 8, 72.03, IF(INDIRECT(ADDRESS(ROW() - 2, COLUMN())) = 9, 77.42, IF(INDIRECT(ADDRESS(ROW() - 2, COLUMN())) = 10, 83.3, IF(INDIRECT(ADDRESS(ROW() - 2, COLUMN())) = 11, 90.0375,0)))))))))))</f>
        <v>#VALUE!</v>
      </c>
      <c r="YR7" s="88" t="str">
        <f> IF(INDIRECT(ADDRESS(ROW() - 2, COLUMN())) = 1, 26.0579999999999, IF(INDIRECT(ADDRESS(ROW() - 2, COLUMN())) = 2, 28.179, IF(INDIRECT(ADDRESS(ROW() - 2, COLUMN())) = 3, 30.3, IF(INDIRECT(ADDRESS(ROW() - 2, COLUMN())) = 4, 33.33, IF(INDIRECT(ADDRESS(ROW() - 2, COLUMN())) = 5, 35.451, IF(INDIRECT(ADDRESS(ROW() - 2, COLUMN())) = 6, 37.875, IF(INDIRECT(ADDRESS(ROW() - 2, COLUMN())) = 7, 41.208, IF(INDIRECT(ADDRESS(ROW() - 2, COLUMN())) = 8, 44.541, IF(INDIRECT(ADDRESS(ROW() - 2, COLUMN())) = 9, 47.874, IF(INDIRECT(ADDRESS(ROW() - 2, COLUMN())) = 10, 51.51, IF(INDIRECT(ADDRESS(ROW() - 2, COLUMN())) = 11, 55.6761999999999,0)))))))))))</f>
        <v>#VALUE!</v>
      </c>
      <c r="YS7" s="88" t="str">
        <f> IF(INDIRECT(ADDRESS(ROW() - 2, COLUMN())) = 1, 14.104, IF(INDIRECT(ADDRESS(ROW() - 2, COLUMN())) = 2, 15.2519999999999, IF(INDIRECT(ADDRESS(ROW() - 2, COLUMN())) = 3, 16.4, IF(INDIRECT(ADDRESS(ROW() - 2, COLUMN())) = 4, 18.04, IF(INDIRECT(ADDRESS(ROW() - 2, COLUMN())) = 5, 19.188, IF(INDIRECT(ADDRESS(ROW() - 2, COLUMN())) = 6, 20.5, IF(INDIRECT(ADDRESS(ROW() - 2, COLUMN())) = 7, 22.304, IF(INDIRECT(ADDRESS(ROW() - 2, COLUMN())) = 8, 24.108, IF(INDIRECT(ADDRESS(ROW() - 2, COLUMN())) = 9, 25.912, IF(INDIRECT(ADDRESS(ROW() - 2, COLUMN())) = 10, 27.88, IF(INDIRECT(ADDRESS(ROW() - 2, COLUMN())) = 11, 30.135,0)))))))))))</f>
        <v>#VALUE!</v>
      </c>
      <c r="YT7" s="88" t="str">
        <f> IF(INDIRECT(ADDRESS(ROW() - 2, COLUMN())) = 1, 71.036, IF(INDIRECT(ADDRESS(ROW() - 2, COLUMN())) = 2, 76.818, IF(INDIRECT(ADDRESS(ROW() - 2, COLUMN())) = 3, 82.6, IF(INDIRECT(ADDRESS(ROW() - 2, COLUMN())) = 4, 90.86, IF(INDIRECT(ADDRESS(ROW() - 2, COLUMN())) = 5, 96.642, IF(INDIRECT(ADDRESS(ROW() - 2, COLUMN())) = 6, 103.25, IF(INDIRECT(ADDRESS(ROW() - 2, COLUMN())) = 7, 112.335999999999, IF(INDIRECT(ADDRESS(ROW() - 2, COLUMN())) = 8, 121.422, IF(INDIRECT(ADDRESS(ROW() - 2, COLUMN())) = 9, 130.508, IF(INDIRECT(ADDRESS(ROW() - 2, COLUMN())) = 10, 140.42, IF(INDIRECT(ADDRESS(ROW() - 2, COLUMN())) = 11, 151.7775,0)))))))))))</f>
        <v>#VALUE!</v>
      </c>
      <c r="YU7" s="88" t="str">
        <f> IF(INDIRECT(ADDRESS(ROW() - 2, COLUMN())) = 1, 121.69, IF(INDIRECT(ADDRESS(ROW() - 2, COLUMN())) = 2, 131.595, IF(INDIRECT(ADDRESS(ROW() - 2, COLUMN())) = 3, 141.5, IF(INDIRECT(ADDRESS(ROW() - 2, COLUMN())) = 4, 155.65, IF(INDIRECT(ADDRESS(ROW() - 2, COLUMN())) = 5, 165.555, IF(INDIRECT(ADDRESS(ROW() - 2, COLUMN())) = 6, 176.875, IF(INDIRECT(ADDRESS(ROW() - 2, COLUMN())) = 7, 192.44, IF(INDIRECT(ADDRESS(ROW() - 2, COLUMN())) = 8, 208.005, IF(INDIRECT(ADDRESS(ROW() - 2, COLUMN())) = 9, 223.57, IF(INDIRECT(ADDRESS(ROW() - 2, COLUMN())) = 10, 240.55, IF(INDIRECT(ADDRESS(ROW() - 2, COLUMN())) = 11, 260.0062,0)))))))))))</f>
        <v>#VALUE!</v>
      </c>
      <c r="YV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YW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YX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YY7" s="88" t="str">
        <f> IF(INDIRECT(ADDRESS(ROW() - 2, COLUMN())) = 1, 111.28, IF(INDIRECT(ADDRESS(ROW() - 2, COLUMN())) = 2, 119.626, IF(INDIRECT(ADDRESS(ROW() - 2, COLUMN())) = 3, 127.972, IF(INDIRECT(ADDRESS(ROW() - 2, COLUMN())) = 4, 139.1, IF(INDIRECT(ADDRESS(ROW() - 2, COLUMN())) = 5, 147.446, IF(INDIRECT(ADDRESS(ROW() - 2, COLUMN())) = 6, 155.792, IF(INDIRECT(ADDRESS(ROW() - 2, COLUMN())) = 7, 166.92, IF(INDIRECT(ADDRESS(ROW() - 2, COLUMN())) = 8, 178.048, IF(INDIRECT(ADDRESS(ROW() - 2, COLUMN())) = 9, 189.176, IF(INDIRECT(ADDRESS(ROW() - 2, COLUMN())) = 10, 200.304, IF(INDIRECT(ADDRESS(ROW() - 2, COLUMN())) = 11, 211.432, IF(INDIRECT(ADDRESS(ROW() - 2, COLUMN())) = 12, 222.56, IF(INDIRECT(ADDRESS(ROW() - 2, COLUMN())) = 13, 236.47,0)))))))))))))</f>
        <v>#VALUE!</v>
      </c>
      <c r="YZ7" s="88" t="str">
        <f> IF(INDIRECT(ADDRESS(ROW() - 2, COLUMN())) = 1, 72, IF(INDIRECT(ADDRESS(ROW() - 2, COLUMN())) = 2, 77.4, IF(INDIRECT(ADDRESS(ROW() - 2, COLUMN())) = 3, 82.8, IF(INDIRECT(ADDRESS(ROW() - 2, COLUMN())) = 4, 90, IF(INDIRECT(ADDRESS(ROW() - 2, COLUMN())) = 5, 95.3999999999999, IF(INDIRECT(ADDRESS(ROW() - 2, COLUMN())) = 6, 100.8, IF(INDIRECT(ADDRESS(ROW() - 2, COLUMN())) = 7, 108, IF(INDIRECT(ADDRESS(ROW() - 2, COLUMN())) = 8, 115.199999999999, IF(INDIRECT(ADDRESS(ROW() - 2, COLUMN())) = 9, 122.399999999999, IF(INDIRECT(ADDRESS(ROW() - 2, COLUMN())) = 10, 129.6, IF(INDIRECT(ADDRESS(ROW() - 2, COLUMN())) = 11, 136.8, IF(INDIRECT(ADDRESS(ROW() - 2, COLUMN())) = 12, 144, IF(INDIRECT(ADDRESS(ROW() - 2, COLUMN())) = 13, 153,0)))))))))))))</f>
        <v>#VALUE!</v>
      </c>
      <c r="ZA7" s="88" t="str">
        <f> IF(INDIRECT(ADDRESS(ROW() - 2, COLUMN())) = 1, 88, IF(INDIRECT(ADDRESS(ROW() - 2, COLUMN())) = 2, 94.6, IF(INDIRECT(ADDRESS(ROW() - 2, COLUMN())) = 3, 101.2, IF(INDIRECT(ADDRESS(ROW() - 2, COLUMN())) = 4, 110, IF(INDIRECT(ADDRESS(ROW() - 2, COLUMN())) = 5, 116.6, IF(INDIRECT(ADDRESS(ROW() - 2, COLUMN())) = 6, 123.2, IF(INDIRECT(ADDRESS(ROW() - 2, COLUMN())) = 7, 132, IF(INDIRECT(ADDRESS(ROW() - 2, COLUMN())) = 8, 140.799999999999, IF(INDIRECT(ADDRESS(ROW() - 2, COLUMN())) = 9, 149.6, IF(INDIRECT(ADDRESS(ROW() - 2, COLUMN())) = 10, 158.4, IF(INDIRECT(ADDRESS(ROW() - 2, COLUMN())) = 11, 167.2, IF(INDIRECT(ADDRESS(ROW() - 2, COLUMN())) = 12, 176, IF(INDIRECT(ADDRESS(ROW() - 2, COLUMN())) = 13, 187,0)))))))))))))</f>
        <v>#VALUE!</v>
      </c>
      <c r="ZB7" s="88" t="str">
        <f> IF(INDIRECT(ADDRESS(ROW() - 2, COLUMN())) = 1, 109.6, IF(INDIRECT(ADDRESS(ROW() - 2, COLUMN())) = 2, 117.82, IF(INDIRECT(ADDRESS(ROW() - 2, COLUMN())) = 3, 126.039999999999, IF(INDIRECT(ADDRESS(ROW() - 2, COLUMN())) = 4, 137, IF(INDIRECT(ADDRESS(ROW() - 2, COLUMN())) = 5, 145.22, IF(INDIRECT(ADDRESS(ROW() - 2, COLUMN())) = 6, 153.44, IF(INDIRECT(ADDRESS(ROW() - 2, COLUMN())) = 7, 164.399999999999, IF(INDIRECT(ADDRESS(ROW() - 2, COLUMN())) = 8, 175.36, IF(INDIRECT(ADDRESS(ROW() - 2, COLUMN())) = 9, 186.32, IF(INDIRECT(ADDRESS(ROW() - 2, COLUMN())) = 10, 197.28, IF(INDIRECT(ADDRESS(ROW() - 2, COLUMN())) = 11, 208.239999999999, IF(INDIRECT(ADDRESS(ROW() - 2, COLUMN())) = 12, 219.2, IF(INDIRECT(ADDRESS(ROW() - 2, COLUMN())) = 13, 232.9,0)))))))))))))</f>
        <v>#VALUE!</v>
      </c>
      <c r="ZC7" s="88" t="str">
        <f> IF(INDIRECT(ADDRESS(ROW() - 2, COLUMN())) = 1, 112, IF(INDIRECT(ADDRESS(ROW() - 2, COLUMN())) = 2, 120.399999999999, IF(INDIRECT(ADDRESS(ROW() - 2, COLUMN())) = 3, 128.8, IF(INDIRECT(ADDRESS(ROW() - 2, COLUMN())) = 4, 140, IF(INDIRECT(ADDRESS(ROW() - 2, COLUMN())) = 5, 148.4, IF(INDIRECT(ADDRESS(ROW() - 2, COLUMN())) = 6, 156.8, IF(INDIRECT(ADDRESS(ROW() - 2, COLUMN())) = 7, 168, IF(INDIRECT(ADDRESS(ROW() - 2, COLUMN())) = 8, 179.2, IF(INDIRECT(ADDRESS(ROW() - 2, COLUMN())) = 9, 190.399999999999, IF(INDIRECT(ADDRESS(ROW() - 2, COLUMN())) = 10, 201.6, IF(INDIRECT(ADDRESS(ROW() - 2, COLUMN())) = 11, 212.8, IF(INDIRECT(ADDRESS(ROW() - 2, COLUMN())) = 12, 224, IF(INDIRECT(ADDRESS(ROW() - 2, COLUMN())) = 13, 238,0)))))))))))))</f>
        <v>#VALUE!</v>
      </c>
      <c r="ZD7" s="88" t="str">
        <f> IF(INDIRECT(ADDRESS(ROW() - 2, COLUMN())) = 1, 27.544, IF(INDIRECT(ADDRESS(ROW() - 2, COLUMN())) = 2, 29.4219999999999, IF(INDIRECT(ADDRESS(ROW() - 2, COLUMN())) = 3, 31.3, IF(INDIRECT(ADDRESS(ROW() - 2, COLUMN())) = 4, 33.804, IF(INDIRECT(ADDRESS(ROW() - 2, COLUMN())) = 5, 35.682, IF(INDIRECT(ADDRESS(ROW() - 2, COLUMN())) = 6, 37.873, IF(INDIRECT(ADDRESS(ROW() - 2, COLUMN())) = 7, 40.69, IF(INDIRECT(ADDRESS(ROW() - 2, COLUMN())) = 8, 43.507, IF(INDIRECT(ADDRESS(ROW() - 2, COLUMN())) = 9, 46.324, IF(INDIRECT(ADDRESS(ROW() - 2, COLUMN())) = 10, 49.141, IF(INDIRECT(ADDRESS(ROW() - 2, COLUMN())) = 11, 51.958,0)))))))))))</f>
        <v>#VALUE!</v>
      </c>
      <c r="ZE7" s="88" t="str">
        <f> IF(INDIRECT(ADDRESS(ROW() - 2, COLUMN())) = 1, 56.936, IF(INDIRECT(ADDRESS(ROW() - 2, COLUMN())) = 2, 60.818, IF(INDIRECT(ADDRESS(ROW() - 2, COLUMN())) = 3, 64.7, IF(INDIRECT(ADDRESS(ROW() - 2, COLUMN())) = 4, 69.876, IF(INDIRECT(ADDRESS(ROW() - 2, COLUMN())) = 5, 73.758, IF(INDIRECT(ADDRESS(ROW() - 2, COLUMN())) = 6, 78.2869999999999, IF(INDIRECT(ADDRESS(ROW() - 2, COLUMN())) = 7, 84.11, IF(INDIRECT(ADDRESS(ROW() - 2, COLUMN())) = 8, 89.9329999999999, IF(INDIRECT(ADDRESS(ROW() - 2, COLUMN())) = 9, 95.756, IF(INDIRECT(ADDRESS(ROW() - 2, COLUMN())) = 10, 101.579, IF(INDIRECT(ADDRESS(ROW() - 2, COLUMN())) = 11, 107.402,0)))))))))))</f>
        <v>#VALUE!</v>
      </c>
      <c r="ZF7" s="88" t="str">
        <f> IF(INDIRECT(ADDRESS(ROW() - 2, COLUMN())) = 1, 68.552, IF(INDIRECT(ADDRESS(ROW() - 2, COLUMN())) = 2, 73.226, IF(INDIRECT(ADDRESS(ROW() - 2, COLUMN())) = 3, 77.9, IF(INDIRECT(ADDRESS(ROW() - 2, COLUMN())) = 4, 84.1319999999999, IF(INDIRECT(ADDRESS(ROW() - 2, COLUMN())) = 5, 88.806, IF(INDIRECT(ADDRESS(ROW() - 2, COLUMN())) = 6, 94.259, IF(INDIRECT(ADDRESS(ROW() - 2, COLUMN())) = 7, 101.27, IF(INDIRECT(ADDRESS(ROW() - 2, COLUMN())) = 8, 108.281, IF(INDIRECT(ADDRESS(ROW() - 2, COLUMN())) = 9, 115.292, IF(INDIRECT(ADDRESS(ROW() - 2, COLUMN())) = 10, 122.303, IF(INDIRECT(ADDRESS(ROW() - 2, COLUMN())) = 11, 129.314,0)))))))))))</f>
        <v>#VALUE!</v>
      </c>
      <c r="ZG7" s="88" t="str">
        <f> IF(INDIRECT(ADDRESS(ROW() - 2, COLUMN())) = 1, 37.6639999999999, IF(INDIRECT(ADDRESS(ROW() - 2, COLUMN())) = 2, 40.232, IF(INDIRECT(ADDRESS(ROW() - 2, COLUMN())) = 3, 42.8, IF(INDIRECT(ADDRESS(ROW() - 2, COLUMN())) = 4, 46.224, IF(INDIRECT(ADDRESS(ROW() - 2, COLUMN())) = 5, 48.792, IF(INDIRECT(ADDRESS(ROW() - 2, COLUMN())) = 6, 51.788, IF(INDIRECT(ADDRESS(ROW() - 2, COLUMN())) = 7, 55.64, IF(INDIRECT(ADDRESS(ROW() - 2, COLUMN())) = 8, 59.492, IF(INDIRECT(ADDRESS(ROW() - 2, COLUMN())) = 9, 63.344, IF(INDIRECT(ADDRESS(ROW() - 2, COLUMN())) = 10, 67.196, IF(INDIRECT(ADDRESS(ROW() - 2, COLUMN())) = 11, 71.048,0)))))))))))</f>
        <v>#VALUE!</v>
      </c>
      <c r="ZH7" s="88" t="str">
        <f> IF(INDIRECT(ADDRESS(ROW() - 2, COLUMN())) = 1, 71.544, IF(INDIRECT(ADDRESS(ROW() - 2, COLUMN())) = 2, 76.422, IF(INDIRECT(ADDRESS(ROW() - 2, COLUMN())) = 3, 81.3, IF(INDIRECT(ADDRESS(ROW() - 2, COLUMN())) = 4, 87.804, IF(INDIRECT(ADDRESS(ROW() - 2, COLUMN())) = 5, 92.682, IF(INDIRECT(ADDRESS(ROW() - 2, COLUMN())) = 6, 98.373, IF(INDIRECT(ADDRESS(ROW() - 2, COLUMN())) = 7, 105.69, IF(INDIRECT(ADDRESS(ROW() - 2, COLUMN())) = 8, 113.006999999999, IF(INDIRECT(ADDRESS(ROW() - 2, COLUMN())) = 9, 120.324, IF(INDIRECT(ADDRESS(ROW() - 2, COLUMN())) = 10, 127.641, IF(INDIRECT(ADDRESS(ROW() - 2, COLUMN())) = 11, 134.958,0)))))))))))</f>
        <v>#VALUE!</v>
      </c>
      <c r="ZI7" s="88" t="str">
        <f> IF(INDIRECT(ADDRESS(ROW() - 2, COLUMN())) = 1, 95.832, IF(INDIRECT(ADDRESS(ROW() - 2, COLUMN())) = 2, 102.366, IF(INDIRECT(ADDRESS(ROW() - 2, COLUMN())) = 3, 108.899999999999, IF(INDIRECT(ADDRESS(ROW() - 2, COLUMN())) = 4, 117.612, IF(INDIRECT(ADDRESS(ROW() - 2, COLUMN())) = 5, 124.146, IF(INDIRECT(ADDRESS(ROW() - 2, COLUMN())) = 6, 131.769, IF(INDIRECT(ADDRESS(ROW() - 2, COLUMN())) = 7, 141.57, IF(INDIRECT(ADDRESS(ROW() - 2, COLUMN())) = 8, 151.371, IF(INDIRECT(ADDRESS(ROW() - 2, COLUMN())) = 9, 161.172, IF(INDIRECT(ADDRESS(ROW() - 2, COLUMN())) = 10, 170.972999999999, IF(INDIRECT(ADDRESS(ROW() - 2, COLUMN())) = 11, 180.774,0)))))))))))</f>
        <v>#VALUE!</v>
      </c>
      <c r="ZJ7" s="88" t="str">
        <f> IF(INDIRECT(ADDRESS(ROW() - 2, COLUMN())) = 1, 121.088, IF(INDIRECT(ADDRESS(ROW() - 2, COLUMN())) = 2, 129.344, IF(INDIRECT(ADDRESS(ROW() - 2, COLUMN())) = 3, 137.6, IF(INDIRECT(ADDRESS(ROW() - 2, COLUMN())) = 4, 148.608, IF(INDIRECT(ADDRESS(ROW() - 2, COLUMN())) = 5, 156.864, IF(INDIRECT(ADDRESS(ROW() - 2, COLUMN())) = 6, 166.496, IF(INDIRECT(ADDRESS(ROW() - 2, COLUMN())) = 7, 178.88, IF(INDIRECT(ADDRESS(ROW() - 2, COLUMN())) = 8, 191.263999999999, IF(INDIRECT(ADDRESS(ROW() - 2, COLUMN())) = 9, 203.648, IF(INDIRECT(ADDRESS(ROW() - 2, COLUMN())) = 10, 216.032, IF(INDIRECT(ADDRESS(ROW() - 2, COLUMN())) = 11, 228.416,0)))))))))))</f>
        <v>#VALUE!</v>
      </c>
      <c r="ZK7" s="88" t="str">
        <f> IF(INDIRECT(ADDRESS(ROW() - 2, COLUMN())) = 1, 81.8335, IF(INDIRECT(ADDRESS(ROW() - 2, COLUMN())) = 2, 88.4943, IF(INDIRECT(ADDRESS(ROW() - 2, COLUMN())) = 3, 95.1552, IF(INDIRECT(ADDRESS(ROW() - 2, COLUMN())) = 4, 104.6707, IF(INDIRECT(ADDRESS(ROW() - 2, COLUMN())) = 5, 111.3316, IF(INDIRECT(ADDRESS(ROW() - 2, COLUMN())) = 6, 118.944, IF(INDIRECT(ADDRESS(ROW() - 2, COLUMN())) = 7, 129.4111, IF(INDIRECT(ADDRESS(ROW() - 2, COLUMN())) = 8, 139.8781, IF(INDIRECT(ADDRESS(ROW() - 2, COLUMN())) = 9, 150.3452, IF(INDIRECT(ADDRESS(ROW() - 2, COLUMN())) = 10, 161.7638, IF(INDIRECT(ADDRESS(ROW() - 2, COLUMN())) = 11, 173.1825,0)))))))))))</f>
        <v>#VALUE!</v>
      </c>
      <c r="ZL7" s="88" t="str">
        <f> IF(INDIRECT(ADDRESS(ROW() - 2, COLUMN())) = 1, 163.6323, IF(INDIRECT(ADDRESS(ROW() - 2, COLUMN())) = 2, 176.9512, IF(INDIRECT(ADDRESS(ROW() - 2, COLUMN())) = 3, 190.270099999999, IF(INDIRECT(ADDRESS(ROW() - 2, COLUMN())) = 4, 209.2971, IF(INDIRECT(ADDRESS(ROW() - 2, COLUMN())) = 5, 222.616, IF(INDIRECT(ADDRESS(ROW() - 2, COLUMN())) = 6, 237.837599999999, IF(INDIRECT(ADDRESS(ROW() - 2, COLUMN())) = 7, 258.7673, IF(INDIRECT(ADDRESS(ROW() - 2, COLUMN())) = 8, 279.697, IF(INDIRECT(ADDRESS(ROW() - 2, COLUMN())) = 9, 300.626699999999, IF(INDIRECT(ADDRESS(ROW() - 2, COLUMN())) = 10, 323.4591, IF(INDIRECT(ADDRESS(ROW() - 2, COLUMN())) = 11, 346.2915,0)))))))))))</f>
        <v>#VALUE!</v>
      </c>
      <c r="ZM7" s="88" t="str">
        <f> IF(INDIRECT(ADDRESS(ROW() - 2, COLUMN())) = 1, 204.3855, IF(INDIRECT(ADDRESS(ROW() - 2, COLUMN())) = 2, 221.0216, IF(INDIRECT(ADDRESS(ROW() - 2, COLUMN())) = 3, 237.6576, IF(INDIRECT(ADDRESS(ROW() - 2, COLUMN())) = 4, 261.4234, IF(INDIRECT(ADDRESS(ROW() - 2, COLUMN())) = 5, 278.0594, IF(INDIRECT(ADDRESS(ROW() - 2, COLUMN())) = 6, 297.072, IF(INDIRECT(ADDRESS(ROW() - 2, COLUMN())) = 7, 323.2143, IF(INDIRECT(ADDRESS(ROW() - 2, COLUMN())) = 8, 349.3567, IF(INDIRECT(ADDRESS(ROW() - 2, COLUMN())) = 9, 375.498999999999, IF(INDIRECT(ADDRESS(ROW() - 2, COLUMN())) = 10, 404.0179, IF(INDIRECT(ADDRESS(ROW() - 2, COLUMN())) = 11, 432.5368,0)))))))))))</f>
        <v>#VALUE!</v>
      </c>
      <c r="ZN7" s="88" t="str">
        <f> IF(INDIRECT(ADDRESS(ROW() - 2, COLUMN())) = 1, 252.8, IF(INDIRECT(ADDRESS(ROW() - 2, COLUMN())) = 2, 271.76, IF(INDIRECT(ADDRESS(ROW() - 2, COLUMN())) = 3, 290.72, IF(INDIRECT(ADDRESS(ROW() - 2, COLUMN())) = 4, 316, IF(INDIRECT(ADDRESS(ROW() - 2, COLUMN())) = 5, 334.96, IF(INDIRECT(ADDRESS(ROW() - 2, COLUMN())) = 6, 353.92, IF(INDIRECT(ADDRESS(ROW() - 2, COLUMN())) = 7, 379.2, IF(INDIRECT(ADDRESS(ROW() - 2, COLUMN())) = 8, 404.48, IF(INDIRECT(ADDRESS(ROW() - 2, COLUMN())) = 9, 429.76, IF(INDIRECT(ADDRESS(ROW() - 2, COLUMN())) = 10, 455.039999999999, IF(INDIRECT(ADDRESS(ROW() - 2, COLUMN())) = 11, 480.32, IF(INDIRECT(ADDRESS(ROW() - 2, COLUMN())) = 12, 505.6, IF(INDIRECT(ADDRESS(ROW() - 2, COLUMN())) = 13, 537.2,0)))))))))))))</f>
        <v>#VALUE!</v>
      </c>
      <c r="ZO7" s="88" t="str">
        <f> IF(INDIRECT(ADDRESS(ROW() - 2, COLUMN())) = 1, 46.6119999999999, IF(INDIRECT(ADDRESS(ROW() - 2, COLUMN())) = 2, 50.4059999999999, IF(INDIRECT(ADDRESS(ROW() - 2, COLUMN())) = 3, 54.2, IF(INDIRECT(ADDRESS(ROW() - 2, COLUMN())) = 4, 59.62, IF(INDIRECT(ADDRESS(ROW() - 2, COLUMN())) = 5, 63.414, IF(INDIRECT(ADDRESS(ROW() - 2, COLUMN())) = 6, 67.75, IF(INDIRECT(ADDRESS(ROW() - 2, COLUMN())) = 7, 73.712, IF(INDIRECT(ADDRESS(ROW() - 2, COLUMN())) = 8, 79.674, IF(INDIRECT(ADDRESS(ROW() - 2, COLUMN())) = 9, 85.636, IF(INDIRECT(ADDRESS(ROW() - 2, COLUMN())) = 10, 92.14, IF(INDIRECT(ADDRESS(ROW() - 2, COLUMN())) = 11, 99.5925,0)))))))))))</f>
        <v>#VALUE!</v>
      </c>
      <c r="ZP7" s="88" t="str">
        <f> IF(INDIRECT(ADDRESS(ROW() - 2, COLUMN())) = 1, 47.644, IF(INDIRECT(ADDRESS(ROW() - 2, COLUMN())) = 2, 51.522, IF(INDIRECT(ADDRESS(ROW() - 2, COLUMN())) = 3, 55.4, IF(INDIRECT(ADDRESS(ROW() - 2, COLUMN())) = 4, 60.94, IF(INDIRECT(ADDRESS(ROW() - 2, COLUMN())) = 5, 64.818, IF(INDIRECT(ADDRESS(ROW() - 2, COLUMN())) = 6, 69.25, IF(INDIRECT(ADDRESS(ROW() - 2, COLUMN())) = 7, 75.344, IF(INDIRECT(ADDRESS(ROW() - 2, COLUMN())) = 8, 81.438, IF(INDIRECT(ADDRESS(ROW() - 2, COLUMN())) = 9, 87.532, IF(INDIRECT(ADDRESS(ROW() - 2, COLUMN())) = 10, 94.1799999999999, IF(INDIRECT(ADDRESS(ROW() - 2, COLUMN())) = 11, 101.7975,0)))))))))))</f>
        <v>#VALUE!</v>
      </c>
      <c r="ZQ7" s="88" t="str">
        <f> IF(INDIRECT(ADDRESS(ROW() - 2, COLUMN())) = 1, 28.552, IF(INDIRECT(ADDRESS(ROW() - 2, COLUMN())) = 2, 30.8759999999999, IF(INDIRECT(ADDRESS(ROW() - 2, COLUMN())) = 3, 33.2, IF(INDIRECT(ADDRESS(ROW() - 2, COLUMN())) = 4, 36.52, IF(INDIRECT(ADDRESS(ROW() - 2, COLUMN())) = 5, 38.844, IF(INDIRECT(ADDRESS(ROW() - 2, COLUMN())) = 6, 41.5, IF(INDIRECT(ADDRESS(ROW() - 2, COLUMN())) = 7, 45.152, IF(INDIRECT(ADDRESS(ROW() - 2, COLUMN())) = 8, 48.8039999999999, IF(INDIRECT(ADDRESS(ROW() - 2, COLUMN())) = 9, 52.456, IF(INDIRECT(ADDRESS(ROW() - 2, COLUMN())) = 10, 56.44, IF(INDIRECT(ADDRESS(ROW() - 2, COLUMN())) = 11, 61.0049999999999,0)))))))))))</f>
        <v>#VALUE!</v>
      </c>
      <c r="ZR7" s="88" t="str">
        <f> IF(INDIRECT(ADDRESS(ROW() - 2, COLUMN())) = 1, 55.986, IF(INDIRECT(ADDRESS(ROW() - 2, COLUMN())) = 2, 60.543, IF(INDIRECT(ADDRESS(ROW() - 2, COLUMN())) = 3, 65.1, IF(INDIRECT(ADDRESS(ROW() - 2, COLUMN())) = 4, 71.61, IF(INDIRECT(ADDRESS(ROW() - 2, COLUMN())) = 5, 76.167, IF(INDIRECT(ADDRESS(ROW() - 2, COLUMN())) = 6, 81.375, IF(INDIRECT(ADDRESS(ROW() - 2, COLUMN())) = 7, 88.536, IF(INDIRECT(ADDRESS(ROW() - 2, COLUMN())) = 8, 95.697, IF(INDIRECT(ADDRESS(ROW() - 2, COLUMN())) = 9, 102.858, IF(INDIRECT(ADDRESS(ROW() - 2, COLUMN())) = 10, 110.67, IF(INDIRECT(ADDRESS(ROW() - 2, COLUMN())) = 11, 119.6212,0)))))))))))</f>
        <v>#VALUE!</v>
      </c>
      <c r="ZS7" s="88" t="str">
        <f> IF(INDIRECT(ADDRESS(ROW() - 2, COLUMN())) = 1, 35.862, IF(INDIRECT(ADDRESS(ROW() - 2, COLUMN())) = 2, 38.781, IF(INDIRECT(ADDRESS(ROW() - 2, COLUMN())) = 3, 41.6999999999999, IF(INDIRECT(ADDRESS(ROW() - 2, COLUMN())) = 4, 45.87, IF(INDIRECT(ADDRESS(ROW() - 2, COLUMN())) = 5, 48.789, IF(INDIRECT(ADDRESS(ROW() - 2, COLUMN())) = 6, 52.125, IF(INDIRECT(ADDRESS(ROW() - 2, COLUMN())) = 7, 56.7119999999999, IF(INDIRECT(ADDRESS(ROW() - 2, COLUMN())) = 8, 61.299, IF(INDIRECT(ADDRESS(ROW() - 2, COLUMN())) = 9, 65.886, IF(INDIRECT(ADDRESS(ROW() - 2, COLUMN())) = 10, 70.89, IF(INDIRECT(ADDRESS(ROW() - 2, COLUMN())) = 11, 76.6237,0)))))))))))</f>
        <v>#VALUE!</v>
      </c>
      <c r="ZT7" s="88" t="str">
        <f> IF(INDIRECT(ADDRESS(ROW() - 2, COLUMN())) = 1, 47.3, IF(INDIRECT(ADDRESS(ROW() - 2, COLUMN())) = 2, 51.15, IF(INDIRECT(ADDRESS(ROW() - 2, COLUMN())) = 3, 55, IF(INDIRECT(ADDRESS(ROW() - 2, COLUMN())) = 4, 60.5, IF(INDIRECT(ADDRESS(ROW() - 2, COLUMN())) = 5, 64.35, IF(INDIRECT(ADDRESS(ROW() - 2, COLUMN())) = 6, 68.75, IF(INDIRECT(ADDRESS(ROW() - 2, COLUMN())) = 7, 74.8, IF(INDIRECT(ADDRESS(ROW() - 2, COLUMN())) = 8, 80.85, IF(INDIRECT(ADDRESS(ROW() - 2, COLUMN())) = 9, 86.9, IF(INDIRECT(ADDRESS(ROW() - 2, COLUMN())) = 10, 93.5, IF(INDIRECT(ADDRESS(ROW() - 2, COLUMN())) = 11, 101.0625,0)))))))))))</f>
        <v>#VALUE!</v>
      </c>
      <c r="ZU7" s="88" t="str">
        <f> IF(INDIRECT(ADDRESS(ROW() - 2, COLUMN())) = 1, 56.1579999999999, IF(INDIRECT(ADDRESS(ROW() - 2, COLUMN())) = 2, 60.729, IF(INDIRECT(ADDRESS(ROW() - 2, COLUMN())) = 3, 65.3, IF(INDIRECT(ADDRESS(ROW() - 2, COLUMN())) = 4, 71.83, IF(INDIRECT(ADDRESS(ROW() - 2, COLUMN())) = 5, 76.401, IF(INDIRECT(ADDRESS(ROW() - 2, COLUMN())) = 6, 81.625, IF(INDIRECT(ADDRESS(ROW() - 2, COLUMN())) = 7, 88.8079999999999, IF(INDIRECT(ADDRESS(ROW() - 2, COLUMN())) = 8, 95.991, IF(INDIRECT(ADDRESS(ROW() - 2, COLUMN())) = 9, 103.174, IF(INDIRECT(ADDRESS(ROW() - 2, COLUMN())) = 10, 111.01, IF(INDIRECT(ADDRESS(ROW() - 2, COLUMN())) = 11, 119.9887,0)))))))))))</f>
        <v>#VALUE!</v>
      </c>
      <c r="ZV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ZW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ZX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ZY7" s="88" t="str">
        <f> IF(INDIRECT(ADDRESS(ROW() - 2, COLUMN())) = 1, 168, IF(INDIRECT(ADDRESS(ROW() - 2, COLUMN())) = 2, 180.6, IF(INDIRECT(ADDRESS(ROW() - 2, COLUMN())) = 3, 193.2, IF(INDIRECT(ADDRESS(ROW() - 2, COLUMN())) = 4, 210, IF(INDIRECT(ADDRESS(ROW() - 2, COLUMN())) = 5, 222.6, IF(INDIRECT(ADDRESS(ROW() - 2, COLUMN())) = 6, 235.2, IF(INDIRECT(ADDRESS(ROW() - 2, COLUMN())) = 7, 252, IF(INDIRECT(ADDRESS(ROW() - 2, COLUMN())) = 8, 268.8, IF(INDIRECT(ADDRESS(ROW() - 2, COLUMN())) = 9, 285.599999999999, IF(INDIRECT(ADDRESS(ROW() - 2, COLUMN())) = 10, 302.4, IF(INDIRECT(ADDRESS(ROW() - 2, COLUMN())) = 11, 319.2, IF(INDIRECT(ADDRESS(ROW() - 2, COLUMN())) = 12, 336, IF(INDIRECT(ADDRESS(ROW() - 2, COLUMN())) = 13, 357,0)))))))))))))</f>
        <v>#VALUE!</v>
      </c>
      <c r="ZZ7" s="88" t="str">
        <f> IF(INDIRECT(ADDRESS(ROW() - 2, COLUMN())) = 1, 191.2, IF(INDIRECT(ADDRESS(ROW() - 2, COLUMN())) = 2, 205.54, IF(INDIRECT(ADDRESS(ROW() - 2, COLUMN())) = 3, 219.88, IF(INDIRECT(ADDRESS(ROW() - 2, COLUMN())) = 4, 239, IF(INDIRECT(ADDRESS(ROW() - 2, COLUMN())) = 5, 253.339999999999, IF(INDIRECT(ADDRESS(ROW() - 2, COLUMN())) = 6, 267.68, IF(INDIRECT(ADDRESS(ROW() - 2, COLUMN())) = 7, 286.8, IF(INDIRECT(ADDRESS(ROW() - 2, COLUMN())) = 8, 305.92, IF(INDIRECT(ADDRESS(ROW() - 2, COLUMN())) = 9, 325.04, IF(INDIRECT(ADDRESS(ROW() - 2, COLUMN())) = 10, 344.16, IF(INDIRECT(ADDRESS(ROW() - 2, COLUMN())) = 11, 363.28, IF(INDIRECT(ADDRESS(ROW() - 2, COLUMN())) = 12, 382.4, IF(INDIRECT(ADDRESS(ROW() - 2, COLUMN())) = 13, 406.299999999999,0)))))))))))))</f>
        <v>#VALUE!</v>
      </c>
      <c r="AAA7" s="88" t="str">
        <f> IF(INDIRECT(ADDRESS(ROW() - 2, COLUMN())) = 1, 54.272, IF(INDIRECT(ADDRESS(ROW() - 2, COLUMN())) = 2, 58.3424, IF(INDIRECT(ADDRESS(ROW() - 2, COLUMN())) = 3, 62.4128, IF(INDIRECT(ADDRESS(ROW() - 2, COLUMN())) = 4, 67.84, IF(INDIRECT(ADDRESS(ROW() - 2, COLUMN())) = 5, 71.9104, IF(INDIRECT(ADDRESS(ROW() - 2, COLUMN())) = 6, 75.9808, IF(INDIRECT(ADDRESS(ROW() - 2, COLUMN())) = 7, 81.408, IF(INDIRECT(ADDRESS(ROW() - 2, COLUMN())) = 8, 86.8352, IF(INDIRECT(ADDRESS(ROW() - 2, COLUMN())) = 9, 92.2624, IF(INDIRECT(ADDRESS(ROW() - 2, COLUMN())) = 10, 97.6896, IF(INDIRECT(ADDRESS(ROW() - 2, COLUMN())) = 11, 103.1168, IF(INDIRECT(ADDRESS(ROW() - 2, COLUMN())) = 12, 108.544, IF(INDIRECT(ADDRESS(ROW() - 2, COLUMN())) = 13, 115.328,0)))))))))))))</f>
        <v>#VALUE!</v>
      </c>
      <c r="AAB7" s="88" t="str">
        <f> IF(INDIRECT(ADDRESS(ROW() - 2, COLUMN())) = 1, 76.5399999999999, IF(INDIRECT(ADDRESS(ROW() - 2, COLUMN())) = 2, 82.77, IF(INDIRECT(ADDRESS(ROW() - 2, COLUMN())) = 3, 89, IF(INDIRECT(ADDRESS(ROW() - 2, COLUMN())) = 4, 97.8999999999999, IF(INDIRECT(ADDRESS(ROW() - 2, COLUMN())) = 5, 104.13, IF(INDIRECT(ADDRESS(ROW() - 2, COLUMN())) = 6, 111.25, IF(INDIRECT(ADDRESS(ROW() - 2, COLUMN())) = 7, 121.039999999999, IF(INDIRECT(ADDRESS(ROW() - 2, COLUMN())) = 8, 130.83, IF(INDIRECT(ADDRESS(ROW() - 2, COLUMN())) = 9, 140.619999999999, IF(INDIRECT(ADDRESS(ROW() - 2, COLUMN())) = 10, 151.299999999999, IF(INDIRECT(ADDRESS(ROW() - 2, COLUMN())) = 11, 161.98,0)))))))))))</f>
        <v>#VALUE!</v>
      </c>
      <c r="AAC7" s="88" t="str">
        <f> IF(INDIRECT(ADDRESS(ROW() - 2, COLUMN())) = 1, 73.96, IF(INDIRECT(ADDRESS(ROW() - 2, COLUMN())) = 2, 79.9799999999999, IF(INDIRECT(ADDRESS(ROW() - 2, COLUMN())) = 3, 86, IF(INDIRECT(ADDRESS(ROW() - 2, COLUMN())) = 4, 94.6, IF(INDIRECT(ADDRESS(ROW() - 2, COLUMN())) = 5, 100.62, IF(INDIRECT(ADDRESS(ROW() - 2, COLUMN())) = 6, 107.5, IF(INDIRECT(ADDRESS(ROW() - 2, COLUMN())) = 7, 116.96, IF(INDIRECT(ADDRESS(ROW() - 2, COLUMN())) = 8, 126.42, IF(INDIRECT(ADDRESS(ROW() - 2, COLUMN())) = 9, 135.88, IF(INDIRECT(ADDRESS(ROW() - 2, COLUMN())) = 10, 146.2, IF(INDIRECT(ADDRESS(ROW() - 2, COLUMN())) = 11, 156.519999999999,0)))))))))))</f>
        <v>#VALUE!</v>
      </c>
      <c r="AAD7" s="88" t="str">
        <f> IF(INDIRECT(ADDRESS(ROW() - 2, COLUMN())) = 1, 95.46, IF(INDIRECT(ADDRESS(ROW() - 2, COLUMN())) = 2, 103.23, IF(INDIRECT(ADDRESS(ROW() - 2, COLUMN())) = 3, 111, IF(INDIRECT(ADDRESS(ROW() - 2, COLUMN())) = 4, 122.1, IF(INDIRECT(ADDRESS(ROW() - 2, COLUMN())) = 5, 129.87, IF(INDIRECT(ADDRESS(ROW() - 2, COLUMN())) = 6, 138.75, IF(INDIRECT(ADDRESS(ROW() - 2, COLUMN())) = 7, 150.96, IF(INDIRECT(ADDRESS(ROW() - 2, COLUMN())) = 8, 163.17, IF(INDIRECT(ADDRESS(ROW() - 2, COLUMN())) = 9, 175.38, IF(INDIRECT(ADDRESS(ROW() - 2, COLUMN())) = 10, 188.7, IF(INDIRECT(ADDRESS(ROW() - 2, COLUMN())) = 11, 202.02,0)))))))))))</f>
        <v>#VALUE!</v>
      </c>
      <c r="AAE7" s="88" t="str">
        <f> IF(INDIRECT(ADDRESS(ROW() - 2, COLUMN())) = 1, 115.842, IF(INDIRECT(ADDRESS(ROW() - 2, COLUMN())) = 2, 125.271, IF(INDIRECT(ADDRESS(ROW() - 2, COLUMN())) = 3, 134.7, IF(INDIRECT(ADDRESS(ROW() - 2, COLUMN())) = 4, 148.17, IF(INDIRECT(ADDRESS(ROW() - 2, COLUMN())) = 5, 157.599, IF(INDIRECT(ADDRESS(ROW() - 2, COLUMN())) = 6, 168.375, IF(INDIRECT(ADDRESS(ROW() - 2, COLUMN())) = 7, 183.192, IF(INDIRECT(ADDRESS(ROW() - 2, COLUMN())) = 8, 198.009, IF(INDIRECT(ADDRESS(ROW() - 2, COLUMN())) = 9, 212.826, IF(INDIRECT(ADDRESS(ROW() - 2, COLUMN())) = 10, 228.989999999999, IF(INDIRECT(ADDRESS(ROW() - 2, COLUMN())) = 11, 245.154,0)))))))))))</f>
        <v>#VALUE!</v>
      </c>
      <c r="AAF7" s="88" t="str">
        <f> IF(INDIRECT(ADDRESS(ROW() - 2, COLUMN())) = 1, 62.5455, IF(INDIRECT(ADDRESS(ROW() - 2, COLUMN())) = 2, 67.6364, IF(INDIRECT(ADDRESS(ROW() - 2, COLUMN())) = 3, 72.7273, IF(INDIRECT(ADDRESS(ROW() - 2, COLUMN())) = 4, 80, IF(INDIRECT(ADDRESS(ROW() - 2, COLUMN())) = 5, 85.0909, IF(INDIRECT(ADDRESS(ROW() - 2, COLUMN())) = 6, 90.9091, IF(INDIRECT(ADDRESS(ROW() - 2, COLUMN())) = 7, 98.9091, IF(INDIRECT(ADDRESS(ROW() - 2, COLUMN())) = 8, 106.9091, IF(INDIRECT(ADDRESS(ROW() - 2, COLUMN())) = 9, 114.9091, IF(INDIRECT(ADDRESS(ROW() - 2, COLUMN())) = 10, 123.6364, IF(INDIRECT(ADDRESS(ROW() - 2, COLUMN())) = 11, 132.3636,0)))))))))))</f>
        <v>#VALUE!</v>
      </c>
      <c r="AAG7" s="88" t="str">
        <f> IF(INDIRECT(ADDRESS(ROW() - 2, COLUMN())) = 1, 113.09, IF(INDIRECT(ADDRESS(ROW() - 2, COLUMN())) = 2, 122.295, IF(INDIRECT(ADDRESS(ROW() - 2, COLUMN())) = 3, 131.5, IF(INDIRECT(ADDRESS(ROW() - 2, COLUMN())) = 4, 144.649999999999, IF(INDIRECT(ADDRESS(ROW() - 2, COLUMN())) = 5, 153.855, IF(INDIRECT(ADDRESS(ROW() - 2, COLUMN())) = 6, 164.375, IF(INDIRECT(ADDRESS(ROW() - 2, COLUMN())) = 7, 178.84, IF(INDIRECT(ADDRESS(ROW() - 2, COLUMN())) = 8, 193.305, IF(INDIRECT(ADDRESS(ROW() - 2, COLUMN())) = 9, 207.77, IF(INDIRECT(ADDRESS(ROW() - 2, COLUMN())) = 10, 223.55, IF(INDIRECT(ADDRESS(ROW() - 2, COLUMN())) = 11, 239.329999999999,0)))))))))))</f>
        <v>#VALUE!</v>
      </c>
      <c r="AAH7" s="88" t="str">
        <f> IF(INDIRECT(ADDRESS(ROW() - 2, COLUMN())) = 1, 74.5878, IF(INDIRECT(ADDRESS(ROW() - 2, COLUMN())) = 2, 80.6589, IF(INDIRECT(ADDRESS(ROW() - 2, COLUMN())) = 3, 86.7299999999999, IF(INDIRECT(ADDRESS(ROW() - 2, COLUMN())) = 4, 95.403, IF(INDIRECT(ADDRESS(ROW() - 2, COLUMN())) = 5, 101.474099999999, IF(INDIRECT(ADDRESS(ROW() - 2, COLUMN())) = 6, 108.4125, IF(INDIRECT(ADDRESS(ROW() - 2, COLUMN())) = 7, 117.9528, IF(INDIRECT(ADDRESS(ROW() - 2, COLUMN())) = 8, 127.4931, IF(INDIRECT(ADDRESS(ROW() - 2, COLUMN())) = 9, 137.0334, IF(INDIRECT(ADDRESS(ROW() - 2, COLUMN())) = 10, 147.441, IF(INDIRECT(ADDRESS(ROW() - 2, COLUMN())) = 11, 157.8486,0)))))))))))</f>
        <v>#VALUE!</v>
      </c>
      <c r="AAI7" s="88" t="str">
        <f> IF(INDIRECT(ADDRESS(ROW() - 2, COLUMN())) = 1, 149.144, IF(INDIRECT(ADDRESS(ROW() - 2, COLUMN())) = 2, 161.2836, IF(INDIRECT(ADDRESS(ROW() - 2, COLUMN())) = 3, 173.423299999999, IF(INDIRECT(ADDRESS(ROW() - 2, COLUMN())) = 4, 190.7656, IF(INDIRECT(ADDRESS(ROW() - 2, COLUMN())) = 5, 202.9052, IF(INDIRECT(ADDRESS(ROW() - 2, COLUMN())) = 6, 216.779099999999, IF(INDIRECT(ADDRESS(ROW() - 2, COLUMN())) = 7, 235.8556, IF(INDIRECT(ADDRESS(ROW() - 2, COLUMN())) = 8, 254.9322, IF(INDIRECT(ADDRESS(ROW() - 2, COLUMN())) = 9, 274.0087, IF(INDIRECT(ADDRESS(ROW() - 2, COLUMN())) = 10, 294.8195, IF(INDIRECT(ADDRESS(ROW() - 2, COLUMN())) = 11, 315.6303,0)))))))))))</f>
        <v>#VALUE!</v>
      </c>
      <c r="AAJ7" s="88" t="str">
        <f> IF(INDIRECT(ADDRESS(ROW() - 2, COLUMN())) = 1, 186.2889, IF(INDIRECT(ADDRESS(ROW() - 2, COLUMN())) = 2, 201.452, IF(INDIRECT(ADDRESS(ROW() - 2, COLUMN())) = 3, 216.615, IF(INDIRECT(ADDRESS(ROW() - 2, COLUMN())) = 4, 238.2765, IF(INDIRECT(ADDRESS(ROW() - 2, COLUMN())) = 5, 253.4396, IF(INDIRECT(ADDRESS(ROW() - 2, COLUMN())) = 6, 270.7688, IF(INDIRECT(ADDRESS(ROW() - 2, COLUMN())) = 7, 294.5964, IF(INDIRECT(ADDRESS(ROW() - 2, COLUMN())) = 8, 318.4241, IF(INDIRECT(ADDRESS(ROW() - 2, COLUMN())) = 9, 342.2517, IF(INDIRECT(ADDRESS(ROW() - 2, COLUMN())) = 10, 368.2455, IF(INDIRECT(ADDRESS(ROW() - 2, COLUMN())) = 11, 394.2393,0)))))))))))</f>
        <v>#VALUE!</v>
      </c>
      <c r="AAK7" s="88" t="str">
        <f> IF(INDIRECT(ADDRESS(ROW() - 2, COLUMN())) = 1, 169.6, IF(INDIRECT(ADDRESS(ROW() - 2, COLUMN())) = 2, 182.32, IF(INDIRECT(ADDRESS(ROW() - 2, COLUMN())) = 3, 195.04, IF(INDIRECT(ADDRESS(ROW() - 2, COLUMN())) = 4, 212, IF(INDIRECT(ADDRESS(ROW() - 2, COLUMN())) = 5, 224.72, IF(INDIRECT(ADDRESS(ROW() - 2, COLUMN())) = 6, 237.44, IF(INDIRECT(ADDRESS(ROW() - 2, COLUMN())) = 7, 254.4, IF(INDIRECT(ADDRESS(ROW() - 2, COLUMN())) = 8, 271.36, IF(INDIRECT(ADDRESS(ROW() - 2, COLUMN())) = 9, 288.32, IF(INDIRECT(ADDRESS(ROW() - 2, COLUMN())) = 10, 305.28, IF(INDIRECT(ADDRESS(ROW() - 2, COLUMN())) = 11, 322.24, IF(INDIRECT(ADDRESS(ROW() - 2, COLUMN())) = 12, 339.2, IF(INDIRECT(ADDRESS(ROW() - 2, COLUMN())) = 13, 360.4,0)))))))))))))</f>
        <v>#VALUE!</v>
      </c>
      <c r="AAL7" s="88" t="str">
        <f> IF(INDIRECT(ADDRESS(ROW() - 2, COLUMN())) = 1, 33.6, IF(INDIRECT(ADDRESS(ROW() - 2, COLUMN())) = 2, 36.12, IF(INDIRECT(ADDRESS(ROW() - 2, COLUMN())) = 3, 38.64, IF(INDIRECT(ADDRESS(ROW() - 2, COLUMN())) = 4, 42, IF(INDIRECT(ADDRESS(ROW() - 2, COLUMN())) = 5, 44.5199999999999, IF(INDIRECT(ADDRESS(ROW() - 2, COLUMN())) = 6, 47.04, IF(INDIRECT(ADDRESS(ROW() - 2, COLUMN())) = 7, 50.4, IF(INDIRECT(ADDRESS(ROW() - 2, COLUMN())) = 8, 53.76, IF(INDIRECT(ADDRESS(ROW() - 2, COLUMN())) = 9, 57.12, IF(INDIRECT(ADDRESS(ROW() - 2, COLUMN())) = 10, 60.48, IF(INDIRECT(ADDRESS(ROW() - 2, COLUMN())) = 11, 63.8399999999999, IF(INDIRECT(ADDRESS(ROW() - 2, COLUMN())) = 12, 67.2, IF(INDIRECT(ADDRESS(ROW() - 2, COLUMN())) = 13, 71.3999999999999,0)))))))))))))</f>
        <v>#VALUE!</v>
      </c>
      <c r="AAM7" s="88" t="str">
        <f> IF(INDIRECT(ADDRESS(ROW() - 2, COLUMN())) = 1, 340.8, IF(INDIRECT(ADDRESS(ROW() - 2, COLUMN())) = 2, 366.36, IF(INDIRECT(ADDRESS(ROW() - 2, COLUMN())) = 3, 391.92, IF(INDIRECT(ADDRESS(ROW() - 2, COLUMN())) = 4, 426, IF(INDIRECT(ADDRESS(ROW() - 2, COLUMN())) = 5, 451.56, IF(INDIRECT(ADDRESS(ROW() - 2, COLUMN())) = 6, 477.12, IF(INDIRECT(ADDRESS(ROW() - 2, COLUMN())) = 7, 511.2, IF(INDIRECT(ADDRESS(ROW() - 2, COLUMN())) = 8, 545.28, IF(INDIRECT(ADDRESS(ROW() - 2, COLUMN())) = 9, 579.36, IF(INDIRECT(ADDRESS(ROW() - 2, COLUMN())) = 10, 613.44, IF(INDIRECT(ADDRESS(ROW() - 2, COLUMN())) = 11, 647.52, IF(INDIRECT(ADDRESS(ROW() - 2, COLUMN())) = 12, 681.6, IF(INDIRECT(ADDRESS(ROW() - 2, COLUMN())) = 13, 724.2,0)))))))))))))</f>
        <v>#VALUE!</v>
      </c>
      <c r="AAN7" s="88" t="str">
        <f> IF(INDIRECT(ADDRESS(ROW() - 2, COLUMN())) = 1, 40, IF(INDIRECT(ADDRESS(ROW() - 2, COLUMN())) = 2, 43, IF(INDIRECT(ADDRESS(ROW() - 2, COLUMN())) = 3, 46, IF(INDIRECT(ADDRESS(ROW() - 2, COLUMN())) = 4, 50, IF(INDIRECT(ADDRESS(ROW() - 2, COLUMN())) = 5, 53, IF(INDIRECT(ADDRESS(ROW() - 2, COLUMN())) = 6, 56, IF(INDIRECT(ADDRESS(ROW() - 2, COLUMN())) = 7, 60, IF(INDIRECT(ADDRESS(ROW() - 2, COLUMN())) = 8, 64, IF(INDIRECT(ADDRESS(ROW() - 2, COLUMN())) = 9, 68, IF(INDIRECT(ADDRESS(ROW() - 2, COLUMN())) = 10, 72, IF(INDIRECT(ADDRESS(ROW() - 2, COLUMN())) = 11, 76, IF(INDIRECT(ADDRESS(ROW() - 2, COLUMN())) = 12, 80, IF(INDIRECT(ADDRESS(ROW() - 2, COLUMN())) = 13, 85,0)))))))))))))</f>
        <v>#VALUE!</v>
      </c>
      <c r="AAO7" s="88" t="str">
        <f> IF(INDIRECT(ADDRESS(ROW() - 2, COLUMN())) = 1, 39.6584, IF(INDIRECT(ADDRESS(ROW() - 2, COLUMN())) = 2, 42.6327999999999, IF(INDIRECT(ADDRESS(ROW() - 2, COLUMN())) = 3, 45.6072, IF(INDIRECT(ADDRESS(ROW() - 2, COLUMN())) = 4, 49.573, IF(INDIRECT(ADDRESS(ROW() - 2, COLUMN())) = 5, 52.5473999999999, IF(INDIRECT(ADDRESS(ROW() - 2, COLUMN())) = 6, 55.5218, IF(INDIRECT(ADDRESS(ROW() - 2, COLUMN())) = 7, 59.4875999999999, IF(INDIRECT(ADDRESS(ROW() - 2, COLUMN())) = 8, 63.4534, IF(INDIRECT(ADDRESS(ROW() - 2, COLUMN())) = 9, 67.4193, IF(INDIRECT(ADDRESS(ROW() - 2, COLUMN())) = 10, 71.3851, IF(INDIRECT(ADDRESS(ROW() - 2, COLUMN())) = 11, 75.351,0)))))))))))</f>
        <v>#VALUE!</v>
      </c>
      <c r="AAP7" s="88" t="str">
        <f> IF(INDIRECT(ADDRESS(ROW() - 2, COLUMN())) = 1, 38.5192, IF(INDIRECT(ADDRESS(ROW() - 2, COLUMN())) = 2, 41.4081, IF(INDIRECT(ADDRESS(ROW() - 2, COLUMN())) = 3, 44.2971, IF(INDIRECT(ADDRESS(ROW() - 2, COLUMN())) = 4, 48.149, IF(INDIRECT(ADDRESS(ROW() - 2, COLUMN())) = 5, 51.0379, IF(INDIRECT(ADDRESS(ROW() - 2, COLUMN())) = 6, 53.9269, IF(INDIRECT(ADDRESS(ROW() - 2, COLUMN())) = 7, 57.7788, IF(INDIRECT(ADDRESS(ROW() - 2, COLUMN())) = 8, 61.6307, IF(INDIRECT(ADDRESS(ROW() - 2, COLUMN())) = 9, 65.4826, IF(INDIRECT(ADDRESS(ROW() - 2, COLUMN())) = 10, 69.3346, IF(INDIRECT(ADDRESS(ROW() - 2, COLUMN())) = 11, 73.1865,0)))))))))))</f>
        <v>#VALUE!</v>
      </c>
      <c r="AAQ7" s="88" t="str">
        <f> IF(INDIRECT(ADDRESS(ROW() - 2, COLUMN())) = 1, 56.8887999999999, IF(INDIRECT(ADDRESS(ROW() - 2, COLUMN())) = 2, 61.1554999999999, IF(INDIRECT(ADDRESS(ROW() - 2, COLUMN())) = 3, 65.4221, IF(INDIRECT(ADDRESS(ROW() - 2, COLUMN())) = 4, 71.111, IF(INDIRECT(ADDRESS(ROW() - 2, COLUMN())) = 5, 75.3777, IF(INDIRECT(ADDRESS(ROW() - 2, COLUMN())) = 6, 79.6443, IF(INDIRECT(ADDRESS(ROW() - 2, COLUMN())) = 7, 85.3332, IF(INDIRECT(ADDRESS(ROW() - 2, COLUMN())) = 8, 91.0221, IF(INDIRECT(ADDRESS(ROW() - 2, COLUMN())) = 9, 96.711, IF(INDIRECT(ADDRESS(ROW() - 2, COLUMN())) = 10, 102.3998, IF(INDIRECT(ADDRESS(ROW() - 2, COLUMN())) = 11, 108.088699999999,0)))))))))))</f>
        <v>#VALUE!</v>
      </c>
      <c r="AAR7" s="88" t="str">
        <f> IF(INDIRECT(ADDRESS(ROW() - 2, COLUMN())) = 1, 142.8948, IF(INDIRECT(ADDRESS(ROW() - 2, COLUMN())) = 2, 153.612, IF(INDIRECT(ADDRESS(ROW() - 2, COLUMN())) = 3, 164.3291, IF(INDIRECT(ADDRESS(ROW() - 2, COLUMN())) = 4, 178.618499999999, IF(INDIRECT(ADDRESS(ROW() - 2, COLUMN())) = 5, 189.3357, IF(INDIRECT(ADDRESS(ROW() - 2, COLUMN())) = 6, 200.0528, IF(INDIRECT(ADDRESS(ROW() - 2, COLUMN())) = 7, 214.3423, IF(INDIRECT(ADDRESS(ROW() - 2, COLUMN())) = 8, 228.6317, IF(INDIRECT(ADDRESS(ROW() - 2, COLUMN())) = 9, 242.9212, IF(INDIRECT(ADDRESS(ROW() - 2, COLUMN())) = 10, 257.2107, IF(INDIRECT(ADDRESS(ROW() - 2, COLUMN())) = 11, 271.5002,0)))))))))))</f>
        <v>#VALUE!</v>
      </c>
      <c r="AAS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AAT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AAU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AAV7" s="88" t="str">
        <f> IF(INDIRECT(ADDRESS(ROW() - 2, COLUMN())) = 1, 60.672, IF(INDIRECT(ADDRESS(ROW() - 2, COLUMN())) = 2, 65.2224, IF(INDIRECT(ADDRESS(ROW() - 2, COLUMN())) = 3, 69.7728, IF(INDIRECT(ADDRESS(ROW() - 2, COLUMN())) = 4, 75.84, IF(INDIRECT(ADDRESS(ROW() - 2, COLUMN())) = 5, 80.3904, IF(INDIRECT(ADDRESS(ROW() - 2, COLUMN())) = 6, 84.9408, IF(INDIRECT(ADDRESS(ROW() - 2, COLUMN())) = 7, 91.008, IF(INDIRECT(ADDRESS(ROW() - 2, COLUMN())) = 8, 97.0752, IF(INDIRECT(ADDRESS(ROW() - 2, COLUMN())) = 9, 103.1424, IF(INDIRECT(ADDRESS(ROW() - 2, COLUMN())) = 10, 109.2096, IF(INDIRECT(ADDRESS(ROW() - 2, COLUMN())) = 11, 115.2768, IF(INDIRECT(ADDRESS(ROW() - 2, COLUMN())) = 12, 121.344, IF(INDIRECT(ADDRESS(ROW() - 2, COLUMN())) = 13, 128.928,0)))))))))))))</f>
        <v>#VALUE!</v>
      </c>
      <c r="AAW7" s="88" t="str">
        <f> IF(INDIRECT(ADDRESS(ROW() - 2, COLUMN())) = 1, 75.84, IF(INDIRECT(ADDRESS(ROW() - 2, COLUMN())) = 2, 81.528, IF(INDIRECT(ADDRESS(ROW() - 2, COLUMN())) = 3, 87.216, IF(INDIRECT(ADDRESS(ROW() - 2, COLUMN())) = 4, 94.8, IF(INDIRECT(ADDRESS(ROW() - 2, COLUMN())) = 5, 100.488, IF(INDIRECT(ADDRESS(ROW() - 2, COLUMN())) = 6, 106.176, IF(INDIRECT(ADDRESS(ROW() - 2, COLUMN())) = 7, 113.759999999999, IF(INDIRECT(ADDRESS(ROW() - 2, COLUMN())) = 8, 121.344, IF(INDIRECT(ADDRESS(ROW() - 2, COLUMN())) = 9, 128.928, IF(INDIRECT(ADDRESS(ROW() - 2, COLUMN())) = 10, 136.512, IF(INDIRECT(ADDRESS(ROW() - 2, COLUMN())) = 11, 144.096, IF(INDIRECT(ADDRESS(ROW() - 2, COLUMN())) = 12, 151.68, IF(INDIRECT(ADDRESS(ROW() - 2, COLUMN())) = 13, 161.16,0)))))))))))))</f>
        <v>#VALUE!</v>
      </c>
      <c r="AAX7" s="88" t="str">
        <f> IF(INDIRECT(ADDRESS(ROW() - 2, COLUMN())) = 1, 94.8, IF(INDIRECT(ADDRESS(ROW() - 2, COLUMN())) = 2, 101.91, IF(INDIRECT(ADDRESS(ROW() - 2, COLUMN())) = 3, 109.02, IF(INDIRECT(ADDRESS(ROW() - 2, COLUMN())) = 4, 118.5, IF(INDIRECT(ADDRESS(ROW() - 2, COLUMN())) = 5, 125.61, IF(INDIRECT(ADDRESS(ROW() - 2, COLUMN())) = 6, 132.72, IF(INDIRECT(ADDRESS(ROW() - 2, COLUMN())) = 7, 142.2, IF(INDIRECT(ADDRESS(ROW() - 2, COLUMN())) = 8, 151.68, IF(INDIRECT(ADDRESS(ROW() - 2, COLUMN())) = 9, 161.16, IF(INDIRECT(ADDRESS(ROW() - 2, COLUMN())) = 10, 170.64, IF(INDIRECT(ADDRESS(ROW() - 2, COLUMN())) = 11, 180.12, IF(INDIRECT(ADDRESS(ROW() - 2, COLUMN())) = 12, 189.6, IF(INDIRECT(ADDRESS(ROW() - 2, COLUMN())) = 13, 201.45,0)))))))))))))</f>
        <v>#VALUE!</v>
      </c>
      <c r="AAY7" s="88" t="str">
        <f> IF(INDIRECT(ADDRESS(ROW() - 2, COLUMN())) = 1, 260, IF(INDIRECT(ADDRESS(ROW() - 2, COLUMN())) = 2, 279.5, IF(INDIRECT(ADDRESS(ROW() - 2, COLUMN())) = 3, 299, IF(INDIRECT(ADDRESS(ROW() - 2, COLUMN())) = 4, 325, IF(INDIRECT(ADDRESS(ROW() - 2, COLUMN())) = 5, 344.5, IF(INDIRECT(ADDRESS(ROW() - 2, COLUMN())) = 6, 364, IF(INDIRECT(ADDRESS(ROW() - 2, COLUMN())) = 7, 390, IF(INDIRECT(ADDRESS(ROW() - 2, COLUMN())) = 8, 416, IF(INDIRECT(ADDRESS(ROW() - 2, COLUMN())) = 9, 442, IF(INDIRECT(ADDRESS(ROW() - 2, COLUMN())) = 10, 468, IF(INDIRECT(ADDRESS(ROW() - 2, COLUMN())) = 11, 494, IF(INDIRECT(ADDRESS(ROW() - 2, COLUMN())) = 12, 520, IF(INDIRECT(ADDRESS(ROW() - 2, COLUMN())) = 13, 552.5,0)))))))))))))</f>
        <v>#VALUE!</v>
      </c>
      <c r="AAZ7" s="88" t="str">
        <f> IF(INDIRECT(ADDRESS(ROW() - 2, COLUMN())) = 1, 333.816, IF(INDIRECT(ADDRESS(ROW() - 2, COLUMN())) = 2, 358.8522, IF(INDIRECT(ADDRESS(ROW() - 2, COLUMN())) = 3, 383.8884, IF(INDIRECT(ADDRESS(ROW() - 2, COLUMN())) = 4, 417.27, IF(INDIRECT(ADDRESS(ROW() - 2, COLUMN())) = 5, 442.3062, IF(INDIRECT(ADDRESS(ROW() - 2, COLUMN())) = 6, 467.3424, IF(INDIRECT(ADDRESS(ROW() - 2, COLUMN())) = 7, 500.724, IF(INDIRECT(ADDRESS(ROW() - 2, COLUMN())) = 8, 534.1056, IF(INDIRECT(ADDRESS(ROW() - 2, COLUMN())) = 9, 567.487199999999, IF(INDIRECT(ADDRESS(ROW() - 2, COLUMN())) = 10, 600.8688, IF(INDIRECT(ADDRESS(ROW() - 2, COLUMN())) = 11, 634.2504, IF(INDIRECT(ADDRESS(ROW() - 2, COLUMN())) = 12, 667.632, IF(INDIRECT(ADDRESS(ROW() - 2, COLUMN())) = 13, 709.359,0)))))))))))))</f>
        <v>#VALUE!</v>
      </c>
      <c r="ABA7" s="88" t="str">
        <f> IF(INDIRECT(ADDRESS(ROW() - 2, COLUMN())) = 1, 58.3416, IF(INDIRECT(ADDRESS(ROW() - 2, COLUMN())) = 2, 62.7172, IF(INDIRECT(ADDRESS(ROW() - 2, COLUMN())) = 3, 67.0928, IF(INDIRECT(ADDRESS(ROW() - 2, COLUMN())) = 4, 72.9269999999999, IF(INDIRECT(ADDRESS(ROW() - 2, COLUMN())) = 5, 77.3026, IF(INDIRECT(ADDRESS(ROW() - 2, COLUMN())) = 6, 81.6782, IF(INDIRECT(ADDRESS(ROW() - 2, COLUMN())) = 7, 87.5124, IF(INDIRECT(ADDRESS(ROW() - 2, COLUMN())) = 8, 93.3466, IF(INDIRECT(ADDRESS(ROW() - 2, COLUMN())) = 9, 99.1807, IF(INDIRECT(ADDRESS(ROW() - 2, COLUMN())) = 10, 105.0149, IF(INDIRECT(ADDRESS(ROW() - 2, COLUMN())) = 11, 110.849,0)))))))))))</f>
        <v>#VALUE!</v>
      </c>
      <c r="ABB7" s="88" t="str">
        <f> IF(INDIRECT(ADDRESS(ROW() - 2, COLUMN())) = 1, 52.1256, IF(INDIRECT(ADDRESS(ROW() - 2, COLUMN())) = 2, 56.035, IF(INDIRECT(ADDRESS(ROW() - 2, COLUMN())) = 3, 59.9443999999999, IF(INDIRECT(ADDRESS(ROW() - 2, COLUMN())) = 4, 65.157, IF(INDIRECT(ADDRESS(ROW() - 2, COLUMN())) = 5, 69.0663999999999, IF(INDIRECT(ADDRESS(ROW() - 2, COLUMN())) = 6, 72.9758, IF(INDIRECT(ADDRESS(ROW() - 2, COLUMN())) = 7, 78.1884, IF(INDIRECT(ADDRESS(ROW() - 2, COLUMN())) = 8, 83.401, IF(INDIRECT(ADDRESS(ROW() - 2, COLUMN())) = 9, 88.6135, IF(INDIRECT(ADDRESS(ROW() - 2, COLUMN())) = 10, 93.8261, IF(INDIRECT(ADDRESS(ROW() - 2, COLUMN())) = 11, 99.0386,0)))))))))))</f>
        <v>#VALUE!</v>
      </c>
      <c r="ABC7" s="88" t="str">
        <f> IF(INDIRECT(ADDRESS(ROW() - 2, COLUMN())) = 1, 76.0128, IF(INDIRECT(ADDRESS(ROW() - 2, COLUMN())) = 2, 81.7138, IF(INDIRECT(ADDRESS(ROW() - 2, COLUMN())) = 3, 87.4147, IF(INDIRECT(ADDRESS(ROW() - 2, COLUMN())) = 4, 95.016, IF(INDIRECT(ADDRESS(ROW() - 2, COLUMN())) = 5, 100.716999999999, IF(INDIRECT(ADDRESS(ROW() - 2, COLUMN())) = 6, 106.4179, IF(INDIRECT(ADDRESS(ROW() - 2, COLUMN())) = 7, 114.0192, IF(INDIRECT(ADDRESS(ROW() - 2, COLUMN())) = 8, 121.620499999999, IF(INDIRECT(ADDRESS(ROW() - 2, COLUMN())) = 9, 129.2218, IF(INDIRECT(ADDRESS(ROW() - 2, COLUMN())) = 10, 136.823, IF(INDIRECT(ADDRESS(ROW() - 2, COLUMN())) = 11, 144.4243,0)))))))))))</f>
        <v>#VALUE!</v>
      </c>
      <c r="ABD7" s="88" t="str">
        <f> IF(INDIRECT(ADDRESS(ROW() - 2, COLUMN())) = 1, 98.2294, IF(INDIRECT(ADDRESS(ROW() - 2, COLUMN())) = 2, 104.1114, IF(INDIRECT(ADDRESS(ROW() - 2, COLUMN())) = 3, 109.9934, IF(INDIRECT(ADDRESS(ROW() - 2, COLUMN())) = 4, 117.639999999999, IF(INDIRECT(ADDRESS(ROW() - 2, COLUMN())) = 5, 123.521999999999, IF(INDIRECT(ADDRESS(ROW() - 2, COLUMN())) = 6, 129.404, IF(INDIRECT(ADDRESS(ROW() - 2, COLUMN())) = 7, 137.0506, IF(INDIRECT(ADDRESS(ROW() - 2, COLUMN())) = 8, 144.697199999999, IF(INDIRECT(ADDRESS(ROW() - 2, COLUMN())) = 9, 152.3438, IF(INDIRECT(ADDRESS(ROW() - 2, COLUMN())) = 10, 159.9904, IF(INDIRECT(ADDRESS(ROW() - 2, COLUMN())) = 11, 167.637,0)))))))))))</f>
        <v>#VALUE!</v>
      </c>
      <c r="ABE7" s="88" t="str">
        <f> IF(INDIRECT(ADDRESS(ROW() - 2, COLUMN())) = 1, 115.564, IF(INDIRECT(ADDRESS(ROW() - 2, COLUMN())) = 2, 122.484, IF(INDIRECT(ADDRESS(ROW() - 2, COLUMN())) = 3, 129.404, IF(INDIRECT(ADDRESS(ROW() - 2, COLUMN())) = 4, 138.399999999999, IF(INDIRECT(ADDRESS(ROW() - 2, COLUMN())) = 5, 145.32, IF(INDIRECT(ADDRESS(ROW() - 2, COLUMN())) = 6, 152.24, IF(INDIRECT(ADDRESS(ROW() - 2, COLUMN())) = 7, 161.236, IF(INDIRECT(ADDRESS(ROW() - 2, COLUMN())) = 8, 170.232, IF(INDIRECT(ADDRESS(ROW() - 2, COLUMN())) = 9, 179.228, IF(INDIRECT(ADDRESS(ROW() - 2, COLUMN())) = 10, 188.224, IF(INDIRECT(ADDRESS(ROW() - 2, COLUMN())) = 11, 197.22,0)))))))))))</f>
        <v>#VALUE!</v>
      </c>
      <c r="ABF7" s="88" t="str">
        <f> IF(INDIRECT(ADDRESS(ROW() - 2, COLUMN())) = 1, 132.8986, IF(INDIRECT(ADDRESS(ROW() - 2, COLUMN())) = 2, 140.8566, IF(INDIRECT(ADDRESS(ROW() - 2, COLUMN())) = 3, 148.814599999999, IF(INDIRECT(ADDRESS(ROW() - 2, COLUMN())) = 4, 159.16, IF(INDIRECT(ADDRESS(ROW() - 2, COLUMN())) = 5, 167.118, IF(INDIRECT(ADDRESS(ROW() - 2, COLUMN())) = 6, 175.076, IF(INDIRECT(ADDRESS(ROW() - 2, COLUMN())) = 7, 185.4214, IF(INDIRECT(ADDRESS(ROW() - 2, COLUMN())) = 8, 195.7668, IF(INDIRECT(ADDRESS(ROW() - 2, COLUMN())) = 9, 206.1122, IF(INDIRECT(ADDRESS(ROW() - 2, COLUMN())) = 10, 216.457599999999, IF(INDIRECT(ADDRESS(ROW() - 2, COLUMN())) = 11, 226.803,0)))))))))))</f>
        <v>#VALUE!</v>
      </c>
      <c r="ABG7" s="88" t="str">
        <f> IF(INDIRECT(ADDRESS(ROW() - 2, COLUMN())) = 1, 150.2332, IF(INDIRECT(ADDRESS(ROW() - 2, COLUMN())) = 2, 159.2292, IF(INDIRECT(ADDRESS(ROW() - 2, COLUMN())) = 3, 168.2252, IF(INDIRECT(ADDRESS(ROW() - 2, COLUMN())) = 4, 179.92, IF(INDIRECT(ADDRESS(ROW() - 2, COLUMN())) = 5, 188.916, IF(INDIRECT(ADDRESS(ROW() - 2, COLUMN())) = 6, 197.912, IF(INDIRECT(ADDRESS(ROW() - 2, COLUMN())) = 7, 209.6068, IF(INDIRECT(ADDRESS(ROW() - 2, COLUMN())) = 8, 221.3016, IF(INDIRECT(ADDRESS(ROW() - 2, COLUMN())) = 9, 232.9964, IF(INDIRECT(ADDRESS(ROW() - 2, COLUMN())) = 10, 244.6912, IF(INDIRECT(ADDRESS(ROW() - 2, COLUMN())) = 11, 256.386,0)))))))))))</f>
        <v>#VALUE!</v>
      </c>
      <c r="ABH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ABI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ABJ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ABK7" s="88">
        <f>80</f>
        <v>80</v>
      </c>
      <c r="ABL7" s="88" t="str">
        <f> IF(INDIRECT(ADDRESS(ROW() - 2, COLUMN())) = 1, 169.6, IF(INDIRECT(ADDRESS(ROW() - 2, COLUMN())) = 2, 182.32, IF(INDIRECT(ADDRESS(ROW() - 2, COLUMN())) = 3, 195.04, IF(INDIRECT(ADDRESS(ROW() - 2, COLUMN())) = 4, 212, IF(INDIRECT(ADDRESS(ROW() - 2, COLUMN())) = 5, 224.72, IF(INDIRECT(ADDRESS(ROW() - 2, COLUMN())) = 6, 237.44, IF(INDIRECT(ADDRESS(ROW() - 2, COLUMN())) = 7, 254.4, IF(INDIRECT(ADDRESS(ROW() - 2, COLUMN())) = 8, 271.36, IF(INDIRECT(ADDRESS(ROW() - 2, COLUMN())) = 9, 288.32, IF(INDIRECT(ADDRESS(ROW() - 2, COLUMN())) = 10, 305.28, IF(INDIRECT(ADDRESS(ROW() - 2, COLUMN())) = 11, 322.24, IF(INDIRECT(ADDRESS(ROW() - 2, COLUMN())) = 12, 339.2, IF(INDIRECT(ADDRESS(ROW() - 2, COLUMN())) = 13, 360.4,0)))))))))))))</f>
        <v>#VALUE!</v>
      </c>
      <c r="ABM7" s="88" t="str">
        <f> IF(INDIRECT(ADDRESS(ROW() - 2, COLUMN())) = 1, 182.4, IF(INDIRECT(ADDRESS(ROW() - 2, COLUMN())) = 2, 196.08, IF(INDIRECT(ADDRESS(ROW() - 2, COLUMN())) = 3, 209.76, IF(INDIRECT(ADDRESS(ROW() - 2, COLUMN())) = 4, 227.999999999999, IF(INDIRECT(ADDRESS(ROW() - 2, COLUMN())) = 5, 241.679999999999, IF(INDIRECT(ADDRESS(ROW() - 2, COLUMN())) = 6, 255.359999999999, IF(INDIRECT(ADDRESS(ROW() - 2, COLUMN())) = 7, 273.6, IF(INDIRECT(ADDRESS(ROW() - 2, COLUMN())) = 8, 291.84, IF(INDIRECT(ADDRESS(ROW() - 2, COLUMN())) = 9, 310.08, IF(INDIRECT(ADDRESS(ROW() - 2, COLUMN())) = 10, 328.32, IF(INDIRECT(ADDRESS(ROW() - 2, COLUMN())) = 11, 346.56, IF(INDIRECT(ADDRESS(ROW() - 2, COLUMN())) = 12, 364.8, IF(INDIRECT(ADDRESS(ROW() - 2, COLUMN())) = 13, 387.599999999999,0)))))))))))))</f>
        <v>#VALUE!</v>
      </c>
      <c r="ABN7" s="88" t="str">
        <f> IF(INDIRECT(ADDRESS(ROW() - 2, COLUMN())) = 1, 40.678, IF(INDIRECT(ADDRESS(ROW() - 2, COLUMN())) = 2, 43.989, IF(INDIRECT(ADDRESS(ROW() - 2, COLUMN())) = 3, 47.3, IF(INDIRECT(ADDRESS(ROW() - 2, COLUMN())) = 4, 52.03, IF(INDIRECT(ADDRESS(ROW() - 2, COLUMN())) = 5, 55.3409999999999, IF(INDIRECT(ADDRESS(ROW() - 2, COLUMN())) = 6, 59.125, IF(INDIRECT(ADDRESS(ROW() - 2, COLUMN())) = 7, 64.328, IF(INDIRECT(ADDRESS(ROW() - 2, COLUMN())) = 8, 69.5309999999999, IF(INDIRECT(ADDRESS(ROW() - 2, COLUMN())) = 9, 74.734, IF(INDIRECT(ADDRESS(ROW() - 2, COLUMN())) = 10, 80.41, IF(INDIRECT(ADDRESS(ROW() - 2, COLUMN())) = 11, 86.086,0)))))))))))</f>
        <v>#VALUE!</v>
      </c>
      <c r="ABO7" s="88" t="str">
        <f> IF(INDIRECT(ADDRESS(ROW() - 2, COLUMN())) = 1, 39.044, IF(INDIRECT(ADDRESS(ROW() - 2, COLUMN())) = 2, 42.222, IF(INDIRECT(ADDRESS(ROW() - 2, COLUMN())) = 3, 45.4, IF(INDIRECT(ADDRESS(ROW() - 2, COLUMN())) = 4, 49.94, IF(INDIRECT(ADDRESS(ROW() - 2, COLUMN())) = 5, 53.1179999999999, IF(INDIRECT(ADDRESS(ROW() - 2, COLUMN())) = 6, 56.75, IF(INDIRECT(ADDRESS(ROW() - 2, COLUMN())) = 7, 61.744, IF(INDIRECT(ADDRESS(ROW() - 2, COLUMN())) = 8, 66.738, IF(INDIRECT(ADDRESS(ROW() - 2, COLUMN())) = 9, 71.732, IF(INDIRECT(ADDRESS(ROW() - 2, COLUMN())) = 10, 77.18, IF(INDIRECT(ADDRESS(ROW() - 2, COLUMN())) = 11, 82.628,0)))))))))))</f>
        <v>#VALUE!</v>
      </c>
      <c r="ABP7" s="88" t="str">
        <f> IF(INDIRECT(ADDRESS(ROW() - 2, COLUMN())) = 1, 51.6, IF(INDIRECT(ADDRESS(ROW() - 2, COLUMN())) = 2, 55.8, IF(INDIRECT(ADDRESS(ROW() - 2, COLUMN())) = 3, 60, IF(INDIRECT(ADDRESS(ROW() - 2, COLUMN())) = 4, 66, IF(INDIRECT(ADDRESS(ROW() - 2, COLUMN())) = 5, 70.1999999999999, IF(INDIRECT(ADDRESS(ROW() - 2, COLUMN())) = 6, 75, IF(INDIRECT(ADDRESS(ROW() - 2, COLUMN())) = 7, 81.6, IF(INDIRECT(ADDRESS(ROW() - 2, COLUMN())) = 8, 88.2, IF(INDIRECT(ADDRESS(ROW() - 2, COLUMN())) = 9, 94.8, IF(INDIRECT(ADDRESS(ROW() - 2, COLUMN())) = 10, 102, IF(INDIRECT(ADDRESS(ROW() - 2, COLUMN())) = 11, 109.2,0)))))))))))</f>
        <v>#VALUE!</v>
      </c>
      <c r="ABQ7" s="88" t="str">
        <f> IF(INDIRECT(ADDRESS(ROW() - 2, COLUMN())) = 1, 32.5079999999999, IF(INDIRECT(ADDRESS(ROW() - 2, COLUMN())) = 2, 35.154, IF(INDIRECT(ADDRESS(ROW() - 2, COLUMN())) = 3, 37.8, IF(INDIRECT(ADDRESS(ROW() - 2, COLUMN())) = 4, 41.58, IF(INDIRECT(ADDRESS(ROW() - 2, COLUMN())) = 5, 44.226, IF(INDIRECT(ADDRESS(ROW() - 2, COLUMN())) = 6, 47.25, IF(INDIRECT(ADDRESS(ROW() - 2, COLUMN())) = 7, 51.408, IF(INDIRECT(ADDRESS(ROW() - 2, COLUMN())) = 8, 55.566, IF(INDIRECT(ADDRESS(ROW() - 2, COLUMN())) = 9, 59.724, IF(INDIRECT(ADDRESS(ROW() - 2, COLUMN())) = 10, 64.2599999999999, IF(INDIRECT(ADDRESS(ROW() - 2, COLUMN())) = 11, 68.796,0)))))))))))</f>
        <v>#VALUE!</v>
      </c>
      <c r="ABR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ABS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ABU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ABV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ABW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ACA7" s="88" t="str">
        <f> IF(INDIRECT(ADDRESS(ROW() - 2, COLUMN())) = 1, 35.64, IF(INDIRECT(ADDRESS(ROW() - 2, COLUMN())) = 2, 38.07, IF(INDIRECT(ADDRESS(ROW() - 2, COLUMN())) = 3, 40.5, IF(INDIRECT(ADDRESS(ROW() - 2, COLUMN())) = 4, 43.74, IF(INDIRECT(ADDRESS(ROW() - 2, COLUMN())) = 5, 46.17, IF(INDIRECT(ADDRESS(ROW() - 2, COLUMN())) = 6, 49.0049999999999, IF(INDIRECT(ADDRESS(ROW() - 2, COLUMN())) = 7, 52.65, IF(INDIRECT(ADDRESS(ROW() - 2, COLUMN())) = 8, 56.2949999999999, IF(INDIRECT(ADDRESS(ROW() - 2, COLUMN())) = 9, 59.94, IF(INDIRECT(ADDRESS(ROW() - 2, COLUMN())) = 10, 63.585, IF(INDIRECT(ADDRESS(ROW() - 2, COLUMN())) = 11, 67.23,0)))))))))))</f>
        <v>#VALUE!</v>
      </c>
      <c r="ACB7" s="88" t="str">
        <f> IF(INDIRECT(ADDRESS(ROW() - 2, COLUMN())) = 1, 68.376, IF(INDIRECT(ADDRESS(ROW() - 2, COLUMN())) = 2, 73.038, IF(INDIRECT(ADDRESS(ROW() - 2, COLUMN())) = 3, 77.7, IF(INDIRECT(ADDRESS(ROW() - 2, COLUMN())) = 4, 83.916, IF(INDIRECT(ADDRESS(ROW() - 2, COLUMN())) = 5, 88.578, IF(INDIRECT(ADDRESS(ROW() - 2, COLUMN())) = 6, 94.017, IF(INDIRECT(ADDRESS(ROW() - 2, COLUMN())) = 7, 101.01, IF(INDIRECT(ADDRESS(ROW() - 2, COLUMN())) = 8, 108.003, IF(INDIRECT(ADDRESS(ROW() - 2, COLUMN())) = 9, 114.996, IF(INDIRECT(ADDRESS(ROW() - 2, COLUMN())) = 10, 121.988999999999, IF(INDIRECT(ADDRESS(ROW() - 2, COLUMN())) = 11, 128.982,0)))))))))))</f>
        <v>#VALUE!</v>
      </c>
      <c r="ACC7" s="88" t="str">
        <f> IF(INDIRECT(ADDRESS(ROW() - 2, COLUMN())) = 1, 88.8888, IF(INDIRECT(ADDRESS(ROW() - 2, COLUMN())) = 2, 94.9494, IF(INDIRECT(ADDRESS(ROW() - 2, COLUMN())) = 3, 101.01, IF(INDIRECT(ADDRESS(ROW() - 2, COLUMN())) = 4, 109.0908, IF(INDIRECT(ADDRESS(ROW() - 2, COLUMN())) = 5, 115.1514, IF(INDIRECT(ADDRESS(ROW() - 2, COLUMN())) = 6, 122.2221, IF(INDIRECT(ADDRESS(ROW() - 2, COLUMN())) = 7, 131.313, IF(INDIRECT(ADDRESS(ROW() - 2, COLUMN())) = 8, 140.4039, IF(INDIRECT(ADDRESS(ROW() - 2, COLUMN())) = 9, 149.4948, IF(INDIRECT(ADDRESS(ROW() - 2, COLUMN())) = 10, 158.5857, IF(INDIRECT(ADDRESS(ROW() - 2, COLUMN())) = 11, 167.6766,0)))))))))))</f>
        <v>#VALUE!</v>
      </c>
      <c r="ACD7" s="88" t="str">
        <f> IF(INDIRECT(ADDRESS(ROW() - 2, COLUMN())) = 1, 46.42, IF(INDIRECT(ADDRESS(ROW() - 2, COLUMN())) = 2, 49.585, IF(INDIRECT(ADDRESS(ROW() - 2, COLUMN())) = 3, 52.75, IF(INDIRECT(ADDRESS(ROW() - 2, COLUMN())) = 4, 56.97, IF(INDIRECT(ADDRESS(ROW() - 2, COLUMN())) = 5, 60.135, IF(INDIRECT(ADDRESS(ROW() - 2, COLUMN())) = 6, 63.8275, IF(INDIRECT(ADDRESS(ROW() - 2, COLUMN())) = 7, 68.575, IF(INDIRECT(ADDRESS(ROW() - 2, COLUMN())) = 8, 73.3225, IF(INDIRECT(ADDRESS(ROW() - 2, COLUMN())) = 9, 78.07, IF(INDIRECT(ADDRESS(ROW() - 2, COLUMN())) = 10, 82.8175, IF(INDIRECT(ADDRESS(ROW() - 2, COLUMN())) = 11, 87.565,0)))))))))))</f>
        <v>#VALUE!</v>
      </c>
      <c r="ACE7" s="88" t="str">
        <f> IF(INDIRECT(ADDRESS(ROW() - 2, COLUMN())) = 1, 105.864, IF(INDIRECT(ADDRESS(ROW() - 2, COLUMN())) = 2, 113.082, IF(INDIRECT(ADDRESS(ROW() - 2, COLUMN())) = 3, 120.3, IF(INDIRECT(ADDRESS(ROW() - 2, COLUMN())) = 4, 129.924, IF(INDIRECT(ADDRESS(ROW() - 2, COLUMN())) = 5, 137.142, IF(INDIRECT(ADDRESS(ROW() - 2, COLUMN())) = 6, 145.563, IF(INDIRECT(ADDRESS(ROW() - 2, COLUMN())) = 7, 156.39, IF(INDIRECT(ADDRESS(ROW() - 2, COLUMN())) = 8, 167.216999999999, IF(INDIRECT(ADDRESS(ROW() - 2, COLUMN())) = 9, 178.044, IF(INDIRECT(ADDRESS(ROW() - 2, COLUMN())) = 10, 188.871, IF(INDIRECT(ADDRESS(ROW() - 2, COLUMN())) = 11, 199.698,0)))))))))))</f>
        <v>#VALUE!</v>
      </c>
      <c r="ACF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ACG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ACH7" s="88" t="str">
        <f> IF(INDIRECT(ADDRESS(ROW() - 2, COLUMN())) = 1, 16.4, IF(INDIRECT(ADDRESS(ROW() - 2, COLUMN())) = 2, 17.63, IF(INDIRECT(ADDRESS(ROW() - 2, COLUMN())) = 3, 18.86, IF(INDIRECT(ADDRESS(ROW() - 2, COLUMN())) = 4, 20.5, IF(INDIRECT(ADDRESS(ROW() - 2, COLUMN())) = 5, 21.73, IF(INDIRECT(ADDRESS(ROW() - 2, COLUMN())) = 6, 22.96, IF(INDIRECT(ADDRESS(ROW() - 2, COLUMN())) = 7, 24.6, IF(INDIRECT(ADDRESS(ROW() - 2, COLUMN())) = 8, 26.24, IF(INDIRECT(ADDRESS(ROW() - 2, COLUMN())) = 9, 27.88, IF(INDIRECT(ADDRESS(ROW() - 2, COLUMN())) = 10, 29.52, IF(INDIRECT(ADDRESS(ROW() - 2, COLUMN())) = 11, 31.16,0)))))))))))</f>
        <v>#VALUE!</v>
      </c>
      <c r="ACI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ACJ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ACK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ACL7" s="88" t="str">
        <f> IF(INDIRECT(ADDRESS(ROW() - 2, COLUMN())) = 1, 127.2, IF(INDIRECT(ADDRESS(ROW() - 2, COLUMN())) = 2, 136.74, IF(INDIRECT(ADDRESS(ROW() - 2, COLUMN())) = 3, 146.28, IF(INDIRECT(ADDRESS(ROW() - 2, COLUMN())) = 4, 159, IF(INDIRECT(ADDRESS(ROW() - 2, COLUMN())) = 5, 168.54, IF(INDIRECT(ADDRESS(ROW() - 2, COLUMN())) = 6, 178.079999999999, IF(INDIRECT(ADDRESS(ROW() - 2, COLUMN())) = 7, 190.799999999999, IF(INDIRECT(ADDRESS(ROW() - 2, COLUMN())) = 8, 203.52, IF(INDIRECT(ADDRESS(ROW() - 2, COLUMN())) = 9, 216.239999999999, IF(INDIRECT(ADDRESS(ROW() - 2, COLUMN())) = 10, 228.96, IF(INDIRECT(ADDRESS(ROW() - 2, COLUMN())) = 11, 241.679999999999, IF(INDIRECT(ADDRESS(ROW() - 2, COLUMN())) = 12, 254.4, IF(INDIRECT(ADDRESS(ROW() - 2, COLUMN())) = 13, 270.3,0)))))))))))))</f>
        <v>#VALUE!</v>
      </c>
      <c r="ACM7" s="88" t="str">
        <f> IF(INDIRECT(ADDRESS(ROW() - 2, COLUMN())) = 1, 122, IF(INDIRECT(ADDRESS(ROW() - 2, COLUMN())) = 2, 131.15, IF(INDIRECT(ADDRESS(ROW() - 2, COLUMN())) = 3, 140.3, IF(INDIRECT(ADDRESS(ROW() - 2, COLUMN())) = 4, 152.5, IF(INDIRECT(ADDRESS(ROW() - 2, COLUMN())) = 5, 161.65, IF(INDIRECT(ADDRESS(ROW() - 2, COLUMN())) = 6, 170.799999999999, IF(INDIRECT(ADDRESS(ROW() - 2, COLUMN())) = 7, 183, IF(INDIRECT(ADDRESS(ROW() - 2, COLUMN())) = 8, 195.2, IF(INDIRECT(ADDRESS(ROW() - 2, COLUMN())) = 9, 207.399999999999, IF(INDIRECT(ADDRESS(ROW() - 2, COLUMN())) = 10, 219.6, IF(INDIRECT(ADDRESS(ROW() - 2, COLUMN())) = 11, 231.8, IF(INDIRECT(ADDRESS(ROW() - 2, COLUMN())) = 12, 244, IF(INDIRECT(ADDRESS(ROW() - 2, COLUMN())) = 13, 259.25,0)))))))))))))</f>
        <v>#VALUE!</v>
      </c>
      <c r="ACN7" s="88" t="str">
        <f> IF(INDIRECT(ADDRESS(ROW() - 2, COLUMN())) = 1, 40.506, IF(INDIRECT(ADDRESS(ROW() - 2, COLUMN())) = 2, 43.803, IF(INDIRECT(ADDRESS(ROW() - 2, COLUMN())) = 3, 47.0999999999999, IF(INDIRECT(ADDRESS(ROW() - 2, COLUMN())) = 4, 51.81, IF(INDIRECT(ADDRESS(ROW() - 2, COLUMN())) = 5, 55.1069999999999, IF(INDIRECT(ADDRESS(ROW() - 2, COLUMN())) = 6, 58.875, IF(INDIRECT(ADDRESS(ROW() - 2, COLUMN())) = 7, 64.056, IF(INDIRECT(ADDRESS(ROW() - 2, COLUMN())) = 8, 69.237, IF(INDIRECT(ADDRESS(ROW() - 2, COLUMN())) = 9, 74.4179999999999, IF(INDIRECT(ADDRESS(ROW() - 2, COLUMN())) = 10, 80.07, IF(INDIRECT(ADDRESS(ROW() - 2, COLUMN())) = 11, 85.722,0)))))))))))</f>
        <v>#VALUE!</v>
      </c>
      <c r="ACO7" s="88" t="str">
        <f> IF(INDIRECT(ADDRESS(ROW() - 2, COLUMN())) = 1, 40.248, IF(INDIRECT(ADDRESS(ROW() - 2, COLUMN())) = 2, 43.524, IF(INDIRECT(ADDRESS(ROW() - 2, COLUMN())) = 3, 46.8, IF(INDIRECT(ADDRESS(ROW() - 2, COLUMN())) = 4, 51.48, IF(INDIRECT(ADDRESS(ROW() - 2, COLUMN())) = 5, 54.756, IF(INDIRECT(ADDRESS(ROW() - 2, COLUMN())) = 6, 58.5, IF(INDIRECT(ADDRESS(ROW() - 2, COLUMN())) = 7, 63.648, IF(INDIRECT(ADDRESS(ROW() - 2, COLUMN())) = 8, 68.796, IF(INDIRECT(ADDRESS(ROW() - 2, COLUMN())) = 9, 73.944, IF(INDIRECT(ADDRESS(ROW() - 2, COLUMN())) = 10, 79.56, IF(INDIRECT(ADDRESS(ROW() - 2, COLUMN())) = 11, 85.176,0)))))))))))</f>
        <v>#VALUE!</v>
      </c>
      <c r="ACP7" s="88" t="str">
        <f> IF(INDIRECT(ADDRESS(ROW() - 2, COLUMN())) = 1, 22.962, IF(INDIRECT(ADDRESS(ROW() - 2, COLUMN())) = 2, 24.831, IF(INDIRECT(ADDRESS(ROW() - 2, COLUMN())) = 3, 26.7, IF(INDIRECT(ADDRESS(ROW() - 2, COLUMN())) = 4, 29.37, IF(INDIRECT(ADDRESS(ROW() - 2, COLUMN())) = 5, 31.239, IF(INDIRECT(ADDRESS(ROW() - 2, COLUMN())) = 6, 33.375, IF(INDIRECT(ADDRESS(ROW() - 2, COLUMN())) = 7, 36.312, IF(INDIRECT(ADDRESS(ROW() - 2, COLUMN())) = 8, 39.249, IF(INDIRECT(ADDRESS(ROW() - 2, COLUMN())) = 9, 42.186, IF(INDIRECT(ADDRESS(ROW() - 2, COLUMN())) = 10, 45.39, IF(INDIRECT(ADDRESS(ROW() - 2, COLUMN())) = 11, 48.594,0)))))))))))</f>
        <v>#VALUE!</v>
      </c>
      <c r="ACQ7" s="88" t="str">
        <f> IF(INDIRECT(ADDRESS(ROW() - 2, COLUMN())) = 1, 27.52, IF(INDIRECT(ADDRESS(ROW() - 2, COLUMN())) = 2, 29.7599999999999, IF(INDIRECT(ADDRESS(ROW() - 2, COLUMN())) = 3, 32, IF(INDIRECT(ADDRESS(ROW() - 2, COLUMN())) = 4, 35.1999999999999, IF(INDIRECT(ADDRESS(ROW() - 2, COLUMN())) = 5, 37.44, IF(INDIRECT(ADDRESS(ROW() - 2, COLUMN())) = 6, 40, IF(INDIRECT(ADDRESS(ROW() - 2, COLUMN())) = 7, 43.5199999999999, IF(INDIRECT(ADDRESS(ROW() - 2, COLUMN())) = 8, 47.04, IF(INDIRECT(ADDRESS(ROW() - 2, COLUMN())) = 9, 50.56, IF(INDIRECT(ADDRESS(ROW() - 2, COLUMN())) = 10, 54.4, IF(INDIRECT(ADDRESS(ROW() - 2, COLUMN())) = 11, 58.24,0)))))))))))</f>
        <v>#VALUE!</v>
      </c>
      <c r="ACR7" s="88" t="str">
        <f> IF(INDIRECT(ADDRESS(ROW() - 2, COLUMN())) = 1, 23.994, IF(INDIRECT(ADDRESS(ROW() - 2, COLUMN())) = 2, 25.947, IF(INDIRECT(ADDRESS(ROW() - 2, COLUMN())) = 3, 27.9, IF(INDIRECT(ADDRESS(ROW() - 2, COLUMN())) = 4, 30.69, IF(INDIRECT(ADDRESS(ROW() - 2, COLUMN())) = 5, 32.643, IF(INDIRECT(ADDRESS(ROW() - 2, COLUMN())) = 6, 34.875, IF(INDIRECT(ADDRESS(ROW() - 2, COLUMN())) = 7, 37.944, IF(INDIRECT(ADDRESS(ROW() - 2, COLUMN())) = 8, 41.013, IF(INDIRECT(ADDRESS(ROW() - 2, COLUMN())) = 9, 44.082, IF(INDIRECT(ADDRESS(ROW() - 2, COLUMN())) = 10, 47.43, IF(INDIRECT(ADDRESS(ROW() - 2, COLUMN())) = 11, 50.778,0)))))))))))</f>
        <v>#VALUE!</v>
      </c>
      <c r="ACS7" s="88" t="str">
        <f> IF(INDIRECT(ADDRESS(ROW() - 2, COLUMN())) = 1, 28.81, IF(INDIRECT(ADDRESS(ROW() - 2, COLUMN())) = 2, 31.155, IF(INDIRECT(ADDRESS(ROW() - 2, COLUMN())) = 3, 33.5, IF(INDIRECT(ADDRESS(ROW() - 2, COLUMN())) = 4, 36.85, IF(INDIRECT(ADDRESS(ROW() - 2, COLUMN())) = 5, 39.195, IF(INDIRECT(ADDRESS(ROW() - 2, COLUMN())) = 6, 41.875, IF(INDIRECT(ADDRESS(ROW() - 2, COLUMN())) = 7, 45.56, IF(INDIRECT(ADDRESS(ROW() - 2, COLUMN())) = 8, 49.245, IF(INDIRECT(ADDRESS(ROW() - 2, COLUMN())) = 9, 52.93, IF(INDIRECT(ADDRESS(ROW() - 2, COLUMN())) = 10, 56.95, IF(INDIRECT(ADDRESS(ROW() - 2, COLUMN())) = 11, 60.97,0)))))))))))</f>
        <v>#VALUE!</v>
      </c>
      <c r="ACT7" s="88" t="str">
        <f> IF(INDIRECT(ADDRESS(ROW() - 2, COLUMN())) = 1, 67.338, IF(INDIRECT(ADDRESS(ROW() - 2, COLUMN())) = 2, 72.819, IF(INDIRECT(ADDRESS(ROW() - 2, COLUMN())) = 3, 78.3, IF(INDIRECT(ADDRESS(ROW() - 2, COLUMN())) = 4, 86.13, IF(INDIRECT(ADDRESS(ROW() - 2, COLUMN())) = 5, 91.611, IF(INDIRECT(ADDRESS(ROW() - 2, COLUMN())) = 6, 97.875, IF(INDIRECT(ADDRESS(ROW() - 2, COLUMN())) = 7, 106.488, IF(INDIRECT(ADDRESS(ROW() - 2, COLUMN())) = 8, 115.101, IF(INDIRECT(ADDRESS(ROW() - 2, COLUMN())) = 9, 123.713999999999, IF(INDIRECT(ADDRESS(ROW() - 2, COLUMN())) = 10, 133.109999999999, IF(INDIRECT(ADDRESS(ROW() - 2, COLUMN())) = 11, 142.506,0)))))))))))</f>
        <v>#VALUE!</v>
      </c>
      <c r="ACU7" s="88" t="str">
        <f> IF(INDIRECT(ADDRESS(ROW() - 2, COLUMN())) = 1, 121.69, IF(INDIRECT(ADDRESS(ROW() - 2, COLUMN())) = 2, 131.595, IF(INDIRECT(ADDRESS(ROW() - 2, COLUMN())) = 3, 141.5, IF(INDIRECT(ADDRESS(ROW() - 2, COLUMN())) = 4, 155.65, IF(INDIRECT(ADDRESS(ROW() - 2, COLUMN())) = 5, 165.555, IF(INDIRECT(ADDRESS(ROW() - 2, COLUMN())) = 6, 176.875, IF(INDIRECT(ADDRESS(ROW() - 2, COLUMN())) = 7, 192.44, IF(INDIRECT(ADDRESS(ROW() - 2, COLUMN())) = 8, 208.005, IF(INDIRECT(ADDRESS(ROW() - 2, COLUMN())) = 9, 223.57, IF(INDIRECT(ADDRESS(ROW() - 2, COLUMN())) = 10, 240.55, IF(INDIRECT(ADDRESS(ROW() - 2, COLUMN())) = 11, 260.0062,0)))))))))))</f>
        <v>#VALUE!</v>
      </c>
      <c r="ACV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ACW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ACX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ADB7" s="88" t="str">
        <f> IF(INDIRECT(ADDRESS(ROW() - 2, COLUMN())) = 1, 244, IF(INDIRECT(ADDRESS(ROW() - 2, COLUMN())) = 2, 262.3, IF(INDIRECT(ADDRESS(ROW() - 2, COLUMN())) = 3, 280.6, IF(INDIRECT(ADDRESS(ROW() - 2, COLUMN())) = 4, 305, IF(INDIRECT(ADDRESS(ROW() - 2, COLUMN())) = 5, 323.3, IF(INDIRECT(ADDRESS(ROW() - 2, COLUMN())) = 6, 341.599999999999, IF(INDIRECT(ADDRESS(ROW() - 2, COLUMN())) = 7, 366, IF(INDIRECT(ADDRESS(ROW() - 2, COLUMN())) = 8, 390.4, IF(INDIRECT(ADDRESS(ROW() - 2, COLUMN())) = 9, 414.799999999999, IF(INDIRECT(ADDRESS(ROW() - 2, COLUMN())) = 10, 439.2, IF(INDIRECT(ADDRESS(ROW() - 2, COLUMN())) = 11, 463.6, IF(INDIRECT(ADDRESS(ROW() - 2, COLUMN())) = 12, 488, IF(INDIRECT(ADDRESS(ROW() - 2, COLUMN())) = 13, 518.5,0)))))))))))))</f>
        <v>#VALUE!</v>
      </c>
      <c r="ADC7" s="88" t="str">
        <f> IF(INDIRECT(ADDRESS(ROW() - 2, COLUMN())) = 1, 30.7690999999999, IF(INDIRECT(ADDRESS(ROW() - 2, COLUMN())) = 2, 33.2735, IF(INDIRECT(ADDRESS(ROW() - 2, COLUMN())) = 3, 35.778, IF(INDIRECT(ADDRESS(ROW() - 2, COLUMN())) = 4, 39.3558, IF(INDIRECT(ADDRESS(ROW() - 2, COLUMN())) = 5, 41.8603, IF(INDIRECT(ADDRESS(ROW() - 2, COLUMN())) = 6, 44.7225, IF(INDIRECT(ADDRESS(ROW() - 2, COLUMN())) = 7, 48.6581, IF(INDIRECT(ADDRESS(ROW() - 2, COLUMN())) = 8, 52.5937, IF(INDIRECT(ADDRESS(ROW() - 2, COLUMN())) = 9, 56.5292, IF(INDIRECT(ADDRESS(ROW() - 2, COLUMN())) = 10, 60.8226, IF(INDIRECT(ADDRESS(ROW() - 2, COLUMN())) = 11, 65.7421,0)))))))))))</f>
        <v>#VALUE!</v>
      </c>
      <c r="ADD7" s="88" t="str">
        <f> IF(INDIRECT(ADDRESS(ROW() - 2, COLUMN())) = 1, 31.1518, IF(INDIRECT(ADDRESS(ROW() - 2, COLUMN())) = 2, 33.6874, IF(INDIRECT(ADDRESS(ROW() - 2, COLUMN())) = 3, 36.223, IF(INDIRECT(ADDRESS(ROW() - 2, COLUMN())) = 4, 39.8453, IF(INDIRECT(ADDRESS(ROW() - 2, COLUMN())) = 5, 42.3809, IF(INDIRECT(ADDRESS(ROW() - 2, COLUMN())) = 6, 45.2788, IF(INDIRECT(ADDRESS(ROW() - 2, COLUMN())) = 7, 49.2633, IF(INDIRECT(ADDRESS(ROW() - 2, COLUMN())) = 8, 53.2478, IF(INDIRECT(ADDRESS(ROW() - 2, COLUMN())) = 9, 57.2323, IF(INDIRECT(ADDRESS(ROW() - 2, COLUMN())) = 10, 61.5791, IF(INDIRECT(ADDRESS(ROW() - 2, COLUMN())) = 11, 66.5598,0)))))))))))</f>
        <v>#VALUE!</v>
      </c>
      <c r="ADE7" s="88" t="str">
        <f> IF(INDIRECT(ADDRESS(ROW() - 2, COLUMN())) = 1, 38.5762, IF(INDIRECT(ADDRESS(ROW() - 2, COLUMN())) = 2, 41.7161, IF(INDIRECT(ADDRESS(ROW() - 2, COLUMN())) = 3, 44.856, IF(INDIRECT(ADDRESS(ROW() - 2, COLUMN())) = 4, 49.3416, IF(INDIRECT(ADDRESS(ROW() - 2, COLUMN())) = 5, 52.4815, IF(INDIRECT(ADDRESS(ROW() - 2, COLUMN())) = 6, 56.07, IF(INDIRECT(ADDRESS(ROW() - 2, COLUMN())) = 7, 61.0042, IF(INDIRECT(ADDRESS(ROW() - 2, COLUMN())) = 8, 65.9383, IF(INDIRECT(ADDRESS(ROW() - 2, COLUMN())) = 9, 70.8725, IF(INDIRECT(ADDRESS(ROW() - 2, COLUMN())) = 10, 76.2552, IF(INDIRECT(ADDRESS(ROW() - 2, COLUMN())) = 11, 82.4229,0)))))))))))</f>
        <v>#VALUE!</v>
      </c>
      <c r="ADF7" s="88" t="str">
        <f> IF(INDIRECT(ADDRESS(ROW() - 2, COLUMN())) = 1, 42.9389, IF(INDIRECT(ADDRESS(ROW() - 2, COLUMN())) = 2, 46.434, IF(INDIRECT(ADDRESS(ROW() - 2, COLUMN())) = 3, 49.929, IF(INDIRECT(ADDRESS(ROW() - 2, COLUMN())) = 4, 54.9219, IF(INDIRECT(ADDRESS(ROW() - 2, COLUMN())) = 5, 58.4169, IF(INDIRECT(ADDRESS(ROW() - 2, COLUMN())) = 6, 62.4113, IF(INDIRECT(ADDRESS(ROW() - 2, COLUMN())) = 7, 67.9034, IF(INDIRECT(ADDRESS(ROW() - 2, COLUMN())) = 8, 73.3956, IF(INDIRECT(ADDRESS(ROW() - 2, COLUMN())) = 9, 78.8878, IF(INDIRECT(ADDRESS(ROW() - 2, COLUMN())) = 10, 84.8793, IF(INDIRECT(ADDRESS(ROW() - 2, COLUMN())) = 11, 91.7445,0)))))))))))</f>
        <v>#VALUE!</v>
      </c>
      <c r="ADG7" s="88" t="str">
        <f> IF(INDIRECT(ADDRESS(ROW() - 2, COLUMN())) = 1, 10.75, IF(INDIRECT(ADDRESS(ROW() - 2, COLUMN())) = 2, 11.625, IF(INDIRECT(ADDRESS(ROW() - 2, COLUMN())) = 3, 12.5, IF(INDIRECT(ADDRESS(ROW() - 2, COLUMN())) = 4, 13.75, IF(INDIRECT(ADDRESS(ROW() - 2, COLUMN())) = 5, 14.625, IF(INDIRECT(ADDRESS(ROW() - 2, COLUMN())) = 6, 15.625, IF(INDIRECT(ADDRESS(ROW() - 2, COLUMN())) = 7, 17, IF(INDIRECT(ADDRESS(ROW() - 2, COLUMN())) = 8, 18.375, IF(INDIRECT(ADDRESS(ROW() - 2, COLUMN())) = 9, 19.75, IF(INDIRECT(ADDRESS(ROW() - 2, COLUMN())) = 10, 21.25, IF(INDIRECT(ADDRESS(ROW() - 2, COLUMN())) = 11, 22.9687,0)))))))))))</f>
        <v>#VALUE!</v>
      </c>
      <c r="ADH7" s="88" t="str">
        <f> IF(INDIRECT(ADDRESS(ROW() - 2, COLUMN())) = 1, 54.4965, IF(INDIRECT(ADDRESS(ROW() - 2, COLUMN())) = 2, 58.9322, IF(INDIRECT(ADDRESS(ROW() - 2, COLUMN())) = 3, 63.368, IF(INDIRECT(ADDRESS(ROW() - 2, COLUMN())) = 4, 69.7048, IF(INDIRECT(ADDRESS(ROW() - 2, COLUMN())) = 5, 74.1406, IF(INDIRECT(ADDRESS(ROW() - 2, COLUMN())) = 6, 79.21, IF(INDIRECT(ADDRESS(ROW() - 2, COLUMN())) = 7, 86.1805, IF(INDIRECT(ADDRESS(ROW() - 2, COLUMN())) = 8, 93.151, IF(INDIRECT(ADDRESS(ROW() - 2, COLUMN())) = 9, 100.1214, IF(INDIRECT(ADDRESS(ROW() - 2, COLUMN())) = 10, 107.7256, IF(INDIRECT(ADDRESS(ROW() - 2, COLUMN())) = 11, 116.4387,0)))))))))))</f>
        <v>#VALUE!</v>
      </c>
      <c r="ADI7" s="88" t="str">
        <f> IF(INDIRECT(ADDRESS(ROW() - 2, COLUMN())) = 1, 111.026, IF(INDIRECT(ADDRESS(ROW() - 2, COLUMN())) = 2, 120.063, IF(INDIRECT(ADDRESS(ROW() - 2, COLUMN())) = 3, 129.1, IF(INDIRECT(ADDRESS(ROW() - 2, COLUMN())) = 4, 142.01, IF(INDIRECT(ADDRESS(ROW() - 2, COLUMN())) = 5, 151.047, IF(INDIRECT(ADDRESS(ROW() - 2, COLUMN())) = 6, 161.375, IF(INDIRECT(ADDRESS(ROW() - 2, COLUMN())) = 7, 175.576, IF(INDIRECT(ADDRESS(ROW() - 2, COLUMN())) = 8, 189.777, IF(INDIRECT(ADDRESS(ROW() - 2, COLUMN())) = 9, 203.977999999999, IF(INDIRECT(ADDRESS(ROW() - 2, COLUMN())) = 10, 219.47, IF(INDIRECT(ADDRESS(ROW() - 2, COLUMN())) = 11, 237.2212,0)))))))))))</f>
        <v>#VALUE!</v>
      </c>
      <c r="ADJ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ADK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ADL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ADM7" s="88" t="str">
        <f> IF(INDIRECT(ADDRESS(ROW() - 2, COLUMN())) = 1, 16, IF(INDIRECT(ADDRESS(ROW() - 2, COLUMN())) = 2, 17.2, IF(INDIRECT(ADDRESS(ROW() - 2, COLUMN())) = 3, 18.4, IF(INDIRECT(ADDRESS(ROW() - 2, COLUMN())) = 4, 20, IF(INDIRECT(ADDRESS(ROW() - 2, COLUMN())) = 5, 21.2, IF(INDIRECT(ADDRESS(ROW() - 2, COLUMN())) = 6, 22.4, IF(INDIRECT(ADDRESS(ROW() - 2, COLUMN())) = 7, 24, IF(INDIRECT(ADDRESS(ROW() - 2, COLUMN())) = 8, 25.6, IF(INDIRECT(ADDRESS(ROW() - 2, COLUMN())) = 9, 27.2, IF(INDIRECT(ADDRESS(ROW() - 2, COLUMN())) = 10, 28.7999999999999, IF(INDIRECT(ADDRESS(ROW() - 2, COLUMN())) = 11, 30.4, IF(INDIRECT(ADDRESS(ROW() - 2, COLUMN())) = 12, 32, IF(INDIRECT(ADDRESS(ROW() - 2, COLUMN())) = 13, 34,0)))))))))))))</f>
        <v>#VALUE!</v>
      </c>
      <c r="ADN7" s="88" t="str">
        <f> IF(INDIRECT(ADDRESS(ROW() - 2, COLUMN())) = 1, 32, IF(INDIRECT(ADDRESS(ROW() - 2, COLUMN())) = 2, 34.4, IF(INDIRECT(ADDRESS(ROW() - 2, COLUMN())) = 3, 36.8, IF(INDIRECT(ADDRESS(ROW() - 2, COLUMN())) = 4, 40, IF(INDIRECT(ADDRESS(ROW() - 2, COLUMN())) = 5, 42.4, IF(INDIRECT(ADDRESS(ROW() - 2, COLUMN())) = 6, 44.8, IF(INDIRECT(ADDRESS(ROW() - 2, COLUMN())) = 7, 48, IF(INDIRECT(ADDRESS(ROW() - 2, COLUMN())) = 8, 51.2, IF(INDIRECT(ADDRESS(ROW() - 2, COLUMN())) = 9, 54.4, IF(INDIRECT(ADDRESS(ROW() - 2, COLUMN())) = 10, 57.5999999999999, IF(INDIRECT(ADDRESS(ROW() - 2, COLUMN())) = 11, 60.8, IF(INDIRECT(ADDRESS(ROW() - 2, COLUMN())) = 12, 64, IF(INDIRECT(ADDRESS(ROW() - 2, COLUMN())) = 13, 68,0)))))))))))))</f>
        <v>#VALUE!</v>
      </c>
      <c r="ADO7" s="88" t="str">
        <f> IF(INDIRECT(ADDRESS(ROW() - 2, COLUMN())) = 1, 80, IF(INDIRECT(ADDRESS(ROW() - 2, COLUMN())) = 2, 86, IF(INDIRECT(ADDRESS(ROW() - 2, COLUMN())) = 3, 92, IF(INDIRECT(ADDRESS(ROW() - 2, COLUMN())) = 4, 100, IF(INDIRECT(ADDRESS(ROW() - 2, COLUMN())) = 5, 106, IF(INDIRECT(ADDRESS(ROW() - 2, COLUMN())) = 6, 112, IF(INDIRECT(ADDRESS(ROW() - 2, COLUMN())) = 7, 120, IF(INDIRECT(ADDRESS(ROW() - 2, COLUMN())) = 8, 128, IF(INDIRECT(ADDRESS(ROW() - 2, COLUMN())) = 9, 136, IF(INDIRECT(ADDRESS(ROW() - 2, COLUMN())) = 10, 144, IF(INDIRECT(ADDRESS(ROW() - 2, COLUMN())) = 11, 152, IF(INDIRECT(ADDRESS(ROW() - 2, COLUMN())) = 12, 160, IF(INDIRECT(ADDRESS(ROW() - 2, COLUMN())) = 13, 170,0)))))))))))))</f>
        <v>#VALUE!</v>
      </c>
      <c r="ADP7" s="88" t="str">
        <f> IF(INDIRECT(ADDRESS(ROW() - 2, COLUMN())) = 1, 401.08, IF(INDIRECT(ADDRESS(ROW() - 2, COLUMN())) = 2, 444.44, IF(INDIRECT(ADDRESS(ROW() - 2, COLUMN())) = 3, 487.8, IF(INDIRECT(ADDRESS(ROW() - 2, COLUMN())) = 4, 542, IF(INDIRECT(ADDRESS(ROW() - 2, COLUMN())) = 5, 590.78, IF(INDIRECT(ADDRESS(ROW() - 2, COLUMN())) = 6, 639.56, IF(INDIRECT(ADDRESS(ROW() - 2, COLUMN())) = 7, 704.6, IF(INDIRECT(ADDRESS(ROW() - 2, COLUMN())) = 8, 769.64, IF(INDIRECT(ADDRESS(ROW() - 2, COLUMN())) = 9, 834.68, IF(INDIRECT(ADDRESS(ROW() - 2, COLUMN())) = 10, 899.719999999999, IF(INDIRECT(ADDRESS(ROW() - 2, COLUMN())) = 11, 964.76, IF(INDIRECT(ADDRESS(ROW() - 2, COLUMN())) = 12, 1029.8, IF(INDIRECT(ADDRESS(ROW() - 2, COLUMN())) = 13, 1084,0)))))))))))))</f>
        <v>#VALUE!</v>
      </c>
      <c r="ADQ7" s="88" t="str">
        <f> IF(INDIRECT(ADDRESS(ROW() - 2, COLUMN())) = 1, 49.2574, IF(INDIRECT(ADDRESS(ROW() - 2, COLUMN())) = 2, 53.2667, IF(INDIRECT(ADDRESS(ROW() - 2, COLUMN())) = 3, 57.276, IF(INDIRECT(ADDRESS(ROW() - 2, COLUMN())) = 4, 63.0036, IF(INDIRECT(ADDRESS(ROW() - 2, COLUMN())) = 5, 67.0129, IF(INDIRECT(ADDRESS(ROW() - 2, COLUMN())) = 6, 71.595, IF(INDIRECT(ADDRESS(ROW() - 2, COLUMN())) = 7, 77.8954, IF(INDIRECT(ADDRESS(ROW() - 2, COLUMN())) = 8, 84.1957, IF(INDIRECT(ADDRESS(ROW() - 2, COLUMN())) = 9, 90.4961, IF(INDIRECT(ADDRESS(ROW() - 2, COLUMN())) = 10, 97.3692, IF(INDIRECT(ADDRESS(ROW() - 2, COLUMN())) = 11, 104.2423,0)))))))))))</f>
        <v>#VALUE!</v>
      </c>
      <c r="ADR7" s="88" t="str">
        <f> IF(INDIRECT(ADDRESS(ROW() - 2, COLUMN())) = 1, 47.9209, IF(INDIRECT(ADDRESS(ROW() - 2, COLUMN())) = 2, 51.8215, IF(INDIRECT(ADDRESS(ROW() - 2, COLUMN())) = 3, 55.722, IF(INDIRECT(ADDRESS(ROW() - 2, COLUMN())) = 4, 61.2942, IF(INDIRECT(ADDRESS(ROW() - 2, COLUMN())) = 5, 65.1947, IF(INDIRECT(ADDRESS(ROW() - 2, COLUMN())) = 6, 69.6524999999999, IF(INDIRECT(ADDRESS(ROW() - 2, COLUMN())) = 7, 75.7819, IF(INDIRECT(ADDRESS(ROW() - 2, COLUMN())) = 8, 81.9113, IF(INDIRECT(ADDRESS(ROW() - 2, COLUMN())) = 9, 88.0407999999999, IF(INDIRECT(ADDRESS(ROW() - 2, COLUMN())) = 10, 94.7273999999999, IF(INDIRECT(ADDRESS(ROW() - 2, COLUMN())) = 11, 101.414,0)))))))))))</f>
        <v>#VALUE!</v>
      </c>
      <c r="ADS7" s="88" t="str">
        <f> IF(INDIRECT(ADDRESS(ROW() - 2, COLUMN())) = 1, 29.3062, IF(INDIRECT(ADDRESS(ROW() - 2, COLUMN())) = 2, 31.6915999999999, IF(INDIRECT(ADDRESS(ROW() - 2, COLUMN())) = 3, 34.077, IF(INDIRECT(ADDRESS(ROW() - 2, COLUMN())) = 4, 37.4847, IF(INDIRECT(ADDRESS(ROW() - 2, COLUMN())) = 5, 39.8701, IF(INDIRECT(ADDRESS(ROW() - 2, COLUMN())) = 6, 42.5963, IF(INDIRECT(ADDRESS(ROW() - 2, COLUMN())) = 7, 46.3447, IF(INDIRECT(ADDRESS(ROW() - 2, COLUMN())) = 8, 50.0932, IF(INDIRECT(ADDRESS(ROW() - 2, COLUMN())) = 9, 53.8417, IF(INDIRECT(ADDRESS(ROW() - 2, COLUMN())) = 10, 57.9308999999999, IF(INDIRECT(ADDRESS(ROW() - 2, COLUMN())) = 11, 62.0201,0)))))))))))</f>
        <v>#VALUE!</v>
      </c>
      <c r="ADT7" s="88" t="str">
        <f> IF(INDIRECT(ADDRESS(ROW() - 2, COLUMN())) = 1, 75.8907, IF(INDIRECT(ADDRESS(ROW() - 2, COLUMN())) = 2, 82.0679, IF(INDIRECT(ADDRESS(ROW() - 2, COLUMN())) = 3, 88.2449999999999, IF(INDIRECT(ADDRESS(ROW() - 2, COLUMN())) = 4, 97.0694999999999, IF(INDIRECT(ADDRESS(ROW() - 2, COLUMN())) = 5, 103.2466, IF(INDIRECT(ADDRESS(ROW() - 2, COLUMN())) = 6, 110.3063, IF(INDIRECT(ADDRESS(ROW() - 2, COLUMN())) = 7, 120.0132, IF(INDIRECT(ADDRESS(ROW() - 2, COLUMN())) = 8, 129.7202, IF(INDIRECT(ADDRESS(ROW() - 2, COLUMN())) = 9, 139.4271, IF(INDIRECT(ADDRESS(ROW() - 2, COLUMN())) = 10, 150.0165, IF(INDIRECT(ADDRESS(ROW() - 2, COLUMN())) = 11, 160.6059,0)))))))))))
</f>
        <v>#VALUE!</v>
      </c>
      <c r="ADU7" s="88" t="str">
        <f> IF(INDIRECT(ADDRESS(ROW() - 2, COLUMN())) = 1, 122.378, IF(INDIRECT(ADDRESS(ROW() - 2, COLUMN())) = 2, 132.339, IF(INDIRECT(ADDRESS(ROW() - 2, COLUMN())) = 3, 142.3, IF(INDIRECT(ADDRESS(ROW() - 2, COLUMN())) = 4, 156.53, IF(INDIRECT(ADDRESS(ROW() - 2, COLUMN())) = 5, 166.490999999999, IF(INDIRECT(ADDRESS(ROW() - 2, COLUMN())) = 6, 177.875, IF(INDIRECT(ADDRESS(ROW() - 2, COLUMN())) = 7, 193.528, IF(INDIRECT(ADDRESS(ROW() - 2, COLUMN())) = 8, 209.181, IF(INDIRECT(ADDRESS(ROW() - 2, COLUMN())) = 9, 224.833999999999, IF(INDIRECT(ADDRESS(ROW() - 2, COLUMN())) = 10, 241.909999999999, IF(INDIRECT(ADDRESS(ROW() - 2, COLUMN())) = 11, 258.986,0)))))))))))
</f>
        <v>#VALUE!</v>
      </c>
      <c r="ADV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ADW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ADX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ADY7" s="88" t="str">
        <f> IF(INDIRECT(ADDRESS(ROW() - 2, COLUMN())) = 1, 130.4, IF(INDIRECT(ADDRESS(ROW() - 2, COLUMN())) = 2, 140.18, IF(INDIRECT(ADDRESS(ROW() - 2, COLUMN())) = 3, 149.96, IF(INDIRECT(ADDRESS(ROW() - 2, COLUMN())) = 4, 163, IF(INDIRECT(ADDRESS(ROW() - 2, COLUMN())) = 5, 172.78, IF(INDIRECT(ADDRESS(ROW() - 2, COLUMN())) = 6, 182.56, IF(INDIRECT(ADDRESS(ROW() - 2, COLUMN())) = 7, 195.6, IF(INDIRECT(ADDRESS(ROW() - 2, COLUMN())) = 8, 208.64, IF(INDIRECT(ADDRESS(ROW() - 2, COLUMN())) = 9, 221.68, IF(INDIRECT(ADDRESS(ROW() - 2, COLUMN())) = 10, 234.72, IF(INDIRECT(ADDRESS(ROW() - 2, COLUMN())) = 11, 247.76, IF(INDIRECT(ADDRESS(ROW() - 2, COLUMN())) = 12, 260.8, IF(INDIRECT(ADDRESS(ROW() - 2, COLUMN())) = 13, 277.099999999999,0)))))))))))))</f>
        <v>#VALUE!</v>
      </c>
      <c r="ADZ7" s="88" t="str">
        <f> IF(INDIRECT(ADDRESS(ROW() - 2, COLUMN())) = 1, 156.8, IF(INDIRECT(ADDRESS(ROW() - 2, COLUMN())) = 2, 168.56, IF(INDIRECT(ADDRESS(ROW() - 2, COLUMN())) = 3, 180.32, IF(INDIRECT(ADDRESS(ROW() - 2, COLUMN())) = 4, 196, IF(INDIRECT(ADDRESS(ROW() - 2, COLUMN())) = 5, 207.76, IF(INDIRECT(ADDRESS(ROW() - 2, COLUMN())) = 6, 219.519999999999, IF(INDIRECT(ADDRESS(ROW() - 2, COLUMN())) = 7, 235.2, IF(INDIRECT(ADDRESS(ROW() - 2, COLUMN())) = 8, 250.88, IF(INDIRECT(ADDRESS(ROW() - 2, COLUMN())) = 9, 266.56, IF(INDIRECT(ADDRESS(ROW() - 2, COLUMN())) = 10, 282.24, IF(INDIRECT(ADDRESS(ROW() - 2, COLUMN())) = 11, 297.92, IF(INDIRECT(ADDRESS(ROW() - 2, COLUMN())) = 12, 313.6, IF(INDIRECT(ADDRESS(ROW() - 2, COLUMN())) = 13, 333.2,0)))))))))))))</f>
        <v>#VALUE!</v>
      </c>
      <c r="AEA7" s="88">
        <f>100</f>
        <v>100</v>
      </c>
      <c r="AEB7" s="88" t="str">
        <f> IF(INDIRECT(ADDRESS(ROW() - 2, COLUMN())) = 1, 78.2832, IF(INDIRECT(ADDRESS(ROW() - 2, COLUMN())) = 2, 84.6551, IF(INDIRECT(ADDRESS(ROW() - 2, COLUMN())) = 3, 91.027, IF(INDIRECT(ADDRESS(ROW() - 2, COLUMN())) = 4, 100.1297, IF(INDIRECT(ADDRESS(ROW() - 2, COLUMN())) = 5, 106.5016, IF(INDIRECT(ADDRESS(ROW() - 2, COLUMN())) = 6, 113.783799999999, IF(INDIRECT(ADDRESS(ROW() - 2, COLUMN())) = 7, 123.7967, IF(INDIRECT(ADDRESS(ROW() - 2, COLUMN())) = 8, 133.8097, IF(INDIRECT(ADDRESS(ROW() - 2, COLUMN())) = 9, 143.8227, IF(INDIRECT(ADDRESS(ROW() - 2, COLUMN())) = 10, 154.7459, IF(INDIRECT(ADDRESS(ROW() - 2, COLUMN())) = 11, 165.6691, IF(INDIRECT(ADDRESS(ROW() - 2, COLUMN())) = 12, 176.5924, IF(INDIRECT(ADDRESS(ROW() - 2, COLUMN())) = 13, 187.5156,0)))))))))))))</f>
        <v>#VALUE!</v>
      </c>
      <c r="AEC7" s="88" t="str">
        <f> IF(INDIRECT(ADDRESS(ROW() - 2, COLUMN())) = 1, 82.4688, IF(INDIRECT(ADDRESS(ROW() - 2, COLUMN())) = 2, 89.1814, IF(INDIRECT(ADDRESS(ROW() - 2, COLUMN())) = 3, 95.894, IF(INDIRECT(ADDRESS(ROW() - 2, COLUMN())) = 4, 105.4834, IF(INDIRECT(ADDRESS(ROW() - 2, COLUMN())) = 5, 112.196, IF(INDIRECT(ADDRESS(ROW() - 2, COLUMN())) = 6, 119.867499999999, IF(INDIRECT(ADDRESS(ROW() - 2, COLUMN())) = 7, 130.4158, IF(INDIRECT(ADDRESS(ROW() - 2, COLUMN())) = 8, 140.9642, IF(INDIRECT(ADDRESS(ROW() - 2, COLUMN())) = 9, 151.5125, IF(INDIRECT(ADDRESS(ROW() - 2, COLUMN())) = 10, 163.0198, IF(INDIRECT(ADDRESS(ROW() - 2, COLUMN())) = 11, 174.5271, IF(INDIRECT(ADDRESS(ROW() - 2, COLUMN())) = 12, 186.0344, IF(INDIRECT(ADDRESS(ROW() - 2, COLUMN())) = 13, 197.5416,0)))))))))))))</f>
        <v>#VALUE!</v>
      </c>
      <c r="AED7" s="88" t="str">
        <f> IF(INDIRECT(ADDRESS(ROW() - 2, COLUMN())) = 1, 104.633599999999, IF(INDIRECT(ADDRESS(ROW() - 2, COLUMN())) = 2, 113.150299999999, IF(INDIRECT(ADDRESS(ROW() - 2, COLUMN())) = 3, 121.666999999999, IF(INDIRECT(ADDRESS(ROW() - 2, COLUMN())) = 4, 133.8337, IF(INDIRECT(ADDRESS(ROW() - 2, COLUMN())) = 5, 142.3504, IF(INDIRECT(ADDRESS(ROW() - 2, COLUMN())) = 6, 152.0837, IF(INDIRECT(ADDRESS(ROW() - 2, COLUMN())) = 7, 165.4671, IF(INDIRECT(ADDRESS(ROW() - 2, COLUMN())) = 8, 178.8505, IF(INDIRECT(ADDRESS(ROW() - 2, COLUMN())) = 9, 192.2339, IF(INDIRECT(ADDRESS(ROW() - 2, COLUMN())) = 10, 206.8339, IF(INDIRECT(ADDRESS(ROW() - 2, COLUMN())) = 11, 221.4339, IF(INDIRECT(ADDRESS(ROW() - 2, COLUMN())) = 12, 236.034, IF(INDIRECT(ADDRESS(ROW() - 2, COLUMN())) = 13, 250.634,0)))))))))))))</f>
        <v>#VALUE!</v>
      </c>
      <c r="AEE7" s="88" t="str">
        <f> IF(INDIRECT(ADDRESS(ROW() - 2, COLUMN())) = 1, 51.6942, IF(INDIRECT(ADDRESS(ROW() - 2, COLUMN())) = 2, 55.9018, IF(INDIRECT(ADDRESS(ROW() - 2, COLUMN())) = 3, 60.1095, IF(INDIRECT(ADDRESS(ROW() - 2, COLUMN())) = 4, 66.1205, IF(INDIRECT(ADDRESS(ROW() - 2, COLUMN())) = 5, 70.3281, IF(INDIRECT(ADDRESS(ROW() - 2, COLUMN())) = 6, 75.1369, IF(INDIRECT(ADDRESS(ROW() - 2, COLUMN())) = 7, 81.7489, IF(INDIRECT(ADDRESS(ROW() - 2, COLUMN())) = 8, 88.361, IF(INDIRECT(ADDRESS(ROW() - 2, COLUMN())) = 9, 94.973, IF(INDIRECT(ADDRESS(ROW() - 2, COLUMN())) = 10, 102.1861, IF(INDIRECT(ADDRESS(ROW() - 2, COLUMN())) = 11, 109.3993, IF(INDIRECT(ADDRESS(ROW() - 2, COLUMN())) = 12, 116.6124, IF(INDIRECT(ADDRESS(ROW() - 2, COLUMN())) = 13, 123.8256,0)))))))))))))</f>
        <v>#VALUE!</v>
      </c>
      <c r="AEF7" s="88" t="str">
        <f> IF(INDIRECT(ADDRESS(ROW() - 2, COLUMN())) = 1, 130.8447, IF(INDIRECT(ADDRESS(ROW() - 2, COLUMN())) = 2, 141.4948, IF(INDIRECT(ADDRESS(ROW() - 2, COLUMN())) = 3, 152.145, IF(INDIRECT(ADDRESS(ROW() - 2, COLUMN())) = 4, 167.3595, IF(INDIRECT(ADDRESS(ROW() - 2, COLUMN())) = 5, 178.009599999999, IF(INDIRECT(ADDRESS(ROW() - 2, COLUMN())) = 6, 190.1812, IF(INDIRECT(ADDRESS(ROW() - 2, COLUMN())) = 7, 206.9172, IF(INDIRECT(ADDRESS(ROW() - 2, COLUMN())) = 8, 223.6531, IF(INDIRECT(ADDRESS(ROW() - 2, COLUMN())) = 9, 240.389099999999, IF(INDIRECT(ADDRESS(ROW() - 2, COLUMN())) = 10, 258.6465, IF(INDIRECT(ADDRESS(ROW() - 2, COLUMN())) = 11, 276.903899999999, IF(INDIRECT(ADDRESS(ROW() - 2, COLUMN())) = 12, 295.1613, IF(INDIRECT(ADDRESS(ROW() - 2, COLUMN())) = 13, 313.4187,0)))))))))))))</f>
        <v>#VALUE!</v>
      </c>
      <c r="AEG7" s="88" t="str">
        <f> IF(INDIRECT(ADDRESS(ROW() - 2, COLUMN())) = 1, 101.05, IF(INDIRECT(ADDRESS(ROW() - 2, COLUMN())) = 2, 109.275, IF(INDIRECT(ADDRESS(ROW() - 2, COLUMN())) = 3, 117.5, IF(INDIRECT(ADDRESS(ROW() - 2, COLUMN())) = 4, 129.25, IF(INDIRECT(ADDRESS(ROW() - 2, COLUMN())) = 5, 137.475, IF(INDIRECT(ADDRESS(ROW() - 2, COLUMN())) = 6, 146.875, IF(INDIRECT(ADDRESS(ROW() - 2, COLUMN())) = 7, 159.8, IF(INDIRECT(ADDRESS(ROW() - 2, COLUMN())) = 8, 172.725, IF(INDIRECT(ADDRESS(ROW() - 2, COLUMN())) = 9, 185.65, IF(INDIRECT(ADDRESS(ROW() - 2, COLUMN())) = 10, 199.75, IF(INDIRECT(ADDRESS(ROW() - 2, COLUMN())) = 11, 213.85, IF(INDIRECT(ADDRESS(ROW() - 2, COLUMN())) = 12, 227.95, IF(INDIRECT(ADDRESS(ROW() - 2, COLUMN())) = 13, 242.05,0)))))))))))))</f>
        <v>#VALUE!</v>
      </c>
      <c r="AEH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 IF(INDIRECT(ADDRESS(ROW() - 2, COLUMN())) = 12, 144.2196, IF(INDIRECT(ADDRESS(ROW() - 2, COLUMN())) = 13, 153.1404,0)))))))))))))</f>
        <v>#VALUE!</v>
      </c>
      <c r="AEI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 IF(INDIRECT(ADDRESS(ROW() - 2, COLUMN())) = 12, 288.3781, IF(INDIRECT(ADDRESS(ROW() - 2, COLUMN())) = 13, 306.2159,0)))))))))))))</f>
        <v>#VALUE!</v>
      </c>
      <c r="AEJ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 IF(INDIRECT(ADDRESS(ROW() - 2, COLUMN())) = 12, 360.1998, IF(INDIRECT(ADDRESS(ROW() - 2, COLUMN())) = 13, 382.4802,0)))))))))))))</f>
        <v>#VALUE!</v>
      </c>
      <c r="AEK7" s="88" t="str">
        <f> IF(INDIRECT(ADDRESS(ROW() - 2, COLUMN())) = 1, 50.3074, IF(INDIRECT(ADDRESS(ROW() - 2, COLUMN())) = 2, 54.4022, IF(INDIRECT(ADDRESS(ROW() - 2, COLUMN())) = 3, 58.497, IF(INDIRECT(ADDRESS(ROW() - 2, COLUMN())) = 4, 64.3467, IF(INDIRECT(ADDRESS(ROW() - 2, COLUMN())) = 5, 68.4415, IF(INDIRECT(ADDRESS(ROW() - 2, COLUMN())) = 6, 73.1213, IF(INDIRECT(ADDRESS(ROW() - 2, COLUMN())) = 7, 79.5559, IF(INDIRECT(ADDRESS(ROW() - 2, COLUMN())) = 8, 85.9906, IF(INDIRECT(ADDRESS(ROW() - 2, COLUMN())) = 9, 92.4253, IF(INDIRECT(ADDRESS(ROW() - 2, COLUMN())) = 10, 99.4449, IF(INDIRECT(ADDRESS(ROW() - 2, COLUMN())) = 11, 106.4645,0)))))))))))</f>
        <v>#VALUE!</v>
      </c>
      <c r="AEL7" s="88" t="str">
        <f> IF(INDIRECT(ADDRESS(ROW() - 2, COLUMN())) = 1, 45.439, IF(INDIRECT(ADDRESS(ROW() - 2, COLUMN())) = 2, 49.1375, IF(INDIRECT(ADDRESS(ROW() - 2, COLUMN())) = 3, 52.836, IF(INDIRECT(ADDRESS(ROW() - 2, COLUMN())) = 4, 58.1196, IF(INDIRECT(ADDRESS(ROW() - 2, COLUMN())) = 5, 61.8181, IF(INDIRECT(ADDRESS(ROW() - 2, COLUMN())) = 6, 66.045, IF(INDIRECT(ADDRESS(ROW() - 2, COLUMN())) = 7, 71.857, IF(INDIRECT(ADDRESS(ROW() - 2, COLUMN())) = 8, 77.6689, IF(INDIRECT(ADDRESS(ROW() - 2, COLUMN())) = 9, 83.4809, IF(INDIRECT(ADDRESS(ROW() - 2, COLUMN())) = 10, 89.8212, IF(INDIRECT(ADDRESS(ROW() - 2, COLUMN())) = 11, 96.1615,0)))))))))))</f>
        <v>#VALUE!</v>
      </c>
      <c r="AEM7" s="88" t="str">
        <f> IF(INDIRECT(ADDRESS(ROW() - 2, COLUMN())) = 1, 70.354, IF(INDIRECT(ADDRESS(ROW() - 2, COLUMN())) = 2, 76.0805, IF(INDIRECT(ADDRESS(ROW() - 2, COLUMN())) = 3, 81.807, IF(INDIRECT(ADDRESS(ROW() - 2, COLUMN())) = 4, 89.9877, IF(INDIRECT(ADDRESS(ROW() - 2, COLUMN())) = 5, 95.7142, IF(INDIRECT(ADDRESS(ROW() - 2, COLUMN())) = 6, 102.2588, IF(INDIRECT(ADDRESS(ROW() - 2, COLUMN())) = 7, 111.2575, IF(INDIRECT(ADDRESS(ROW() - 2, COLUMN())) = 8, 120.2563, IF(INDIRECT(ADDRESS(ROW() - 2, COLUMN())) = 9, 129.2551, IF(INDIRECT(ADDRESS(ROW() - 2, COLUMN())) = 10, 139.0719, IF(INDIRECT(ADDRESS(ROW() - 2, COLUMN())) = 11, 148.8887,0)))))))))))</f>
        <v>#VALUE!</v>
      </c>
      <c r="AEN7" s="88" t="str">
        <f> IF(INDIRECT(ADDRESS(ROW() - 2, COLUMN())) = 1, 50.224, IF(INDIRECT(ADDRESS(ROW() - 2, COLUMN())) = 2, 54.312, IF(INDIRECT(ADDRESS(ROW() - 2, COLUMN())) = 3, 58.4, IF(INDIRECT(ADDRESS(ROW() - 2, COLUMN())) = 4, 64.24, IF(INDIRECT(ADDRESS(ROW() - 2, COLUMN())) = 5, 68.328, IF(INDIRECT(ADDRESS(ROW() - 2, COLUMN())) = 6, 73, IF(INDIRECT(ADDRESS(ROW() - 2, COLUMN())) = 7, 79.4239999999999, IF(INDIRECT(ADDRESS(ROW() - 2, COLUMN())) = 8, 85.848, IF(INDIRECT(ADDRESS(ROW() - 2, COLUMN())) = 9, 92.2719999999999, IF(INDIRECT(ADDRESS(ROW() - 2, COLUMN())) = 10, 99.28, IF(INDIRECT(ADDRESS(ROW() - 2, COLUMN())) = 11, 106.288,0)))))))))))</f>
        <v>#VALUE!</v>
      </c>
      <c r="AEO7" s="88" t="str">
        <f> IF(INDIRECT(ADDRESS(ROW() - 2, COLUMN())) = 1, 54.4379999999999, IF(INDIRECT(ADDRESS(ROW() - 2, COLUMN())) = 2, 58.869, IF(INDIRECT(ADDRESS(ROW() - 2, COLUMN())) = 3, 63.3, IF(INDIRECT(ADDRESS(ROW() - 2, COLUMN())) = 4, 69.63, IF(INDIRECT(ADDRESS(ROW() - 2, COLUMN())) = 5, 74.0609999999999, IF(INDIRECT(ADDRESS(ROW() - 2, COLUMN())) = 6, 79.125, IF(INDIRECT(ADDRESS(ROW() - 2, COLUMN())) = 7, 86.088, IF(INDIRECT(ADDRESS(ROW() - 2, COLUMN())) = 8, 93.0509999999999, IF(INDIRECT(ADDRESS(ROW() - 2, COLUMN())) = 9, 100.014, IF(INDIRECT(ADDRESS(ROW() - 2, COLUMN())) = 10, 107.61, IF(INDIRECT(ADDRESS(ROW() - 2, COLUMN())) = 11, 115.206,0)))))))))))</f>
        <v>#VALUE!</v>
      </c>
      <c r="AEP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AEQ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AER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AFB7" s="88" t="str">
        <f> IF(INDIRECT(ADDRESS(ROW() - 2, COLUMN())) = 1, 60.802, IF(INDIRECT(ADDRESS(ROW() - 2, COLUMN())) = 2, 65.751, IF(INDIRECT(ADDRESS(ROW() - 2, COLUMN())) = 3, 70.7, IF(INDIRECT(ADDRESS(ROW() - 2, COLUMN())) = 4, 77.77, IF(INDIRECT(ADDRESS(ROW() - 2, COLUMN())) = 5, 82.719, IF(INDIRECT(ADDRESS(ROW() - 2, COLUMN())) = 6, 88.375, IF(INDIRECT(ADDRESS(ROW() - 2, COLUMN())) = 7, 96.152, IF(INDIRECT(ADDRESS(ROW() - 2, COLUMN())) = 8, 103.929, IF(INDIRECT(ADDRESS(ROW() - 2, COLUMN())) = 9, 111.705999999999, IF(INDIRECT(ADDRESS(ROW() - 2, COLUMN())) = 10, 120.19, IF(INDIRECT(ADDRESS(ROW() - 2, COLUMN())) = 11, 128.674,0)))))))))))</f>
        <v>#VALUE!</v>
      </c>
      <c r="AFC7" s="88" t="str">
        <f> IF(INDIRECT(ADDRESS(ROW() - 2, COLUMN())) = 1, 61.146, IF(INDIRECT(ADDRESS(ROW() - 2, COLUMN())) = 2, 66.123, IF(INDIRECT(ADDRESS(ROW() - 2, COLUMN())) = 3, 71.1, IF(INDIRECT(ADDRESS(ROW() - 2, COLUMN())) = 4, 78.21, IF(INDIRECT(ADDRESS(ROW() - 2, COLUMN())) = 5, 83.187, IF(INDIRECT(ADDRESS(ROW() - 2, COLUMN())) = 6, 88.875, IF(INDIRECT(ADDRESS(ROW() - 2, COLUMN())) = 7, 96.696, IF(INDIRECT(ADDRESS(ROW() - 2, COLUMN())) = 8, 104.517, IF(INDIRECT(ADDRESS(ROW() - 2, COLUMN())) = 9, 112.338, IF(INDIRECT(ADDRESS(ROW() - 2, COLUMN())) = 10, 120.87, IF(INDIRECT(ADDRESS(ROW() - 2, COLUMN())) = 11, 129.402,0)))))))))))</f>
        <v>#VALUE!</v>
      </c>
      <c r="AFD7" s="88" t="str">
        <f> IF(INDIRECT(ADDRESS(ROW() - 2, COLUMN())) = 1, 35.4879, IF(INDIRECT(ADDRESS(ROW() - 2, COLUMN())) = 2, 38.3765, IF(INDIRECT(ADDRESS(ROW() - 2, COLUMN())) = 3, 41.265, IF(INDIRECT(ADDRESS(ROW() - 2, COLUMN())) = 4, 45.3915, IF(INDIRECT(ADDRESS(ROW() - 2, COLUMN())) = 5, 48.28, IF(INDIRECT(ADDRESS(ROW() - 2, COLUMN())) = 6, 51.5813, IF(INDIRECT(ADDRESS(ROW() - 2, COLUMN())) = 7, 56.1204, IF(INDIRECT(ADDRESS(ROW() - 2, COLUMN())) = 8, 60.6596, IF(INDIRECT(ADDRESS(ROW() - 2, COLUMN())) = 9, 65.1987, IF(INDIRECT(ADDRESS(ROW() - 2, COLUMN())) = 10, 70.1505, IF(INDIRECT(ADDRESS(ROW() - 2, COLUMN())) = 11, 75.1023,0)))))))))))</f>
        <v>#VALUE!</v>
      </c>
      <c r="AFE7" s="88" t="str">
        <f> IF(INDIRECT(ADDRESS(ROW() - 2, COLUMN())) = 1, 43.3741, IF(INDIRECT(ADDRESS(ROW() - 2, COLUMN())) = 2, 46.9046, IF(INDIRECT(ADDRESS(ROW() - 2, COLUMN())) = 3, 50.4349999999999, IF(INDIRECT(ADDRESS(ROW() - 2, COLUMN())) = 4, 55.4785, IF(INDIRECT(ADDRESS(ROW() - 2, COLUMN())) = 5, 59.009, IF(INDIRECT(ADDRESS(ROW() - 2, COLUMN())) = 6, 63.0438, IF(INDIRECT(ADDRESS(ROW() - 2, COLUMN())) = 7, 68.5916, IF(INDIRECT(ADDRESS(ROW() - 2, COLUMN())) = 8, 74.1395, IF(INDIRECT(ADDRESS(ROW() - 2, COLUMN())) = 9, 79.6873, IF(INDIRECT(ADDRESS(ROW() - 2, COLUMN())) = 10, 85.7395, IF(INDIRECT(ADDRESS(ROW() - 2, COLUMN())) = 11, 91.7916999999999,0)))))))))))</f>
        <v>#VALUE!</v>
      </c>
      <c r="AFF7" s="88" t="str">
        <f> IF(INDIRECT(ADDRESS(ROW() - 2, COLUMN())) = 1, 94.9439999999999, IF(INDIRECT(ADDRESS(ROW() - 2, COLUMN())) = 2, 102.672, IF(INDIRECT(ADDRESS(ROW() - 2, COLUMN())) = 3, 110.4, IF(INDIRECT(ADDRESS(ROW() - 2, COLUMN())) = 4, 121.44, IF(INDIRECT(ADDRESS(ROW() - 2, COLUMN())) = 5, 129.168, IF(INDIRECT(ADDRESS(ROW() - 2, COLUMN())) = 6, 138, IF(INDIRECT(ADDRESS(ROW() - 2, COLUMN())) = 7, 150.144, IF(INDIRECT(ADDRESS(ROW() - 2, COLUMN())) = 8, 162.288, IF(INDIRECT(ADDRESS(ROW() - 2, COLUMN())) = 9, 174.432, IF(INDIRECT(ADDRESS(ROW() - 2, COLUMN())) = 10, 187.68, IF(INDIRECT(ADDRESS(ROW() - 2, COLUMN())) = 11, 200.928,0)))))))))))</f>
        <v>#VALUE!</v>
      </c>
      <c r="AFG7" s="88" t="str">
        <f> IF(INDIRECT(ADDRESS(ROW() - 2, COLUMN())) = 1, 124.184, IF(INDIRECT(ADDRESS(ROW() - 2, COLUMN())) = 2, 134.292, IF(INDIRECT(ADDRESS(ROW() - 2, COLUMN())) = 3, 144.4, IF(INDIRECT(ADDRESS(ROW() - 2, COLUMN())) = 4, 158.84, IF(INDIRECT(ADDRESS(ROW() - 2, COLUMN())) = 5, 168.948, IF(INDIRECT(ADDRESS(ROW() - 2, COLUMN())) = 6, 180.5, IF(INDIRECT(ADDRESS(ROW() - 2, COLUMN())) = 7, 196.384, IF(INDIRECT(ADDRESS(ROW() - 2, COLUMN())) = 8, 212.268, IF(INDIRECT(ADDRESS(ROW() - 2, COLUMN())) = 9, 228.152, IF(INDIRECT(ADDRESS(ROW() - 2, COLUMN())) = 10, 245.48, IF(INDIRECT(ADDRESS(ROW() - 2, COLUMN())) = 11, 262.808,0)))))))))))</f>
        <v>#VALUE!</v>
      </c>
      <c r="AFH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AFI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AFJ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AFO7" s="88" t="str">
        <f> IF(INDIRECT(ADDRESS(ROW() - 2, COLUMN())) = 1, 51.2173, IF(INDIRECT(ADDRESS(ROW() - 2, COLUMN())) = 2, 55.3861999999999, IF(INDIRECT(ADDRESS(ROW() - 2, COLUMN())) = 3, 59.555, IF(INDIRECT(ADDRESS(ROW() - 2, COLUMN())) = 4, 65.5105, IF(INDIRECT(ADDRESS(ROW() - 2, COLUMN())) = 5, 69.6793, IF(INDIRECT(ADDRESS(ROW() - 2, COLUMN())) = 6, 74.4438, IF(INDIRECT(ADDRESS(ROW() - 2, COLUMN())) = 7, 80.9948, IF(INDIRECT(ADDRESS(ROW() - 2, COLUMN())) = 8, 87.5459, IF(INDIRECT(ADDRESS(ROW() - 2, COLUMN())) = 9, 94.0969, IF(INDIRECT(ADDRESS(ROW() - 2, COLUMN())) = 10, 101.2435, IF(INDIRECT(ADDRESS(ROW() - 2, COLUMN())) = 11, 108.3901,0)))))))))))</f>
        <v>#VALUE!</v>
      </c>
      <c r="AFP7" s="88" t="str">
        <f> IF(INDIRECT(ADDRESS(ROW() - 2, COLUMN())) = 1, 48.4833999999999, IF(INDIRECT(ADDRESS(ROW() - 2, COLUMN())) = 2, 52.4297, IF(INDIRECT(ADDRESS(ROW() - 2, COLUMN())) = 3, 56.376, IF(INDIRECT(ADDRESS(ROW() - 2, COLUMN())) = 4, 62.0136, IF(INDIRECT(ADDRESS(ROW() - 2, COLUMN())) = 5, 65.9599, IF(INDIRECT(ADDRESS(ROW() - 2, COLUMN())) = 6, 70.47, IF(INDIRECT(ADDRESS(ROW() - 2, COLUMN())) = 7, 76.6714, IF(INDIRECT(ADDRESS(ROW() - 2, COLUMN())) = 8, 82.8727, IF(INDIRECT(ADDRESS(ROW() - 2, COLUMN())) = 9, 89.0741, IF(INDIRECT(ADDRESS(ROW() - 2, COLUMN())) = 10, 95.8392, IF(INDIRECT(ADDRESS(ROW() - 2, COLUMN())) = 11, 102.6043,0)))))))))))</f>
        <v>#VALUE!</v>
      </c>
      <c r="AFQ7" s="88" t="str">
        <f> IF(INDIRECT(ADDRESS(ROW() - 2, COLUMN())) = 1, 72.9736, IF(INDIRECT(ADDRESS(ROW() - 2, COLUMN())) = 2, 78.9132999999999, IF(INDIRECT(ADDRESS(ROW() - 2, COLUMN())) = 3, 84.853, IF(INDIRECT(ADDRESS(ROW() - 2, COLUMN())) = 4, 93.3382999999999, IF(INDIRECT(ADDRESS(ROW() - 2, COLUMN())) = 5, 99.278, IF(INDIRECT(ADDRESS(ROW() - 2, COLUMN())) = 6, 106.066299999999, IF(INDIRECT(ADDRESS(ROW() - 2, COLUMN())) = 7, 115.4001, IF(INDIRECT(ADDRESS(ROW() - 2, COLUMN())) = 8, 124.733899999999, IF(INDIRECT(ADDRESS(ROW() - 2, COLUMN())) = 9, 134.0677, IF(INDIRECT(ADDRESS(ROW() - 2, COLUMN())) = 10, 144.2501, IF(INDIRECT(ADDRESS(ROW() - 2, COLUMN())) = 11, 154.4325,0)))))))))))</f>
        <v>#VALUE!</v>
      </c>
      <c r="AFR7" s="88" t="str">
        <f> IF(INDIRECT(ADDRESS(ROW() - 2, COLUMN())) = 1, 47.73, IF(INDIRECT(ADDRESS(ROW() - 2, COLUMN())) = 2, 51.615, IF(INDIRECT(ADDRESS(ROW() - 2, COLUMN())) = 3, 55.5, IF(INDIRECT(ADDRESS(ROW() - 2, COLUMN())) = 4, 61.05, IF(INDIRECT(ADDRESS(ROW() - 2, COLUMN())) = 5, 64.935, IF(INDIRECT(ADDRESS(ROW() - 2, COLUMN())) = 6, 69.375, IF(INDIRECT(ADDRESS(ROW() - 2, COLUMN())) = 7, 75.48, IF(INDIRECT(ADDRESS(ROW() - 2, COLUMN())) = 8, 81.585, IF(INDIRECT(ADDRESS(ROW() - 2, COLUMN())) = 9, 87.69, IF(INDIRECT(ADDRESS(ROW() - 2, COLUMN())) = 10, 94.35, IF(INDIRECT(ADDRESS(ROW() - 2, COLUMN())) = 11, 101.01,0)))))))))))</f>
        <v>#VALUE!</v>
      </c>
      <c r="AFS7" s="88" t="str">
        <f> IF(INDIRECT(ADDRESS(ROW() - 2, COLUMN())) = 1, 52.546, IF(INDIRECT(ADDRESS(ROW() - 2, COLUMN())) = 2, 56.823, IF(INDIRECT(ADDRESS(ROW() - 2, COLUMN())) = 3, 61.1, IF(INDIRECT(ADDRESS(ROW() - 2, COLUMN())) = 4, 67.21, IF(INDIRECT(ADDRESS(ROW() - 2, COLUMN())) = 5, 71.487, IF(INDIRECT(ADDRESS(ROW() - 2, COLUMN())) = 6, 76.375, IF(INDIRECT(ADDRESS(ROW() - 2, COLUMN())) = 7, 83.096, IF(INDIRECT(ADDRESS(ROW() - 2, COLUMN())) = 8, 89.817, IF(INDIRECT(ADDRESS(ROW() - 2, COLUMN())) = 9, 96.538, IF(INDIRECT(ADDRESS(ROW() - 2, COLUMN())) = 10, 103.869999999999, IF(INDIRECT(ADDRESS(ROW() - 2, COLUMN())) = 11, 111.202,0)))))))))))</f>
        <v>#VALUE!</v>
      </c>
      <c r="AFT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AFU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AFV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AFW7" s="88" t="str">
        <f> IF(INDIRECT(ADDRESS(ROW() - 2, COLUMN())) = 1, 14.848, IF(INDIRECT(ADDRESS(ROW() - 2, COLUMN())) = 2, 15.9616, IF(INDIRECT(ADDRESS(ROW() - 2, COLUMN())) = 3, 17.0752, IF(INDIRECT(ADDRESS(ROW() - 2, COLUMN())) = 4, 18.56, IF(INDIRECT(ADDRESS(ROW() - 2, COLUMN())) = 5, 19.6736, IF(INDIRECT(ADDRESS(ROW() - 2, COLUMN())) = 6, 20.7872, IF(INDIRECT(ADDRESS(ROW() - 2, COLUMN())) = 7, 22.272, IF(INDIRECT(ADDRESS(ROW() - 2, COLUMN())) = 8, 23.7568, IF(INDIRECT(ADDRESS(ROW() - 2, COLUMN())) = 9, 25.2416, IF(INDIRECT(ADDRESS(ROW() - 2, COLUMN())) = 10, 26.7264, IF(INDIRECT(ADDRESS(ROW() - 2, COLUMN())) = 11, 28.2111999999999, IF(INDIRECT(ADDRESS(ROW() - 2, COLUMN())) = 12, 29.696, IF(INDIRECT(ADDRESS(ROW() - 2, COLUMN())) = 13, 31.552,0)))))))))))))</f>
        <v>#VALUE!</v>
      </c>
      <c r="AFX7" s="88" t="str">
        <f> IF(INDIRECT(ADDRESS(ROW() - 2, COLUMN())) = 1, 17.0752, IF(INDIRECT(ADDRESS(ROW() - 2, COLUMN())) = 2, 18.3558, IF(INDIRECT(ADDRESS(ROW() - 2, COLUMN())) = 3, 19.6365, IF(INDIRECT(ADDRESS(ROW() - 2, COLUMN())) = 4, 21.3439999999999, IF(INDIRECT(ADDRESS(ROW() - 2, COLUMN())) = 5, 22.6246, IF(INDIRECT(ADDRESS(ROW() - 2, COLUMN())) = 6, 23.9053, IF(INDIRECT(ADDRESS(ROW() - 2, COLUMN())) = 7, 25.6128, IF(INDIRECT(ADDRESS(ROW() - 2, COLUMN())) = 8, 27.3202999999999, IF(INDIRECT(ADDRESS(ROW() - 2, COLUMN())) = 9, 29.0278, IF(INDIRECT(ADDRESS(ROW() - 2, COLUMN())) = 10, 30.7354, IF(INDIRECT(ADDRESS(ROW() - 2, COLUMN())) = 11, 32.4429, IF(INDIRECT(ADDRESS(ROW() - 2, COLUMN())) = 12, 34.1504, IF(INDIRECT(ADDRESS(ROW() - 2, COLUMN())) = 13, 36.2848,0)))))))))))))</f>
        <v>#VALUE!</v>
      </c>
      <c r="AFZ7" s="88" t="str">
        <f> IF(INDIRECT(ADDRESS(ROW() - 2, COLUMN())) = 1, 40.3048, IF(INDIRECT(ADDRESS(ROW() - 2, COLUMN())) = 2, 43.3277, IF(INDIRECT(ADDRESS(ROW() - 2, COLUMN())) = 3, 46.3505, IF(INDIRECT(ADDRESS(ROW() - 2, COLUMN())) = 4, 50.381, IF(INDIRECT(ADDRESS(ROW() - 2, COLUMN())) = 5, 53.4039, IF(INDIRECT(ADDRESS(ROW() - 2, COLUMN())) = 6, 56.4267, IF(INDIRECT(ADDRESS(ROW() - 2, COLUMN())) = 7, 60.4572, IF(INDIRECT(ADDRESS(ROW() - 2, COLUMN())) = 8, 64.4877, IF(INDIRECT(ADDRESS(ROW() - 2, COLUMN())) = 9, 68.5182, IF(INDIRECT(ADDRESS(ROW() - 2, COLUMN())) = 10, 72.5486, IF(INDIRECT(ADDRESS(ROW() - 2, COLUMN())) = 11, 76.5791,0)))))))))))</f>
        <v>#VALUE!</v>
      </c>
      <c r="AGA7" s="88" t="str">
        <f> IF(INDIRECT(ADDRESS(ROW() - 2, COLUMN())) = 1, 36.9744, IF(INDIRECT(ADDRESS(ROW() - 2, COLUMN())) = 2, 39.7475, IF(INDIRECT(ADDRESS(ROW() - 2, COLUMN())) = 3, 42.5205999999999, IF(INDIRECT(ADDRESS(ROW() - 2, COLUMN())) = 4, 46.2179999999999, IF(INDIRECT(ADDRESS(ROW() - 2, COLUMN())) = 5, 48.9910999999999, IF(INDIRECT(ADDRESS(ROW() - 2, COLUMN())) = 6, 51.7642, IF(INDIRECT(ADDRESS(ROW() - 2, COLUMN())) = 7, 55.4616, IF(INDIRECT(ADDRESS(ROW() - 2, COLUMN())) = 8, 59.1589999999999, IF(INDIRECT(ADDRESS(ROW() - 2, COLUMN())) = 9, 62.8565, IF(INDIRECT(ADDRESS(ROW() - 2, COLUMN())) = 10, 66.5539, IF(INDIRECT(ADDRESS(ROW() - 2, COLUMN())) = 11, 70.2514,0)))))))))))</f>
        <v>#VALUE!</v>
      </c>
      <c r="AGB7" s="88" t="str">
        <f> IF(INDIRECT(ADDRESS(ROW() - 2, COLUMN())) = 1, 45.8744, IF(INDIRECT(ADDRESS(ROW() - 2, COLUMN())) = 2, 49.315, IF(INDIRECT(ADDRESS(ROW() - 2, COLUMN())) = 3, 52.7556, IF(INDIRECT(ADDRESS(ROW() - 2, COLUMN())) = 4, 57.3429999999999, IF(INDIRECT(ADDRESS(ROW() - 2, COLUMN())) = 5, 60.7836, IF(INDIRECT(ADDRESS(ROW() - 2, COLUMN())) = 6, 64.2242, IF(INDIRECT(ADDRESS(ROW() - 2, COLUMN())) = 7, 68.8116, IF(INDIRECT(ADDRESS(ROW() - 2, COLUMN())) = 8, 73.399, IF(INDIRECT(ADDRESS(ROW() - 2, COLUMN())) = 9, 77.9865, IF(INDIRECT(ADDRESS(ROW() - 2, COLUMN())) = 10, 82.5739, IF(INDIRECT(ADDRESS(ROW() - 2, COLUMN())) = 11, 87.1614,0)))))))))))</f>
        <v>#VALUE!</v>
      </c>
      <c r="AGC7" s="88" t="str">
        <f> IF(INDIRECT(ADDRESS(ROW() - 2, COLUMN())) = 1, 58.4064, IF(INDIRECT(ADDRESS(ROW() - 2, COLUMN())) = 2, 62.7869, IF(INDIRECT(ADDRESS(ROW() - 2, COLUMN())) = 3, 67.1674, IF(INDIRECT(ADDRESS(ROW() - 2, COLUMN())) = 4, 73.008, IF(INDIRECT(ADDRESS(ROW() - 2, COLUMN())) = 5, 77.3885, IF(INDIRECT(ADDRESS(ROW() - 2, COLUMN())) = 6, 81.769, IF(INDIRECT(ADDRESS(ROW() - 2, COLUMN())) = 7, 87.6096, IF(INDIRECT(ADDRESS(ROW() - 2, COLUMN())) = 8, 93.4502, IF(INDIRECT(ADDRESS(ROW() - 2, COLUMN())) = 9, 99.2909, IF(INDIRECT(ADDRESS(ROW() - 2, COLUMN())) = 10, 105.1315, IF(INDIRECT(ADDRESS(ROW() - 2, COLUMN())) = 11, 110.9722,0)))))))))))</f>
        <v>#VALUE!</v>
      </c>
      <c r="AGD7" s="88" t="str">
        <f> IF(INDIRECT(ADDRESS(ROW() - 2, COLUMN())) = 1, 132, IF(INDIRECT(ADDRESS(ROW() - 2, COLUMN())) = 2, 141.9, IF(INDIRECT(ADDRESS(ROW() - 2, COLUMN())) = 3, 151.8, IF(INDIRECT(ADDRESS(ROW() - 2, COLUMN())) = 4, 165, IF(INDIRECT(ADDRESS(ROW() - 2, COLUMN())) = 5, 174.9, IF(INDIRECT(ADDRESS(ROW() - 2, COLUMN())) = 6, 184.8, IF(INDIRECT(ADDRESS(ROW() - 2, COLUMN())) = 7, 198, IF(INDIRECT(ADDRESS(ROW() - 2, COLUMN())) = 8, 211.2, IF(INDIRECT(ADDRESS(ROW() - 2, COLUMN())) = 9, 224.4, IF(INDIRECT(ADDRESS(ROW() - 2, COLUMN())) = 10, 237.6, IF(INDIRECT(ADDRESS(ROW() - 2, COLUMN())) = 11, 250.8,0)))))))))))</f>
        <v>#VALUE!</v>
      </c>
      <c r="AGE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AGF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AGG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AGH7" s="88" t="str">
        <f> IF(INDIRECT(ADDRESS(ROW() - 2, COLUMN())) = 1, 98.4, IF(INDIRECT(ADDRESS(ROW() - 2, COLUMN())) = 2, 105.78, IF(INDIRECT(ADDRESS(ROW() - 2, COLUMN())) = 3, 113.16, IF(INDIRECT(ADDRESS(ROW() - 2, COLUMN())) = 4, 123, IF(INDIRECT(ADDRESS(ROW() - 2, COLUMN())) = 5, 130.38, IF(INDIRECT(ADDRESS(ROW() - 2, COLUMN())) = 6, 137.76, IF(INDIRECT(ADDRESS(ROW() - 2, COLUMN())) = 7, 147.6, IF(INDIRECT(ADDRESS(ROW() - 2, COLUMN())) = 8, 157.44, IF(INDIRECT(ADDRESS(ROW() - 2, COLUMN())) = 9, 167.28, IF(INDIRECT(ADDRESS(ROW() - 2, COLUMN())) = 10, 177.12, IF(INDIRECT(ADDRESS(ROW() - 2, COLUMN())) = 11, 186.959999999999, IF(INDIRECT(ADDRESS(ROW() - 2, COLUMN())) = 12, 196.8, IF(INDIRECT(ADDRESS(ROW() - 2, COLUMN())) = 13, 209.1,0)))))))))))))</f>
        <v>#VALUE!</v>
      </c>
      <c r="AGI7" s="88" t="str">
        <f> IF(INDIRECT(ADDRESS(ROW() - 2, COLUMN())) = 1, 130.4, IF(INDIRECT(ADDRESS(ROW() - 2, COLUMN())) = 2, 140.18, IF(INDIRECT(ADDRESS(ROW() - 2, COLUMN())) = 3, 149.96, IF(INDIRECT(ADDRESS(ROW() - 2, COLUMN())) = 4, 163, IF(INDIRECT(ADDRESS(ROW() - 2, COLUMN())) = 5, 172.78, IF(INDIRECT(ADDRESS(ROW() - 2, COLUMN())) = 6, 182.56, IF(INDIRECT(ADDRESS(ROW() - 2, COLUMN())) = 7, 195.6, IF(INDIRECT(ADDRESS(ROW() - 2, COLUMN())) = 8, 208.64, IF(INDIRECT(ADDRESS(ROW() - 2, COLUMN())) = 9, 221.68, IF(INDIRECT(ADDRESS(ROW() - 2, COLUMN())) = 10, 234.72, IF(INDIRECT(ADDRESS(ROW() - 2, COLUMN())) = 11, 247.76, IF(INDIRECT(ADDRESS(ROW() - 2, COLUMN())) = 12, 260.8, IF(INDIRECT(ADDRESS(ROW() - 2, COLUMN())) = 13, 277.099999999999,0)))))))))))))</f>
        <v>#VALUE!</v>
      </c>
      <c r="AGJ7" s="88" t="str">
        <f> IF(INDIRECT(ADDRESS(ROW() - 2, COLUMN())) = 1, 103.2, IF(INDIRECT(ADDRESS(ROW() - 2, COLUMN())) = 2, 110.94, IF(INDIRECT(ADDRESS(ROW() - 2, COLUMN())) = 3, 118.68, IF(INDIRECT(ADDRESS(ROW() - 2, COLUMN())) = 4, 129, IF(INDIRECT(ADDRESS(ROW() - 2, COLUMN())) = 5, 136.74, IF(INDIRECT(ADDRESS(ROW() - 2, COLUMN())) = 6, 144.48, IF(INDIRECT(ADDRESS(ROW() - 2, COLUMN())) = 7, 154.8, IF(INDIRECT(ADDRESS(ROW() - 2, COLUMN())) = 8, 165.12, IF(INDIRECT(ADDRESS(ROW() - 2, COLUMN())) = 9, 175.44, IF(INDIRECT(ADDRESS(ROW() - 2, COLUMN())) = 10, 185.76, IF(INDIRECT(ADDRESS(ROW() - 2, COLUMN())) = 11, 196.08, IF(INDIRECT(ADDRESS(ROW() - 2, COLUMN())) = 12, 206.4, IF(INDIRECT(ADDRESS(ROW() - 2, COLUMN())) = 13, 219.3,0)))))))))))))</f>
        <v>#VALUE!</v>
      </c>
      <c r="AGK7" s="88" t="str">
        <f> IF(INDIRECT(ADDRESS(ROW() - 2, COLUMN())) = 1, 44.73, IF(INDIRECT(ADDRESS(ROW() - 2, COLUMN())) = 2, 48.37, IF(INDIRECT(ADDRESS(ROW() - 2, COLUMN())) = 3, 52.0109999999999, IF(INDIRECT(ADDRESS(ROW() - 2, COLUMN())) = 4, 57.2119999999999, IF(INDIRECT(ADDRESS(ROW() - 2, COLUMN())) = 5, 60.853, IF(INDIRECT(ADDRESS(ROW() - 2, COLUMN())) = 6, 65.014, IF(INDIRECT(ADDRESS(ROW() - 2, COLUMN())) = 7, 70.735, IF(INDIRECT(ADDRESS(ROW() - 2, COLUMN())) = 8, 76.456, IF(INDIRECT(ADDRESS(ROW() - 2, COLUMN())) = 9, 82.177, IF(INDIRECT(ADDRESS(ROW() - 2, COLUMN())) = 10, 88.419, IF(INDIRECT(ADDRESS(ROW() - 2, COLUMN())) = 11, 94.66,0)))))))))))</f>
        <v>#VALUE!</v>
      </c>
      <c r="AGL7" s="88" t="str">
        <f> IF(INDIRECT(ADDRESS(ROW() - 2, COLUMN())) = 1, 42.186, IF(INDIRECT(ADDRESS(ROW() - 2, COLUMN())) = 2, 45.62, IF(INDIRECT(ADDRESS(ROW() - 2, COLUMN())) = 3, 49.0539999999999, IF(INDIRECT(ADDRESS(ROW() - 2, COLUMN())) = 4, 53.959, IF(INDIRECT(ADDRESS(ROW() - 2, COLUMN())) = 5, 57.393, IF(INDIRECT(ADDRESS(ROW() - 2, COLUMN())) = 6, 61.317, IF(INDIRECT(ADDRESS(ROW() - 2, COLUMN())) = 7, 66.713, IF(INDIRECT(ADDRESS(ROW() - 2, COLUMN())) = 8, 72.109, IF(INDIRECT(ADDRESS(ROW() - 2, COLUMN())) = 9, 77.505, IF(INDIRECT(ADDRESS(ROW() - 2, COLUMN())) = 10, 83.392, IF(INDIRECT(ADDRESS(ROW() - 2, COLUMN())) = 11, 89.278,0)))))))))))</f>
        <v>#VALUE!</v>
      </c>
      <c r="AGM7" s="88" t="str">
        <f> IF(INDIRECT(ADDRESS(ROW() - 2, COLUMN())) = 1, 53.163, IF(INDIRECT(ADDRESS(ROW() - 2, COLUMN())) = 2, 57.491, IF(INDIRECT(ADDRESS(ROW() - 2, COLUMN())) = 3, 61.818, IF(INDIRECT(ADDRESS(ROW() - 2, COLUMN())) = 4, 68, IF(INDIRECT(ADDRESS(ROW() - 2, COLUMN())) = 5, 72.327, IF(INDIRECT(ADDRESS(ROW() - 2, COLUMN())) = 6, 77.2719999999999, IF(INDIRECT(ADDRESS(ROW() - 2, COLUMN())) = 7, 84.073, IF(INDIRECT(ADDRESS(ROW() - 2, COLUMN())) = 8, 90.873, IF(INDIRECT(ADDRESS(ROW() - 2, COLUMN())) = 9, 97.672, IF(INDIRECT(ADDRESS(ROW() - 2, COLUMN())) = 10, 105.091, IF(INDIRECT(ADDRESS(ROW() - 2, COLUMN())) = 11, 112.508999999999,0)))))))))))</f>
        <v>#VALUE!</v>
      </c>
      <c r="AGN7" s="88" t="str">
        <f> IF(INDIRECT(ADDRESS(ROW() - 2, COLUMN())) = 1, 70.621, IF(INDIRECT(ADDRESS(ROW() - 2, COLUMN())) = 2, 76.369, IF(INDIRECT(ADDRESS(ROW() - 2, COLUMN())) = 3, 82.1169999999999, IF(INDIRECT(ADDRESS(ROW() - 2, COLUMN())) = 4, 90.329, IF(INDIRECT(ADDRESS(ROW() - 2, COLUMN())) = 5, 96.077, IF(INDIRECT(ADDRESS(ROW() - 2, COLUMN())) = 6, 102.645999999999, IF(INDIRECT(ADDRESS(ROW() - 2, COLUMN())) = 7, 111.679, IF(INDIRECT(ADDRESS(ROW() - 2, COLUMN())) = 8, 120.712, IF(INDIRECT(ADDRESS(ROW() - 2, COLUMN())) = 9, 129.745, IF(INDIRECT(ADDRESS(ROW() - 2, COLUMN())) = 10, 139.599, IF(INDIRECT(ADDRESS(ROW() - 2, COLUMN())) = 11, 149.453,0)))))))))))</f>
        <v>#VALUE!</v>
      </c>
      <c r="AGO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AGP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AGQ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120.266,0)))))))))))</f>
        <v>#VALUE!</v>
      </c>
      <c r="AGR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240.48,0)))))))))))</f>
        <v>#VALUE!</v>
      </c>
      <c r="AGS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300.373,0)))))))))))</f>
        <v>#VALUE!</v>
      </c>
      <c r="AGT7" s="88" t="str">
        <f> IF(INDIRECT(ADDRESS(ROW() - 2, COLUMN())) = 1, 148.8, IF(INDIRECT(ADDRESS(ROW() - 2, COLUMN())) = 2, 159.959999999999, IF(INDIRECT(ADDRESS(ROW() - 2, COLUMN())) = 3, 171.12, IF(INDIRECT(ADDRESS(ROW() - 2, COLUMN())) = 4, 186, IF(INDIRECT(ADDRESS(ROW() - 2, COLUMN())) = 5, 197.16, IF(INDIRECT(ADDRESS(ROW() - 2, COLUMN())) = 6, 208.32, IF(INDIRECT(ADDRESS(ROW() - 2, COLUMN())) = 7, 223.2, IF(INDIRECT(ADDRESS(ROW() - 2, COLUMN())) = 8, 238.079999999999, IF(INDIRECT(ADDRESS(ROW() - 2, COLUMN())) = 9, 252.959999999999, IF(INDIRECT(ADDRESS(ROW() - 2, COLUMN())) = 10, 267.84, IF(INDIRECT(ADDRESS(ROW() - 2, COLUMN())) = 11, 282.719999999999, IF(INDIRECT(ADDRESS(ROW() - 2, COLUMN())) = 12, 297.6, IF(INDIRECT(ADDRESS(ROW() - 2, COLUMN())) = 13, 316.2,0)))))))))))))</f>
        <v>#VALUE!</v>
      </c>
      <c r="AGU7" s="88" t="str">
        <f> IF(INDIRECT(ADDRESS(ROW() - 2, COLUMN())) = 1, 108, IF(INDIRECT(ADDRESS(ROW() - 2, COLUMN())) = 2, 116.1, IF(INDIRECT(ADDRESS(ROW() - 2, COLUMN())) = 3, 124.2, IF(INDIRECT(ADDRESS(ROW() - 2, COLUMN())) = 4, 135, IF(INDIRECT(ADDRESS(ROW() - 2, COLUMN())) = 5, 143.1, IF(INDIRECT(ADDRESS(ROW() - 2, COLUMN())) = 6, 151.2, IF(INDIRECT(ADDRESS(ROW() - 2, COLUMN())) = 7, 162, IF(INDIRECT(ADDRESS(ROW() - 2, COLUMN())) = 8, 172.8, IF(INDIRECT(ADDRESS(ROW() - 2, COLUMN())) = 9, 183.6, IF(INDIRECT(ADDRESS(ROW() - 2, COLUMN())) = 10, 194.4, IF(INDIRECT(ADDRESS(ROW() - 2, COLUMN())) = 11, 205.2, IF(INDIRECT(ADDRESS(ROW() - 2, COLUMN())) = 12, 216, IF(INDIRECT(ADDRESS(ROW() - 2, COLUMN())) = 13, 229.5,0)))))))))))))</f>
        <v>#VALUE!</v>
      </c>
      <c r="AGV7" s="88" t="str">
        <f> IF(INDIRECT(ADDRESS(ROW() - 2, COLUMN())) = 1, 377.599999999999, IF(INDIRECT(ADDRESS(ROW() - 2, COLUMN())) = 2, 405.919999999999, IF(INDIRECT(ADDRESS(ROW() - 2, COLUMN())) = 3, 434.239999999999, IF(INDIRECT(ADDRESS(ROW() - 2, COLUMN())) = 4, 472, IF(INDIRECT(ADDRESS(ROW() - 2, COLUMN())) = 5, 500.319999999999, IF(INDIRECT(ADDRESS(ROW() - 2, COLUMN())) = 6, 528.64, IF(INDIRECT(ADDRESS(ROW() - 2, COLUMN())) = 7, 566.4, IF(INDIRECT(ADDRESS(ROW() - 2, COLUMN())) = 8, 604.16, IF(INDIRECT(ADDRESS(ROW() - 2, COLUMN())) = 9, 641.92, IF(INDIRECT(ADDRESS(ROW() - 2, COLUMN())) = 10, 679.68, IF(INDIRECT(ADDRESS(ROW() - 2, COLUMN())) = 11, 717.44, IF(INDIRECT(ADDRESS(ROW() - 2, COLUMN())) = 12, 755.199999999999, IF(INDIRECT(ADDRESS(ROW() - 2, COLUMN())) = 13, 802.399999999999,0)))))))))))))</f>
        <v>#VALUE!</v>
      </c>
      <c r="AGW7" s="196" t="str">
        <f> IF(INDIRECT(ADDRESS(ROW() - 2, COLUMN())) = 1, 68.714, IF(INDIRECT(ADDRESS(ROW() - 2, COLUMN())) = 2, 74.307, IF(INDIRECT(ADDRESS(ROW() - 2, COLUMN())) = 3, 79.9, IF(INDIRECT(ADDRESS(ROW() - 2, COLUMN())) = 4, 87.89, IF(INDIRECT(ADDRESS(ROW() - 2, COLUMN())) = 5, 93.483, IF(INDIRECT(ADDRESS(ROW() - 2, COLUMN())) = 6, 99.875, IF(INDIRECT(ADDRESS(ROW() - 2, COLUMN())) = 7, 108.664, IF(INDIRECT(ADDRESS(ROW() - 2, COLUMN())) = 8, 117.453, IF(INDIRECT(ADDRESS(ROW() - 2, COLUMN())) = 9, 126.242, IF(INDIRECT(ADDRESS(ROW() - 2, COLUMN())) = 10, 135.83, IF(INDIRECT(ADDRESS(ROW() - 2, COLUMN())) = 11, 145.418,0)))))))))))</f>
        <v>#VALUE!</v>
      </c>
      <c r="AGX7" s="196" t="str">
        <f> IF(INDIRECT(ADDRESS(ROW() - 2, COLUMN())) = 1, 65.0159999999999, IF(INDIRECT(ADDRESS(ROW() - 2, COLUMN())) = 2, 70.308, IF(INDIRECT(ADDRESS(ROW() - 2, COLUMN())) = 3, 75.6, IF(INDIRECT(ADDRESS(ROW() - 2, COLUMN())) = 4, 83.16, IF(INDIRECT(ADDRESS(ROW() - 2, COLUMN())) = 5, 88.452, IF(INDIRECT(ADDRESS(ROW() - 2, COLUMN())) = 6, 94.5, IF(INDIRECT(ADDRESS(ROW() - 2, COLUMN())) = 7, 102.816, IF(INDIRECT(ADDRESS(ROW() - 2, COLUMN())) = 8, 111.132, IF(INDIRECT(ADDRESS(ROW() - 2, COLUMN())) = 9, 119.448, IF(INDIRECT(ADDRESS(ROW() - 2, COLUMN())) = 10, 128.519999999999, IF(INDIRECT(ADDRESS(ROW() - 2, COLUMN())) = 11, 137.592,0)))))))))))</f>
        <v>#VALUE!</v>
      </c>
      <c r="AGY7" s="196" t="str">
        <f> IF(INDIRECT(ADDRESS(ROW() - 2, COLUMN())) = 1, 47.644, IF(INDIRECT(ADDRESS(ROW() - 2, COLUMN())) = 2, 51.522, IF(INDIRECT(ADDRESS(ROW() - 2, COLUMN())) = 3, 55.4, IF(INDIRECT(ADDRESS(ROW() - 2, COLUMN())) = 4, 60.94, IF(INDIRECT(ADDRESS(ROW() - 2, COLUMN())) = 5, 64.818, IF(INDIRECT(ADDRESS(ROW() - 2, COLUMN())) = 6, 69.25, IF(INDIRECT(ADDRESS(ROW() - 2, COLUMN())) = 7, 75.344, IF(INDIRECT(ADDRESS(ROW() - 2, COLUMN())) = 8, 81.438, IF(INDIRECT(ADDRESS(ROW() - 2, COLUMN())) = 9, 87.532, IF(INDIRECT(ADDRESS(ROW() - 2, COLUMN())) = 10, 94.1799999999999, IF(INDIRECT(ADDRESS(ROW() - 2, COLUMN())) = 11, 100.828,0)))))))))))</f>
        <v>#VALUE!</v>
      </c>
      <c r="AGZ7" s="196" t="str">
        <f> IF(INDIRECT(ADDRESS(ROW() - 2, COLUMN())) = 1, 132.079999999999, IF(INDIRECT(ADDRESS(ROW() - 2, COLUMN())) = 2, 141.986, IF(INDIRECT(ADDRESS(ROW() - 2, COLUMN())) = 3, 151.892, IF(INDIRECT(ADDRESS(ROW() - 2, COLUMN())) = 4, 165.1, IF(INDIRECT(ADDRESS(ROW() - 2, COLUMN())) = 5, 175.006, IF(INDIRECT(ADDRESS(ROW() - 2, COLUMN())) = 6, 184.912, IF(INDIRECT(ADDRESS(ROW() - 2, COLUMN())) = 7, 198.12, IF(INDIRECT(ADDRESS(ROW() - 2, COLUMN())) = 8, 211.328, IF(INDIRECT(ADDRESS(ROW() - 2, COLUMN())) = 9, 224.535999999999, IF(INDIRECT(ADDRESS(ROW() - 2, COLUMN())) = 10, 237.744, IF(INDIRECT(ADDRESS(ROW() - 2, COLUMN())) = 11, 250.952,0)))))))))))</f>
        <v>#VALUE!</v>
      </c>
      <c r="AHA7" s="88" t="str">
        <f> IF(INDIRECT(ADDRESS(ROW() - 2, COLUMN())) = 1, 68.714, IF(INDIRECT(ADDRESS(ROW() - 2, COLUMN())) = 2, 74.307, IF(INDIRECT(ADDRESS(ROW() - 2, COLUMN())) = 3, 79.9, IF(INDIRECT(ADDRESS(ROW() - 2, COLUMN())) = 4, 87.89, IF(INDIRECT(ADDRESS(ROW() - 2, COLUMN())) = 5, 93.483, IF(INDIRECT(ADDRESS(ROW() - 2, COLUMN())) = 6, 99.875, IF(INDIRECT(ADDRESS(ROW() - 2, COLUMN())) = 7, 108.664, IF(INDIRECT(ADDRESS(ROW() - 2, COLUMN())) = 8, 117.453, IF(INDIRECT(ADDRESS(ROW() - 2, COLUMN())) = 9, 126.242, IF(INDIRECT(ADDRESS(ROW() - 2, COLUMN())) = 10, 135.83, IF(INDIRECT(ADDRESS(ROW() - 2, COLUMN())) = 11, 145.418,0)))))))))))</f>
        <v>#VALUE!</v>
      </c>
      <c r="AHB7" s="88" t="str">
        <f> IF(INDIRECT(ADDRESS(ROW() - 2, COLUMN())) = 1, 65.0159999999999, IF(INDIRECT(ADDRESS(ROW() - 2, COLUMN())) = 2, 70.308, IF(INDIRECT(ADDRESS(ROW() - 2, COLUMN())) = 3, 75.6, IF(INDIRECT(ADDRESS(ROW() - 2, COLUMN())) = 4, 83.16, IF(INDIRECT(ADDRESS(ROW() - 2, COLUMN())) = 5, 88.452, IF(INDIRECT(ADDRESS(ROW() - 2, COLUMN())) = 6, 94.5, IF(INDIRECT(ADDRESS(ROW() - 2, COLUMN())) = 7, 102.816, IF(INDIRECT(ADDRESS(ROW() - 2, COLUMN())) = 8, 111.132, IF(INDIRECT(ADDRESS(ROW() - 2, COLUMN())) = 9, 119.448, IF(INDIRECT(ADDRESS(ROW() - 2, COLUMN())) = 10, 128.519999999999, IF(INDIRECT(ADDRESS(ROW() - 2, COLUMN())) = 11, 137.592,0)))))))))))</f>
        <v>#VALUE!</v>
      </c>
      <c r="AHC7" s="88" t="str">
        <f> IF(INDIRECT(ADDRESS(ROW() - 2, COLUMN())) = 1, 47.644, IF(INDIRECT(ADDRESS(ROW() - 2, COLUMN())) = 2, 51.522, IF(INDIRECT(ADDRESS(ROW() - 2, COLUMN())) = 3, 55.4, IF(INDIRECT(ADDRESS(ROW() - 2, COLUMN())) = 4, 60.94, IF(INDIRECT(ADDRESS(ROW() - 2, COLUMN())) = 5, 64.818, IF(INDIRECT(ADDRESS(ROW() - 2, COLUMN())) = 6, 69.25, IF(INDIRECT(ADDRESS(ROW() - 2, COLUMN())) = 7, 75.344, IF(INDIRECT(ADDRESS(ROW() - 2, COLUMN())) = 8, 81.438, IF(INDIRECT(ADDRESS(ROW() - 2, COLUMN())) = 9, 87.532, IF(INDIRECT(ADDRESS(ROW() - 2, COLUMN())) = 10, 94.1799999999999, IF(INDIRECT(ADDRESS(ROW() - 2, COLUMN())) = 11, 100.828,0)))))))))))</f>
        <v>#VALUE!</v>
      </c>
      <c r="AHD7" s="88" t="str">
        <f> IF(INDIRECT(ADDRESS(ROW() - 2, COLUMN())) = 1, 132.079999999999, IF(INDIRECT(ADDRESS(ROW() - 2, COLUMN())) = 2, 141.986, IF(INDIRECT(ADDRESS(ROW() - 2, COLUMN())) = 3, 151.892, IF(INDIRECT(ADDRESS(ROW() - 2, COLUMN())) = 4, 165.1, IF(INDIRECT(ADDRESS(ROW() - 2, COLUMN())) = 5, 175.006, IF(INDIRECT(ADDRESS(ROW() - 2, COLUMN())) = 6, 184.912, IF(INDIRECT(ADDRESS(ROW() - 2, COLUMN())) = 7, 198.12, IF(INDIRECT(ADDRESS(ROW() - 2, COLUMN())) = 8, 211.328, IF(INDIRECT(ADDRESS(ROW() - 2, COLUMN())) = 9, 224.535999999999, IF(INDIRECT(ADDRESS(ROW() - 2, COLUMN())) = 10, 237.744, IF(INDIRECT(ADDRESS(ROW() - 2, COLUMN())) = 11, 250.952,0)))))))))))</f>
        <v>#VALUE!</v>
      </c>
      <c r="AHE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120.266,0)))))))))))</f>
        <v>#VALUE!</v>
      </c>
      <c r="AHF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240.48,0)))))))))))</f>
        <v>#VALUE!</v>
      </c>
      <c r="AHG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300.373,0)))))))))))</f>
        <v>#VALUE!</v>
      </c>
      <c r="AHH7" s="88" t="str">
        <f> IF(INDIRECT(ADDRESS(ROW() - 2, COLUMN())) = 1, 95.1999999999999, IF(INDIRECT(ADDRESS(ROW() - 2, COLUMN())) = 2, 102.34, IF(INDIRECT(ADDRESS(ROW() - 2, COLUMN())) = 3, 109.48, IF(INDIRECT(ADDRESS(ROW() - 2, COLUMN())) = 4, 119, IF(INDIRECT(ADDRESS(ROW() - 2, COLUMN())) = 5, 126.14, IF(INDIRECT(ADDRESS(ROW() - 2, COLUMN())) = 6, 133.28, IF(INDIRECT(ADDRESS(ROW() - 2, COLUMN())) = 7, 142.799999999999, IF(INDIRECT(ADDRESS(ROW() - 2, COLUMN())) = 8, 152.32, IF(INDIRECT(ADDRESS(ROW() - 2, COLUMN())) = 9, 161.84, IF(INDIRECT(ADDRESS(ROW() - 2, COLUMN())) = 10, 171.36, IF(INDIRECT(ADDRESS(ROW() - 2, COLUMN())) = 11, 180.88, IF(INDIRECT(ADDRESS(ROW() - 2, COLUMN())) = 12, 190.399999999999, IF(INDIRECT(ADDRESS(ROW() - 2, COLUMN())) = 13, 202.3,0)))))))))))))</f>
        <v>#VALUE!</v>
      </c>
      <c r="AHI7" s="88" t="str">
        <f> IF(INDIRECT(ADDRESS(ROW() - 2, COLUMN())) = 1, 147.2, IF(INDIRECT(ADDRESS(ROW() - 2, COLUMN())) = 2, 158.24, IF(INDIRECT(ADDRESS(ROW() - 2, COLUMN())) = 3, 169.28, IF(INDIRECT(ADDRESS(ROW() - 2, COLUMN())) = 4, 184, IF(INDIRECT(ADDRESS(ROW() - 2, COLUMN())) = 5, 195.04, IF(INDIRECT(ADDRESS(ROW() - 2, COLUMN())) = 6, 206.079999999999, IF(INDIRECT(ADDRESS(ROW() - 2, COLUMN())) = 7, 220.8, IF(INDIRECT(ADDRESS(ROW() - 2, COLUMN())) = 8, 235.519999999999, IF(INDIRECT(ADDRESS(ROW() - 2, COLUMN())) = 9, 250.24, IF(INDIRECT(ADDRESS(ROW() - 2, COLUMN())) = 10, 264.96, IF(INDIRECT(ADDRESS(ROW() - 2, COLUMN())) = 11, 279.68, IF(INDIRECT(ADDRESS(ROW() - 2, COLUMN())) = 12, 294.4, IF(INDIRECT(ADDRESS(ROW() - 2, COLUMN())) = 13, 312.8,0)))))))))))))</f>
        <v>#VALUE!</v>
      </c>
      <c r="AHJ7" s="88">
        <f>35</f>
        <v>35</v>
      </c>
      <c r="AHK7" s="88" t="str">
        <f> IF(INDIRECT(ADDRESS(ROW() - 2, COLUMN())) = 1, 49.5259999999999, IF(INDIRECT(ADDRESS(ROW() - 2, COLUMN())) = 2, 53.557, IF(INDIRECT(ADDRESS(ROW() - 2, COLUMN())) = 3, 57.5879999999999, IF(INDIRECT(ADDRESS(ROW() - 2, COLUMN())) = 4, 63.3469999999999, IF(INDIRECT(ADDRESS(ROW() - 2, COLUMN())) = 5, 67.378, IF(INDIRECT(ADDRESS(ROW() - 2, COLUMN())) = 6, 71.985, IF(INDIRECT(ADDRESS(ROW() - 2, COLUMN())) = 7, 78.32, IF(INDIRECT(ADDRESS(ROW() - 2, COLUMN())) = 8, 84.654, IF(INDIRECT(ADDRESS(ROW() - 2, COLUMN())) = 9, 90.989, IF(INDIRECT(ADDRESS(ROW() - 2, COLUMN())) = 10, 97.8999999999999, IF(INDIRECT(ADDRESS(ROW() - 2, COLUMN())) = 11, 104.81,0)))))))))))</f>
        <v>#VALUE!</v>
      </c>
      <c r="AHL7" s="88" t="str">
        <f> IF(INDIRECT(ADDRESS(ROW() - 2, COLUMN())) = 1, 50.749, IF(INDIRECT(ADDRESS(ROW() - 2, COLUMN())) = 2, 54.8799999999999, IF(INDIRECT(ADDRESS(ROW() - 2, COLUMN())) = 3, 59.011, IF(INDIRECT(ADDRESS(ROW() - 2, COLUMN())) = 4, 64.912, IF(INDIRECT(ADDRESS(ROW() - 2, COLUMN())) = 5, 69.0429999999999, IF(INDIRECT(ADDRESS(ROW() - 2, COLUMN())) = 6, 73.764, IF(INDIRECT(ADDRESS(ROW() - 2, COLUMN())) = 7, 80.255, IF(INDIRECT(ADDRESS(ROW() - 2, COLUMN())) = 8, 86.746, IF(INDIRECT(ADDRESS(ROW() - 2, COLUMN())) = 9, 93.237, IF(INDIRECT(ADDRESS(ROW() - 2, COLUMN())) = 10, 100.319, IF(INDIRECT(ADDRESS(ROW() - 2, COLUMN())) = 11, 107.4,0)))))))))))</f>
        <v>#VALUE!</v>
      </c>
      <c r="AHM7" s="88" t="str">
        <f> IF(INDIRECT(ADDRESS(ROW() - 2, COLUMN())) = 1, 34.1789999999999, IF(INDIRECT(ADDRESS(ROW() - 2, COLUMN())) = 2, 36.961, IF(INDIRECT(ADDRESS(ROW() - 2, COLUMN())) = 3, 39.742, IF(INDIRECT(ADDRESS(ROW() - 2, COLUMN())) = 4, 43.717, IF(INDIRECT(ADDRESS(ROW() - 2, COLUMN())) = 5, 46.499, IF(INDIRECT(ADDRESS(ROW() - 2, COLUMN())) = 6, 49.678, IF(INDIRECT(ADDRESS(ROW() - 2, COLUMN())) = 7, 54.05, IF(INDIRECT(ADDRESS(ROW() - 2, COLUMN())) = 8, 58.421, IF(INDIRECT(ADDRESS(ROW() - 2, COLUMN())) = 9, 62.793, IF(INDIRECT(ADDRESS(ROW() - 2, COLUMN())) = 10, 67.562, IF(INDIRECT(ADDRESS(ROW() - 2, COLUMN())) = 11, 72.331,0)))))))))))</f>
        <v>#VALUE!</v>
      </c>
      <c r="AHN7" s="88" t="str">
        <f> IF(INDIRECT(ADDRESS(ROW() - 2, COLUMN())) = 1, 66.768, IF(INDIRECT(ADDRESS(ROW() - 2, COLUMN())) = 2, 72.202, IF(INDIRECT(ADDRESS(ROW() - 2, COLUMN())) = 3, 77.637, IF(INDIRECT(ADDRESS(ROW() - 2, COLUMN())) = 4, 85.401, IF(INDIRECT(ADDRESS(ROW() - 2, COLUMN())) = 5, 90.835, IF(INDIRECT(ADDRESS(ROW() - 2, COLUMN())) = 6, 97.0459999999999, IF(INDIRECT(ADDRESS(ROW() - 2, COLUMN())) = 7, 105.586, IF(INDIRECT(ADDRESS(ROW() - 2, COLUMN())) = 8, 114.125999999999, IF(INDIRECT(ADDRESS(ROW() - 2, COLUMN())) = 9, 122.666999999999, IF(INDIRECT(ADDRESS(ROW() - 2, COLUMN())) = 10, 131.983, IF(INDIRECT(ADDRESS(ROW() - 2, COLUMN())) = 11, 141.299,0)))))))))))</f>
        <v>#VALUE!</v>
      </c>
      <c r="AHO7" s="88" t="str">
        <f> IF(INDIRECT(ADDRESS(ROW() - 2, COLUMN())) = 1, 83.851, IF(INDIRECT(ADDRESS(ROW() - 2, COLUMN())) = 2, 90.676, IF(INDIRECT(ADDRESS(ROW() - 2, COLUMN())) = 3, 97.501, IF(INDIRECT(ADDRESS(ROW() - 2, COLUMN())) = 4, 107.251, IF(INDIRECT(ADDRESS(ROW() - 2, COLUMN())) = 5, 114.076, IF(INDIRECT(ADDRESS(ROW() - 2, COLUMN())) = 6, 121.876, IF(INDIRECT(ADDRESS(ROW() - 2, COLUMN())) = 7, 132.601, IF(INDIRECT(ADDRESS(ROW() - 2, COLUMN())) = 8, 143.326, IF(INDIRECT(ADDRESS(ROW() - 2, COLUMN())) = 9, 154.052, IF(INDIRECT(ADDRESS(ROW() - 2, COLUMN())) = 10, 165.752, IF(INDIRECT(ADDRESS(ROW() - 2, COLUMN())) = 11, 177.452,0)))))))))))</f>
        <v>#VALUE!</v>
      </c>
      <c r="AHP7" s="88" t="str">
        <f> IF(INDIRECT(ADDRESS(ROW() - 2, COLUMN())) = 1, 55.2549999999999, IF(INDIRECT(ADDRESS(ROW() - 2, COLUMN())) = 2, 59.753, IF(INDIRECT(ADDRESS(ROW() - 2, COLUMN())) = 3, 64.25, IF(INDIRECT(ADDRESS(ROW() - 2, COLUMN())) = 4, 70.675, IF(INDIRECT(ADDRESS(ROW() - 2, COLUMN())) = 5, 75.173, IF(INDIRECT(ADDRESS(ROW() - 2, COLUMN())) = 6, 80.313, IF(INDIRECT(ADDRESS(ROW() - 2, COLUMN())) = 7, 87.38, IF(INDIRECT(ADDRESS(ROW() - 2, COLUMN())) = 8, 94.447, IF(INDIRECT(ADDRESS(ROW() - 2, COLUMN())) = 9, 101.515, IF(INDIRECT(ADDRESS(ROW() - 2, COLUMN())) = 10, 109.225, IF(INDIRECT(ADDRESS(ROW() - 2, COLUMN())) = 11, 116.934999999999,0)))))))))))</f>
        <v>#VALUE!</v>
      </c>
      <c r="AHQ7" s="88" t="str">
        <f> IF(INDIRECT(ADDRESS(ROW() - 2, COLUMN())) = 1, 63.932, IF(INDIRECT(ADDRESS(ROW() - 2, COLUMN())) = 2, 69.136, IF(INDIRECT(ADDRESS(ROW() - 2, COLUMN())) = 3, 74.3399999999999, IF(INDIRECT(ADDRESS(ROW() - 2, COLUMN())) = 4, 81.774, IF(INDIRECT(ADDRESS(ROW() - 2, COLUMN())) = 5, 86.978, IF(INDIRECT(ADDRESS(ROW() - 2, COLUMN())) = 6, 92.925, IF(INDIRECT(ADDRESS(ROW() - 2, COLUMN())) = 7, 101.102, IF(INDIRECT(ADDRESS(ROW() - 2, COLUMN())) = 8, 109.28, IF(INDIRECT(ADDRESS(ROW() - 2, COLUMN())) = 9, 117.457, IF(INDIRECT(ADDRESS(ROW() - 2, COLUMN())) = 10, 126.377999999999, IF(INDIRECT(ADDRESS(ROW() - 2, COLUMN())) = 11, 135.298999999999,0)))))))))))</f>
        <v>#VALUE!</v>
      </c>
      <c r="AHR7" s="88" t="str">
        <f> IF(INDIRECT(ADDRESS(ROW() - 2, COLUMN())) = 1, 127.838, IF(INDIRECT(ADDRESS(ROW() - 2, COLUMN())) = 2, 138.243, IF(INDIRECT(ADDRESS(ROW() - 2, COLUMN())) = 3, 148.649, IF(INDIRECT(ADDRESS(ROW() - 2, COLUMN())) = 4, 163.513, IF(INDIRECT(ADDRESS(ROW() - 2, COLUMN())) = 5, 173.919, IF(INDIRECT(ADDRESS(ROW() - 2, COLUMN())) = 6, 185.810999999999, IF(INDIRECT(ADDRESS(ROW() - 2, COLUMN())) = 7, 202.162, IF(INDIRECT(ADDRESS(ROW() - 2, COLUMN())) = 8, 218.513, IF(INDIRECT(ADDRESS(ROW() - 2, COLUMN())) = 9, 234.865, IF(INDIRECT(ADDRESS(ROW() - 2, COLUMN())) = 10, 252.701999999999, IF(INDIRECT(ADDRESS(ROW() - 2, COLUMN())) = 11, 270.54,0)))))))))))</f>
        <v>#VALUE!</v>
      </c>
      <c r="AHS7" s="88" t="str">
        <f> IF(INDIRECT(ADDRESS(ROW() - 2, COLUMN())) = 1, 159.676, IF(INDIRECT(ADDRESS(ROW() - 2, COLUMN())) = 2, 172.673, IF(INDIRECT(ADDRESS(ROW() - 2, COLUMN())) = 3, 185.67, IF(INDIRECT(ADDRESS(ROW() - 2, COLUMN())) = 4, 204.237, IF(INDIRECT(ADDRESS(ROW() - 2, COLUMN())) = 5, 217.234, IF(INDIRECT(ADDRESS(ROW() - 2, COLUMN())) = 6, 232.087, IF(INDIRECT(ADDRESS(ROW() - 2, COLUMN())) = 7, 252.511, IF(INDIRECT(ADDRESS(ROW() - 2, COLUMN())) = 8, 272.935, IF(INDIRECT(ADDRESS(ROW() - 2, COLUMN())) = 9, 293.359, IF(INDIRECT(ADDRESS(ROW() - 2, COLUMN())) = 10, 315.639, IF(INDIRECT(ADDRESS(ROW() - 2, COLUMN())) = 11, 337.919,0)))))))))))</f>
        <v>#VALUE!</v>
      </c>
      <c r="AHT7" s="88" t="str">
        <f> IF(INDIRECT(ADDRESS(ROW() - 2, COLUMN())) = 1, 193.6, IF(INDIRECT(ADDRESS(ROW() - 2, COLUMN())) = 2, 208.12, IF(INDIRECT(ADDRESS(ROW() - 2, COLUMN())) = 3, 222.64, IF(INDIRECT(ADDRESS(ROW() - 2, COLUMN())) = 4, 242, IF(INDIRECT(ADDRESS(ROW() - 2, COLUMN())) = 5, 256.52, IF(INDIRECT(ADDRESS(ROW() - 2, COLUMN())) = 6, 271.039999999999, IF(INDIRECT(ADDRESS(ROW() - 2, COLUMN())) = 7, 290.4, IF(INDIRECT(ADDRESS(ROW() - 2, COLUMN())) = 8, 309.76, IF(INDIRECT(ADDRESS(ROW() - 2, COLUMN())) = 9, 329.12, IF(INDIRECT(ADDRESS(ROW() - 2, COLUMN())) = 10, 348.48, IF(INDIRECT(ADDRESS(ROW() - 2, COLUMN())) = 11, 367.84, IF(INDIRECT(ADDRESS(ROW() - 2, COLUMN())) = 12, 387.2, IF(INDIRECT(ADDRESS(ROW() - 2, COLUMN())) = 13, 411.4,0)))))))))))))</f>
        <v>#VALUE!</v>
      </c>
      <c r="AHU7" s="88" t="str">
        <f t="shared" ref="AHU7:AHW7" si="464"> IF(INDIRECT(ADDRESS(ROW() - 2, COLUMN())) = 1, 67.2, IF(INDIRECT(ADDRESS(ROW() - 2, COLUMN())) = 2, 72.24, IF(INDIRECT(ADDRESS(ROW() - 2, COLUMN())) = 3, 77.28, IF(INDIRECT(ADDRESS(ROW() - 2, COLUMN())) = 4, 84, IF(INDIRECT(ADDRESS(ROW() - 2, COLUMN())) = 5, 89.0399999999999, IF(INDIRECT(ADDRESS(ROW() - 2, COLUMN())) = 6, 94.08, IF(INDIRECT(ADDRESS(ROW() - 2, COLUMN())) = 7, 100.8, IF(INDIRECT(ADDRESS(ROW() - 2, COLUMN())) = 8, 107.52, IF(INDIRECT(ADDRESS(ROW() - 2, COLUMN())) = 9, 114.24, IF(INDIRECT(ADDRESS(ROW() - 2, COLUMN())) = 10, 120.96, IF(INDIRECT(ADDRESS(ROW() - 2, COLUMN())) = 11, 127.679999999999, IF(INDIRECT(ADDRESS(ROW() - 2, COLUMN())) = 12, 134.4, IF(INDIRECT(ADDRESS(ROW() - 2, COLUMN())) = 13, 142.799999999999,0)))))))))))))</f>
        <v>#VALUE!</v>
      </c>
      <c r="AHV7" s="88" t="str">
        <f t="shared" si="464"/>
        <v>#VALUE!</v>
      </c>
      <c r="AHW7" s="88" t="str">
        <f t="shared" si="464"/>
        <v>#VALUE!</v>
      </c>
      <c r="AHX7" s="88" t="str">
        <f> IF(INDIRECT(ADDRESS(ROW() - 2, COLUMN())) = 1, 121.6, IF(INDIRECT(ADDRESS(ROW() - 2, COLUMN())) = 2, 130.72, IF(INDIRECT(ADDRESS(ROW() - 2, COLUMN())) = 3, 139.84, IF(INDIRECT(ADDRESS(ROW() - 2, COLUMN())) = 4, 152, IF(INDIRECT(ADDRESS(ROW() - 2, COLUMN())) = 5, 161.12, IF(INDIRECT(ADDRESS(ROW() - 2, COLUMN())) = 6, 170.239999999999, IF(INDIRECT(ADDRESS(ROW() - 2, COLUMN())) = 7, 182.4, IF(INDIRECT(ADDRESS(ROW() - 2, COLUMN())) = 8, 194.56, IF(INDIRECT(ADDRESS(ROW() - 2, COLUMN())) = 9, 206.72, IF(INDIRECT(ADDRESS(ROW() - 2, COLUMN())) = 10, 218.88, IF(INDIRECT(ADDRESS(ROW() - 2, COLUMN())) = 11, 231.04, IF(INDIRECT(ADDRESS(ROW() - 2, COLUMN())) = 12, 243.2, IF(INDIRECT(ADDRESS(ROW() - 2, COLUMN())) = 13, 258.4,0)))))))))))))</f>
        <v>#VALUE!</v>
      </c>
      <c r="AHY7" s="88" t="str">
        <f t="shared" ref="AHY7:AHZ7" si="465"> IF(INDIRECT(ADDRESS(ROW() - 2, COLUMN())) = 1, 47.443, IF(INDIRECT(ADDRESS(ROW() - 2, COLUMN())) = 2, 51.304, IF(INDIRECT(ADDRESS(ROW() - 2, COLUMN())) = 3, 55.166, IF(INDIRECT(ADDRESS(ROW() - 2, COLUMN())) = 4, 60.683, IF(INDIRECT(ADDRESS(ROW() - 2, COLUMN())) = 5, 64.544, IF(INDIRECT(ADDRESS(ROW() - 2, COLUMN())) = 6, 68.958, IF(INDIRECT(ADDRESS(ROW() - 2, COLUMN())) = 7, 75.026, IF(INDIRECT(ADDRESS(ROW() - 2, COLUMN())) = 8, 81.094, IF(INDIRECT(ADDRESS(ROW() - 2, COLUMN())) = 9, 87.1619999999999, IF(INDIRECT(ADDRESS(ROW() - 2, COLUMN())) = 10, 93.782, IF(INDIRECT(ADDRESS(ROW() - 2, COLUMN())) = 11, 100.401999999999,0)))))))))))</f>
        <v>#VALUE!</v>
      </c>
      <c r="AHZ7" s="88" t="str">
        <f t="shared" si="465"/>
        <v>#VALUE!</v>
      </c>
      <c r="AIA7" s="88" t="str">
        <f> IF(INDIRECT(ADDRESS(ROW() - 2, COLUMN())) = 1, 31.377, IF(INDIRECT(ADDRESS(ROW() - 2, COLUMN())) = 2, 33.931, IF(INDIRECT(ADDRESS(ROW() - 2, COLUMN())) = 3, 36.485, IF(INDIRECT(ADDRESS(ROW() - 2, COLUMN())) = 4, 40.134, IF(INDIRECT(ADDRESS(ROW() - 2, COLUMN())) = 5, 42.687, IF(INDIRECT(ADDRESS(ROW() - 2, COLUMN())) = 6, 45.606, IF(INDIRECT(ADDRESS(ROW() - 2, COLUMN())) = 7, 49.62, IF(INDIRECT(ADDRESS(ROW() - 2, COLUMN())) = 8, 53.6329999999999, IF(INDIRECT(ADDRESS(ROW() - 2, COLUMN())) = 9, 57.646, IF(INDIRECT(ADDRESS(ROW() - 2, COLUMN())) = 10, 62.024, IF(INDIRECT(ADDRESS(ROW() - 2, COLUMN())) = 11, 66.403,0)))))))))))</f>
        <v>#VALUE!</v>
      </c>
      <c r="AIB7" s="88" t="str">
        <f> IF(INDIRECT(ADDRESS(ROW() - 2, COLUMN())) = 1, 32.946, IF(INDIRECT(ADDRESS(ROW() - 2, COLUMN())) = 2, 35.6269999999999, IF(INDIRECT(ADDRESS(ROW() - 2, COLUMN())) = 3, 38.309, IF(INDIRECT(ADDRESS(ROW() - 2, COLUMN())) = 4, 42.14, IF(INDIRECT(ADDRESS(ROW() - 2, COLUMN())) = 5, 44.822, IF(INDIRECT(ADDRESS(ROW() - 2, COLUMN())) = 6, 47.886, IF(INDIRECT(ADDRESS(ROW() - 2, COLUMN())) = 7, 52.1, IF(INDIRECT(ADDRESS(ROW() - 2, COLUMN())) = 8, 56.314, IF(INDIRECT(ADDRESS(ROW() - 2, COLUMN())) = 9, 60.528, IF(INDIRECT(ADDRESS(ROW() - 2, COLUMN())) = 10, 65.125, IF(INDIRECT(ADDRESS(ROW() - 2, COLUMN())) = 11, 69.722,0)))))))))))</f>
        <v>#VALUE!</v>
      </c>
      <c r="AIC7" s="88" t="str">
        <f> IF(INDIRECT(ADDRESS(ROW() - 2, COLUMN())) = 1, 77.931, IF(INDIRECT(ADDRESS(ROW() - 2, COLUMN())) = 2, 84.275, IF(INDIRECT(ADDRESS(ROW() - 2, COLUMN())) = 3, 90.618, IF(INDIRECT(ADDRESS(ROW() - 2, COLUMN())) = 4, 99.68, IF(INDIRECT(ADDRESS(ROW() - 2, COLUMN())) = 5, 106.023, IF(INDIRECT(ADDRESS(ROW() - 2, COLUMN())) = 6, 113.273, IF(INDIRECT(ADDRESS(ROW() - 2, COLUMN())) = 7, 123.24, IF(INDIRECT(ADDRESS(ROW() - 2, COLUMN())) = 8, 133.209, IF(INDIRECT(ADDRESS(ROW() - 2, COLUMN())) = 9, 143.176, IF(INDIRECT(ADDRESS(ROW() - 2, COLUMN())) = 10, 154.051, IF(INDIRECT(ADDRESS(ROW() - 2, COLUMN())) = 11, 164.925,0)))))))))))</f>
        <v>#VALUE!</v>
      </c>
      <c r="AID7" s="88" t="str">
        <f> IF(INDIRECT(ADDRESS(ROW() - 2, COLUMN())) = 1, 112.66, IF(INDIRECT(ADDRESS(ROW() - 2, COLUMN())) = 2, 121.83, IF(INDIRECT(ADDRESS(ROW() - 2, COLUMN())) = 3, 131, IF(INDIRECT(ADDRESS(ROW() - 2, COLUMN())) = 4, 144.1, IF(INDIRECT(ADDRESS(ROW() - 2, COLUMN())) = 5, 153.269999999999, IF(INDIRECT(ADDRESS(ROW() - 2, COLUMN())) = 6, 163.75, IF(INDIRECT(ADDRESS(ROW() - 2, COLUMN())) = 7, 178.16, IF(INDIRECT(ADDRESS(ROW() - 2, COLUMN())) = 8, 192.57, IF(INDIRECT(ADDRESS(ROW() - 2, COLUMN())) = 9, 206.98, IF(INDIRECT(ADDRESS(ROW() - 2, COLUMN())) = 10, 222.7, IF(INDIRECT(ADDRESS(ROW() - 2, COLUMN())) = 11, 238.42,0)))))))))))</f>
        <v>#VALUE!</v>
      </c>
      <c r="AIE7" s="88" t="str">
        <f> IF(INDIRECT(ADDRESS(ROW() - 2, COLUMN())) = 1, 63.932, IF(INDIRECT(ADDRESS(ROW() - 2, COLUMN())) = 2, 69.136, IF(INDIRECT(ADDRESS(ROW() - 2, COLUMN())) = 3, 74.3399999999999, IF(INDIRECT(ADDRESS(ROW() - 2, COLUMN())) = 4, 81.774, IF(INDIRECT(ADDRESS(ROW() - 2, COLUMN())) = 5, 86.978, IF(INDIRECT(ADDRESS(ROW() - 2, COLUMN())) = 6, 92.925, IF(INDIRECT(ADDRESS(ROW() - 2, COLUMN())) = 7, 101.102, IF(INDIRECT(ADDRESS(ROW() - 2, COLUMN())) = 8, 109.28, IF(INDIRECT(ADDRESS(ROW() - 2, COLUMN())) = 9, 117.457, IF(INDIRECT(ADDRESS(ROW() - 2, COLUMN())) = 10, 126.377999999999, IF(INDIRECT(ADDRESS(ROW() - 2, COLUMN())) = 11, 135.298999999999,0)))))))))))</f>
        <v>#VALUE!</v>
      </c>
      <c r="AIF7" s="88" t="str">
        <f> IF(INDIRECT(ADDRESS(ROW() - 2, COLUMN())) = 1, 127.838, IF(INDIRECT(ADDRESS(ROW() - 2, COLUMN())) = 2, 138.243, IF(INDIRECT(ADDRESS(ROW() - 2, COLUMN())) = 3, 148.649, IF(INDIRECT(ADDRESS(ROW() - 2, COLUMN())) = 4, 163.513, IF(INDIRECT(ADDRESS(ROW() - 2, COLUMN())) = 5, 173.919, IF(INDIRECT(ADDRESS(ROW() - 2, COLUMN())) = 6, 185.810999999999, IF(INDIRECT(ADDRESS(ROW() - 2, COLUMN())) = 7, 202.162, IF(INDIRECT(ADDRESS(ROW() - 2, COLUMN())) = 8, 218.513, IF(INDIRECT(ADDRESS(ROW() - 2, COLUMN())) = 9, 234.865, IF(INDIRECT(ADDRESS(ROW() - 2, COLUMN())) = 10, 252.701999999999, IF(INDIRECT(ADDRESS(ROW() - 2, COLUMN())) = 11, 270.54,0)))))))))))</f>
        <v>#VALUE!</v>
      </c>
      <c r="AIG7" s="88" t="str">
        <f> IF(INDIRECT(ADDRESS(ROW() - 2, COLUMN())) = 1, 159.676, IF(INDIRECT(ADDRESS(ROW() - 2, COLUMN())) = 2, 172.673, IF(INDIRECT(ADDRESS(ROW() - 2, COLUMN())) = 3, 185.67, IF(INDIRECT(ADDRESS(ROW() - 2, COLUMN())) = 4, 204.237, IF(INDIRECT(ADDRESS(ROW() - 2, COLUMN())) = 5, 217.234, IF(INDIRECT(ADDRESS(ROW() - 2, COLUMN())) = 6, 232.087, IF(INDIRECT(ADDRESS(ROW() - 2, COLUMN())) = 7, 252.511, IF(INDIRECT(ADDRESS(ROW() - 2, COLUMN())) = 8, 272.935, IF(INDIRECT(ADDRESS(ROW() - 2, COLUMN())) = 9, 293.359, IF(INDIRECT(ADDRESS(ROW() - 2, COLUMN())) = 10, 315.639, IF(INDIRECT(ADDRESS(ROW() - 2, COLUMN())) = 11, 337.919,0)))))))))))</f>
        <v>#VALUE!</v>
      </c>
      <c r="AIH7" s="88" t="str">
        <f> IF(INDIRECT(ADDRESS(ROW() - 2, COLUMN())) = 1, 29.92, IF(INDIRECT(ADDRESS(ROW() - 2, COLUMN())) = 2, 32.164, IF(INDIRECT(ADDRESS(ROW() - 2, COLUMN())) = 3, 34.408, IF(INDIRECT(ADDRESS(ROW() - 2, COLUMN())) = 4, 37.4, IF(INDIRECT(ADDRESS(ROW() - 2, COLUMN())) = 5, 39.644, IF(INDIRECT(ADDRESS(ROW() - 2, COLUMN())) = 6, 41.888, IF(INDIRECT(ADDRESS(ROW() - 2, COLUMN())) = 7, 44.8799999999999, IF(INDIRECT(ADDRESS(ROW() - 2, COLUMN())) = 8, 47.872, IF(INDIRECT(ADDRESS(ROW() - 2, COLUMN())) = 9, 50.864, IF(INDIRECT(ADDRESS(ROW() - 2, COLUMN())) = 10, 53.856, IF(INDIRECT(ADDRESS(ROW() - 2, COLUMN())) = 11, 56.848, IF(INDIRECT(ADDRESS(ROW() - 2, COLUMN())) = 12, 59.84, IF(INDIRECT(ADDRESS(ROW() - 2, COLUMN())) = 13, 63.58,0)))))))))))))</f>
        <v>#VALUE!</v>
      </c>
      <c r="AII7" s="88" t="str">
        <f> IF(INDIRECT(ADDRESS(ROW() - 2, COLUMN())) = 1, 114.56, IF(INDIRECT(ADDRESS(ROW() - 2, COLUMN())) = 2, 123.152, IF(INDIRECT(ADDRESS(ROW() - 2, COLUMN())) = 3, 131.744, IF(INDIRECT(ADDRESS(ROW() - 2, COLUMN())) = 4, 143.2, IF(INDIRECT(ADDRESS(ROW() - 2, COLUMN())) = 5, 151.792, IF(INDIRECT(ADDRESS(ROW() - 2, COLUMN())) = 6, 160.384, IF(INDIRECT(ADDRESS(ROW() - 2, COLUMN())) = 7, 171.84, IF(INDIRECT(ADDRESS(ROW() - 2, COLUMN())) = 8, 183.296, IF(INDIRECT(ADDRESS(ROW() - 2, COLUMN())) = 9, 194.751999999999, IF(INDIRECT(ADDRESS(ROW() - 2, COLUMN())) = 10, 206.208, IF(INDIRECT(ADDRESS(ROW() - 2, COLUMN())) = 11, 217.664, IF(INDIRECT(ADDRESS(ROW() - 2, COLUMN())) = 12, 229.12, IF(INDIRECT(ADDRESS(ROW() - 2, COLUMN())) = 13, 243.44,0)))))))))))))</f>
        <v>#VALUE!</v>
      </c>
      <c r="AIJ7" s="88" t="str">
        <f> IF(INDIRECT(ADDRESS(ROW() - 2, COLUMN())) = 1, 72.16, IF(INDIRECT(ADDRESS(ROW() - 2, COLUMN())) = 2, 77.572, IF(INDIRECT(ADDRESS(ROW() - 2, COLUMN())) = 3, 82.984, IF(INDIRECT(ADDRESS(ROW() - 2, COLUMN())) = 4, 90.2, IF(INDIRECT(ADDRESS(ROW() - 2, COLUMN())) = 5, 95.612, IF(INDIRECT(ADDRESS(ROW() - 2, COLUMN())) = 6, 101.024, IF(INDIRECT(ADDRESS(ROW() - 2, COLUMN())) = 7, 108.24, IF(INDIRECT(ADDRESS(ROW() - 2, COLUMN())) = 8, 115.456, IF(INDIRECT(ADDRESS(ROW() - 2, COLUMN())) = 9, 122.672, IF(INDIRECT(ADDRESS(ROW() - 2, COLUMN())) = 10, 129.888, IF(INDIRECT(ADDRESS(ROW() - 2, COLUMN())) = 11, 137.104, IF(INDIRECT(ADDRESS(ROW() - 2, COLUMN())) = 12, 144.32, IF(INDIRECT(ADDRESS(ROW() - 2, COLUMN())) = 13, 153.34,0)))))))))))))</f>
        <v>#VALUE!</v>
      </c>
      <c r="AIK7" s="88" t="str">
        <f> IF(INDIRECT(ADDRESS(ROW() - 2, COLUMN())) = 1, 43.263, IF(INDIRECT(ADDRESS(ROW() - 2, COLUMN())) = 2, 46.785, IF(INDIRECT(ADDRESS(ROW() - 2, COLUMN())) = 3, 50.306, IF(INDIRECT(ADDRESS(ROW() - 2, COLUMN())) = 4, 55.337, IF(INDIRECT(ADDRESS(ROW() - 2, COLUMN())) = 5, 58.858, IF(INDIRECT(ADDRESS(ROW() - 2, COLUMN())) = 6, 62.883, IF(INDIRECT(ADDRESS(ROW() - 2, COLUMN())) = 7, 68.416, IF(INDIRECT(ADDRESS(ROW() - 2, COLUMN())) = 8, 73.95, IF(INDIRECT(ADDRESS(ROW() - 2, COLUMN())) = 9, 79.483, IF(INDIRECT(ADDRESS(ROW() - 2, COLUMN())) = 10, 85.52, IF(INDIRECT(ADDRESS(ROW() - 2, COLUMN())) = 11, 91.557,0)))))))))))</f>
        <v>#VALUE!</v>
      </c>
      <c r="AIL7" s="88" t="str">
        <f> IF(INDIRECT(ADDRESS(ROW() - 2, COLUMN())) = 1, 41.502, IF(INDIRECT(ADDRESS(ROW() - 2, COLUMN())) = 2, 44.8799999999999, IF(INDIRECT(ADDRESS(ROW() - 2, COLUMN())) = 3, 48.258, IF(INDIRECT(ADDRESS(ROW() - 2, COLUMN())) = 4, 53.0839999999999, IF(INDIRECT(ADDRESS(ROW() - 2, COLUMN())) = 5, 56.462, IF(INDIRECT(ADDRESS(ROW() - 2, COLUMN())) = 6, 60.3219999999999, IF(INDIRECT(ADDRESS(ROW() - 2, COLUMN())) = 7, 65.631, IF(INDIRECT(ADDRESS(ROW() - 2, COLUMN())) = 8, 70.939, IF(INDIRECT(ADDRESS(ROW() - 2, COLUMN())) = 9, 76.248, IF(INDIRECT(ADDRESS(ROW() - 2, COLUMN())) = 10, 82.039, IF(INDIRECT(ADDRESS(ROW() - 2, COLUMN())) = 11, 87.83,0)))))))))))</f>
        <v>#VALUE!</v>
      </c>
      <c r="AIM7" s="88" t="str">
        <f> IF(INDIRECT(ADDRESS(ROW() - 2, COLUMN())) = 1, 54.503, IF(INDIRECT(ADDRESS(ROW() - 2, COLUMN())) = 2, 58.94, IF(INDIRECT(ADDRESS(ROW() - 2, COLUMN())) = 3, 63.376, IF(INDIRECT(ADDRESS(ROW() - 2, COLUMN())) = 4, 69.714, IF(INDIRECT(ADDRESS(ROW() - 2, COLUMN())) = 5, 74.15, IF(INDIRECT(ADDRESS(ROW() - 2, COLUMN())) = 6, 79.22, IF(INDIRECT(ADDRESS(ROW() - 2, COLUMN())) = 7, 86.191, IF(INDIRECT(ADDRESS(ROW() - 2, COLUMN())) = 8, 93.163, IF(INDIRECT(ADDRESS(ROW() - 2, COLUMN())) = 9, 100.133999999999, IF(INDIRECT(ADDRESS(ROW() - 2, COLUMN())) = 10, 107.739, IF(INDIRECT(ADDRESS(ROW() - 2, COLUMN())) = 11, 115.344,0)))))))))))</f>
        <v>#VALUE!</v>
      </c>
      <c r="AIN7" s="88" t="str">
        <f> IF(INDIRECT(ADDRESS(ROW() - 2, COLUMN())) = 1, 27.615, IF(INDIRECT(ADDRESS(ROW() - 2, COLUMN())) = 2, 29.862, IF(INDIRECT(ADDRESS(ROW() - 2, COLUMN())) = 3, 32.11, IF(INDIRECT(ADDRESS(ROW() - 2, COLUMN())) = 4, 35.321, IF(INDIRECT(ADDRESS(ROW() - 2, COLUMN())) = 5, 37.569, IF(INDIRECT(ADDRESS(ROW() - 2, COLUMN())) = 6, 40.137, IF(INDIRECT(ADDRESS(ROW() - 2, COLUMN())) = 7, 43.6699999999999, IF(INDIRECT(ADDRESS(ROW() - 2, COLUMN())) = 8, 47.202, IF(INDIRECT(ADDRESS(ROW() - 2, COLUMN())) = 9, 50.734, IF(INDIRECT(ADDRESS(ROW() - 2, COLUMN())) = 10, 54.5869999999999, IF(INDIRECT(ADDRESS(ROW() - 2, COLUMN())) = 11, 58.44,0)))))))))))</f>
        <v>#VALUE!</v>
      </c>
      <c r="AIO7" s="88" t="str">
        <f> IF(INDIRECT(ADDRESS(ROW() - 2, COLUMN())) = 1, 70.874, IF(INDIRECT(ADDRESS(ROW() - 2, COLUMN())) = 2, 76.643, IF(INDIRECT(ADDRESS(ROW() - 2, COLUMN())) = 3, 82.4119999999999, IF(INDIRECT(ADDRESS(ROW() - 2, COLUMN())) = 4, 90.6529999999999, IF(INDIRECT(ADDRESS(ROW() - 2, COLUMN())) = 5, 96.422, IF(INDIRECT(ADDRESS(ROW() - 2, COLUMN())) = 6, 103.014999999999, IF(INDIRECT(ADDRESS(ROW() - 2, COLUMN())) = 7, 112.08, IF(INDIRECT(ADDRESS(ROW() - 2, COLUMN())) = 8, 121.146, IF(INDIRECT(ADDRESS(ROW() - 2, COLUMN())) = 9, 130.211, IF(INDIRECT(ADDRESS(ROW() - 2, COLUMN())) = 10, 140.1, IF(INDIRECT(ADDRESS(ROW() - 2, COLUMN())) = 11, 149.99,0)))))))))))</f>
        <v>#VALUE!</v>
      </c>
      <c r="AIP7" s="88" t="str">
        <f> IF(INDIRECT(ADDRESS(ROW() - 2, COLUMN())) = 1, 112.746, IF(INDIRECT(ADDRESS(ROW() - 2, COLUMN())) = 2, 121.923, IF(INDIRECT(ADDRESS(ROW() - 2, COLUMN())) = 3, 131.1, IF(INDIRECT(ADDRESS(ROW() - 2, COLUMN())) = 4, 144.209999999999, IF(INDIRECT(ADDRESS(ROW() - 2, COLUMN())) = 5, 153.387, IF(INDIRECT(ADDRESS(ROW() - 2, COLUMN())) = 6, 163.875, IF(INDIRECT(ADDRESS(ROW() - 2, COLUMN())) = 7, 178.296, IF(INDIRECT(ADDRESS(ROW() - 2, COLUMN())) = 8, 192.717, IF(INDIRECT(ADDRESS(ROW() - 2, COLUMN())) = 9, 207.138, IF(INDIRECT(ADDRESS(ROW() - 2, COLUMN())) = 10, 222.87, IF(INDIRECT(ADDRESS(ROW() - 2, COLUMN())) = 11, 238.601999999999,0)))))))))))</f>
        <v>#VALUE!</v>
      </c>
      <c r="AIQ7" s="88" t="str">
        <f> IF(INDIRECT(ADDRESS(ROW() - 2, COLUMN())) = 1, 63.932, IF(INDIRECT(ADDRESS(ROW() - 2, COLUMN())) = 2, 69.136, IF(INDIRECT(ADDRESS(ROW() - 2, COLUMN())) = 3, 74.3399999999999, IF(INDIRECT(ADDRESS(ROW() - 2, COLUMN())) = 4, 81.774, IF(INDIRECT(ADDRESS(ROW() - 2, COLUMN())) = 5, 86.978, IF(INDIRECT(ADDRESS(ROW() - 2, COLUMN())) = 6, 92.925, IF(INDIRECT(ADDRESS(ROW() - 2, COLUMN())) = 7, 101.102, IF(INDIRECT(ADDRESS(ROW() - 2, COLUMN())) = 8, 109.28, IF(INDIRECT(ADDRESS(ROW() - 2, COLUMN())) = 9, 117.457, IF(INDIRECT(ADDRESS(ROW() - 2, COLUMN())) = 10, 126.377999999999, IF(INDIRECT(ADDRESS(ROW() - 2, COLUMN())) = 11, 135.298999999999,0)))))))))))</f>
        <v>#VALUE!</v>
      </c>
      <c r="AIR7" s="88" t="str">
        <f> IF(INDIRECT(ADDRESS(ROW() - 2, COLUMN())) = 1, 127.838, IF(INDIRECT(ADDRESS(ROW() - 2, COLUMN())) = 2, 138.243, IF(INDIRECT(ADDRESS(ROW() - 2, COLUMN())) = 3, 148.649, IF(INDIRECT(ADDRESS(ROW() - 2, COLUMN())) = 4, 163.513, IF(INDIRECT(ADDRESS(ROW() - 2, COLUMN())) = 5, 173.919, IF(INDIRECT(ADDRESS(ROW() - 2, COLUMN())) = 6, 185.810999999999, IF(INDIRECT(ADDRESS(ROW() - 2, COLUMN())) = 7, 202.162, IF(INDIRECT(ADDRESS(ROW() - 2, COLUMN())) = 8, 218.513, IF(INDIRECT(ADDRESS(ROW() - 2, COLUMN())) = 9, 234.865, IF(INDIRECT(ADDRESS(ROW() - 2, COLUMN())) = 10, 252.701999999999, IF(INDIRECT(ADDRESS(ROW() - 2, COLUMN())) = 11, 270.54,0)))))))))))</f>
        <v>#VALUE!</v>
      </c>
      <c r="AIS7" s="88" t="str">
        <f> IF(INDIRECT(ADDRESS(ROW() - 2, COLUMN())) = 1, 159.676, IF(INDIRECT(ADDRESS(ROW() - 2, COLUMN())) = 2, 172.673, IF(INDIRECT(ADDRESS(ROW() - 2, COLUMN())) = 3, 185.67, IF(INDIRECT(ADDRESS(ROW() - 2, COLUMN())) = 4, 204.237, IF(INDIRECT(ADDRESS(ROW() - 2, COLUMN())) = 5, 217.234, IF(INDIRECT(ADDRESS(ROW() - 2, COLUMN())) = 6, 232.087, IF(INDIRECT(ADDRESS(ROW() - 2, COLUMN())) = 7, 252.511, IF(INDIRECT(ADDRESS(ROW() - 2, COLUMN())) = 8, 272.935, IF(INDIRECT(ADDRESS(ROW() - 2, COLUMN())) = 9, 293.359, IF(INDIRECT(ADDRESS(ROW() - 2, COLUMN())) = 10, 315.639, IF(INDIRECT(ADDRESS(ROW() - 2, COLUMN())) = 11, 337.919,0)))))))))))</f>
        <v>#VALUE!</v>
      </c>
      <c r="AIT7" s="88" t="str">
        <f> IF(INDIRECT(ADDRESS(ROW() - 2, COLUMN())) = 1, 67.2, IF(INDIRECT(ADDRESS(ROW() - 2, COLUMN())) = 2, 72.24, IF(INDIRECT(ADDRESS(ROW() - 2, COLUMN())) = 3, 77.28, IF(INDIRECT(ADDRESS(ROW() - 2, COLUMN())) = 4, 84, IF(INDIRECT(ADDRESS(ROW() - 2, COLUMN())) = 5, 89.0399999999999, IF(INDIRECT(ADDRESS(ROW() - 2, COLUMN())) = 6, 94.08, IF(INDIRECT(ADDRESS(ROW() - 2, COLUMN())) = 7, 100.8, IF(INDIRECT(ADDRESS(ROW() - 2, COLUMN())) = 8, 107.52, IF(INDIRECT(ADDRESS(ROW() - 2, COLUMN())) = 9, 114.24, IF(INDIRECT(ADDRESS(ROW() - 2, COLUMN())) = 10, 120.96, IF(INDIRECT(ADDRESS(ROW() - 2, COLUMN())) = 11, 127.679999999999, IF(INDIRECT(ADDRESS(ROW() - 2, COLUMN())) = 12, 134.4, IF(INDIRECT(ADDRESS(ROW() - 2, COLUMN())) = 13, 142.799999999999,0)))))))))))))</f>
        <v>#VALUE!</v>
      </c>
      <c r="AIU7" s="88" t="str">
        <f> IF(INDIRECT(ADDRESS(ROW() - 2, COLUMN())) = 1, 84, IF(INDIRECT(ADDRESS(ROW() - 2, COLUMN())) = 2, 90.3, IF(INDIRECT(ADDRESS(ROW() - 2, COLUMN())) = 3, 96.6, IF(INDIRECT(ADDRESS(ROW() - 2, COLUMN())) = 4, 105, IF(INDIRECT(ADDRESS(ROW() - 2, COLUMN())) = 5, 111.3, IF(INDIRECT(ADDRESS(ROW() - 2, COLUMN())) = 6, 117.6, IF(INDIRECT(ADDRESS(ROW() - 2, COLUMN())) = 7, 126, IF(INDIRECT(ADDRESS(ROW() - 2, COLUMN())) = 8, 134.4, IF(INDIRECT(ADDRESS(ROW() - 2, COLUMN())) = 9, 142.799999999999, IF(INDIRECT(ADDRESS(ROW() - 2, COLUMN())) = 10, 151.2, IF(INDIRECT(ADDRESS(ROW() - 2, COLUMN())) = 11, 159.6, IF(INDIRECT(ADDRESS(ROW() - 2, COLUMN())) = 12, 168, IF(INDIRECT(ADDRESS(ROW() - 2, COLUMN())) = 13, 178.5,0)))))))))))))</f>
        <v>#VALUE!</v>
      </c>
      <c r="AIV7" s="88" t="str">
        <f> IF(INDIRECT(ADDRESS(ROW() - 2, COLUMN())) = 1, 25.2, IF(INDIRECT(ADDRESS(ROW() - 2, COLUMN())) = 2, 27.0899999999999, IF(INDIRECT(ADDRESS(ROW() - 2, COLUMN())) = 3, 28.98, IF(INDIRECT(ADDRESS(ROW() - 2, COLUMN())) = 4, 31.5, IF(INDIRECT(ADDRESS(ROW() - 2, COLUMN())) = 5, 33.39, IF(INDIRECT(ADDRESS(ROW() - 2, COLUMN())) = 6, 35.28, IF(INDIRECT(ADDRESS(ROW() - 2, COLUMN())) = 7, 37.8, IF(INDIRECT(ADDRESS(ROW() - 2, COLUMN())) = 8, 40.32, IF(INDIRECT(ADDRESS(ROW() - 2, COLUMN())) = 9, 42.84, IF(INDIRECT(ADDRESS(ROW() - 2, COLUMN())) = 10, 45.36, IF(INDIRECT(ADDRESS(ROW() - 2, COLUMN())) = 11, 47.88, IF(INDIRECT(ADDRESS(ROW() - 2, COLUMN())) = 12, 50.4, IF(INDIRECT(ADDRESS(ROW() - 2, COLUMN())) = 13, 53.55,0)))))))))))))</f>
        <v>#VALUE!</v>
      </c>
      <c r="AIW7" s="88" t="str">
        <f> IF(INDIRECT(ADDRESS(ROW() - 2, COLUMN())) = 1, 62.1179999999999, IF(INDIRECT(ADDRESS(ROW() - 2, COLUMN())) = 2, 67.174, IF(INDIRECT(ADDRESS(ROW() - 2, COLUMN())) = 3, 72.23, IF(INDIRECT(ADDRESS(ROW() - 2, COLUMN())) = 4, 79.453, IF(INDIRECT(ADDRESS(ROW() - 2, COLUMN())) = 5, 84.509, IF(INDIRECT(ADDRESS(ROW() - 2, COLUMN())) = 6, 90.288, IF(INDIRECT(ADDRESS(ROW() - 2, COLUMN())) = 7, 98.233, IF(INDIRECT(ADDRESS(ROW() - 2, COLUMN())) = 8, 106.178, IF(INDIRECT(ADDRESS(ROW() - 2, COLUMN())) = 9, 114.122999999999, IF(INDIRECT(ADDRESS(ROW() - 2, COLUMN())) = 10, 122.791, IF(INDIRECT(ADDRESS(ROW() - 2, COLUMN())) = 11, 131.459,0)))))))))))</f>
        <v>#VALUE!</v>
      </c>
      <c r="AIX7" s="88" t="str">
        <f> IF(INDIRECT(ADDRESS(ROW() - 2, COLUMN())) = 1, 61.71, IF(INDIRECT(ADDRESS(ROW() - 2, COLUMN())) = 2, 66.733, IF(INDIRECT(ADDRESS(ROW() - 2, COLUMN())) = 3, 71.756, IF(INDIRECT(ADDRESS(ROW() - 2, COLUMN())) = 4, 78.932, IF(INDIRECT(ADDRESS(ROW() - 2, COLUMN())) = 5, 83.955, IF(INDIRECT(ADDRESS(ROW() - 2, COLUMN())) = 6, 89.695, IF(INDIRECT(ADDRESS(ROW() - 2, COLUMN())) = 7, 97.588, IF(INDIRECT(ADDRESS(ROW() - 2, COLUMN())) = 8, 105.481, IF(INDIRECT(ADDRESS(ROW() - 2, COLUMN())) = 9, 113.374, IF(INDIRECT(ADDRESS(ROW() - 2, COLUMN())) = 10, 121.985, IF(INDIRECT(ADDRESS(ROW() - 2, COLUMN())) = 11, 130.596,0)))))))))))</f>
        <v>#VALUE!</v>
      </c>
      <c r="AIY7" s="88" t="str">
        <f> IF(INDIRECT(ADDRESS(ROW() - 2, COLUMN())) = 1, 76.631, IF(INDIRECT(ADDRESS(ROW() - 2, COLUMN())) = 2, 82.869, IF(INDIRECT(ADDRESS(ROW() - 2, COLUMN())) = 3, 89.106, IF(INDIRECT(ADDRESS(ROW() - 2, COLUMN())) = 4, 98.017, IF(INDIRECT(ADDRESS(ROW() - 2, COLUMN())) = 5, 104.254, IF(INDIRECT(ADDRESS(ROW() - 2, COLUMN())) = 6, 111.382, IF(INDIRECT(ADDRESS(ROW() - 2, COLUMN())) = 7, 121.184, IF(INDIRECT(ADDRESS(ROW() - 2, COLUMN())) = 8, 130.986, IF(INDIRECT(ADDRESS(ROW() - 2, COLUMN())) = 9, 140.787, IF(INDIRECT(ADDRESS(ROW() - 2, COLUMN())) = 10, 151.48, IF(INDIRECT(ADDRESS(ROW() - 2, COLUMN())) = 11, 162.173,0)))))))))))</f>
        <v>#VALUE!</v>
      </c>
      <c r="AIZ7" s="88" t="str">
        <f> IF(INDIRECT(ADDRESS(ROW() - 2, COLUMN())) = 1, 95.291, IF(INDIRECT(ADDRESS(ROW() - 2, COLUMN())) = 2, 103.048, IF(INDIRECT(ADDRESS(ROW() - 2, COLUMN())) = 3, 110.803999999999, IF(INDIRECT(ADDRESS(ROW() - 2, COLUMN())) = 4, 121.883999999999, IF(INDIRECT(ADDRESS(ROW() - 2, COLUMN())) = 5, 129.641, IF(INDIRECT(ADDRESS(ROW() - 2, COLUMN())) = 6, 138.505, IF(INDIRECT(ADDRESS(ROW() - 2, COLUMN())) = 7, 150.693, IF(INDIRECT(ADDRESS(ROW() - 2, COLUMN())) = 8, 162.882, IF(INDIRECT(ADDRESS(ROW() - 2, COLUMN())) = 9, 175.07, IF(INDIRECT(ADDRESS(ROW() - 2, COLUMN())) = 10, 188.367, IF(INDIRECT(ADDRESS(ROW() - 2, COLUMN())) = 11, 201.663,0)))))))))))</f>
        <v>#VALUE!</v>
      </c>
      <c r="AJA7" s="88" t="str">
        <f> IF(INDIRECT(ADDRESS(ROW() - 2, COLUMN())) = 1, 56.33, IF(INDIRECT(ADDRESS(ROW() - 2, COLUMN())) = 2, 60.915, IF(INDIRECT(ADDRESS(ROW() - 2, COLUMN())) = 3, 65.5, IF(INDIRECT(ADDRESS(ROW() - 2, COLUMN())) = 4, 72.05, IF(INDIRECT(ADDRESS(ROW() - 2, COLUMN())) = 5, 76.6349999999999, IF(INDIRECT(ADDRESS(ROW() - 2, COLUMN())) = 6, 81.875, IF(INDIRECT(ADDRESS(ROW() - 2, COLUMN())) = 7, 89.08, IF(INDIRECT(ADDRESS(ROW() - 2, COLUMN())) = 8, 96.285, IF(INDIRECT(ADDRESS(ROW() - 2, COLUMN())) = 9, 103.49, IF(INDIRECT(ADDRESS(ROW() - 2, COLUMN())) = 10, 111.35, IF(INDIRECT(ADDRESS(ROW() - 2, COLUMN())) = 11, 119.21,0)))))))))))</f>
        <v>#VALUE!</v>
      </c>
      <c r="AJB7" s="88" t="str">
        <f> IF(INDIRECT(ADDRESS(ROW() - 2, COLUMN())) = 1, 101.824, IF(INDIRECT(ADDRESS(ROW() - 2, COLUMN())) = 2, 110.112, IF(INDIRECT(ADDRESS(ROW() - 2, COLUMN())) = 3, 118.399999999999, IF(INDIRECT(ADDRESS(ROW() - 2, COLUMN())) = 4, 130.24, IF(INDIRECT(ADDRESS(ROW() - 2, COLUMN())) = 5, 138.528, IF(INDIRECT(ADDRESS(ROW() - 2, COLUMN())) = 6, 148, IF(INDIRECT(ADDRESS(ROW() - 2, COLUMN())) = 7, 161.024, IF(INDIRECT(ADDRESS(ROW() - 2, COLUMN())) = 8, 174.048, IF(INDIRECT(ADDRESS(ROW() - 2, COLUMN())) = 9, 187.072, IF(INDIRECT(ADDRESS(ROW() - 2, COLUMN())) = 10, 201.28, IF(INDIRECT(ADDRESS(ROW() - 2, COLUMN())) = 11, 215.488,0)))))))))))</f>
        <v>#VALUE!</v>
      </c>
      <c r="AJC7" s="88" t="str">
        <f> IF(INDIRECT(ADDRESS(ROW() - 2, COLUMN())) = 1, 74.588, IF(INDIRECT(ADDRESS(ROW() - 2, COLUMN())) = 2, 80.659, IF(INDIRECT(ADDRESS(ROW() - 2, COLUMN())) = 3, 86.7299999999999, IF(INDIRECT(ADDRESS(ROW() - 2, COLUMN())) = 4, 95.403, IF(INDIRECT(ADDRESS(ROW() - 2, COLUMN())) = 5, 101.474, IF(INDIRECT(ADDRESS(ROW() - 2, COLUMN())) = 6, 108.413, IF(INDIRECT(ADDRESS(ROW() - 2, COLUMN())) = 7, 117.953, IF(INDIRECT(ADDRESS(ROW() - 2, COLUMN())) = 8, 127.493, IF(INDIRECT(ADDRESS(ROW() - 2, COLUMN())) = 9, 137.033, IF(INDIRECT(ADDRESS(ROW() - 2, COLUMN())) = 10, 147.441, IF(INDIRECT(ADDRESS(ROW() - 2, COLUMN())) = 11, 157.849,0)))))))))))</f>
        <v>#VALUE!</v>
      </c>
      <c r="AJD7" s="88" t="str">
        <f> IF(INDIRECT(ADDRESS(ROW() - 2, COLUMN())) = 1, 149.144, IF(INDIRECT(ADDRESS(ROW() - 2, COLUMN())) = 2, 161.284, IF(INDIRECT(ADDRESS(ROW() - 2, COLUMN())) = 3, 173.423, IF(INDIRECT(ADDRESS(ROW() - 2, COLUMN())) = 4, 190.766, IF(INDIRECT(ADDRESS(ROW() - 2, COLUMN())) = 5, 202.904999999999, IF(INDIRECT(ADDRESS(ROW() - 2, COLUMN())) = 6, 216.779, IF(INDIRECT(ADDRESS(ROW() - 2, COLUMN())) = 7, 235.856, IF(INDIRECT(ADDRESS(ROW() - 2, COLUMN())) = 8, 254.932, IF(INDIRECT(ADDRESS(ROW() - 2, COLUMN())) = 9, 274.009, IF(INDIRECT(ADDRESS(ROW() - 2, COLUMN())) = 10, 294.818999999999, IF(INDIRECT(ADDRESS(ROW() - 2, COLUMN())) = 11, 315.63,0)))))))))))</f>
        <v>#VALUE!</v>
      </c>
      <c r="AJE7" s="88" t="str">
        <f> IF(INDIRECT(ADDRESS(ROW() - 2, COLUMN())) = 1, 186.289, IF(INDIRECT(ADDRESS(ROW() - 2, COLUMN())) = 2, 201.452, IF(INDIRECT(ADDRESS(ROW() - 2, COLUMN())) = 3, 216.615, IF(INDIRECT(ADDRESS(ROW() - 2, COLUMN())) = 4, 238.277, IF(INDIRECT(ADDRESS(ROW() - 2, COLUMN())) = 5, 253.44, IF(INDIRECT(ADDRESS(ROW() - 2, COLUMN())) = 6, 270.769, IF(INDIRECT(ADDRESS(ROW() - 2, COLUMN())) = 7, 294.596, IF(INDIRECT(ADDRESS(ROW() - 2, COLUMN())) = 8, 318.424, IF(INDIRECT(ADDRESS(ROW() - 2, COLUMN())) = 9, 342.252, IF(INDIRECT(ADDRESS(ROW() - 2, COLUMN())) = 10, 368.246, IF(INDIRECT(ADDRESS(ROW() - 2, COLUMN())) = 11, 394.239,0)))))))))))</f>
        <v>#VALUE!</v>
      </c>
      <c r="AJF7" s="88" t="str">
        <f> IF(INDIRECT(ADDRESS(ROW() - 2, COLUMN())) = 1, 112.88, IF(INDIRECT(ADDRESS(ROW() - 2, COLUMN())) = 2, 121.346, IF(INDIRECT(ADDRESS(ROW() - 2, COLUMN())) = 3, 129.811999999999, IF(INDIRECT(ADDRESS(ROW() - 2, COLUMN())) = 4, 141.1, IF(INDIRECT(ADDRESS(ROW() - 2, COLUMN())) = 5, 149.566, IF(INDIRECT(ADDRESS(ROW() - 2, COLUMN())) = 6, 158.031999999999, IF(INDIRECT(ADDRESS(ROW() - 2, COLUMN())) = 7, 169.32, IF(INDIRECT(ADDRESS(ROW() - 2, COLUMN())) = 8, 180.608, IF(INDIRECT(ADDRESS(ROW() - 2, COLUMN())) = 9, 191.896, IF(INDIRECT(ADDRESS(ROW() - 2, COLUMN())) = 10, 203.184, IF(INDIRECT(ADDRESS(ROW() - 2, COLUMN())) = 11, 214.472, IF(INDIRECT(ADDRESS(ROW() - 2, COLUMN())) = 12, 225.76, IF(INDIRECT(ADDRESS(ROW() - 2, COLUMN())) = 13, 239.869999999999,0)))))))))))))</f>
        <v>#VALUE!</v>
      </c>
      <c r="AJG7" s="88" t="str">
        <f> IF(INDIRECT(ADDRESS(ROW() - 2, COLUMN())) = 1, 132.8, IF(INDIRECT(ADDRESS(ROW() - 2, COLUMN())) = 2, 142.76, IF(INDIRECT(ADDRESS(ROW() - 2, COLUMN())) = 3, 152.72, IF(INDIRECT(ADDRESS(ROW() - 2, COLUMN())) = 4, 166, IF(INDIRECT(ADDRESS(ROW() - 2, COLUMN())) = 5, 175.96, IF(INDIRECT(ADDRESS(ROW() - 2, COLUMN())) = 6, 185.92, IF(INDIRECT(ADDRESS(ROW() - 2, COLUMN())) = 7, 199.2, IF(INDIRECT(ADDRESS(ROW() - 2, COLUMN())) = 8, 212.48, IF(INDIRECT(ADDRESS(ROW() - 2, COLUMN())) = 9, 225.76, IF(INDIRECT(ADDRESS(ROW() - 2, COLUMN())) = 10, 239.04, IF(INDIRECT(ADDRESS(ROW() - 2, COLUMN())) = 11, 252.32, IF(INDIRECT(ADDRESS(ROW() - 2, COLUMN())) = 12, 265.6, IF(INDIRECT(ADDRESS(ROW() - 2, COLUMN())) = 13, 282.2,0)))))))))))))</f>
        <v>#VALUE!</v>
      </c>
      <c r="AJH7" s="88" t="str">
        <f> IF(INDIRECT(ADDRESS(ROW() - 2, COLUMN())) = 1, 60.1999999999999, IF(INDIRECT(ADDRESS(ROW() - 2, COLUMN())) = 2, 64.715, IF(INDIRECT(ADDRESS(ROW() - 2, COLUMN())) = 3, 69.23, IF(INDIRECT(ADDRESS(ROW() - 2, COLUMN())) = 4, 75.25, IF(INDIRECT(ADDRESS(ROW() - 2, COLUMN())) = 5, 79.765, IF(INDIRECT(ADDRESS(ROW() - 2, COLUMN())) = 6, 84.28, IF(INDIRECT(ADDRESS(ROW() - 2, COLUMN())) = 7, 90.3, IF(INDIRECT(ADDRESS(ROW() - 2, COLUMN())) = 8, 96.32, IF(INDIRECT(ADDRESS(ROW() - 2, COLUMN())) = 9, 102.34, IF(INDIRECT(ADDRESS(ROW() - 2, COLUMN())) = 10, 108.359999999999, IF(INDIRECT(ADDRESS(ROW() - 2, COLUMN())) = 11, 114.38, IF(INDIRECT(ADDRESS(ROW() - 2, COLUMN())) = 12, 120.399999999999, IF(INDIRECT(ADDRESS(ROW() - 2, COLUMN())) = 13, 127.925,0)))))))))))))</f>
        <v>#VALUE!</v>
      </c>
      <c r="AJI7" s="88" t="str">
        <f> IF(INDIRECT(ADDRESS(ROW() - 2, COLUMN())) = 1, 98.7, IF(INDIRECT(ADDRESS(ROW() - 2, COLUMN())) = 2, 106.103, IF(INDIRECT(ADDRESS(ROW() - 2, COLUMN())) = 3, 113.505, IF(INDIRECT(ADDRESS(ROW() - 2, COLUMN())) = 4, 123.374999999999, IF(INDIRECT(ADDRESS(ROW() - 2, COLUMN())) = 5, 130.778, IF(INDIRECT(ADDRESS(ROW() - 2, COLUMN())) = 6, 138.179999999999, IF(INDIRECT(ADDRESS(ROW() - 2, COLUMN())) = 7, 148.049999999999, IF(INDIRECT(ADDRESS(ROW() - 2, COLUMN())) = 8, 157.92, IF(INDIRECT(ADDRESS(ROW() - 2, COLUMN())) = 9, 167.79, IF(INDIRECT(ADDRESS(ROW() - 2, COLUMN())) = 10, 177.66, IF(INDIRECT(ADDRESS(ROW() - 2, COLUMN())) = 11, 187.53, IF(INDIRECT(ADDRESS(ROW() - 2, COLUMN())) = 12, 197.4, IF(INDIRECT(ADDRESS(ROW() - 2, COLUMN())) = 13, 209.737,0)))))))))))))</f>
        <v>#VALUE!</v>
      </c>
      <c r="AJJ7" s="88" t="str">
        <f> IF(INDIRECT(ADDRESS(ROW() - 2, COLUMN())) = 1, 139.3, IF(INDIRECT(ADDRESS(ROW() - 2, COLUMN())) = 2, 149.748, IF(INDIRECT(ADDRESS(ROW() - 2, COLUMN())) = 3, 160.195, IF(INDIRECT(ADDRESS(ROW() - 2, COLUMN())) = 4, 174.125, IF(INDIRECT(ADDRESS(ROW() - 2, COLUMN())) = 5, 184.573, IF(INDIRECT(ADDRESS(ROW() - 2, COLUMN())) = 6, 195.019999999999, IF(INDIRECT(ADDRESS(ROW() - 2, COLUMN())) = 7, 208.95, IF(INDIRECT(ADDRESS(ROW() - 2, COLUMN())) = 8, 222.88, IF(INDIRECT(ADDRESS(ROW() - 2, COLUMN())) = 9, 236.81, IF(INDIRECT(ADDRESS(ROW() - 2, COLUMN())) = 10, 250.74, IF(INDIRECT(ADDRESS(ROW() - 2, COLUMN())) = 11, 264.67, IF(INDIRECT(ADDRESS(ROW() - 2, COLUMN())) = 12, 278.6, IF(INDIRECT(ADDRESS(ROW() - 2, COLUMN())) = 13, 296.012,0)))))))))))))</f>
        <v>#VALUE!</v>
      </c>
      <c r="AJK7" s="88" t="str">
        <f> IF(INDIRECT(ADDRESS(ROW() - 2, COLUMN())) = 1, 37.37, IF(INDIRECT(ADDRESS(ROW() - 2, COLUMN())) = 2, 40.1729999999999, IF(INDIRECT(ADDRESS(ROW() - 2, COLUMN())) = 3, 42.976, IF(INDIRECT(ADDRESS(ROW() - 2, COLUMN())) = 4, 46.713, IF(INDIRECT(ADDRESS(ROW() - 2, COLUMN())) = 5, 49.516, IF(INDIRECT(ADDRESS(ROW() - 2, COLUMN())) = 6, 52.319, IF(INDIRECT(ADDRESS(ROW() - 2, COLUMN())) = 7, 56.056, IF(INDIRECT(ADDRESS(ROW() - 2, COLUMN())) = 8, 59.793, IF(INDIRECT(ADDRESS(ROW() - 2, COLUMN())) = 9, 63.53, IF(INDIRECT(ADDRESS(ROW() - 2, COLUMN())) = 10, 67.267, IF(INDIRECT(ADDRESS(ROW() - 2, COLUMN())) = 11, 71.004,0)))))))))))</f>
        <v>#VALUE!</v>
      </c>
      <c r="AJL7" s="88" t="str">
        <f> IF(INDIRECT(ADDRESS(ROW() - 2, COLUMN())) = 1, 36.425, IF(INDIRECT(ADDRESS(ROW() - 2, COLUMN())) = 2, 39.157, IF(INDIRECT(ADDRESS(ROW() - 2, COLUMN())) = 3, 41.888, IF(INDIRECT(ADDRESS(ROW() - 2, COLUMN())) = 4, 45.531, IF(INDIRECT(ADDRESS(ROW() - 2, COLUMN())) = 5, 48.263, IF(INDIRECT(ADDRESS(ROW() - 2, COLUMN())) = 6, 50.995, IF(INDIRECT(ADDRESS(ROW() - 2, COLUMN())) = 7, 54.637, IF(INDIRECT(ADDRESS(ROW() - 2, COLUMN())) = 8, 58.28, IF(INDIRECT(ADDRESS(ROW() - 2, COLUMN())) = 9, 61.922, IF(INDIRECT(ADDRESS(ROW() - 2, COLUMN())) = 10, 65.565, IF(INDIRECT(ADDRESS(ROW() - 2, COLUMN())) = 11, 69.207,0)))))))))))</f>
        <v>#VALUE!</v>
      </c>
      <c r="AJM7" s="88" t="str">
        <f> IF(INDIRECT(ADDRESS(ROW() - 2, COLUMN())) = 1, 22.542, IF(INDIRECT(ADDRESS(ROW() - 2, COLUMN())) = 2, 24.232, IF(INDIRECT(ADDRESS(ROW() - 2, COLUMN())) = 3, 25.923, IF(INDIRECT(ADDRESS(ROW() - 2, COLUMN())) = 4, 28.177, IF(INDIRECT(ADDRESS(ROW() - 2, COLUMN())) = 5, 29.868, IF(INDIRECT(ADDRESS(ROW() - 2, COLUMN())) = 6, 31.558, IF(INDIRECT(ADDRESS(ROW() - 2, COLUMN())) = 7, 33.812, IF(INDIRECT(ADDRESS(ROW() - 2, COLUMN())) = 8, 36.067, IF(INDIRECT(ADDRESS(ROW() - 2, COLUMN())) = 9, 38.321, IF(INDIRECT(ADDRESS(ROW() - 2, COLUMN())) = 10, 40.575, IF(INDIRECT(ADDRESS(ROW() - 2, COLUMN())) = 11, 42.829,0)))))))))))</f>
        <v>#VALUE!</v>
      </c>
      <c r="AJN7" s="88" t="str">
        <f> IF(INDIRECT(ADDRESS(ROW() - 2, COLUMN())) = 1, 54.138, IF(INDIRECT(ADDRESS(ROW() - 2, COLUMN())) = 2, 58.198, IF(INDIRECT(ADDRESS(ROW() - 2, COLUMN())) = 3, 62.258, IF(INDIRECT(ADDRESS(ROW() - 2, COLUMN())) = 4, 67.672, IF(INDIRECT(ADDRESS(ROW() - 2, COLUMN())) = 5, 71.732, IF(INDIRECT(ADDRESS(ROW() - 2, COLUMN())) = 6, 75.793, IF(INDIRECT(ADDRESS(ROW() - 2, COLUMN())) = 7, 81.206, IF(INDIRECT(ADDRESS(ROW() - 2, COLUMN())) = 8, 86.6199999999999, IF(INDIRECT(ADDRESS(ROW() - 2, COLUMN())) = 9, 92.034, IF(INDIRECT(ADDRESS(ROW() - 2, COLUMN())) = 10, 97.448, IF(INDIRECT(ADDRESS(ROW() - 2, COLUMN())) = 11, 102.861,0)))))))))))</f>
        <v>#VALUE!</v>
      </c>
      <c r="AJO7" s="88" t="str">
        <f> IF(INDIRECT(ADDRESS(ROW() - 2, COLUMN())) = 1, 121.039999999999, IF(INDIRECT(ADDRESS(ROW() - 2, COLUMN())) = 2, 130.118, IF(INDIRECT(ADDRESS(ROW() - 2, COLUMN())) = 3, 139.196, IF(INDIRECT(ADDRESS(ROW() - 2, COLUMN())) = 4, 151.299999999999, IF(INDIRECT(ADDRESS(ROW() - 2, COLUMN())) = 5, 160.378, IF(INDIRECT(ADDRESS(ROW() - 2, COLUMN())) = 6, 169.456, IF(INDIRECT(ADDRESS(ROW() - 2, COLUMN())) = 7, 181.56, IF(INDIRECT(ADDRESS(ROW() - 2, COLUMN())) = 8, 193.664, IF(INDIRECT(ADDRESS(ROW() - 2, COLUMN())) = 9, 205.768, IF(INDIRECT(ADDRESS(ROW() - 2, COLUMN())) = 10, 217.872, IF(INDIRECT(ADDRESS(ROW() - 2, COLUMN())) = 11, 229.976,0)))))))))))</f>
        <v>#VALUE!</v>
      </c>
      <c r="AJP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120.266,0)))))))))))</f>
        <v>#VALUE!</v>
      </c>
      <c r="AJQ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240.48,0)))))))))))</f>
        <v>#VALUE!</v>
      </c>
      <c r="AJR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300.373,0)))))))))))</f>
        <v>#VALUE!</v>
      </c>
      <c r="AJS7" s="88" t="str">
        <f> IF(INDIRECT(ADDRESS(ROW() - 2, COLUMN())) = 1, 79.2, IF(INDIRECT(ADDRESS(ROW() - 2, COLUMN())) = 2, 85.14, IF(INDIRECT(ADDRESS(ROW() - 2, COLUMN())) = 3, 91.08, IF(INDIRECT(ADDRESS(ROW() - 2, COLUMN())) = 4, 99, IF(INDIRECT(ADDRESS(ROW() - 2, COLUMN())) = 5, 104.94, IF(INDIRECT(ADDRESS(ROW() - 2, COLUMN())) = 6, 110.88, IF(INDIRECT(ADDRESS(ROW() - 2, COLUMN())) = 7, 118.8, IF(INDIRECT(ADDRESS(ROW() - 2, COLUMN())) = 8, 126.72, IF(INDIRECT(ADDRESS(ROW() - 2, COLUMN())) = 9, 134.64, IF(INDIRECT(ADDRESS(ROW() - 2, COLUMN())) = 10, 142.56, IF(INDIRECT(ADDRESS(ROW() - 2, COLUMN())) = 11, 150.48, IF(INDIRECT(ADDRESS(ROW() - 2, COLUMN())) = 12, 158.4, IF(INDIRECT(ADDRESS(ROW() - 2, COLUMN())) = 13, 168.3,0)))))))))))))</f>
        <v>#VALUE!</v>
      </c>
      <c r="AJT7" s="88" t="str">
        <f> IF(INDIRECT(ADDRESS(ROW() - 2, COLUMN())) = 1, 97.064, IF(INDIRECT(ADDRESS(ROW() - 2, COLUMN())) = 2, 104.344, IF(INDIRECT(ADDRESS(ROW() - 2, COLUMN())) = 3, 111.624, IF(INDIRECT(ADDRESS(ROW() - 2, COLUMN())) = 4, 121.33, IF(INDIRECT(ADDRESS(ROW() - 2, COLUMN())) = 5, 128.61, IF(INDIRECT(ADDRESS(ROW() - 2, COLUMN())) = 6, 135.89, IF(INDIRECT(ADDRESS(ROW() - 2, COLUMN())) = 7, 145.596, IF(INDIRECT(ADDRESS(ROW() - 2, COLUMN())) = 8, 155.302, IF(INDIRECT(ADDRESS(ROW() - 2, COLUMN())) = 9, 165.009, IF(INDIRECT(ADDRESS(ROW() - 2, COLUMN())) = 10, 174.715, IF(INDIRECT(ADDRESS(ROW() - 2, COLUMN())) = 11, 184.422, IF(INDIRECT(ADDRESS(ROW() - 2, COLUMN())) = 12, 194.128, IF(INDIRECT(ADDRESS(ROW() - 2, COLUMN())) = 13, 206.261,0)))))))))))))</f>
        <v>#VALUE!</v>
      </c>
      <c r="AJU7" s="88" t="str">
        <f> IF(INDIRECT(ADDRESS(ROW() - 2, COLUMN())) = 1, 76.1859999999999, IF(INDIRECT(ADDRESS(ROW() - 2, COLUMN())) = 2, 82.387, IF(INDIRECT(ADDRESS(ROW() - 2, COLUMN())) = 3, 88.588, IF(INDIRECT(ADDRESS(ROW() - 2, COLUMN())) = 4, 97.4469999999999, IF(INDIRECT(ADDRESS(ROW() - 2, COLUMN())) = 5, 103.648, IF(INDIRECT(ADDRESS(ROW() - 2, COLUMN())) = 6, 110.735, IF(INDIRECT(ADDRESS(ROW() - 2, COLUMN())) = 7, 120.48, IF(INDIRECT(ADDRESS(ROW() - 2, COLUMN())) = 8, 130.224, IF(INDIRECT(ADDRESS(ROW() - 2, COLUMN())) = 9, 139.969, IF(INDIRECT(ADDRESS(ROW() - 2, COLUMN())) = 10, 150.6, IF(INDIRECT(ADDRESS(ROW() - 2, COLUMN())) = 11, 161.23,0)))))))))))</f>
        <v>#VALUE!</v>
      </c>
      <c r="AJV7" s="88" t="str">
        <f> IF(INDIRECT(ADDRESS(ROW() - 2, COLUMN())) = 1, 69.639, IF(INDIRECT(ADDRESS(ROW() - 2, COLUMN())) = 2, 75.307, IF(INDIRECT(ADDRESS(ROW() - 2, COLUMN())) = 3, 80.975, IF(INDIRECT(ADDRESS(ROW() - 2, COLUMN())) = 4, 89.073, IF(INDIRECT(ADDRESS(ROW() - 2, COLUMN())) = 5, 94.741, IF(INDIRECT(ADDRESS(ROW() - 2, COLUMN())) = 6, 101.219, IF(INDIRECT(ADDRESS(ROW() - 2, COLUMN())) = 7, 110.125999999999, IF(INDIRECT(ADDRESS(ROW() - 2, COLUMN())) = 8, 119.033, IF(INDIRECT(ADDRESS(ROW() - 2, COLUMN())) = 9, 127.94, IF(INDIRECT(ADDRESS(ROW() - 2, COLUMN())) = 10, 137.657, IF(INDIRECT(ADDRESS(ROW() - 2, COLUMN())) = 11, 147.374,0)))))))))))</f>
        <v>#VALUE!</v>
      </c>
      <c r="AJW7" s="88" t="str">
        <f> IF(INDIRECT(ADDRESS(ROW() - 2, COLUMN())) = 1, 84.261, IF(INDIRECT(ADDRESS(ROW() - 2, COLUMN())) = 2, 91.119, IF(INDIRECT(ADDRESS(ROW() - 2, COLUMN())) = 3, 97.978, IF(INDIRECT(ADDRESS(ROW() - 2, COLUMN())) = 4, 107.776, IF(INDIRECT(ADDRESS(ROW() - 2, COLUMN())) = 5, 114.633999999999, IF(INDIRECT(ADDRESS(ROW() - 2, COLUMN())) = 6, 122.473, IF(INDIRECT(ADDRESS(ROW() - 2, COLUMN())) = 7, 133.25, IF(INDIRECT(ADDRESS(ROW() - 2, COLUMN())) = 8, 144.028, IF(INDIRECT(ADDRESS(ROW() - 2, COLUMN())) = 9, 154.805, IF(INDIRECT(ADDRESS(ROW() - 2, COLUMN())) = 10, 166.563, IF(INDIRECT(ADDRESS(ROW() - 2, COLUMN())) = 11, 178.32,0)))))))))))</f>
        <v>#VALUE!</v>
      </c>
      <c r="AJX7" s="88" t="str">
        <f> IF(INDIRECT(ADDRESS(ROW() - 2, COLUMN())) = 1, 102.688, IF(INDIRECT(ADDRESS(ROW() - 2, COLUMN())) = 2, 111.047, IF(INDIRECT(ADDRESS(ROW() - 2, COLUMN())) = 3, 119.405, IF(INDIRECT(ADDRESS(ROW() - 2, COLUMN())) = 4, 131.345, IF(INDIRECT(ADDRESS(ROW() - 2, COLUMN())) = 5, 139.704, IF(INDIRECT(ADDRESS(ROW() - 2, COLUMN())) = 6, 149.256, IF(INDIRECT(ADDRESS(ROW() - 2, COLUMN())) = 7, 162.391, IF(INDIRECT(ADDRESS(ROW() - 2, COLUMN())) = 8, 175.525, IF(INDIRECT(ADDRESS(ROW() - 2, COLUMN())) = 9, 188.66, IF(INDIRECT(ADDRESS(ROW() - 2, COLUMN())) = 10, 202.989, IF(INDIRECT(ADDRESS(ROW() - 2, COLUMN())) = 11, 217.316999999999,0)))))))))))</f>
        <v>#VALUE!</v>
      </c>
      <c r="AJY7" s="88" t="str">
        <f> IF(INDIRECT(ADDRESS(ROW() - 2, COLUMN())) = 1, 53.1479999999999, IF(INDIRECT(ADDRESS(ROW() - 2, COLUMN())) = 2, 57.474, IF(INDIRECT(ADDRESS(ROW() - 2, COLUMN())) = 3, 61.8, IF(INDIRECT(ADDRESS(ROW() - 2, COLUMN())) = 4, 67.9799999999999, IF(INDIRECT(ADDRESS(ROW() - 2, COLUMN())) = 5, 72.306, IF(INDIRECT(ADDRESS(ROW() - 2, COLUMN())) = 6, 77.25, IF(INDIRECT(ADDRESS(ROW() - 2, COLUMN())) = 7, 84.048, IF(INDIRECT(ADDRESS(ROW() - 2, COLUMN())) = 8, 90.846, IF(INDIRECT(ADDRESS(ROW() - 2, COLUMN())) = 9, 97.6439999999999, IF(INDIRECT(ADDRESS(ROW() - 2, COLUMN())) = 10, 105.06, IF(INDIRECT(ADDRESS(ROW() - 2, COLUMN())) = 11, 112.476,0)))))))))))</f>
        <v>#VALUE!</v>
      </c>
      <c r="AJZ7" s="88" t="str">
        <f> IF(INDIRECT(ADDRESS(ROW() - 2, COLUMN())) = 1, 96.148, IF(INDIRECT(ADDRESS(ROW() - 2, COLUMN())) = 2, 103.974, IF(INDIRECT(ADDRESS(ROW() - 2, COLUMN())) = 3, 111.8, IF(INDIRECT(ADDRESS(ROW() - 2, COLUMN())) = 4, 122.98, IF(INDIRECT(ADDRESS(ROW() - 2, COLUMN())) = 5, 130.806, IF(INDIRECT(ADDRESS(ROW() - 2, COLUMN())) = 6, 139.75, IF(INDIRECT(ADDRESS(ROW() - 2, COLUMN())) = 7, 152.048, IF(INDIRECT(ADDRESS(ROW() - 2, COLUMN())) = 8, 164.346, IF(INDIRECT(ADDRESS(ROW() - 2, COLUMN())) = 9, 176.644, IF(INDIRECT(ADDRESS(ROW() - 2, COLUMN())) = 10, 190.06, IF(INDIRECT(ADDRESS(ROW() - 2, COLUMN())) = 11, 203.476,0)))))))))))</f>
        <v>#VALUE!</v>
      </c>
      <c r="AKA7" s="88" t="str">
        <f> IF(INDIRECT(ADDRESS(ROW() - 2, COLUMN())) = 1, 74.588, IF(INDIRECT(ADDRESS(ROW() - 2, COLUMN())) = 2, 80.659, IF(INDIRECT(ADDRESS(ROW() - 2, COLUMN())) = 3, 86.7299999999999, IF(INDIRECT(ADDRESS(ROW() - 2, COLUMN())) = 4, 95.403, IF(INDIRECT(ADDRESS(ROW() - 2, COLUMN())) = 5, 101.474, IF(INDIRECT(ADDRESS(ROW() - 2, COLUMN())) = 6, 108.413, IF(INDIRECT(ADDRESS(ROW() - 2, COLUMN())) = 7, 117.953, IF(INDIRECT(ADDRESS(ROW() - 2, COLUMN())) = 8, 127.493, IF(INDIRECT(ADDRESS(ROW() - 2, COLUMN())) = 9, 137.033, IF(INDIRECT(ADDRESS(ROW() - 2, COLUMN())) = 10, 147.441, IF(INDIRECT(ADDRESS(ROW() - 2, COLUMN())) = 11, 157.849,0)))))))))))</f>
        <v>#VALUE!</v>
      </c>
      <c r="AKB7" s="88" t="str">
        <f> IF(INDIRECT(ADDRESS(ROW() - 2, COLUMN())) = 1, 149.144, IF(INDIRECT(ADDRESS(ROW() - 2, COLUMN())) = 2, 161.284, IF(INDIRECT(ADDRESS(ROW() - 2, COLUMN())) = 3, 173.423, IF(INDIRECT(ADDRESS(ROW() - 2, COLUMN())) = 4, 190.766, IF(INDIRECT(ADDRESS(ROW() - 2, COLUMN())) = 5, 202.904999999999, IF(INDIRECT(ADDRESS(ROW() - 2, COLUMN())) = 6, 216.779, IF(INDIRECT(ADDRESS(ROW() - 2, COLUMN())) = 7, 235.856, IF(INDIRECT(ADDRESS(ROW() - 2, COLUMN())) = 8, 254.932, IF(INDIRECT(ADDRESS(ROW() - 2, COLUMN())) = 9, 274.009, IF(INDIRECT(ADDRESS(ROW() - 2, COLUMN())) = 10, 294.818999999999, IF(INDIRECT(ADDRESS(ROW() - 2, COLUMN())) = 11, 315.63,0)))))))))))</f>
        <v>#VALUE!</v>
      </c>
      <c r="AKC7" s="88" t="str">
        <f> IF(INDIRECT(ADDRESS(ROW() - 2, COLUMN())) = 1, 186.289, IF(INDIRECT(ADDRESS(ROW() - 2, COLUMN())) = 2, 201.452, IF(INDIRECT(ADDRESS(ROW() - 2, COLUMN())) = 3, 216.615, IF(INDIRECT(ADDRESS(ROW() - 2, COLUMN())) = 4, 238.277, IF(INDIRECT(ADDRESS(ROW() - 2, COLUMN())) = 5, 253.44, IF(INDIRECT(ADDRESS(ROW() - 2, COLUMN())) = 6, 270.769, IF(INDIRECT(ADDRESS(ROW() - 2, COLUMN())) = 7, 294.596, IF(INDIRECT(ADDRESS(ROW() - 2, COLUMN())) = 8, 318.424, IF(INDIRECT(ADDRESS(ROW() - 2, COLUMN())) = 9, 342.252, IF(INDIRECT(ADDRESS(ROW() - 2, COLUMN())) = 10, 368.246, IF(INDIRECT(ADDRESS(ROW() - 2, COLUMN())) = 11, 394.239,0)))))))))))</f>
        <v>#VALUE!</v>
      </c>
      <c r="AKD7" s="88" t="str">
        <f> IF(INDIRECT(ADDRESS(ROW() - 2, COLUMN())) = 1, 204, IF(INDIRECT(ADDRESS(ROW() - 2, COLUMN())) = 2, 219.3, IF(INDIRECT(ADDRESS(ROW() - 2, COLUMN())) = 3, 234.6, IF(INDIRECT(ADDRESS(ROW() - 2, COLUMN())) = 4, 254.999999999999, IF(INDIRECT(ADDRESS(ROW() - 2, COLUMN())) = 5, 270.3, IF(INDIRECT(ADDRESS(ROW() - 2, COLUMN())) = 6, 285.599999999999, IF(INDIRECT(ADDRESS(ROW() - 2, COLUMN())) = 7, 306, IF(INDIRECT(ADDRESS(ROW() - 2, COLUMN())) = 8, 326.4, IF(INDIRECT(ADDRESS(ROW() - 2, COLUMN())) = 9, 346.8, IF(INDIRECT(ADDRESS(ROW() - 2, COLUMN())) = 10, 367.2, IF(INDIRECT(ADDRESS(ROW() - 2, COLUMN())) = 11, 387.599999999999, IF(INDIRECT(ADDRESS(ROW() - 2, COLUMN())) = 12, 408, IF(INDIRECT(ADDRESS(ROW() - 2, COLUMN())) = 13, 433.5,0)))))))))))))</f>
        <v>#VALUE!</v>
      </c>
      <c r="AKE7" s="88" t="str">
        <f> IF(INDIRECT(ADDRESS(ROW() - 2, COLUMN())) = 1, 160, IF(INDIRECT(ADDRESS(ROW() - 2, COLUMN())) = 2, 172, IF(INDIRECT(ADDRESS(ROW() - 2, COLUMN())) = 3, 184, IF(INDIRECT(ADDRESS(ROW() - 2, COLUMN())) = 4, 200, IF(INDIRECT(ADDRESS(ROW() - 2, COLUMN())) = 5, 212, IF(INDIRECT(ADDRESS(ROW() - 2, COLUMN())) = 6, 224, IF(INDIRECT(ADDRESS(ROW() - 2, COLUMN())) = 7, 240, IF(INDIRECT(ADDRESS(ROW() - 2, COLUMN())) = 8, 256, IF(INDIRECT(ADDRESS(ROW() - 2, COLUMN())) = 9, 272, IF(INDIRECT(ADDRESS(ROW() - 2, COLUMN())) = 10, 288, IF(INDIRECT(ADDRESS(ROW() - 2, COLUMN())) = 11, 304, IF(INDIRECT(ADDRESS(ROW() - 2, COLUMN())) = 12, 320, IF(INDIRECT(ADDRESS(ROW() - 2, COLUMN())) = 13, 340,0)))))))))))))</f>
        <v>#VALUE!</v>
      </c>
      <c r="AKF7" s="88" t="str">
        <f> IF(INDIRECT(ADDRESS(ROW() - 2, COLUMN())) = 1, 47.902, IF(INDIRECT(ADDRESS(ROW() - 2, COLUMN())) = 2, 51.8009999999999, IF(INDIRECT(ADDRESS(ROW() - 2, COLUMN())) = 3, 55.7, IF(INDIRECT(ADDRESS(ROW() - 2, COLUMN())) = 4, 61.27, IF(INDIRECT(ADDRESS(ROW() - 2, COLUMN())) = 5, 65.169, IF(INDIRECT(ADDRESS(ROW() - 2, COLUMN())) = 6, 69.625, IF(INDIRECT(ADDRESS(ROW() - 2, COLUMN())) = 7, 75.752, IF(INDIRECT(ADDRESS(ROW() - 2, COLUMN())) = 8, 81.879, IF(INDIRECT(ADDRESS(ROW() - 2, COLUMN())) = 9, 88.006, IF(INDIRECT(ADDRESS(ROW() - 2, COLUMN())) = 10, 94.69, IF(INDIRECT(ADDRESS(ROW() - 2, COLUMN())) = 11, 101.374,0)))))))))))</f>
        <v>#VALUE!</v>
      </c>
      <c r="AKG7" s="88" t="str">
        <f> IF(INDIRECT(ADDRESS(ROW() - 2, COLUMN())) = 1, 46.354, IF(INDIRECT(ADDRESS(ROW() - 2, COLUMN())) = 2, 50.127, IF(INDIRECT(ADDRESS(ROW() - 2, COLUMN())) = 3, 53.9, IF(INDIRECT(ADDRESS(ROW() - 2, COLUMN())) = 4, 59.29, IF(INDIRECT(ADDRESS(ROW() - 2, COLUMN())) = 5, 63.063, IF(INDIRECT(ADDRESS(ROW() - 2, COLUMN())) = 6, 67.375, IF(INDIRECT(ADDRESS(ROW() - 2, COLUMN())) = 7, 73.304, IF(INDIRECT(ADDRESS(ROW() - 2, COLUMN())) = 8, 79.233, IF(INDIRECT(ADDRESS(ROW() - 2, COLUMN())) = 9, 85.162, IF(INDIRECT(ADDRESS(ROW() - 2, COLUMN())) = 10, 91.63, IF(INDIRECT(ADDRESS(ROW() - 2, COLUMN())) = 11, 98.098,0)))))))))))</f>
        <v>#VALUE!</v>
      </c>
      <c r="AKH7" s="88" t="str">
        <f> IF(INDIRECT(ADDRESS(ROW() - 2, COLUMN())) = 1, 25.422, IF(INDIRECT(ADDRESS(ROW() - 2, COLUMN())) = 2, 27.491, IF(INDIRECT(ADDRESS(ROW() - 2, COLUMN())) = 3, 29.56, IF(INDIRECT(ADDRESS(ROW() - 2, COLUMN())) = 4, 32.516, IF(INDIRECT(ADDRESS(ROW() - 2, COLUMN())) = 5, 34.585, IF(INDIRECT(ADDRESS(ROW() - 2, COLUMN())) = 6, 36.95, IF(INDIRECT(ADDRESS(ROW() - 2, COLUMN())) = 7, 40.202, IF(INDIRECT(ADDRESS(ROW() - 2, COLUMN())) = 8, 43.453, IF(INDIRECT(ADDRESS(ROW() - 2, COLUMN())) = 9, 46.705, IF(INDIRECT(ADDRESS(ROW() - 2, COLUMN())) = 10, 50.2519999999999, IF(INDIRECT(ADDRESS(ROW() - 2, COLUMN())) = 11, 53.799,0)))))))))))</f>
        <v>#VALUE!</v>
      </c>
      <c r="AKI7" s="88" t="str">
        <f> IF(INDIRECT(ADDRESS(ROW() - 2, COLUMN())) = 1, 38.132, IF(INDIRECT(ADDRESS(ROW() - 2, COLUMN())) = 2, 41.236, IF(INDIRECT(ADDRESS(ROW() - 2, COLUMN())) = 3, 44.34, IF(INDIRECT(ADDRESS(ROW() - 2, COLUMN())) = 4, 48.774, IF(INDIRECT(ADDRESS(ROW() - 2, COLUMN())) = 5, 51.878, IF(INDIRECT(ADDRESS(ROW() - 2, COLUMN())) = 6, 55.425, IF(INDIRECT(ADDRESS(ROW() - 2, COLUMN())) = 7, 60.302, IF(INDIRECT(ADDRESS(ROW() - 2, COLUMN())) = 8, 65.18, IF(INDIRECT(ADDRESS(ROW() - 2, COLUMN())) = 9, 70.057, IF(INDIRECT(ADDRESS(ROW() - 2, COLUMN())) = 10, 75.378, IF(INDIRECT(ADDRESS(ROW() - 2, COLUMN())) = 11, 80.699,0)))))))))))</f>
        <v>#VALUE!</v>
      </c>
      <c r="AKJ7" s="88" t="str">
        <f> IF(INDIRECT(ADDRESS(ROW() - 2, COLUMN())) = 1, 73.272, IF(INDIRECT(ADDRESS(ROW() - 2, COLUMN())) = 2, 79.2359999999999, IF(INDIRECT(ADDRESS(ROW() - 2, COLUMN())) = 3, 85.2, IF(INDIRECT(ADDRESS(ROW() - 2, COLUMN())) = 4, 93.72, IF(INDIRECT(ADDRESS(ROW() - 2, COLUMN())) = 5, 99.684, IF(INDIRECT(ADDRESS(ROW() - 2, COLUMN())) = 6, 106.5, IF(INDIRECT(ADDRESS(ROW() - 2, COLUMN())) = 7, 115.872, IF(INDIRECT(ADDRESS(ROW() - 2, COLUMN())) = 8, 125.244, IF(INDIRECT(ADDRESS(ROW() - 2, COLUMN())) = 9, 134.616, IF(INDIRECT(ADDRESS(ROW() - 2, COLUMN())) = 10, 144.84, IF(INDIRECT(ADDRESS(ROW() - 2, COLUMN())) = 11, 155.064,0)))))))))))</f>
        <v>#VALUE!</v>
      </c>
      <c r="AKK7" s="88" t="str">
        <f> IF(INDIRECT(ADDRESS(ROW() - 2, COLUMN())) = 1, 22.377, IF(INDIRECT(ADDRESS(ROW() - 2, COLUMN())) = 2, 24.199, IF(INDIRECT(ADDRESS(ROW() - 2, COLUMN())) = 3, 26.02, IF(INDIRECT(ADDRESS(ROW() - 2, COLUMN())) = 4, 28.6219999999999, IF(INDIRECT(ADDRESS(ROW() - 2, COLUMN())) = 5, 30.4429999999999, IF(INDIRECT(ADDRESS(ROW() - 2, COLUMN())) = 6, 32.525, IF(INDIRECT(ADDRESS(ROW() - 2, COLUMN())) = 7, 35.387, IF(INDIRECT(ADDRESS(ROW() - 2, COLUMN())) = 8, 38.249, IF(INDIRECT(ADDRESS(ROW() - 2, COLUMN())) = 9, 41.112, IF(INDIRECT(ADDRESS(ROW() - 2, COLUMN())) = 10, 44.234, IF(INDIRECT(ADDRESS(ROW() - 2, COLUMN())) = 11, 47.3559999999999,0)))))))))))</f>
        <v>#VALUE!</v>
      </c>
      <c r="AKL7" s="88" t="str">
        <f> IF(INDIRECT(ADDRESS(ROW() - 2, COLUMN())) = 1, 44.754, IF(INDIRECT(ADDRESS(ROW() - 2, COLUMN())) = 2, 48.397, IF(INDIRECT(ADDRESS(ROW() - 2, COLUMN())) = 3, 52.04, IF(INDIRECT(ADDRESS(ROW() - 2, COLUMN())) = 4, 57.2439999999999, IF(INDIRECT(ADDRESS(ROW() - 2, COLUMN())) = 5, 60.887, IF(INDIRECT(ADDRESS(ROW() - 2, COLUMN())) = 6, 65.05, IF(INDIRECT(ADDRESS(ROW() - 2, COLUMN())) = 7, 70.774, IF(INDIRECT(ADDRESS(ROW() - 2, COLUMN())) = 8, 76.499, IF(INDIRECT(ADDRESS(ROW() - 2, COLUMN())) = 9, 82.223, IF(INDIRECT(ADDRESS(ROW() - 2, COLUMN())) = 10, 88.468, IF(INDIRECT(ADDRESS(ROW() - 2, COLUMN())) = 11, 94.713,0)))))))))))</f>
        <v>#VALUE!</v>
      </c>
      <c r="AKM7" s="88" t="str">
        <f> IF(INDIRECT(ADDRESS(ROW() - 2, COLUMN())) = 1, 63.932, IF(INDIRECT(ADDRESS(ROW() - 2, COLUMN())) = 2, 69.136, IF(INDIRECT(ADDRESS(ROW() - 2, COLUMN())) = 3, 74.3399999999999, IF(INDIRECT(ADDRESS(ROW() - 2, COLUMN())) = 4, 81.774, IF(INDIRECT(ADDRESS(ROW() - 2, COLUMN())) = 5, 86.978, IF(INDIRECT(ADDRESS(ROW() - 2, COLUMN())) = 6, 92.925, IF(INDIRECT(ADDRESS(ROW() - 2, COLUMN())) = 7, 101.102, IF(INDIRECT(ADDRESS(ROW() - 2, COLUMN())) = 8, 109.28, IF(INDIRECT(ADDRESS(ROW() - 2, COLUMN())) = 9, 117.457, IF(INDIRECT(ADDRESS(ROW() - 2, COLUMN())) = 10, 126.377999999999, IF(INDIRECT(ADDRESS(ROW() - 2, COLUMN())) = 11, 135.298999999999,0)))))))))))</f>
        <v>#VALUE!</v>
      </c>
      <c r="AKN7" s="88" t="str">
        <f> IF(INDIRECT(ADDRESS(ROW() - 2, COLUMN())) = 1, 127.838, IF(INDIRECT(ADDRESS(ROW() - 2, COLUMN())) = 2, 138.243, IF(INDIRECT(ADDRESS(ROW() - 2, COLUMN())) = 3, 148.649, IF(INDIRECT(ADDRESS(ROW() - 2, COLUMN())) = 4, 163.513, IF(INDIRECT(ADDRESS(ROW() - 2, COLUMN())) = 5, 173.919, IF(INDIRECT(ADDRESS(ROW() - 2, COLUMN())) = 6, 185.810999999999, IF(INDIRECT(ADDRESS(ROW() - 2, COLUMN())) = 7, 202.162, IF(INDIRECT(ADDRESS(ROW() - 2, COLUMN())) = 8, 218.513, IF(INDIRECT(ADDRESS(ROW() - 2, COLUMN())) = 9, 234.865, IF(INDIRECT(ADDRESS(ROW() - 2, COLUMN())) = 10, 252.701999999999, IF(INDIRECT(ADDRESS(ROW() - 2, COLUMN())) = 11, 270.54,0)))))))))))</f>
        <v>#VALUE!</v>
      </c>
      <c r="AKO7" s="88" t="str">
        <f> IF(INDIRECT(ADDRESS(ROW() - 2, COLUMN())) = 1, 159.676, IF(INDIRECT(ADDRESS(ROW() - 2, COLUMN())) = 2, 172.673, IF(INDIRECT(ADDRESS(ROW() - 2, COLUMN())) = 3, 185.67, IF(INDIRECT(ADDRESS(ROW() - 2, COLUMN())) = 4, 204.237, IF(INDIRECT(ADDRESS(ROW() - 2, COLUMN())) = 5, 217.234, IF(INDIRECT(ADDRESS(ROW() - 2, COLUMN())) = 6, 232.087, IF(INDIRECT(ADDRESS(ROW() - 2, COLUMN())) = 7, 252.511, IF(INDIRECT(ADDRESS(ROW() - 2, COLUMN())) = 8, 272.935, IF(INDIRECT(ADDRESS(ROW() - 2, COLUMN())) = 9, 293.359, IF(INDIRECT(ADDRESS(ROW() - 2, COLUMN())) = 10, 315.639, IF(INDIRECT(ADDRESS(ROW() - 2, COLUMN())) = 11, 337.919,0)))))))))))</f>
        <v>#VALUE!</v>
      </c>
      <c r="AKP7" s="88" t="str">
        <f> IF(INDIRECT(ADDRESS(ROW() - 2, COLUMN())) = 1, 104, IF(INDIRECT(ADDRESS(ROW() - 2, COLUMN())) = 2, 111.8, IF(INDIRECT(ADDRESS(ROW() - 2, COLUMN())) = 3, 119.6, IF(INDIRECT(ADDRESS(ROW() - 2, COLUMN())) = 4, 130, IF(INDIRECT(ADDRESS(ROW() - 2, COLUMN())) = 5, 137.799999999999, IF(INDIRECT(ADDRESS(ROW() - 2, COLUMN())) = 6, 145.6, IF(INDIRECT(ADDRESS(ROW() - 2, COLUMN())) = 7, 156, IF(INDIRECT(ADDRESS(ROW() - 2, COLUMN())) = 8, 166.4, IF(INDIRECT(ADDRESS(ROW() - 2, COLUMN())) = 9, 176.8, IF(INDIRECT(ADDRESS(ROW() - 2, COLUMN())) = 10, 187.2, IF(INDIRECT(ADDRESS(ROW() - 2, COLUMN())) = 11, 197.6, IF(INDIRECT(ADDRESS(ROW() - 2, COLUMN())) = 12, 208, IF(INDIRECT(ADDRESS(ROW() - 2, COLUMN())) = 13, 221,0)))))))))))))</f>
        <v>#VALUE!</v>
      </c>
      <c r="AKQ7" s="88" t="str">
        <f> IF(INDIRECT(ADDRESS(ROW() - 2, COLUMN())) = 1, 33.6, IF(INDIRECT(ADDRESS(ROW() - 2, COLUMN())) = 2, 36.12, IF(INDIRECT(ADDRESS(ROW() - 2, COLUMN())) = 3, 38.64, IF(INDIRECT(ADDRESS(ROW() - 2, COLUMN())) = 4, 42, IF(INDIRECT(ADDRESS(ROW() - 2, COLUMN())) = 5, 44.5199999999999, IF(INDIRECT(ADDRESS(ROW() - 2, COLUMN())) = 6, 47.04, IF(INDIRECT(ADDRESS(ROW() - 2, COLUMN())) = 7, 50.4, IF(INDIRECT(ADDRESS(ROW() - 2, COLUMN())) = 8, 53.76, IF(INDIRECT(ADDRESS(ROW() - 2, COLUMN())) = 9, 57.12, IF(INDIRECT(ADDRESS(ROW() - 2, COLUMN())) = 10, 60.48, IF(INDIRECT(ADDRESS(ROW() - 2, COLUMN())) = 11, 63.8399999999999, IF(INDIRECT(ADDRESS(ROW() - 2, COLUMN())) = 12, 67.2, IF(INDIRECT(ADDRESS(ROW() - 2, COLUMN())) = 13, 71.3999999999999,0)))))))))))))</f>
        <v>#VALUE!</v>
      </c>
      <c r="AKR7" s="88" t="str">
        <f> IF(INDIRECT(ADDRESS(ROW() - 2, COLUMN())) = 1, 144, IF(INDIRECT(ADDRESS(ROW() - 2, COLUMN())) = 2, 154.8, IF(INDIRECT(ADDRESS(ROW() - 2, COLUMN())) = 3, 165.6, IF(INDIRECT(ADDRESS(ROW() - 2, COLUMN())) = 4, 180, IF(INDIRECT(ADDRESS(ROW() - 2, COLUMN())) = 5, 190.799999999999, IF(INDIRECT(ADDRESS(ROW() - 2, COLUMN())) = 6, 201.6, IF(INDIRECT(ADDRESS(ROW() - 2, COLUMN())) = 7, 216, IF(INDIRECT(ADDRESS(ROW() - 2, COLUMN())) = 8, 230.399999999999, IF(INDIRECT(ADDRESS(ROW() - 2, COLUMN())) = 9, 244.799999999999, IF(INDIRECT(ADDRESS(ROW() - 2, COLUMN())) = 10, 259.2, IF(INDIRECT(ADDRESS(ROW() - 2, COLUMN())) = 11, 273.6, IF(INDIRECT(ADDRESS(ROW() - 2, COLUMN())) = 12, 288, IF(INDIRECT(ADDRESS(ROW() - 2, COLUMN())) = 13, 306,0)))))))))))))</f>
        <v>#VALUE!</v>
      </c>
      <c r="AKS7" s="88" t="str">
        <f> IF(INDIRECT(ADDRESS(ROW() - 2, COLUMN())) = 1, 570.24, IF(INDIRECT(ADDRESS(ROW() - 2, COLUMN())) = 2, 613.008, IF(INDIRECT(ADDRESS(ROW() - 2, COLUMN())) = 3, 655.776, IF(INDIRECT(ADDRESS(ROW() - 2, COLUMN())) = 4, 712.8, IF(INDIRECT(ADDRESS(ROW() - 2, COLUMN())) = 5, 755.568, IF(INDIRECT(ADDRESS(ROW() - 2, COLUMN())) = 6, 798.336, IF(INDIRECT(ADDRESS(ROW() - 2, COLUMN())) = 7, 855.359999999999, IF(INDIRECT(ADDRESS(ROW() - 2, COLUMN())) = 8, 912.383999999999, IF(INDIRECT(ADDRESS(ROW() - 2, COLUMN())) = 9, 969.407999999999, IF(INDIRECT(ADDRESS(ROW() - 2, COLUMN())) = 10, 1026.432, IF(INDIRECT(ADDRESS(ROW() - 2, COLUMN())) = 11, 1083.456, IF(INDIRECT(ADDRESS(ROW() - 2, COLUMN())) = 12, 1140.48, IF(INDIRECT(ADDRESS(ROW() - 2, COLUMN())) = 13, 1211.76,0)))))))))))))</f>
        <v>#VALUE!</v>
      </c>
      <c r="AKT7" s="88" t="str">
        <f> IF(INDIRECT(ADDRESS(ROW() - 2, COLUMN())) = 1, 35.64, IF(INDIRECT(ADDRESS(ROW() - 2, COLUMN())) = 2, 38.313, IF(INDIRECT(ADDRESS(ROW() - 2, COLUMN())) = 3, 40.986, IF(INDIRECT(ADDRESS(ROW() - 2, COLUMN())) = 4, 44.55, IF(INDIRECT(ADDRESS(ROW() - 2, COLUMN())) = 5, 47.223, IF(INDIRECT(ADDRESS(ROW() - 2, COLUMN())) = 6, 49.896, IF(INDIRECT(ADDRESS(ROW() - 2, COLUMN())) = 7, 53.4599999999999, IF(INDIRECT(ADDRESS(ROW() - 2, COLUMN())) = 8, 57.0239999999999, IF(INDIRECT(ADDRESS(ROW() - 2, COLUMN())) = 9, 60.5879999999999, IF(INDIRECT(ADDRESS(ROW() - 2, COLUMN())) = 10, 64.152, IF(INDIRECT(ADDRESS(ROW() - 2, COLUMN())) = 11, 67.716, IF(INDIRECT(ADDRESS(ROW() - 2, COLUMN())) = 12, 71.28, IF(INDIRECT(ADDRESS(ROW() - 2, COLUMN())) = 13, 75.735,0)))))))))))))</f>
        <v>#VALUE!</v>
      </c>
      <c r="AKU7" s="88" t="str">
        <f> IF(INDIRECT(ADDRESS(ROW() - 2, COLUMN())) = 1, 44.462, IF(INDIRECT(ADDRESS(ROW() - 2, COLUMN())) = 2, 48.081, IF(INDIRECT(ADDRESS(ROW() - 2, COLUMN())) = 3, 51.7, IF(INDIRECT(ADDRESS(ROW() - 2, COLUMN())) = 4, 56.87, IF(INDIRECT(ADDRESS(ROW() - 2, COLUMN())) = 5, 60.489, IF(INDIRECT(ADDRESS(ROW() - 2, COLUMN())) = 6, 64.625, IF(INDIRECT(ADDRESS(ROW() - 2, COLUMN())) = 7, 70.312, IF(INDIRECT(ADDRESS(ROW() - 2, COLUMN())) = 8, 75.999, IF(INDIRECT(ADDRESS(ROW() - 2, COLUMN())) = 9, 81.686, IF(INDIRECT(ADDRESS(ROW() - 2, COLUMN())) = 10, 87.89, IF(INDIRECT(ADDRESS(ROW() - 2, COLUMN())) = 11, 94.094,0)))))))))))</f>
        <v>#VALUE!</v>
      </c>
      <c r="AKV7" s="88" t="str">
        <f> IF(INDIRECT(ADDRESS(ROW() - 2, COLUMN())) = 1, 43.43, IF(INDIRECT(ADDRESS(ROW() - 2, COLUMN())) = 2, 46.965, IF(INDIRECT(ADDRESS(ROW() - 2, COLUMN())) = 3, 50.5, IF(INDIRECT(ADDRESS(ROW() - 2, COLUMN())) = 4, 55.55, IF(INDIRECT(ADDRESS(ROW() - 2, COLUMN())) = 5, 59.085, IF(INDIRECT(ADDRESS(ROW() - 2, COLUMN())) = 6, 63.125, IF(INDIRECT(ADDRESS(ROW() - 2, COLUMN())) = 7, 68.6799999999999, IF(INDIRECT(ADDRESS(ROW() - 2, COLUMN())) = 8, 74.235, IF(INDIRECT(ADDRESS(ROW() - 2, COLUMN())) = 9, 79.79, IF(INDIRECT(ADDRESS(ROW() - 2, COLUMN())) = 10, 85.85, IF(INDIRECT(ADDRESS(ROW() - 2, COLUMN())) = 11, 91.91,0)))))))))))</f>
        <v>#VALUE!</v>
      </c>
      <c r="AKW7" s="88" t="str">
        <f> IF(INDIRECT(ADDRESS(ROW() - 2, COLUMN())) = 1, 52.976, IF(INDIRECT(ADDRESS(ROW() - 2, COLUMN())) = 2, 57.288, IF(INDIRECT(ADDRESS(ROW() - 2, COLUMN())) = 3, 61.6, IF(INDIRECT(ADDRESS(ROW() - 2, COLUMN())) = 4, 67.7599999999999, IF(INDIRECT(ADDRESS(ROW() - 2, COLUMN())) = 5, 72.072, IF(INDIRECT(ADDRESS(ROW() - 2, COLUMN())) = 6, 77, IF(INDIRECT(ADDRESS(ROW() - 2, COLUMN())) = 7, 83.776, IF(INDIRECT(ADDRESS(ROW() - 2, COLUMN())) = 8, 90.5519999999999, IF(INDIRECT(ADDRESS(ROW() - 2, COLUMN())) = 9, 97.328, IF(INDIRECT(ADDRESS(ROW() - 2, COLUMN())) = 10, 104.719999999999, IF(INDIRECT(ADDRESS(ROW() - 2, COLUMN())) = 11, 112.112,0)))))))))))</f>
        <v>#VALUE!</v>
      </c>
      <c r="AKX7" s="88" t="str">
        <f> IF(INDIRECT(ADDRESS(ROW() - 2, COLUMN())) = 1, 58.308, IF(INDIRECT(ADDRESS(ROW() - 2, COLUMN())) = 2, 63.054, IF(INDIRECT(ADDRESS(ROW() - 2, COLUMN())) = 3, 67.8, IF(INDIRECT(ADDRESS(ROW() - 2, COLUMN())) = 4, 74.58, IF(INDIRECT(ADDRESS(ROW() - 2, COLUMN())) = 5, 79.326, IF(INDIRECT(ADDRESS(ROW() - 2, COLUMN())) = 6, 84.75, IF(INDIRECT(ADDRESS(ROW() - 2, COLUMN())) = 7, 92.208, IF(INDIRECT(ADDRESS(ROW() - 2, COLUMN())) = 8, 99.666, IF(INDIRECT(ADDRESS(ROW() - 2, COLUMN())) = 9, 107.124, IF(INDIRECT(ADDRESS(ROW() - 2, COLUMN())) = 10, 115.26, IF(INDIRECT(ADDRESS(ROW() - 2, COLUMN())) = 11, 123.396,0)))))))))))</f>
        <v>#VALUE!</v>
      </c>
      <c r="AKY7" s="88" t="str">
        <f> IF(INDIRECT(ADDRESS(ROW() - 2, COLUMN())) = 1, 70.7779999999999, IF(INDIRECT(ADDRESS(ROW() - 2, COLUMN())) = 2, 76.539, IF(INDIRECT(ADDRESS(ROW() - 2, COLUMN())) = 3, 82.3, IF(INDIRECT(ADDRESS(ROW() - 2, COLUMN())) = 4, 90.53, IF(INDIRECT(ADDRESS(ROW() - 2, COLUMN())) = 5, 96.291, IF(INDIRECT(ADDRESS(ROW() - 2, COLUMN())) = 6, 102.875, IF(INDIRECT(ADDRESS(ROW() - 2, COLUMN())) = 7, 111.928, IF(INDIRECT(ADDRESS(ROW() - 2, COLUMN())) = 8, 120.981, IF(INDIRECT(ADDRESS(ROW() - 2, COLUMN())) = 9, 130.034, IF(INDIRECT(ADDRESS(ROW() - 2, COLUMN())) = 10, 139.91, IF(INDIRECT(ADDRESS(ROW() - 2, COLUMN())) = 11, 149.786,0)))))))))))</f>
        <v>#VALUE!</v>
      </c>
      <c r="AKZ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ALA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ALB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ALC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ALD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ALE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ALF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ALG7" s="88" t="str">
        <f t="shared" ref="ALG7:ALH7" si="466"> IF(INDIRECT(ADDRESS(ROW() - 2, COLUMN())) = 1, 32.8, IF(INDIRECT(ADDRESS(ROW() - 2, COLUMN())) = 2, 35.26, IF(INDIRECT(ADDRESS(ROW() - 2, COLUMN())) = 3, 37.72, IF(INDIRECT(ADDRESS(ROW() - 2, COLUMN())) = 4, 41, IF(INDIRECT(ADDRESS(ROW() - 2, COLUMN())) = 5, 43.46, IF(INDIRECT(ADDRESS(ROW() - 2, COLUMN())) = 6, 45.92, IF(INDIRECT(ADDRESS(ROW() - 2, COLUMN())) = 7, 49.2, IF(INDIRECT(ADDRESS(ROW() - 2, COLUMN())) = 8, 52.48, IF(INDIRECT(ADDRESS(ROW() - 2, COLUMN())) = 9, 55.76, IF(INDIRECT(ADDRESS(ROW() - 2, COLUMN())) = 10, 59.04, IF(INDIRECT(ADDRESS(ROW() - 2, COLUMN())) = 11, 62.32, IF(INDIRECT(ADDRESS(ROW() - 2, COLUMN())) = 12, 65.6, IF(INDIRECT(ADDRESS(ROW() - 2, COLUMN())) = 13, 69.6999999999999,0)))))))))))))</f>
        <v>#VALUE!</v>
      </c>
      <c r="ALH7" s="88" t="str">
        <f t="shared" si="466"/>
        <v>#VALUE!</v>
      </c>
      <c r="ALI7" s="88" t="str">
        <f t="shared" ref="ALI7:ALJ7" si="467"> IF(INDIRECT(ADDRESS(ROW() - 2, COLUMN())) = 1, 189.28, IF(INDIRECT(ADDRESS(ROW() - 2, COLUMN())) = 2, 203.476, IF(INDIRECT(ADDRESS(ROW() - 2, COLUMN())) = 3, 217.672, IF(INDIRECT(ADDRESS(ROW() - 2, COLUMN())) = 4, 236.6, IF(INDIRECT(ADDRESS(ROW() - 2, COLUMN())) = 5, 250.796, IF(INDIRECT(ADDRESS(ROW() - 2, COLUMN())) = 6, 264.991999999999, IF(INDIRECT(ADDRESS(ROW() - 2, COLUMN())) = 7, 283.92, IF(INDIRECT(ADDRESS(ROW() - 2, COLUMN())) = 8, 302.848, IF(INDIRECT(ADDRESS(ROW() - 2, COLUMN())) = 9, 321.776, IF(INDIRECT(ADDRESS(ROW() - 2, COLUMN())) = 10, 340.704, IF(INDIRECT(ADDRESS(ROW() - 2, COLUMN())) = 11, 359.632, IF(INDIRECT(ADDRESS(ROW() - 2, COLUMN())) = 12, 378.56, IF(INDIRECT(ADDRESS(ROW() - 2, COLUMN())) = 13, 402.219999999999,0)))))))))))))</f>
        <v>#VALUE!</v>
      </c>
      <c r="ALJ7" s="88" t="str">
        <f t="shared" si="467"/>
        <v>#VALUE!</v>
      </c>
      <c r="ALK7" s="88" t="str">
        <f> IF(INDIRECT(ADDRESS(ROW() - 2, COLUMN())) = 1, 32.8, IF(INDIRECT(ADDRESS(ROW() - 2, COLUMN())) = 2, 35.26, IF(INDIRECT(ADDRESS(ROW() - 2, COLUMN())) = 3, 37.72, IF(INDIRECT(ADDRESS(ROW() - 2, COLUMN())) = 4, 41, IF(INDIRECT(ADDRESS(ROW() - 2, COLUMN())) = 5, 43.46, IF(INDIRECT(ADDRESS(ROW() - 2, COLUMN())) = 6, 45.92, IF(INDIRECT(ADDRESS(ROW() - 2, COLUMN())) = 7, 49.2, IF(INDIRECT(ADDRESS(ROW() - 2, COLUMN())) = 8, 52.48, IF(INDIRECT(ADDRESS(ROW() - 2, COLUMN())) = 9, 55.76, IF(INDIRECT(ADDRESS(ROW() - 2, COLUMN())) = 10, 59.04, IF(INDIRECT(ADDRESS(ROW() - 2, COLUMN())) = 11, 62.32, IF(INDIRECT(ADDRESS(ROW() - 2, COLUMN())) = 12, 65.6, IF(INDIRECT(ADDRESS(ROW() - 2, COLUMN())) = 13, 69.6999999999999,0)))))))))))))</f>
        <v>#VALUE!</v>
      </c>
      <c r="ALL7" s="88" t="str">
        <f> IF(INDIRECT(ADDRESS(ROW() - 2, COLUMN())) = 1, 101.865999999999, IF(INDIRECT(ADDRESS(ROW() - 2, COLUMN())) = 2, 109.505999999999, IF(INDIRECT(ADDRESS(ROW() - 2, COLUMN())) = 3, 117.146, IF(INDIRECT(ADDRESS(ROW() - 2, COLUMN())) = 4, 127.333, IF(INDIRECT(ADDRESS(ROW() - 2, COLUMN())) = 5, 134.973, IF(INDIRECT(ADDRESS(ROW() - 2, COLUMN())) = 6, 142.613, IF(INDIRECT(ADDRESS(ROW() - 2, COLUMN())) = 7, 152.8, IF(INDIRECT(ADDRESS(ROW() - 2, COLUMN())) = 8, 162.986, IF(INDIRECT(ADDRESS(ROW() - 2, COLUMN())) = 9, 173.173, IF(INDIRECT(ADDRESS(ROW() - 2, COLUMN())) = 10, 183.359999999999, IF(INDIRECT(ADDRESS(ROW() - 2, COLUMN())) = 11, 193.546, IF(INDIRECT(ADDRESS(ROW() - 2, COLUMN())) = 12, 203.732999999999, IF(INDIRECT(ADDRESS(ROW() - 2, COLUMN())) = 13, 216.466,0)))))))))))))</f>
        <v>#VALUE!</v>
      </c>
      <c r="ALM7" s="88" t="str">
        <f> IF(INDIRECT(ADDRESS(ROW() - 2, COLUMN())) = 1, 43.082, IF(INDIRECT(ADDRESS(ROW() - 2, COLUMN())) = 2, 46.588, IF(INDIRECT(ADDRESS(ROW() - 2, COLUMN())) = 3, 50.095, IF(INDIRECT(ADDRESS(ROW() - 2, COLUMN())) = 4, 55.105, IF(INDIRECT(ADDRESS(ROW() - 2, COLUMN())) = 5, 58.611, IF(INDIRECT(ADDRESS(ROW() - 2, COLUMN())) = 6, 62.619, IF(INDIRECT(ADDRESS(ROW() - 2, COLUMN())) = 7, 68.1289999999999, IF(INDIRECT(ADDRESS(ROW() - 2, COLUMN())) = 8, 73.64, IF(INDIRECT(ADDRESS(ROW() - 2, COLUMN())) = 9, 79.1499999999999, IF(INDIRECT(ADDRESS(ROW() - 2, COLUMN())) = 10, 85.162, IF(INDIRECT(ADDRESS(ROW() - 2, COLUMN())) = 11, 91.173, IF(INDIRECT(ADDRESS(ROW() - 2, COLUMN())) = 12, 97.184, IF(INDIRECT(ADDRESS(ROW() - 2, COLUMN())) = 13, 103.196, IF(INDIRECT(ADDRESS(ROW() - 2, COLUMN())) = 14, 109.207,0))))))))))))))</f>
        <v>#VALUE!</v>
      </c>
      <c r="ALN7" s="88" t="str">
        <f> IF(INDIRECT(ADDRESS(ROW() - 2, COLUMN())) = 1, 37.612, IF(INDIRECT(ADDRESS(ROW() - 2, COLUMN())) = 2, 40.674, IF(INDIRECT(ADDRESS(ROW() - 2, COLUMN())) = 3, 43.735, IF(INDIRECT(ADDRESS(ROW() - 2, COLUMN())) = 4, 48.109, IF(INDIRECT(ADDRESS(ROW() - 2, COLUMN())) = 5, 51.17, IF(INDIRECT(ADDRESS(ROW() - 2, COLUMN())) = 6, 54.669, IF(INDIRECT(ADDRESS(ROW() - 2, COLUMN())) = 7, 59.48, IF(INDIRECT(ADDRESS(ROW() - 2, COLUMN())) = 8, 64.29, IF(INDIRECT(ADDRESS(ROW() - 2, COLUMN())) = 9, 69.101, IF(INDIRECT(ADDRESS(ROW() - 2, COLUMN())) = 10, 74.349, IF(INDIRECT(ADDRESS(ROW() - 2, COLUMN())) = 11, 79.598, IF(INDIRECT(ADDRESS(ROW() - 2, COLUMN())) = 12, 84.846, IF(INDIRECT(ADDRESS(ROW() - 2, COLUMN())) = 13, 90.094, IF(INDIRECT(ADDRESS(ROW() - 2, COLUMN())) = 14, 95.342,0))))))))))))))</f>
        <v>#VALUE!</v>
      </c>
      <c r="ALO7" s="88" t="str">
        <f> IF(INDIRECT(ADDRESS(ROW() - 2, COLUMN())) = 1, 27.864, IF(INDIRECT(ADDRESS(ROW() - 2, COLUMN())) = 2, 30.1319999999999, IF(INDIRECT(ADDRESS(ROW() - 2, COLUMN())) = 3, 32.4, IF(INDIRECT(ADDRESS(ROW() - 2, COLUMN())) = 4, 35.64, IF(INDIRECT(ADDRESS(ROW() - 2, COLUMN())) = 5, 37.9079999999999, IF(INDIRECT(ADDRESS(ROW() - 2, COLUMN())) = 6, 40.5, IF(INDIRECT(ADDRESS(ROW() - 2, COLUMN())) = 7, 44.064, IF(INDIRECT(ADDRESS(ROW() - 2, COLUMN())) = 8, 47.628, IF(INDIRECT(ADDRESS(ROW() - 2, COLUMN())) = 9, 51.192, IF(INDIRECT(ADDRESS(ROW() - 2, COLUMN())) = 10, 55.08, IF(INDIRECT(ADDRESS(ROW() - 2, COLUMN())) = 11, 58.9679999999999, IF(INDIRECT(ADDRESS(ROW() - 2, COLUMN())) = 12, 62.856, IF(INDIRECT(ADDRESS(ROW() - 2, COLUMN())) = 13, 66.744, IF(INDIRECT(ADDRESS(ROW() - 2, COLUMN())) = 14, 70.6319999999999,0))))))))))))))</f>
        <v>#VALUE!</v>
      </c>
      <c r="ALP7" s="88" t="str">
        <f> IF(INDIRECT(ADDRESS(ROW() - 2, COLUMN())) = 1, 21.593, IF(INDIRECT(ADDRESS(ROW() - 2, COLUMN())) = 2, 23.35, IF(INDIRECT(ADDRESS(ROW() - 2, COLUMN())) = 3, 25.108, IF(INDIRECT(ADDRESS(ROW() - 2, COLUMN())) = 4, 27.619, IF(INDIRECT(ADDRESS(ROW() - 2, COLUMN())) = 5, 29.376, IF(INDIRECT(ADDRESS(ROW() - 2, COLUMN())) = 6, 31.385, IF(INDIRECT(ADDRESS(ROW() - 2, COLUMN())) = 7, 34.147, IF(INDIRECT(ADDRESS(ROW() - 2, COLUMN())) = 8, 36.909, IF(INDIRECT(ADDRESS(ROW() - 2, COLUMN())) = 9, 39.671, IF(INDIRECT(ADDRESS(ROW() - 2, COLUMN())) = 10, 42.684, IF(INDIRECT(ADDRESS(ROW() - 2, COLUMN())) = 11, 45.6969999999999, IF(INDIRECT(ADDRESS(ROW() - 2, COLUMN())) = 12, 48.709, IF(INDIRECT(ADDRESS(ROW() - 2, COLUMN())) = 13, 51.723, IF(INDIRECT(ADDRESS(ROW() - 2, COLUMN())) = 14, 54.735,0))))))))))))))</f>
        <v>#VALUE!</v>
      </c>
      <c r="ALQ7" s="88" t="str">
        <f> IF(INDIRECT(ADDRESS(ROW() - 2, COLUMN())) = 1, 63.1539999999999, IF(INDIRECT(ADDRESS(ROW() - 2, COLUMN())) = 2, 68.2949999999999, IF(INDIRECT(ADDRESS(ROW() - 2, COLUMN())) = 3, 73.4349999999999, IF(INDIRECT(ADDRESS(ROW() - 2, COLUMN())) = 4, 80.778, IF(INDIRECT(ADDRESS(ROW() - 2, COLUMN())) = 5, 85.919, IF(INDIRECT(ADDRESS(ROW() - 2, COLUMN())) = 6, 91.794, IF(INDIRECT(ADDRESS(ROW() - 2, COLUMN())) = 7, 99.872, IF(INDIRECT(ADDRESS(ROW() - 2, COLUMN())) = 8, 107.949, IF(INDIRECT(ADDRESS(ROW() - 2, COLUMN())) = 9, 116.026999999999, IF(INDIRECT(ADDRESS(ROW() - 2, COLUMN())) = 10, 124.839, IF(INDIRECT(ADDRESS(ROW() - 2, COLUMN())) = 11, 133.652, IF(INDIRECT(ADDRESS(ROW() - 2, COLUMN())) = 12, 142.464, IF(INDIRECT(ADDRESS(ROW() - 2, COLUMN())) = 13, 151.276, IF(INDIRECT(ADDRESS(ROW() - 2, COLUMN())) = 14, 160.088,0))))))))))))))</f>
        <v>#VALUE!</v>
      </c>
      <c r="ALR7" s="88" t="str">
        <f> IF(INDIRECT(ADDRESS(ROW() - 2, COLUMN())) = 1, 44.204, IF(INDIRECT(ADDRESS(ROW() - 2, COLUMN())) = 2, 47.802, IF(INDIRECT(ADDRESS(ROW() - 2, COLUMN())) = 3, 51.4, IF(INDIRECT(ADDRESS(ROW() - 2, COLUMN())) = 4, 56.54, IF(INDIRECT(ADDRESS(ROW() - 2, COLUMN())) = 5, 60.138, IF(INDIRECT(ADDRESS(ROW() - 2, COLUMN())) = 6, 64.25, IF(INDIRECT(ADDRESS(ROW() - 2, COLUMN())) = 7, 69.904, IF(INDIRECT(ADDRESS(ROW() - 2, COLUMN())) = 8, 75.558, IF(INDIRECT(ADDRESS(ROW() - 2, COLUMN())) = 9, 81.2119999999999, IF(INDIRECT(ADDRESS(ROW() - 2, COLUMN())) = 10, 87.38, IF(INDIRECT(ADDRESS(ROW() - 2, COLUMN())) = 11, 93.548, IF(INDIRECT(ADDRESS(ROW() - 2, COLUMN())) = 12, 99.716, IF(INDIRECT(ADDRESS(ROW() - 2, COLUMN())) = 13, 105.884, IF(INDIRECT(ADDRESS(ROW() - 2, COLUMN())) = 14, 112.051999999999,0))))))))))))))</f>
        <v>#VALUE!</v>
      </c>
      <c r="ALS7" s="88" t="str">
        <f> IF(INDIRECT(ADDRESS(ROW() - 2, COLUMN())) = 1, 61.404, IF(INDIRECT(ADDRESS(ROW() - 2, COLUMN())) = 2, 66.402, IF(INDIRECT(ADDRESS(ROW() - 2, COLUMN())) = 3, 71.3999999999999, IF(INDIRECT(ADDRESS(ROW() - 2, COLUMN())) = 4, 78.5399999999999, IF(INDIRECT(ADDRESS(ROW() - 2, COLUMN())) = 5, 83.538, IF(INDIRECT(ADDRESS(ROW() - 2, COLUMN())) = 6, 89.25, IF(INDIRECT(ADDRESS(ROW() - 2, COLUMN())) = 7, 97.104, IF(INDIRECT(ADDRESS(ROW() - 2, COLUMN())) = 8, 104.958, IF(INDIRECT(ADDRESS(ROW() - 2, COLUMN())) = 9, 112.812, IF(INDIRECT(ADDRESS(ROW() - 2, COLUMN())) = 10, 121.38, IF(INDIRECT(ADDRESS(ROW() - 2, COLUMN())) = 11, 129.948, IF(INDIRECT(ADDRESS(ROW() - 2, COLUMN())) = 12, 138.516, IF(INDIRECT(ADDRESS(ROW() - 2, COLUMN())) = 13, 147.084, IF(INDIRECT(ADDRESS(ROW() - 2, COLUMN())) = 14, 155.652,0))))))))))))))</f>
        <v>#VALUE!</v>
      </c>
      <c r="ALT7" s="88" t="str">
        <f> IF(INDIRECT(ADDRESS(ROW() - 2, COLUMN())) = 1, 63.932, IF(INDIRECT(ADDRESS(ROW() - 2, COLUMN())) = 2, 69.136, IF(INDIRECT(ADDRESS(ROW() - 2, COLUMN())) = 3, 74.3399999999999, IF(INDIRECT(ADDRESS(ROW() - 2, COLUMN())) = 4, 81.774, IF(INDIRECT(ADDRESS(ROW() - 2, COLUMN())) = 5, 86.978, IF(INDIRECT(ADDRESS(ROW() - 2, COLUMN())) = 6, 92.925, IF(INDIRECT(ADDRESS(ROW() - 2, COLUMN())) = 7, 101.102, IF(INDIRECT(ADDRESS(ROW() - 2, COLUMN())) = 8, 109.28, IF(INDIRECT(ADDRESS(ROW() - 2, COLUMN())) = 9, 117.457, IF(INDIRECT(ADDRESS(ROW() - 2, COLUMN())) = 10, 126.377999999999, IF(INDIRECT(ADDRESS(ROW() - 2, COLUMN())) = 11, 135.298999999999, IF(INDIRECT(ADDRESS(ROW() - 2, COLUMN())) = 12, 144.22, IF(INDIRECT(ADDRESS(ROW() - 2, COLUMN())) = 13, 153.14, IF(INDIRECT(ADDRESS(ROW() - 2, COLUMN())) = 14, 162.061,0))))))))))))))</f>
        <v>#VALUE!</v>
      </c>
      <c r="ALU7" s="88" t="str">
        <f> IF(INDIRECT(ADDRESS(ROW() - 2, COLUMN())) = 1, 127.838, IF(INDIRECT(ADDRESS(ROW() - 2, COLUMN())) = 2, 138.243, IF(INDIRECT(ADDRESS(ROW() - 2, COLUMN())) = 3, 148.649, IF(INDIRECT(ADDRESS(ROW() - 2, COLUMN())) = 4, 163.513, IF(INDIRECT(ADDRESS(ROW() - 2, COLUMN())) = 5, 173.919, IF(INDIRECT(ADDRESS(ROW() - 2, COLUMN())) = 6, 185.810999999999, IF(INDIRECT(ADDRESS(ROW() - 2, COLUMN())) = 7, 202.162, IF(INDIRECT(ADDRESS(ROW() - 2, COLUMN())) = 8, 218.513, IF(INDIRECT(ADDRESS(ROW() - 2, COLUMN())) = 9, 234.865, IF(INDIRECT(ADDRESS(ROW() - 2, COLUMN())) = 10, 252.701999999999, IF(INDIRECT(ADDRESS(ROW() - 2, COLUMN())) = 11, 270.54, IF(INDIRECT(ADDRESS(ROW() - 2, COLUMN())) = 12, 288.378, IF(INDIRECT(ADDRESS(ROW() - 2, COLUMN())) = 13, 306.216, IF(INDIRECT(ADDRESS(ROW() - 2, COLUMN())) = 14, 324.054,0))))))))))))))</f>
        <v>#VALUE!</v>
      </c>
      <c r="ALV7" s="88" t="str">
        <f> IF(INDIRECT(ADDRESS(ROW() - 2, COLUMN())) = 1, 159.676, IF(INDIRECT(ADDRESS(ROW() - 2, COLUMN())) = 2, 172.673, IF(INDIRECT(ADDRESS(ROW() - 2, COLUMN())) = 3, 185.67, IF(INDIRECT(ADDRESS(ROW() - 2, COLUMN())) = 4, 204.237, IF(INDIRECT(ADDRESS(ROW() - 2, COLUMN())) = 5, 217.234, IF(INDIRECT(ADDRESS(ROW() - 2, COLUMN())) = 6, 232.087, IF(INDIRECT(ADDRESS(ROW() - 2, COLUMN())) = 7, 252.511, IF(INDIRECT(ADDRESS(ROW() - 2, COLUMN())) = 8, 272.935, IF(INDIRECT(ADDRESS(ROW() - 2, COLUMN())) = 9, 293.359, IF(INDIRECT(ADDRESS(ROW() - 2, COLUMN())) = 10, 315.639, IF(INDIRECT(ADDRESS(ROW() - 2, COLUMN())) = 11, 337.919, IF(INDIRECT(ADDRESS(ROW() - 2, COLUMN())) = 12, 360.2, IF(INDIRECT(ADDRESS(ROW() - 2, COLUMN())) = 13, 382.48, IF(INDIRECT(ADDRESS(ROW() - 2, COLUMN())) = 14, 404.760999999999,0))))))))))))))</f>
        <v>#VALUE!</v>
      </c>
      <c r="ALW7" s="88" t="str">
        <f> IF(INDIRECT(ADDRESS(ROW() - 2, COLUMN())) = 1, 268, IF(INDIRECT(ADDRESS(ROW() - 2, COLUMN())) = 2, 288.099999999999, IF(INDIRECT(ADDRESS(ROW() - 2, COLUMN())) = 3, 308.2, IF(INDIRECT(ADDRESS(ROW() - 2, COLUMN())) = 4, 335, IF(INDIRECT(ADDRESS(ROW() - 2, COLUMN())) = 5, 355.1, IF(INDIRECT(ADDRESS(ROW() - 2, COLUMN())) = 6, 375.2, IF(INDIRECT(ADDRESS(ROW() - 2, COLUMN())) = 7, 401.999999999999, IF(INDIRECT(ADDRESS(ROW() - 2, COLUMN())) = 8, 428.8, IF(INDIRECT(ADDRESS(ROW() - 2, COLUMN())) = 9, 455.6, IF(INDIRECT(ADDRESS(ROW() - 2, COLUMN())) = 10, 482.4, IF(INDIRECT(ADDRESS(ROW() - 2, COLUMN())) = 11, 509.2, IF(INDIRECT(ADDRESS(ROW() - 2, COLUMN())) = 12, 536, IF(INDIRECT(ADDRESS(ROW() - 2, COLUMN())) = 13, 569.5,0)))))))))))))</f>
        <v>#VALUE!</v>
      </c>
      <c r="ALX7" s="88" t="str">
        <f> IF(INDIRECT(ADDRESS(ROW() - 2, COLUMN())) = 1, 31.2, IF(INDIRECT(ADDRESS(ROW() - 2, COLUMN())) = 2, 33.54, IF(INDIRECT(ADDRESS(ROW() - 2, COLUMN())) = 3, 35.88, IF(INDIRECT(ADDRESS(ROW() - 2, COLUMN())) = 4, 39, IF(INDIRECT(ADDRESS(ROW() - 2, COLUMN())) = 5, 41.3399999999999, IF(INDIRECT(ADDRESS(ROW() - 2, COLUMN())) = 6, 43.68, IF(INDIRECT(ADDRESS(ROW() - 2, COLUMN())) = 7, 46.8, IF(INDIRECT(ADDRESS(ROW() - 2, COLUMN())) = 8, 49.9199999999999, IF(INDIRECT(ADDRESS(ROW() - 2, COLUMN())) = 9, 53.04, IF(INDIRECT(ADDRESS(ROW() - 2, COLUMN())) = 10, 56.16, IF(INDIRECT(ADDRESS(ROW() - 2, COLUMN())) = 11, 59.28, IF(INDIRECT(ADDRESS(ROW() - 2, COLUMN())) = 12, 62.4, IF(INDIRECT(ADDRESS(ROW() - 2, COLUMN())) = 13, 66.3,0)))))))))))))</f>
        <v>#VALUE!</v>
      </c>
      <c r="ALY7" s="88" t="str">
        <f> IF(INDIRECT(ADDRESS(ROW() - 2, COLUMN())) = 1, 83.2, IF(INDIRECT(ADDRESS(ROW() - 2, COLUMN())) = 2, 89.44, IF(INDIRECT(ADDRESS(ROW() - 2, COLUMN())) = 3, 95.6799999999999, IF(INDIRECT(ADDRESS(ROW() - 2, COLUMN())) = 4, 104, IF(INDIRECT(ADDRESS(ROW() - 2, COLUMN())) = 5, 110.24, IF(INDIRECT(ADDRESS(ROW() - 2, COLUMN())) = 6, 116.48, IF(INDIRECT(ADDRESS(ROW() - 2, COLUMN())) = 7, 124.8, IF(INDIRECT(ADDRESS(ROW() - 2, COLUMN())) = 8, 133.12, IF(INDIRECT(ADDRESS(ROW() - 2, COLUMN())) = 9, 141.44, IF(INDIRECT(ADDRESS(ROW() - 2, COLUMN())) = 10, 149.76, IF(INDIRECT(ADDRESS(ROW() - 2, COLUMN())) = 11, 158.079999999999, IF(INDIRECT(ADDRESS(ROW() - 2, COLUMN())) = 12, 166.4, IF(INDIRECT(ADDRESS(ROW() - 2, COLUMN())) = 13, 176.8,0)))))))))))))</f>
        <v>#VALUE!</v>
      </c>
      <c r="ALZ7" s="88" t="str">
        <f> IF(INDIRECT(ADDRESS(ROW() - 2, COLUMN())) = 1, 51.2, IF(INDIRECT(ADDRESS(ROW() - 2, COLUMN())) = 2, 55.04, IF(INDIRECT(ADDRESS(ROW() - 2, COLUMN())) = 3, 58.8799999999999, IF(INDIRECT(ADDRESS(ROW() - 2, COLUMN())) = 4, 64, IF(INDIRECT(ADDRESS(ROW() - 2, COLUMN())) = 5, 67.84, IF(INDIRECT(ADDRESS(ROW() - 2, COLUMN())) = 6, 71.6799999999999, IF(INDIRECT(ADDRESS(ROW() - 2, COLUMN())) = 7, 76.8, IF(INDIRECT(ADDRESS(ROW() - 2, COLUMN())) = 8, 81.92, IF(INDIRECT(ADDRESS(ROW() - 2, COLUMN())) = 9, 87.0399999999999, IF(INDIRECT(ADDRESS(ROW() - 2, COLUMN())) = 10, 92.16, IF(INDIRECT(ADDRESS(ROW() - 2, COLUMN())) = 11, 97.28, IF(INDIRECT(ADDRESS(ROW() - 2, COLUMN())) = 12, 102.4, IF(INDIRECT(ADDRESS(ROW() - 2, COLUMN())) = 13, 108.8,0)))))))))))))</f>
        <v>#VALUE!</v>
      </c>
      <c r="AMA7" s="88" t="str">
        <f> IF(INDIRECT(ADDRESS(ROW() - 2, COLUMN())) = 1, 45.6, IF(INDIRECT(ADDRESS(ROW() - 2, COLUMN())) = 2, 49.02, IF(INDIRECT(ADDRESS(ROW() - 2, COLUMN())) = 3, 52.44, IF(INDIRECT(ADDRESS(ROW() - 2, COLUMN())) = 4, 56.9999999999999, IF(INDIRECT(ADDRESS(ROW() - 2, COLUMN())) = 5, 60.4199999999999, IF(INDIRECT(ADDRESS(ROW() - 2, COLUMN())) = 6, 63.8399999999999, IF(INDIRECT(ADDRESS(ROW() - 2, COLUMN())) = 7, 68.4, IF(INDIRECT(ADDRESS(ROW() - 2, COLUMN())) = 8, 72.96, IF(INDIRECT(ADDRESS(ROW() - 2, COLUMN())) = 9, 77.52, IF(INDIRECT(ADDRESS(ROW() - 2, COLUMN())) = 10, 82.08, IF(INDIRECT(ADDRESS(ROW() - 2, COLUMN())) = 11, 86.64, IF(INDIRECT(ADDRESS(ROW() - 2, COLUMN())) = 12, 91.2, IF(INDIRECT(ADDRESS(ROW() - 2, COLUMN())) = 13, 96.8999999999999,0)))))))))))))</f>
        <v>#VALUE!</v>
      </c>
      <c r="AMB7" s="88" t="str">
        <f> IF(INDIRECT(ADDRESS(ROW() - 2, COLUMN())) = 1, 38.786, IF(INDIRECT(ADDRESS(ROW() - 2, COLUMN())) = 2, 41.943, IF(INDIRECT(ADDRESS(ROW() - 2, COLUMN())) = 3, 45.1, IF(INDIRECT(ADDRESS(ROW() - 2, COLUMN())) = 4, 49.61, IF(INDIRECT(ADDRESS(ROW() - 2, COLUMN())) = 5, 52.7669999999999, IF(INDIRECT(ADDRESS(ROW() - 2, COLUMN())) = 6, 56.375, IF(INDIRECT(ADDRESS(ROW() - 2, COLUMN())) = 7, 61.336, IF(INDIRECT(ADDRESS(ROW() - 2, COLUMN())) = 8, 66.297, IF(INDIRECT(ADDRESS(ROW() - 2, COLUMN())) = 9, 71.258, IF(INDIRECT(ADDRESS(ROW() - 2, COLUMN())) = 10, 76.67, IF(INDIRECT(ADDRESS(ROW() - 2, COLUMN())) = 11, 82.082, IF(INDIRECT(ADDRESS(ROW() - 2, COLUMN())) = 12, 87.494, IF(INDIRECT(ADDRESS(ROW() - 2, COLUMN())) = 13, 92.906, IF(INDIRECT(ADDRESS(ROW() - 2, COLUMN())) = 14, 98.318,0))))))))))))))</f>
        <v>#VALUE!</v>
      </c>
      <c r="AMC7" s="88" t="str">
        <f> IF(INDIRECT(ADDRESS(ROW() - 2, COLUMN())) = 1, 38.012, IF(INDIRECT(ADDRESS(ROW() - 2, COLUMN())) = 2, 41.1059999999999, IF(INDIRECT(ADDRESS(ROW() - 2, COLUMN())) = 3, 44.2, IF(INDIRECT(ADDRESS(ROW() - 2, COLUMN())) = 4, 48.62, IF(INDIRECT(ADDRESS(ROW() - 2, COLUMN())) = 5, 51.714, IF(INDIRECT(ADDRESS(ROW() - 2, COLUMN())) = 6, 55.25, IF(INDIRECT(ADDRESS(ROW() - 2, COLUMN())) = 7, 60.112, IF(INDIRECT(ADDRESS(ROW() - 2, COLUMN())) = 8, 64.974, IF(INDIRECT(ADDRESS(ROW() - 2, COLUMN())) = 9, 69.836, IF(INDIRECT(ADDRESS(ROW() - 2, COLUMN())) = 10, 75.14, IF(INDIRECT(ADDRESS(ROW() - 2, COLUMN())) = 11, 80.444, IF(INDIRECT(ADDRESS(ROW() - 2, COLUMN())) = 12, 85.748, IF(INDIRECT(ADDRESS(ROW() - 2, COLUMN())) = 13, 91.0519999999999, IF(INDIRECT(ADDRESS(ROW() - 2, COLUMN())) = 14, 96.356,0))))))))))))))</f>
        <v>#VALUE!</v>
      </c>
      <c r="AMD7" s="88" t="str">
        <f t="shared" ref="AMD7:AME7" si="468"> IF(INDIRECT(ADDRESS(ROW() - 2, COLUMN())) = 1, 27.2619999999999, IF(INDIRECT(ADDRESS(ROW() - 2, COLUMN())) = 2, 29.481, IF(INDIRECT(ADDRESS(ROW() - 2, COLUMN())) = 3, 31.7, IF(INDIRECT(ADDRESS(ROW() - 2, COLUMN())) = 4, 34.87, IF(INDIRECT(ADDRESS(ROW() - 2, COLUMN())) = 5, 37.089, IF(INDIRECT(ADDRESS(ROW() - 2, COLUMN())) = 6, 39.625, IF(INDIRECT(ADDRESS(ROW() - 2, COLUMN())) = 7, 43.112, IF(INDIRECT(ADDRESS(ROW() - 2, COLUMN())) = 8, 46.599, IF(INDIRECT(ADDRESS(ROW() - 2, COLUMN())) = 9, 50.086, IF(INDIRECT(ADDRESS(ROW() - 2, COLUMN())) = 10, 53.89, IF(INDIRECT(ADDRESS(ROW() - 2, COLUMN())) = 11, 57.694, IF(INDIRECT(ADDRESS(ROW() - 2, COLUMN())) = 12, 61.498, IF(INDIRECT(ADDRESS(ROW() - 2, COLUMN())) = 13, 65.302, IF(INDIRECT(ADDRESS(ROW() - 2, COLUMN())) = 14, 69.106,0))))))))))))))</f>
        <v>#VALUE!</v>
      </c>
      <c r="AME7" s="88" t="str">
        <f t="shared" si="468"/>
        <v>#VALUE!</v>
      </c>
      <c r="AMF7" s="88" t="str">
        <f> IF(INDIRECT(ADDRESS(ROW() - 2, COLUMN())) = 1, 56.932, IF(INDIRECT(ADDRESS(ROW() - 2, COLUMN())) = 2, 61.5659999999999, IF(INDIRECT(ADDRESS(ROW() - 2, COLUMN())) = 3, 66.2, IF(INDIRECT(ADDRESS(ROW() - 2, COLUMN())) = 4, 72.82, IF(INDIRECT(ADDRESS(ROW() - 2, COLUMN())) = 5, 77.454, IF(INDIRECT(ADDRESS(ROW() - 2, COLUMN())) = 6, 82.75, IF(INDIRECT(ADDRESS(ROW() - 2, COLUMN())) = 7, 90.032, IF(INDIRECT(ADDRESS(ROW() - 2, COLUMN())) = 8, 97.314, IF(INDIRECT(ADDRESS(ROW() - 2, COLUMN())) = 9, 104.596, IF(INDIRECT(ADDRESS(ROW() - 2, COLUMN())) = 10, 112.539999999999, IF(INDIRECT(ADDRESS(ROW() - 2, COLUMN())) = 11, 120.484, IF(INDIRECT(ADDRESS(ROW() - 2, COLUMN())) = 12, 128.428, IF(INDIRECT(ADDRESS(ROW() - 2, COLUMN())) = 13, 136.372, IF(INDIRECT(ADDRESS(ROW() - 2, COLUMN())) = 14, 144.316,0))))))))))))))</f>
        <v>#VALUE!</v>
      </c>
      <c r="AMG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 IF(INDIRECT(ADDRESS(ROW() - 2, COLUMN())) = 12, 98.94, IF(INDIRECT(ADDRESS(ROW() - 2, COLUMN())) = 13, 105.06, IF(INDIRECT(ADDRESS(ROW() - 2, COLUMN())) = 14, 111.179999999999,0))))))))))))))</f>
        <v>#VALUE!</v>
      </c>
      <c r="AMH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 IF(INDIRECT(ADDRESS(ROW() - 2, COLUMN())) = 12, 248, IF(INDIRECT(ADDRESS(ROW() - 2, COLUMN())) = 13, 263.5, IF(INDIRECT(ADDRESS(ROW() - 2, COLUMN())) = 14, 279,0))))))))))))))</f>
        <v>#VALUE!</v>
      </c>
      <c r="AMI7" s="88" t="str">
        <f> IF(INDIRECT(ADDRESS(ROW() - 2, COLUMN())) = 1, 172.8, IF(INDIRECT(ADDRESS(ROW() - 2, COLUMN())) = 2, 185.76, IF(INDIRECT(ADDRESS(ROW() - 2, COLUMN())) = 3, 198.72, IF(INDIRECT(ADDRESS(ROW() - 2, COLUMN())) = 4, 216, IF(INDIRECT(ADDRESS(ROW() - 2, COLUMN())) = 5, 228.96, IF(INDIRECT(ADDRESS(ROW() - 2, COLUMN())) = 6, 241.92, IF(INDIRECT(ADDRESS(ROW() - 2, COLUMN())) = 7, 259.2, IF(INDIRECT(ADDRESS(ROW() - 2, COLUMN())) = 8, 276.48, IF(INDIRECT(ADDRESS(ROW() - 2, COLUMN())) = 9, 293.76, IF(INDIRECT(ADDRESS(ROW() - 2, COLUMN())) = 10, 311.039999999999, IF(INDIRECT(ADDRESS(ROW() - 2, COLUMN())) = 11, 328.32, IF(INDIRECT(ADDRESS(ROW() - 2, COLUMN())) = 12, 345.6, IF(INDIRECT(ADDRESS(ROW() - 2, COLUMN())) = 13, 367.2, IF(INDIRECT(ADDRESS(ROW() - 2, COLUMN())) = 14, 388.8,0))))))))))))))</f>
        <v>#VALUE!</v>
      </c>
      <c r="AMJ7" s="88" t="str">
        <f t="shared" ref="AMJ7:AMK7" si="469"> IF(INDIRECT(ADDRESS(ROW() - 2, COLUMN())) = 1, 212, IF(INDIRECT(ADDRESS(ROW() - 2, COLUMN())) = 2, 227.899999999999, IF(INDIRECT(ADDRESS(ROW() - 2, COLUMN())) = 3, 243.8, IF(INDIRECT(ADDRESS(ROW() - 2, COLUMN())) = 4, 265, IF(INDIRECT(ADDRESS(ROW() - 2, COLUMN())) = 5, 280.9, IF(INDIRECT(ADDRESS(ROW() - 2, COLUMN())) = 6, 296.8, IF(INDIRECT(ADDRESS(ROW() - 2, COLUMN())) = 7, 318, IF(INDIRECT(ADDRESS(ROW() - 2, COLUMN())) = 8, 339.2, IF(INDIRECT(ADDRESS(ROW() - 2, COLUMN())) = 9, 360.4, IF(INDIRECT(ADDRESS(ROW() - 2, COLUMN())) = 10, 381.599999999999, IF(INDIRECT(ADDRESS(ROW() - 2, COLUMN())) = 11, 402.799999999999, IF(INDIRECT(ADDRESS(ROW() - 2, COLUMN())) = 12, 424, IF(INDIRECT(ADDRESS(ROW() - 2, COLUMN())) = 13, 450.5, IF(INDIRECT(ADDRESS(ROW() - 2, COLUMN())) = 14, 476.999999999999,0))))))))))))))</f>
        <v>#VALUE!</v>
      </c>
      <c r="AMK7" s="88" t="str">
        <f t="shared" si="469"/>
        <v>#VALUE!</v>
      </c>
      <c r="AML7" s="88" t="str">
        <f> IF(INDIRECT(ADDRESS(ROW() - 2, COLUMN())) = 1, 27.552, IF(INDIRECT(ADDRESS(ROW() - 2, COLUMN())) = 2, 29.618, IF(INDIRECT(ADDRESS(ROW() - 2, COLUMN())) = 3, 31.685, IF(INDIRECT(ADDRESS(ROW() - 2, COLUMN())) = 4, 34.44, IF(INDIRECT(ADDRESS(ROW() - 2, COLUMN())) = 5, 36.506, IF(INDIRECT(ADDRESS(ROW() - 2, COLUMN())) = 6, 38.573, IF(INDIRECT(ADDRESS(ROW() - 2, COLUMN())) = 7, 41.3279999999999, IF(INDIRECT(ADDRESS(ROW() - 2, COLUMN())) = 8, 44.083, IF(INDIRECT(ADDRESS(ROW() - 2, COLUMN())) = 9, 46.838, IF(INDIRECT(ADDRESS(ROW() - 2, COLUMN())) = 10, 49.594, IF(INDIRECT(ADDRESS(ROW() - 2, COLUMN())) = 11, 52.349, IF(INDIRECT(ADDRESS(ROW() - 2, COLUMN())) = 12, 55.104, IF(INDIRECT(ADDRESS(ROW() - 2, COLUMN())) = 13, 58.548, IF(INDIRECT(ADDRESS(ROW() - 2, COLUMN())) = 14, 61.992,0))))))))))))))</f>
        <v>#VALUE!</v>
      </c>
      <c r="AMM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 IF(INDIRECT(ADDRESS(ROW() - 2, COLUMN())) = 12, 128.195, IF(INDIRECT(ADDRESS(ROW() - 2, COLUMN())) = 13, 136.125, IF(INDIRECT(ADDRESS(ROW() - 2, COLUMN())) = 14, 144.054,0))))))))))))))</f>
        <v>#VALUE!</v>
      </c>
      <c r="AMN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 IF(INDIRECT(ADDRESS(ROW() - 2, COLUMN())) = 12, 256.336, IF(INDIRECT(ADDRESS(ROW() - 2, COLUMN())) = 13, 272.192, IF(INDIRECT(ADDRESS(ROW() - 2, COLUMN())) = 14, 288.048,0))))))))))))))</f>
        <v>#VALUE!</v>
      </c>
      <c r="AMO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 IF(INDIRECT(ADDRESS(ROW() - 2, COLUMN())) = 12, 320.178, IF(INDIRECT(ADDRESS(ROW() - 2, COLUMN())) = 13, 339.982, IF(INDIRECT(ADDRESS(ROW() - 2, COLUMN())) = 14, 359.787,0))))))))))))))</f>
        <v>#VALUE!</v>
      </c>
      <c r="AMP7" s="88" t="str">
        <f t="shared" ref="AMP7:AMU7" si="470"> IF(INDIRECT(ADDRESS(ROW() - 2, COLUMN())) = 1, 167.2, IF(INDIRECT(ADDRESS(ROW() - 2, COLUMN())) = 2, 179.74, IF(INDIRECT(ADDRESS(ROW() - 2, COLUMN())) = 3, 192.28, IF(INDIRECT(ADDRESS(ROW() - 2, COLUMN())) = 4, 209, IF(INDIRECT(ADDRESS(ROW() - 2, COLUMN())) = 5, 221.54, IF(INDIRECT(ADDRESS(ROW() - 2, COLUMN())) = 6, 234.08, IF(INDIRECT(ADDRESS(ROW() - 2, COLUMN())) = 7, 250.8, IF(INDIRECT(ADDRESS(ROW() - 2, COLUMN())) = 8, 267.52, IF(INDIRECT(ADDRESS(ROW() - 2, COLUMN())) = 9, 284.24, IF(INDIRECT(ADDRESS(ROW() - 2, COLUMN())) = 10, 300.96, IF(INDIRECT(ADDRESS(ROW() - 2, COLUMN())) = 11, 317.68, IF(INDIRECT(ADDRESS(ROW() - 2, COLUMN())) = 12, 334.4, IF(INDIRECT(ADDRESS(ROW() - 2, COLUMN())) = 13, 355.3,0)))))))))))))</f>
        <v>#VALUE!</v>
      </c>
      <c r="AMQ7" s="88" t="str">
        <f t="shared" si="470"/>
        <v>#VALUE!</v>
      </c>
      <c r="AMR7" s="88" t="str">
        <f t="shared" si="470"/>
        <v>#VALUE!</v>
      </c>
      <c r="AMS7" s="88" t="str">
        <f t="shared" si="470"/>
        <v>#VALUE!</v>
      </c>
      <c r="AMT7" s="88" t="str">
        <f t="shared" si="470"/>
        <v>#VALUE!</v>
      </c>
      <c r="AMU7" s="88" t="str">
        <f t="shared" si="470"/>
        <v>#VALUE!</v>
      </c>
      <c r="AMV7" s="88" t="str">
        <f> IF(INDIRECT(ADDRESS(ROW() - 2, COLUMN())) = 1, 154, IF(INDIRECT(ADDRESS(ROW() - 2, COLUMN())) = 2, 165.55, IF(INDIRECT(ADDRESS(ROW() - 2, COLUMN())) = 3, 177.1, IF(INDIRECT(ADDRESS(ROW() - 2, COLUMN())) = 4, 192.5, IF(INDIRECT(ADDRESS(ROW() - 2, COLUMN())) = 5, 204.05, IF(INDIRECT(ADDRESS(ROW() - 2, COLUMN())) = 6, 215.6, IF(INDIRECT(ADDRESS(ROW() - 2, COLUMN())) = 7, 231, IF(INDIRECT(ADDRESS(ROW() - 2, COLUMN())) = 8, 246.4, IF(INDIRECT(ADDRESS(ROW() - 2, COLUMN())) = 9, 261.8, IF(INDIRECT(ADDRESS(ROW() - 2, COLUMN())) = 10, 277.2, IF(INDIRECT(ADDRESS(ROW() - 2, COLUMN())) = 11, 292.6, IF(INDIRECT(ADDRESS(ROW() - 2, COLUMN())) = 12, 308, IF(INDIRECT(ADDRESS(ROW() - 2, COLUMN())) = 13, 327.25,0)))))))))))))</f>
        <v>#VALUE!</v>
      </c>
      <c r="AMW7" s="88" t="str">
        <f> IF(INDIRECT(ADDRESS(ROW() - 2, COLUMN())) = 1, 413.999999999999, IF(INDIRECT(ADDRESS(ROW() - 2, COLUMN())) = 2, 445.05, IF(INDIRECT(ADDRESS(ROW() - 2, COLUMN())) = 3, 476.1, IF(INDIRECT(ADDRESS(ROW() - 2, COLUMN())) = 4, 517.5, IF(INDIRECT(ADDRESS(ROW() - 2, COLUMN())) = 5, 548.55, IF(INDIRECT(ADDRESS(ROW() - 2, COLUMN())) = 6, 579.6, IF(INDIRECT(ADDRESS(ROW() - 2, COLUMN())) = 7, 621, IF(INDIRECT(ADDRESS(ROW() - 2, COLUMN())) = 8, 662.4, IF(INDIRECT(ADDRESS(ROW() - 2, COLUMN())) = 9, 703.8, IF(INDIRECT(ADDRESS(ROW() - 2, COLUMN())) = 10, 745.2, IF(INDIRECT(ADDRESS(ROW() - 2, COLUMN())) = 11, 786.599999999999, IF(INDIRECT(ADDRESS(ROW() - 2, COLUMN())) = 12, 827.999999999999, IF(INDIRECT(ADDRESS(ROW() - 2, COLUMN())) = 13, 879.75,0)))))))))))))</f>
        <v>#VALUE!</v>
      </c>
      <c r="AMX7" s="88" t="str">
        <f> IF(INDIRECT(ADDRESS(ROW() - 2, COLUMN())) = 1, 84.238, IF(INDIRECT(ADDRESS(ROW() - 2, COLUMN())) = 2, 91.094, IF(INDIRECT(ADDRESS(ROW() - 2, COLUMN())) = 3, 97.951, IF(INDIRECT(ADDRESS(ROW() - 2, COLUMN())) = 4, 107.746, IF(INDIRECT(ADDRESS(ROW() - 2, COLUMN())) = 5, 114.603, IF(INDIRECT(ADDRESS(ROW() - 2, COLUMN())) = 6, 122.439, IF(INDIRECT(ADDRESS(ROW() - 2, COLUMN())) = 7, 133.213, IF(INDIRECT(ADDRESS(ROW() - 2, COLUMN())) = 8, 143.988, IF(INDIRECT(ADDRESS(ROW() - 2, COLUMN())) = 9, 154.763, IF(INDIRECT(ADDRESS(ROW() - 2, COLUMN())) = 10, 166.517, IF(INDIRECT(ADDRESS(ROW() - 2, COLUMN())) = 11, 178.271, IF(INDIRECT(ADDRESS(ROW() - 2, COLUMN())) = 12, 190.025, IF(INDIRECT(ADDRESS(ROW() - 2, COLUMN())) = 13, 201.779, IF(INDIRECT(ADDRESS(ROW() - 2, COLUMN())) = 14, 213.533,0))))))))))))))</f>
        <v>#VALUE!</v>
      </c>
      <c r="AMY7" s="88" t="str">
        <f> IF(INDIRECT(ADDRESS(ROW() - 2, COLUMN())) = 1, 80.676, IF(INDIRECT(ADDRESS(ROW() - 2, COLUMN())) = 2, 87.2419999999999, IF(INDIRECT(ADDRESS(ROW() - 2, COLUMN())) = 3, 93.809, IF(INDIRECT(ADDRESS(ROW() - 2, COLUMN())) = 4, 103.19, IF(INDIRECT(ADDRESS(ROW() - 2, COLUMN())) = 5, 109.756999999999, IF(INDIRECT(ADDRESS(ROW() - 2, COLUMN())) = 6, 117.261, IF(INDIRECT(ADDRESS(ROW() - 2, COLUMN())) = 7, 127.58, IF(INDIRECT(ADDRESS(ROW() - 2, COLUMN())) = 8, 137.899, IF(INDIRECT(ADDRESS(ROW() - 2, COLUMN())) = 9, 148.218, IF(INDIRECT(ADDRESS(ROW() - 2, COLUMN())) = 10, 159.475, IF(INDIRECT(ADDRESS(ROW() - 2, COLUMN())) = 11, 170.732, IF(INDIRECT(ADDRESS(ROW() - 2, COLUMN())) = 12, 181.99, IF(INDIRECT(ADDRESS(ROW() - 2, COLUMN())) = 13, 193.246, IF(INDIRECT(ADDRESS(ROW() - 2, COLUMN())) = 14, 204.504,0))))))))))))))</f>
        <v>#VALUE!</v>
      </c>
      <c r="AMZ7" s="88" t="str">
        <f> IF(INDIRECT(ADDRESS(ROW() - 2, COLUMN())) = 1, 101.904, IF(INDIRECT(ADDRESS(ROW() - 2, COLUMN())) = 2, 110.198, IF(INDIRECT(ADDRESS(ROW() - 2, COLUMN())) = 3, 118.493, IF(INDIRECT(ADDRESS(ROW() - 2, COLUMN())) = 4, 130.342, IF(INDIRECT(ADDRESS(ROW() - 2, COLUMN())) = 5, 138.637, IF(INDIRECT(ADDRESS(ROW() - 2, COLUMN())) = 6, 148.116, IF(INDIRECT(ADDRESS(ROW() - 2, COLUMN())) = 7, 161.151, IF(INDIRECT(ADDRESS(ROW() - 2, COLUMN())) = 8, 174.185, IF(INDIRECT(ADDRESS(ROW() - 2, COLUMN())) = 9, 187.219, IF(INDIRECT(ADDRESS(ROW() - 2, COLUMN())) = 10, 201.438, IF(INDIRECT(ADDRESS(ROW() - 2, COLUMN())) = 11, 215.656999999999, IF(INDIRECT(ADDRESS(ROW() - 2, COLUMN())) = 12, 229.876, IF(INDIRECT(ADDRESS(ROW() - 2, COLUMN())) = 13, 244.096, IF(INDIRECT(ADDRESS(ROW() - 2, COLUMN())) = 14, 258.315,0))))))))))))))</f>
        <v>#VALUE!</v>
      </c>
      <c r="ANA7" s="88" t="str">
        <f> IF(INDIRECT(ADDRESS(ROW() - 2, COLUMN())) = 1, 123.805, IF(INDIRECT(ADDRESS(ROW() - 2, COLUMN())) = 2, 133.881999999999, IF(INDIRECT(ADDRESS(ROW() - 2, COLUMN())) = 3, 143.959, IF(INDIRECT(ADDRESS(ROW() - 2, COLUMN())) = 4, 158.355, IF(INDIRECT(ADDRESS(ROW() - 2, COLUMN())) = 5, 168.432, IF(INDIRECT(ADDRESS(ROW() - 2, COLUMN())) = 6, 179.949, IF(INDIRECT(ADDRESS(ROW() - 2, COLUMN())) = 7, 195.784, IF(INDIRECT(ADDRESS(ROW() - 2, COLUMN())) = 8, 211.62, IF(INDIRECT(ADDRESS(ROW() - 2, COLUMN())) = 9, 227.455, IF(INDIRECT(ADDRESS(ROW() - 2, COLUMN())) = 10, 244.73, IF(INDIRECT(ADDRESS(ROW() - 2, COLUMN())) = 11, 262.005, IF(INDIRECT(ADDRESS(ROW() - 2, COLUMN())) = 12, 279.28, IF(INDIRECT(ADDRESS(ROW() - 2, COLUMN())) = 13, 296.555, IF(INDIRECT(ADDRESS(ROW() - 2, COLUMN())) = 14, 313.831,0))))))))))))))</f>
        <v>#VALUE!</v>
      </c>
      <c r="ANB7" s="88" t="str">
        <f> IF(INDIRECT(ADDRESS(ROW() - 2, COLUMN())) = 1, 62.522, IF(INDIRECT(ADDRESS(ROW() - 2, COLUMN())) = 2, 67.611, IF(INDIRECT(ADDRESS(ROW() - 2, COLUMN())) = 3, 72.7, IF(INDIRECT(ADDRESS(ROW() - 2, COLUMN())) = 4, 79.97, IF(INDIRECT(ADDRESS(ROW() - 2, COLUMN())) = 5, 85.059, IF(INDIRECT(ADDRESS(ROW() - 2, COLUMN())) = 6, 90.875, IF(INDIRECT(ADDRESS(ROW() - 2, COLUMN())) = 7, 98.872, IF(INDIRECT(ADDRESS(ROW() - 2, COLUMN())) = 8, 106.868999999999, IF(INDIRECT(ADDRESS(ROW() - 2, COLUMN())) = 9, 114.866, IF(INDIRECT(ADDRESS(ROW() - 2, COLUMN())) = 10, 123.59, IF(INDIRECT(ADDRESS(ROW() - 2, COLUMN())) = 11, 132.314, IF(INDIRECT(ADDRESS(ROW() - 2, COLUMN())) = 12, 141.038, IF(INDIRECT(ADDRESS(ROW() - 2, COLUMN())) = 13, 149.762, IF(INDIRECT(ADDRESS(ROW() - 2, COLUMN())) = 14, 158.486,0))))))))))))))</f>
        <v>#VALUE!</v>
      </c>
      <c r="ANC7" s="88" t="str">
        <f> IF(INDIRECT(ADDRESS(ROW() - 2, COLUMN())) = 1, 113.09, IF(INDIRECT(ADDRESS(ROW() - 2, COLUMN())) = 2, 122.295, IF(INDIRECT(ADDRESS(ROW() - 2, COLUMN())) = 3, 131.5, IF(INDIRECT(ADDRESS(ROW() - 2, COLUMN())) = 4, 144.649999999999, IF(INDIRECT(ADDRESS(ROW() - 2, COLUMN())) = 5, 153.855, IF(INDIRECT(ADDRESS(ROW() - 2, COLUMN())) = 6, 164.375, IF(INDIRECT(ADDRESS(ROW() - 2, COLUMN())) = 7, 178.84, IF(INDIRECT(ADDRESS(ROW() - 2, COLUMN())) = 8, 193.305, IF(INDIRECT(ADDRESS(ROW() - 2, COLUMN())) = 9, 207.77, IF(INDIRECT(ADDRESS(ROW() - 2, COLUMN())) = 10, 223.55, IF(INDIRECT(ADDRESS(ROW() - 2, COLUMN())) = 11, 239.329999999999, IF(INDIRECT(ADDRESS(ROW() - 2, COLUMN())) = 12, 255.109999999999, IF(INDIRECT(ADDRESS(ROW() - 2, COLUMN())) = 13, 270.89, IF(INDIRECT(ADDRESS(ROW() - 2, COLUMN())) = 14, 286.669999999999,0))))))))))))))</f>
        <v>#VALUE!</v>
      </c>
      <c r="AND7" s="88" t="str">
        <f> IF(INDIRECT(ADDRESS(ROW() - 2, COLUMN())) = 1, 74.588, IF(INDIRECT(ADDRESS(ROW() - 2, COLUMN())) = 2, 80.659, IF(INDIRECT(ADDRESS(ROW() - 2, COLUMN())) = 3, 86.7299999999999, IF(INDIRECT(ADDRESS(ROW() - 2, COLUMN())) = 4, 95.403, IF(INDIRECT(ADDRESS(ROW() - 2, COLUMN())) = 5, 101.474, IF(INDIRECT(ADDRESS(ROW() - 2, COLUMN())) = 6, 108.413, IF(INDIRECT(ADDRESS(ROW() - 2, COLUMN())) = 7, 117.953, IF(INDIRECT(ADDRESS(ROW() - 2, COLUMN())) = 8, 127.493, IF(INDIRECT(ADDRESS(ROW() - 2, COLUMN())) = 9, 137.033, IF(INDIRECT(ADDRESS(ROW() - 2, COLUMN())) = 10, 147.441, IF(INDIRECT(ADDRESS(ROW() - 2, COLUMN())) = 11, 157.849, IF(INDIRECT(ADDRESS(ROW() - 2, COLUMN())) = 12, 168.256, IF(INDIRECT(ADDRESS(ROW() - 2, COLUMN())) = 13, 178.664, IF(INDIRECT(ADDRESS(ROW() - 2, COLUMN())) = 14, 189.071,0))))))))))))))</f>
        <v>#VALUE!</v>
      </c>
      <c r="ANE7" s="88" t="str">
        <f> IF(INDIRECT(ADDRESS(ROW() - 2, COLUMN())) = 1, 149.144, IF(INDIRECT(ADDRESS(ROW() - 2, COLUMN())) = 2, 161.284, IF(INDIRECT(ADDRESS(ROW() - 2, COLUMN())) = 3, 173.423, IF(INDIRECT(ADDRESS(ROW() - 2, COLUMN())) = 4, 190.766, IF(INDIRECT(ADDRESS(ROW() - 2, COLUMN())) = 5, 202.904999999999, IF(INDIRECT(ADDRESS(ROW() - 2, COLUMN())) = 6, 216.779, IF(INDIRECT(ADDRESS(ROW() - 2, COLUMN())) = 7, 235.856, IF(INDIRECT(ADDRESS(ROW() - 2, COLUMN())) = 8, 254.932, IF(INDIRECT(ADDRESS(ROW() - 2, COLUMN())) = 9, 274.009, IF(INDIRECT(ADDRESS(ROW() - 2, COLUMN())) = 10, 294.818999999999, IF(INDIRECT(ADDRESS(ROW() - 2, COLUMN())) = 11, 315.63, IF(INDIRECT(ADDRESS(ROW() - 2, COLUMN())) = 12, 336.441, IF(INDIRECT(ADDRESS(ROW() - 2, COLUMN())) = 13, 357.252, IF(INDIRECT(ADDRESS(ROW() - 2, COLUMN())) = 14, 378.063,0))))))))))))))</f>
        <v>#VALUE!</v>
      </c>
      <c r="ANF7" s="88" t="str">
        <f> IF(INDIRECT(ADDRESS(ROW() - 2, COLUMN())) = 1, 186.289, IF(INDIRECT(ADDRESS(ROW() - 2, COLUMN())) = 2, 201.452, IF(INDIRECT(ADDRESS(ROW() - 2, COLUMN())) = 3, 216.615, IF(INDIRECT(ADDRESS(ROW() - 2, COLUMN())) = 4, 238.277, IF(INDIRECT(ADDRESS(ROW() - 2, COLUMN())) = 5, 253.44, IF(INDIRECT(ADDRESS(ROW() - 2, COLUMN())) = 6, 270.769, IF(INDIRECT(ADDRESS(ROW() - 2, COLUMN())) = 7, 294.596, IF(INDIRECT(ADDRESS(ROW() - 2, COLUMN())) = 8, 318.424, IF(INDIRECT(ADDRESS(ROW() - 2, COLUMN())) = 9, 342.252, IF(INDIRECT(ADDRESS(ROW() - 2, COLUMN())) = 10, 368.246, IF(INDIRECT(ADDRESS(ROW() - 2, COLUMN())) = 11, 394.239, IF(INDIRECT(ADDRESS(ROW() - 2, COLUMN())) = 12, 420.233, IF(INDIRECT(ADDRESS(ROW() - 2, COLUMN())) = 13, 446.227, IF(INDIRECT(ADDRESS(ROW() - 2, COLUMN())) = 14, 472.220999999999,0))))))))))))))</f>
        <v>#VALUE!</v>
      </c>
      <c r="ANG7" s="88" t="str">
        <f> IF(INDIRECT(ADDRESS(ROW() - 2, COLUMN())) = 1, 83.04, IF(INDIRECT(ADDRESS(ROW() - 2, COLUMN())) = 2, 89.268, IF(INDIRECT(ADDRESS(ROW() - 2, COLUMN())) = 3, 95.496, IF(INDIRECT(ADDRESS(ROW() - 2, COLUMN())) = 4, 103.8, IF(INDIRECT(ADDRESS(ROW() - 2, COLUMN())) = 5, 110.027999999999, IF(INDIRECT(ADDRESS(ROW() - 2, COLUMN())) = 6, 116.256, IF(INDIRECT(ADDRESS(ROW() - 2, COLUMN())) = 7, 124.56, IF(INDIRECT(ADDRESS(ROW() - 2, COLUMN())) = 8, 132.864, IF(INDIRECT(ADDRESS(ROW() - 2, COLUMN())) = 9, 141.168, IF(INDIRECT(ADDRESS(ROW() - 2, COLUMN())) = 10, 149.472, IF(INDIRECT(ADDRESS(ROW() - 2, COLUMN())) = 11, 157.776, IF(INDIRECT(ADDRESS(ROW() - 2, COLUMN())) = 12, 166.08, IF(INDIRECT(ADDRESS(ROW() - 2, COLUMN())) = 13, 176.46,0)))))))))))))</f>
        <v>#VALUE!</v>
      </c>
      <c r="ANH7" s="88" t="str">
        <f t="shared" ref="ANH7:ANI7" si="471"> IF(INDIRECT(ADDRESS(ROW() - 2, COLUMN())) = 1, 7.16, IF(INDIRECT(ADDRESS(ROW() - 2, COLUMN())) = 2, 7.697, IF(INDIRECT(ADDRESS(ROW() - 2, COLUMN())) = 3, 8.234, IF(INDIRECT(ADDRESS(ROW() - 2, COLUMN())) = 4, 8.95, IF(INDIRECT(ADDRESS(ROW() - 2, COLUMN())) = 5, 9.487, IF(INDIRECT(ADDRESS(ROW() - 2, COLUMN())) = 6, 10.024, IF(INDIRECT(ADDRESS(ROW() - 2, COLUMN())) = 7, 10.74, IF(INDIRECT(ADDRESS(ROW() - 2, COLUMN())) = 8, 11.456, IF(INDIRECT(ADDRESS(ROW() - 2, COLUMN())) = 9, 12.1719999999999, IF(INDIRECT(ADDRESS(ROW() - 2, COLUMN())) = 10, 12.888, IF(INDIRECT(ADDRESS(ROW() - 2, COLUMN())) = 11, 13.604, IF(INDIRECT(ADDRESS(ROW() - 2, COLUMN())) = 12, 14.32, IF(INDIRECT(ADDRESS(ROW() - 2, COLUMN())) = 13, 15.215,0)))))))))))))</f>
        <v>#VALUE!</v>
      </c>
      <c r="ANI7" s="88" t="str">
        <f t="shared" si="471"/>
        <v>#VALUE!</v>
      </c>
      <c r="ANJ7" s="88" t="str">
        <f> IF(INDIRECT(ADDRESS(ROW() - 2, COLUMN())) = 1, 200.48, IF(INDIRECT(ADDRESS(ROW() - 2, COLUMN())) = 2, 215.516, IF(INDIRECT(ADDRESS(ROW() - 2, COLUMN())) = 3, 230.552, IF(INDIRECT(ADDRESS(ROW() - 2, COLUMN())) = 4, 250.599999999999, IF(INDIRECT(ADDRESS(ROW() - 2, COLUMN())) = 5, 265.635999999999, IF(INDIRECT(ADDRESS(ROW() - 2, COLUMN())) = 6, 280.671999999999, IF(INDIRECT(ADDRESS(ROW() - 2, COLUMN())) = 7, 300.72, IF(INDIRECT(ADDRESS(ROW() - 2, COLUMN())) = 8, 320.768, IF(INDIRECT(ADDRESS(ROW() - 2, COLUMN())) = 9, 340.816, IF(INDIRECT(ADDRESS(ROW() - 2, COLUMN())) = 10, 360.864, IF(INDIRECT(ADDRESS(ROW() - 2, COLUMN())) = 11, 380.912, IF(INDIRECT(ADDRESS(ROW() - 2, COLUMN())) = 12, 400.96, IF(INDIRECT(ADDRESS(ROW() - 2, COLUMN())) = 13, 426.02,0)))))))))))))</f>
        <v>#VALUE!</v>
      </c>
      <c r="ANK7" s="88" t="str">
        <f> IF(INDIRECT(ADDRESS(ROW() - 2, COLUMN())) = 1, 100.24, IF(INDIRECT(ADDRESS(ROW() - 2, COLUMN())) = 2, 107.758, IF(INDIRECT(ADDRESS(ROW() - 2, COLUMN())) = 3, 115.276, IF(INDIRECT(ADDRESS(ROW() - 2, COLUMN())) = 4, 125.299999999999, IF(INDIRECT(ADDRESS(ROW() - 2, COLUMN())) = 5, 132.817999999999, IF(INDIRECT(ADDRESS(ROW() - 2, COLUMN())) = 6, 140.335999999999, IF(INDIRECT(ADDRESS(ROW() - 2, COLUMN())) = 7, 150.36, IF(INDIRECT(ADDRESS(ROW() - 2, COLUMN())) = 8, 160.384, IF(INDIRECT(ADDRESS(ROW() - 2, COLUMN())) = 9, 170.408, IF(INDIRECT(ADDRESS(ROW() - 2, COLUMN())) = 10, 180.432, IF(INDIRECT(ADDRESS(ROW() - 2, COLUMN())) = 11, 190.456, IF(INDIRECT(ADDRESS(ROW() - 2, COLUMN())) = 12, 200.48, IF(INDIRECT(ADDRESS(ROW() - 2, COLUMN())) = 13, 213.01,0)))))))))))))</f>
        <v>#VALUE!</v>
      </c>
      <c r="ANL7" s="88" t="str">
        <f> IF(INDIRECT(ADDRESS(ROW() - 2, COLUMN())) = 1, 48.6879999999999, IF(INDIRECT(ADDRESS(ROW() - 2, COLUMN())) = 2, 52.3399999999999, IF(INDIRECT(ADDRESS(ROW() - 2, COLUMN())) = 3, 55.991, IF(INDIRECT(ADDRESS(ROW() - 2, COLUMN())) = 4, 60.86, IF(INDIRECT(ADDRESS(ROW() - 2, COLUMN())) = 5, 64.512, IF(INDIRECT(ADDRESS(ROW() - 2, COLUMN())) = 6, 68.163, IF(INDIRECT(ADDRESS(ROW() - 2, COLUMN())) = 7, 73.032, IF(INDIRECT(ADDRESS(ROW() - 2, COLUMN())) = 8, 77.901, IF(INDIRECT(ADDRESS(ROW() - 2, COLUMN())) = 9, 82.77, IF(INDIRECT(ADDRESS(ROW() - 2, COLUMN())) = 10, 87.638, IF(INDIRECT(ADDRESS(ROW() - 2, COLUMN())) = 11, 92.5069999999999, IF(INDIRECT(ADDRESS(ROW() - 2, COLUMN())) = 12, 97.3759999999999, IF(INDIRECT(ADDRESS(ROW() - 2, COLUMN())) = 13, 103.462,0)))))))))))))</f>
        <v>#VALUE!</v>
      </c>
      <c r="ANM7" s="88" t="str">
        <f> IF(INDIRECT(ADDRESS(ROW() - 2, COLUMN())) = 1, 70.1679999999999, IF(INDIRECT(ADDRESS(ROW() - 2, COLUMN())) = 2, 75.431, IF(INDIRECT(ADDRESS(ROW() - 2, COLUMN())) = 3, 80.693, IF(INDIRECT(ADDRESS(ROW() - 2, COLUMN())) = 4, 87.71, IF(INDIRECT(ADDRESS(ROW() - 2, COLUMN())) = 5, 92.973, IF(INDIRECT(ADDRESS(ROW() - 2, COLUMN())) = 6, 98.235, IF(INDIRECT(ADDRESS(ROW() - 2, COLUMN())) = 7, 105.252, IF(INDIRECT(ADDRESS(ROW() - 2, COLUMN())) = 8, 112.268999999999, IF(INDIRECT(ADDRESS(ROW() - 2, COLUMN())) = 9, 119.286, IF(INDIRECT(ADDRESS(ROW() - 2, COLUMN())) = 10, 126.302, IF(INDIRECT(ADDRESS(ROW() - 2, COLUMN())) = 11, 133.319, IF(INDIRECT(ADDRESS(ROW() - 2, COLUMN())) = 12, 140.335999999999, IF(INDIRECT(ADDRESS(ROW() - 2, COLUMN())) = 13, 149.107,0)))))))))))))</f>
        <v>#VALUE!</v>
      </c>
      <c r="ANN7" s="88" t="str">
        <f> IF(INDIRECT(ADDRESS(ROW() - 2, COLUMN())) = 1, 85.204, IF(INDIRECT(ADDRESS(ROW() - 2, COLUMN())) = 2, 91.594, IF(INDIRECT(ADDRESS(ROW() - 2, COLUMN())) = 3, 97.985, IF(INDIRECT(ADDRESS(ROW() - 2, COLUMN())) = 4, 106.505, IF(INDIRECT(ADDRESS(ROW() - 2, COLUMN())) = 5, 112.895, IF(INDIRECT(ADDRESS(ROW() - 2, COLUMN())) = 6, 119.286, IF(INDIRECT(ADDRESS(ROW() - 2, COLUMN())) = 7, 127.806, IF(INDIRECT(ADDRESS(ROW() - 2, COLUMN())) = 8, 136.326, IF(INDIRECT(ADDRESS(ROW() - 2, COLUMN())) = 9, 144.846999999999, IF(INDIRECT(ADDRESS(ROW() - 2, COLUMN())) = 10, 153.367, IF(INDIRECT(ADDRESS(ROW() - 2, COLUMN())) = 11, 161.888, IF(INDIRECT(ADDRESS(ROW() - 2, COLUMN())) = 12, 170.408, IF(INDIRECT(ADDRESS(ROW() - 2, COLUMN())) = 13, 181.059,0)))))))))))))</f>
        <v>#VALUE!</v>
      </c>
      <c r="ANO7" s="88" t="str">
        <f> IF(INDIRECT(ADDRESS(ROW() - 2, COLUMN())) = 1, 40.096, IF(INDIRECT(ADDRESS(ROW() - 2, COLUMN())) = 2, 43.103, IF(INDIRECT(ADDRESS(ROW() - 2, COLUMN())) = 3, 46.11, IF(INDIRECT(ADDRESS(ROW() - 2, COLUMN())) = 4, 50.12, IF(INDIRECT(ADDRESS(ROW() - 2, COLUMN())) = 5, 53.127, IF(INDIRECT(ADDRESS(ROW() - 2, COLUMN())) = 6, 56.1339999999999, IF(INDIRECT(ADDRESS(ROW() - 2, COLUMN())) = 7, 60.144, IF(INDIRECT(ADDRESS(ROW() - 2, COLUMN())) = 8, 64.154, IF(INDIRECT(ADDRESS(ROW() - 2, COLUMN())) = 9, 68.163, IF(INDIRECT(ADDRESS(ROW() - 2, COLUMN())) = 10, 72.173, IF(INDIRECT(ADDRESS(ROW() - 2, COLUMN())) = 11, 76.182, IF(INDIRECT(ADDRESS(ROW() - 2, COLUMN())) = 12, 80.192, IF(INDIRECT(ADDRESS(ROW() - 2, COLUMN())) = 13, 85.204,0)))))))))))))</f>
        <v>#VALUE!</v>
      </c>
      <c r="ANP7" s="88" t="str">
        <f> IF(INDIRECT(ADDRESS(ROW() - 2, COLUMN())) = 1, 121.72, IF(INDIRECT(ADDRESS(ROW() - 2, COLUMN())) = 2, 130.849, IF(INDIRECT(ADDRESS(ROW() - 2, COLUMN())) = 3, 139.978, IF(INDIRECT(ADDRESS(ROW() - 2, COLUMN())) = 4, 152.15, IF(INDIRECT(ADDRESS(ROW() - 2, COLUMN())) = 5, 161.279, IF(INDIRECT(ADDRESS(ROW() - 2, COLUMN())) = 6, 170.408, IF(INDIRECT(ADDRESS(ROW() - 2, COLUMN())) = 7, 182.58, IF(INDIRECT(ADDRESS(ROW() - 2, COLUMN())) = 8, 194.751999999999, IF(INDIRECT(ADDRESS(ROW() - 2, COLUMN())) = 9, 206.924, IF(INDIRECT(ADDRESS(ROW() - 2, COLUMN())) = 10, 219.096, IF(INDIRECT(ADDRESS(ROW() - 2, COLUMN())) = 11, 231.267999999999, IF(INDIRECT(ADDRESS(ROW() - 2, COLUMN())) = 12, 243.44, IF(INDIRECT(ADDRESS(ROW() - 2, COLUMN())) = 13, 258.655,0)))))))))))))</f>
        <v>#VALUE!</v>
      </c>
      <c r="ANQ7" s="88" t="str">
        <f> IF(INDIRECT(ADDRESS(ROW() - 2, COLUMN())) = 1, 243.44, IF(INDIRECT(ADDRESS(ROW() - 2, COLUMN())) = 2, 261.698, IF(INDIRECT(ADDRESS(ROW() - 2, COLUMN())) = 3, 279.956, IF(INDIRECT(ADDRESS(ROW() - 2, COLUMN())) = 4, 304.3, IF(INDIRECT(ADDRESS(ROW() - 2, COLUMN())) = 5, 322.558, IF(INDIRECT(ADDRESS(ROW() - 2, COLUMN())) = 6, 340.816, IF(INDIRECT(ADDRESS(ROW() - 2, COLUMN())) = 7, 365.16, IF(INDIRECT(ADDRESS(ROW() - 2, COLUMN())) = 8, 389.503999999999, IF(INDIRECT(ADDRESS(ROW() - 2, COLUMN())) = 9, 413.848, IF(INDIRECT(ADDRESS(ROW() - 2, COLUMN())) = 10, 438.192, IF(INDIRECT(ADDRESS(ROW() - 2, COLUMN())) = 11, 462.535999999999, IF(INDIRECT(ADDRESS(ROW() - 2, COLUMN())) = 12, 486.88, IF(INDIRECT(ADDRESS(ROW() - 2, COLUMN())) = 13, 517.31,0)))))))))))))</f>
        <v>#VALUE!</v>
      </c>
      <c r="ANR7" s="88" t="str">
        <f> IF(INDIRECT(ADDRESS(ROW() - 2, COLUMN())) = 1, 14.3999999999999, IF(INDIRECT(ADDRESS(ROW() - 2, COLUMN())) = 2, 15.4799999999999, IF(INDIRECT(ADDRESS(ROW() - 2, COLUMN())) = 3, 16.56, IF(INDIRECT(ADDRESS(ROW() - 2, COLUMN())) = 4, 18, IF(INDIRECT(ADDRESS(ROW() - 2, COLUMN())) = 5, 19.08, IF(INDIRECT(ADDRESS(ROW() - 2, COLUMN())) = 6, 20.16, IF(INDIRECT(ADDRESS(ROW() - 2, COLUMN())) = 7, 21.6, IF(INDIRECT(ADDRESS(ROW() - 2, COLUMN())) = 8, 23.04, IF(INDIRECT(ADDRESS(ROW() - 2, COLUMN())) = 9, 24.48, IF(INDIRECT(ADDRESS(ROW() - 2, COLUMN())) = 10, 25.9199999999999, IF(INDIRECT(ADDRESS(ROW() - 2, COLUMN())) = 11, 27.36, IF(INDIRECT(ADDRESS(ROW() - 2, COLUMN())) = 12, 28.7999999999999, IF(INDIRECT(ADDRESS(ROW() - 2, COLUMN())) = 13, 30.5999999999999,0)))))))))))))</f>
        <v>#VALUE!</v>
      </c>
      <c r="ANS7" s="88" t="str">
        <f> IF(INDIRECT(ADDRESS(ROW() - 2, COLUMN())) = 1, 318.4, IF(INDIRECT(ADDRESS(ROW() - 2, COLUMN())) = 2, 342.28, IF(INDIRECT(ADDRESS(ROW() - 2, COLUMN())) = 3, 366.159999999999, IF(INDIRECT(ADDRESS(ROW() - 2, COLUMN())) = 4, 398, IF(INDIRECT(ADDRESS(ROW() - 2, COLUMN())) = 5, 421.88, IF(INDIRECT(ADDRESS(ROW() - 2, COLUMN())) = 6, 445.76, IF(INDIRECT(ADDRESS(ROW() - 2, COLUMN())) = 7, 477.599999999999, IF(INDIRECT(ADDRESS(ROW() - 2, COLUMN())) = 8, 509.44, IF(INDIRECT(ADDRESS(ROW() - 2, COLUMN())) = 9, 541.28, IF(INDIRECT(ADDRESS(ROW() - 2, COLUMN())) = 10, 573.12, IF(INDIRECT(ADDRESS(ROW() - 2, COLUMN())) = 11, 604.96, IF(INDIRECT(ADDRESS(ROW() - 2, COLUMN())) = 12, 636.8, IF(INDIRECT(ADDRESS(ROW() - 2, COLUMN())) = 13, 676.6,0)))))))))))))</f>
        <v>#VALUE!</v>
      </c>
      <c r="ANT7" s="88" t="str">
        <f> IF(INDIRECT(ADDRESS(ROW() - 2, COLUMN())) = 1, 54.577, IF(INDIRECT(ADDRESS(ROW() - 2, COLUMN())) = 2, 58.67, IF(INDIRECT(ADDRESS(ROW() - 2, COLUMN())) = 3, 62.763, IF(INDIRECT(ADDRESS(ROW() - 2, COLUMN())) = 4, 68.221, IF(INDIRECT(ADDRESS(ROW() - 2, COLUMN())) = 5, 72.314, IF(INDIRECT(ADDRESS(ROW() - 2, COLUMN())) = 6, 76.407, IF(INDIRECT(ADDRESS(ROW() - 2, COLUMN())) = 7, 81.865, IF(INDIRECT(ADDRESS(ROW() - 2, COLUMN())) = 8, 87.323, IF(INDIRECT(ADDRESS(ROW() - 2, COLUMN())) = 9, 92.781, IF(INDIRECT(ADDRESS(ROW() - 2, COLUMN())) = 10, 98.238, IF(INDIRECT(ADDRESS(ROW() - 2, COLUMN())) = 11, 103.696, IF(INDIRECT(ADDRESS(ROW() - 2, COLUMN())) = 12, 109.154, IF(INDIRECT(ADDRESS(ROW() - 2, COLUMN())) = 13, 115.975999999999, IF(INDIRECT(ADDRESS(ROW() - 2, COLUMN())) = 14, 122.798,0))))))))))))))</f>
        <v>#VALUE!</v>
      </c>
      <c r="ANU7" s="88" t="str">
        <f> IF(INDIRECT(ADDRESS(ROW() - 2, COLUMN())) = 1, 46.2459999999999, IF(INDIRECT(ADDRESS(ROW() - 2, COLUMN())) = 2, 49.714, IF(INDIRECT(ADDRESS(ROW() - 2, COLUMN())) = 3, 53.1819999999999, IF(INDIRECT(ADDRESS(ROW() - 2, COLUMN())) = 4, 57.8069999999999, IF(INDIRECT(ADDRESS(ROW() - 2, COLUMN())) = 5, 61.275, IF(INDIRECT(ADDRESS(ROW() - 2, COLUMN())) = 6, 64.744, IF(INDIRECT(ADDRESS(ROW() - 2, COLUMN())) = 7, 69.368, IF(INDIRECT(ADDRESS(ROW() - 2, COLUMN())) = 8, 73.993, IF(INDIRECT(ADDRESS(ROW() - 2, COLUMN())) = 9, 78.618, IF(INDIRECT(ADDRESS(ROW() - 2, COLUMN())) = 10, 83.242, IF(INDIRECT(ADDRESS(ROW() - 2, COLUMN())) = 11, 87.8669999999999, IF(INDIRECT(ADDRESS(ROW() - 2, COLUMN())) = 12, 92.491, IF(INDIRECT(ADDRESS(ROW() - 2, COLUMN())) = 13, 98.272, IF(INDIRECT(ADDRESS(ROW() - 2, COLUMN())) = 14, 104.053,0))))))))))))))</f>
        <v>#VALUE!</v>
      </c>
      <c r="ANV7" s="88" t="str">
        <f> IF(INDIRECT(ADDRESS(ROW() - 2, COLUMN())) = 1, 72.338, IF(INDIRECT(ADDRESS(ROW() - 2, COLUMN())) = 2, 77.763, IF(INDIRECT(ADDRESS(ROW() - 2, COLUMN())) = 3, 83.1879999999999, IF(INDIRECT(ADDRESS(ROW() - 2, COLUMN())) = 4, 90.422, IF(INDIRECT(ADDRESS(ROW() - 2, COLUMN())) = 5, 95.847, IF(INDIRECT(ADDRESS(ROW() - 2, COLUMN())) = 6, 101.273, IF(INDIRECT(ADDRESS(ROW() - 2, COLUMN())) = 7, 108.505999999999, IF(INDIRECT(ADDRESS(ROW() - 2, COLUMN())) = 8, 115.74, IF(INDIRECT(ADDRESS(ROW() - 2, COLUMN())) = 9, 122.974, IF(INDIRECT(ADDRESS(ROW() - 2, COLUMN())) = 10, 130.208, IF(INDIRECT(ADDRESS(ROW() - 2, COLUMN())) = 11, 137.441, IF(INDIRECT(ADDRESS(ROW() - 2, COLUMN())) = 12, 144.675, IF(INDIRECT(ADDRESS(ROW() - 2, COLUMN())) = 13, 153.716999999999, IF(INDIRECT(ADDRESS(ROW() - 2, COLUMN())) = 14, 162.76,0))))))))))))))</f>
        <v>#VALUE!</v>
      </c>
      <c r="ANW7" s="88" t="str">
        <f> IF(INDIRECT(ADDRESS(ROW() - 2, COLUMN())) = 1, 136.8, IF(INDIRECT(ADDRESS(ROW() - 2, COLUMN())) = 2, 147.06, IF(INDIRECT(ADDRESS(ROW() - 2, COLUMN())) = 3, 157.32, IF(INDIRECT(ADDRESS(ROW() - 2, COLUMN())) = 4, 171, IF(INDIRECT(ADDRESS(ROW() - 2, COLUMN())) = 5, 181.26, IF(INDIRECT(ADDRESS(ROW() - 2, COLUMN())) = 6, 191.52, IF(INDIRECT(ADDRESS(ROW() - 2, COLUMN())) = 7, 205.2, IF(INDIRECT(ADDRESS(ROW() - 2, COLUMN())) = 8, 218.88, IF(INDIRECT(ADDRESS(ROW() - 2, COLUMN())) = 9, 232.56, IF(INDIRECT(ADDRESS(ROW() - 2, COLUMN())) = 10, 246.24, IF(INDIRECT(ADDRESS(ROW() - 2, COLUMN())) = 11, 259.92, IF(INDIRECT(ADDRESS(ROW() - 2, COLUMN())) = 12, 273.6, IF(INDIRECT(ADDRESS(ROW() - 2, COLUMN())) = 13, 290.7, IF(INDIRECT(ADDRESS(ROW() - 2, COLUMN())) = 14, 307.8,0))))))))))))))</f>
        <v>#VALUE!</v>
      </c>
      <c r="ANX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 IF(INDIRECT(ADDRESS(ROW() - 2, COLUMN())) = 12, 128.195, IF(INDIRECT(ADDRESS(ROW() - 2, COLUMN())) = 13, 136.125, IF(INDIRECT(ADDRESS(ROW() - 2, COLUMN())) = 14, 144.054,0))))))))))))))</f>
        <v>#VALUE!</v>
      </c>
      <c r="ANY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 IF(INDIRECT(ADDRESS(ROW() - 2, COLUMN())) = 12, 256.336, IF(INDIRECT(ADDRESS(ROW() - 2, COLUMN())) = 13, 272.192, IF(INDIRECT(ADDRESS(ROW() - 2, COLUMN())) = 14, 288.048,0))))))))))))))</f>
        <v>#VALUE!</v>
      </c>
      <c r="ANZ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 IF(INDIRECT(ADDRESS(ROW() - 2, COLUMN())) = 12, 320.178, IF(INDIRECT(ADDRESS(ROW() - 2, COLUMN())) = 13, 339.982, IF(INDIRECT(ADDRESS(ROW() - 2, COLUMN())) = 14, 359.787,0))))))))))))))</f>
        <v>#VALUE!</v>
      </c>
      <c r="AOF7" s="88" t="str">
        <f> IF(INDIRECT(ADDRESS(ROW() - 2, COLUMN())) = 1, 20.8, IF(INDIRECT(ADDRESS(ROW() - 2, COLUMN())) = 2, 22.36, IF(INDIRECT(ADDRESS(ROW() - 2, COLUMN())) = 3, 23.9199999999999, IF(INDIRECT(ADDRESS(ROW() - 2, COLUMN())) = 4, 26, IF(INDIRECT(ADDRESS(ROW() - 2, COLUMN())) = 5, 27.56, IF(INDIRECT(ADDRESS(ROW() - 2, COLUMN())) = 6, 29.12, IF(INDIRECT(ADDRESS(ROW() - 2, COLUMN())) = 7, 31.2, IF(INDIRECT(ADDRESS(ROW() - 2, COLUMN())) = 8, 33.28, IF(INDIRECT(ADDRESS(ROW() - 2, COLUMN())) = 9, 35.36, IF(INDIRECT(ADDRESS(ROW() - 2, COLUMN())) = 10, 37.44, IF(INDIRECT(ADDRESS(ROW() - 2, COLUMN())) = 11, 39.5199999999999, IF(INDIRECT(ADDRESS(ROW() - 2, COLUMN())) = 12, 41.6, IF(INDIRECT(ADDRESS(ROW() - 2, COLUMN())) = 13, 44.2,0)))))))))))))</f>
        <v>#VALUE!</v>
      </c>
      <c r="AOI7" s="88" t="str">
        <f t="shared" ref="AOI7:AOJ7" si="472"> IF(INDIRECT(ADDRESS(ROW() - 2, COLUMN())) = 1, 53.36, IF(INDIRECT(ADDRESS(ROW() - 2, COLUMN())) = 2, 57.703, IF(INDIRECT(ADDRESS(ROW() - 2, COLUMN())) = 3, 62.046, IF(INDIRECT(ADDRESS(ROW() - 2, COLUMN())) = 4, 68.2509999999999, IF(INDIRECT(ADDRESS(ROW() - 2, COLUMN())) = 5, 72.594, IF(INDIRECT(ADDRESS(ROW() - 2, COLUMN())) = 6, 77.557, IF(INDIRECT(ADDRESS(ROW() - 2, COLUMN())) = 7, 84.383, IF(INDIRECT(ADDRESS(ROW() - 2, COLUMN())) = 8, 91.208, IF(INDIRECT(ADDRESS(ROW() - 2, COLUMN())) = 9, 98.033, IF(INDIRECT(ADDRESS(ROW() - 2, COLUMN())) = 10, 105.478, IF(INDIRECT(ADDRESS(ROW() - 2, COLUMN())) = 11, 112.924, IF(INDIRECT(ADDRESS(ROW() - 2, COLUMN())) = 12, 120.369, IF(INDIRECT(ADDRESS(ROW() - 2, COLUMN())) = 13, 127.814999999999, IF(INDIRECT(ADDRESS(ROW() - 2, COLUMN())) = 14, 135.26,0))))))))))))))</f>
        <v>#VALUE!</v>
      </c>
      <c r="AOJ7" s="88" t="str">
        <f t="shared" si="472"/>
        <v>#VALUE!</v>
      </c>
      <c r="AOK7" s="88" t="str">
        <f t="shared" ref="AOK7:AOL7" si="473"> IF(INDIRECT(ADDRESS(ROW() - 2, COLUMN())) = 1, 51.7989999999999, IF(INDIRECT(ADDRESS(ROW() - 2, COLUMN())) = 2, 56.015, IF(INDIRECT(ADDRESS(ROW() - 2, COLUMN())) = 3, 60.231, IF(INDIRECT(ADDRESS(ROW() - 2, COLUMN())) = 4, 66.254, IF(INDIRECT(ADDRESS(ROW() - 2, COLUMN())) = 5, 70.47, IF(INDIRECT(ADDRESS(ROW() - 2, COLUMN())) = 6, 75.289, IF(INDIRECT(ADDRESS(ROW() - 2, COLUMN())) = 7, 81.914, IF(INDIRECT(ADDRESS(ROW() - 2, COLUMN())) = 8, 88.5399999999999, IF(INDIRECT(ADDRESS(ROW() - 2, COLUMN())) = 9, 95.165, IF(INDIRECT(ADDRESS(ROW() - 2, COLUMN())) = 10, 102.393, IF(INDIRECT(ADDRESS(ROW() - 2, COLUMN())) = 11, 109.62, IF(INDIRECT(ADDRESS(ROW() - 2, COLUMN())) = 12, 116.848, IF(INDIRECT(ADDRESS(ROW() - 2, COLUMN())) = 13, 124.076, IF(INDIRECT(ADDRESS(ROW() - 2, COLUMN())) = 14, 131.304,0))))))))))))))</f>
        <v>#VALUE!</v>
      </c>
      <c r="AOL7" s="88" t="str">
        <f t="shared" si="473"/>
        <v>#VALUE!</v>
      </c>
      <c r="AOM7" s="88" t="str">
        <f t="shared" ref="AOM7:AON7" si="474"> IF(INDIRECT(ADDRESS(ROW() - 2, COLUMN())) = 1, 67.223, IF(INDIRECT(ADDRESS(ROW() - 2, COLUMN())) = 2, 72.694, IF(INDIRECT(ADDRESS(ROW() - 2, COLUMN())) = 3, 78.166, IF(INDIRECT(ADDRESS(ROW() - 2, COLUMN())) = 4, 85.983, IF(INDIRECT(ADDRESS(ROW() - 2, COLUMN())) = 5, 91.454, IF(INDIRECT(ADDRESS(ROW() - 2, COLUMN())) = 6, 97.707, IF(INDIRECT(ADDRESS(ROW() - 2, COLUMN())) = 7, 106.305999999999, IF(INDIRECT(ADDRESS(ROW() - 2, COLUMN())) = 8, 114.904, IF(INDIRECT(ADDRESS(ROW() - 2, COLUMN())) = 9, 123.502, IF(INDIRECT(ADDRESS(ROW() - 2, COLUMN())) = 10, 132.881999999999, IF(INDIRECT(ADDRESS(ROW() - 2, COLUMN())) = 11, 142.262, IF(INDIRECT(ADDRESS(ROW() - 2, COLUMN())) = 12, 151.642, IF(INDIRECT(ADDRESS(ROW() - 2, COLUMN())) = 13, 161.022, IF(INDIRECT(ADDRESS(ROW() - 2, COLUMN())) = 14, 170.402,0))))))))))))))</f>
        <v>#VALUE!</v>
      </c>
      <c r="AON7" s="88" t="str">
        <f t="shared" si="474"/>
        <v>#VALUE!</v>
      </c>
      <c r="AOO7" s="88" t="str">
        <f t="shared" ref="AOO7:AOP7" si="475"> IF(INDIRECT(ADDRESS(ROW() - 2, COLUMN())) = 1, 37.9039999999999, IF(INDIRECT(ADDRESS(ROW() - 2, COLUMN())) = 2, 40.989, IF(INDIRECT(ADDRESS(ROW() - 2, COLUMN())) = 3, 44.074, IF(INDIRECT(ADDRESS(ROW() - 2, COLUMN())) = 4, 48.482, IF(INDIRECT(ADDRESS(ROW() - 2, COLUMN())) = 5, 51.5669999999999, IF(INDIRECT(ADDRESS(ROW() - 2, COLUMN())) = 6, 55.093, IF(INDIRECT(ADDRESS(ROW() - 2, COLUMN())) = 7, 59.941, IF(INDIRECT(ADDRESS(ROW() - 2, COLUMN())) = 8, 64.789, IF(INDIRECT(ADDRESS(ROW() - 2, COLUMN())) = 9, 69.638, IF(INDIRECT(ADDRESS(ROW() - 2, COLUMN())) = 10, 74.9269999999999, IF(INDIRECT(ADDRESS(ROW() - 2, COLUMN())) = 11, 80.216, IF(INDIRECT(ADDRESS(ROW() - 2, COLUMN())) = 12, 85.505, IF(INDIRECT(ADDRESS(ROW() - 2, COLUMN())) = 13, 90.794, IF(INDIRECT(ADDRESS(ROW() - 2, COLUMN())) = 14, 96.082,0))))))))))))))</f>
        <v>#VALUE!</v>
      </c>
      <c r="AOP7" s="88" t="str">
        <f t="shared" si="475"/>
        <v>#VALUE!</v>
      </c>
      <c r="AOQ7" s="88" t="str">
        <f t="shared" ref="AOQ7:AOR7" si="476"> IF(INDIRECT(ADDRESS(ROW() - 2, COLUMN())) = 1, 90.742, IF(INDIRECT(ADDRESS(ROW() - 2, COLUMN())) = 2, 98.128, IF(INDIRECT(ADDRESS(ROW() - 2, COLUMN())) = 3, 105.514, IF(INDIRECT(ADDRESS(ROW() - 2, COLUMN())) = 4, 116.065, IF(INDIRECT(ADDRESS(ROW() - 2, COLUMN())) = 5, 123.451, IF(INDIRECT(ADDRESS(ROW() - 2, COLUMN())) = 6, 131.893, IF(INDIRECT(ADDRESS(ROW() - 2, COLUMN())) = 7, 143.499, IF(INDIRECT(ADDRESS(ROW() - 2, COLUMN())) = 8, 155.106, IF(INDIRECT(ADDRESS(ROW() - 2, COLUMN())) = 9, 166.712, IF(INDIRECT(ADDRESS(ROW() - 2, COLUMN())) = 10, 179.374, IF(INDIRECT(ADDRESS(ROW() - 2, COLUMN())) = 11, 192.035, IF(INDIRECT(ADDRESS(ROW() - 2, COLUMN())) = 12, 204.697, IF(INDIRECT(ADDRESS(ROW() - 2, COLUMN())) = 13, 217.358999999999, IF(INDIRECT(ADDRESS(ROW() - 2, COLUMN())) = 14, 230.019999999999,0))))))))))))))</f>
        <v>#VALUE!</v>
      </c>
      <c r="AOR7" s="88" t="str">
        <f t="shared" si="476"/>
        <v>#VALUE!</v>
      </c>
      <c r="AOS7" s="88" t="str">
        <f> IF(INDIRECT(ADDRESS(ROW() - 2, COLUMN())) = 1, 152.96, IF(INDIRECT(ADDRESS(ROW() - 2, COLUMN())) = 2, 164.432, IF(INDIRECT(ADDRESS(ROW() - 2, COLUMN())) = 3, 175.904, IF(INDIRECT(ADDRESS(ROW() - 2, COLUMN())) = 4, 191.2, IF(INDIRECT(ADDRESS(ROW() - 2, COLUMN())) = 5, 202.672, IF(INDIRECT(ADDRESS(ROW() - 2, COLUMN())) = 6, 214.143999999999, IF(INDIRECT(ADDRESS(ROW() - 2, COLUMN())) = 7, 229.44, IF(INDIRECT(ADDRESS(ROW() - 2, COLUMN())) = 8, 244.736, IF(INDIRECT(ADDRESS(ROW() - 2, COLUMN())) = 9, 260.032, IF(INDIRECT(ADDRESS(ROW() - 2, COLUMN())) = 10, 275.328, IF(INDIRECT(ADDRESS(ROW() - 2, COLUMN())) = 11, 290.623999999999, IF(INDIRECT(ADDRESS(ROW() - 2, COLUMN())) = 12, 305.92, IF(INDIRECT(ADDRESS(ROW() - 2, COLUMN())) = 13, 325.04, IF(INDIRECT(ADDRESS(ROW() - 2, COLUMN())) = 14, 344.16,0))))))))))))))</f>
        <v>#VALUE!</v>
      </c>
      <c r="AOT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 IF(INDIRECT(ADDRESS(ROW() - 2, COLUMN())) = 12, 128.195, IF(INDIRECT(ADDRESS(ROW() - 2, COLUMN())) = 13, 136.125, IF(INDIRECT(ADDRESS(ROW() - 2, COLUMN())) = 14, 144.054,0))))))))))))))</f>
        <v>#VALUE!</v>
      </c>
      <c r="AOU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 IF(INDIRECT(ADDRESS(ROW() - 2, COLUMN())) = 12, 256.336, IF(INDIRECT(ADDRESS(ROW() - 2, COLUMN())) = 13, 272.192, IF(INDIRECT(ADDRESS(ROW() - 2, COLUMN())) = 14, 288.048,0))))))))))))))</f>
        <v>#VALUE!</v>
      </c>
      <c r="AOV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 IF(INDIRECT(ADDRESS(ROW() - 2, COLUMN())) = 12, 320.178, IF(INDIRECT(ADDRESS(ROW() - 2, COLUMN())) = 13, 339.982, IF(INDIRECT(ADDRESS(ROW() - 2, COLUMN())) = 14, 359.787,0))))))))))))))</f>
        <v>#VALUE!</v>
      </c>
      <c r="AOW7" s="88" t="str">
        <f> IF(INDIRECT(ADDRESS(ROW() - 2, COLUMN())) = 1, 127.2, IF(INDIRECT(ADDRESS(ROW() - 2, COLUMN())) = 2, 136.74, IF(INDIRECT(ADDRESS(ROW() - 2, COLUMN())) = 3, 146.28, IF(INDIRECT(ADDRESS(ROW() - 2, COLUMN())) = 4, 159, IF(INDIRECT(ADDRESS(ROW() - 2, COLUMN())) = 5, 168.54, IF(INDIRECT(ADDRESS(ROW() - 2, COLUMN())) = 6, 178.079999999999, IF(INDIRECT(ADDRESS(ROW() - 2, COLUMN())) = 7, 190.799999999999, IF(INDIRECT(ADDRESS(ROW() - 2, COLUMN())) = 8, 203.52, IF(INDIRECT(ADDRESS(ROW() - 2, COLUMN())) = 9, 216.239999999999, IF(INDIRECT(ADDRESS(ROW() - 2, COLUMN())) = 10, 228.96, IF(INDIRECT(ADDRESS(ROW() - 2, COLUMN())) = 11, 241.679999999999, IF(INDIRECT(ADDRESS(ROW() - 2, COLUMN())) = 12, 254.4, IF(INDIRECT(ADDRESS(ROW() - 2, COLUMN())) = 13, 270.3,0)))))))))))))</f>
        <v>#VALUE!</v>
      </c>
      <c r="AOX7" s="88" t="str">
        <f> IF(INDIRECT(ADDRESS(ROW() - 2, COLUMN())) = 1, 42.4, IF(INDIRECT(ADDRESS(ROW() - 2, COLUMN())) = 2, 45.58, IF(INDIRECT(ADDRESS(ROW() - 2, COLUMN())) = 3, 48.76, IF(INDIRECT(ADDRESS(ROW() - 2, COLUMN())) = 4, 53, IF(INDIRECT(ADDRESS(ROW() - 2, COLUMN())) = 5, 56.18, IF(INDIRECT(ADDRESS(ROW() - 2, COLUMN())) = 6, 59.36, IF(INDIRECT(ADDRESS(ROW() - 2, COLUMN())) = 7, 63.6, IF(INDIRECT(ADDRESS(ROW() - 2, COLUMN())) = 8, 67.84, IF(INDIRECT(ADDRESS(ROW() - 2, COLUMN())) = 9, 72.08, IF(INDIRECT(ADDRESS(ROW() - 2, COLUMN())) = 10, 76.32, IF(INDIRECT(ADDRESS(ROW() - 2, COLUMN())) = 11, 80.56, IF(INDIRECT(ADDRESS(ROW() - 2, COLUMN())) = 12, 84.8, IF(INDIRECT(ADDRESS(ROW() - 2, COLUMN())) = 13, 90.1,0)))))))))))))</f>
        <v>#VALUE!</v>
      </c>
      <c r="AOY7" s="88" t="str">
        <f> IF(INDIRECT(ADDRESS(ROW() - 2, COLUMN())) = 1, 49.846, IF(INDIRECT(ADDRESS(ROW() - 2, COLUMN())) = 2, 53.5839999999999, IF(INDIRECT(ADDRESS(ROW() - 2, COLUMN())) = 3, 57.3219999999999, IF(INDIRECT(ADDRESS(ROW() - 2, COLUMN())) = 4, 62.307, IF(INDIRECT(ADDRESS(ROW() - 2, COLUMN())) = 5, 66.045, IF(INDIRECT(ADDRESS(ROW() - 2, COLUMN())) = 6, 69.784, IF(INDIRECT(ADDRESS(ROW() - 2, COLUMN())) = 7, 74.768, IF(INDIRECT(ADDRESS(ROW() - 2, COLUMN())) = 8, 79.753, IF(INDIRECT(ADDRESS(ROW() - 2, COLUMN())) = 9, 84.737, IF(INDIRECT(ADDRESS(ROW() - 2, COLUMN())) = 10, 89.722, IF(INDIRECT(ADDRESS(ROW() - 2, COLUMN())) = 11, 94.707, IF(INDIRECT(ADDRESS(ROW() - 2, COLUMN())) = 12, 99.691, IF(INDIRECT(ADDRESS(ROW() - 2, COLUMN())) = 13, 105.922, IF(INDIRECT(ADDRESS(ROW() - 2, COLUMN())) = 14, 112.152999999999,0))))))))))))))</f>
        <v>#VALUE!</v>
      </c>
      <c r="AOZ7" s="88" t="str">
        <f> IF(INDIRECT(ADDRESS(ROW() - 2, COLUMN())) = 1, 43.375, IF(INDIRECT(ADDRESS(ROW() - 2, COLUMN())) = 2, 46.628, IF(INDIRECT(ADDRESS(ROW() - 2, COLUMN())) = 3, 49.882, IF(INDIRECT(ADDRESS(ROW() - 2, COLUMN())) = 4, 54.2189999999999, IF(INDIRECT(ADDRESS(ROW() - 2, COLUMN())) = 5, 57.472, IF(INDIRECT(ADDRESS(ROW() - 2, COLUMN())) = 6, 60.7249999999999, IF(INDIRECT(ADDRESS(ROW() - 2, COLUMN())) = 7, 65.063, IF(INDIRECT(ADDRESS(ROW() - 2, COLUMN())) = 8, 69.3999999999999, IF(INDIRECT(ADDRESS(ROW() - 2, COLUMN())) = 9, 73.738, IF(INDIRECT(ADDRESS(ROW() - 2, COLUMN())) = 10, 78.075, IF(INDIRECT(ADDRESS(ROW() - 2, COLUMN())) = 11, 82.413, IF(INDIRECT(ADDRESS(ROW() - 2, COLUMN())) = 12, 86.75, IF(INDIRECT(ADDRESS(ROW() - 2, COLUMN())) = 13, 92.172, IF(INDIRECT(ADDRESS(ROW() - 2, COLUMN())) = 14, 97.594,0))))))))))))))</f>
        <v>#VALUE!</v>
      </c>
      <c r="APA7" s="88" t="str">
        <f> IF(INDIRECT(ADDRESS(ROW() - 2, COLUMN())) = 1, 64.601, IF(INDIRECT(ADDRESS(ROW() - 2, COLUMN())) = 2, 69.446, IF(INDIRECT(ADDRESS(ROW() - 2, COLUMN())) = 3, 74.291, IF(INDIRECT(ADDRESS(ROW() - 2, COLUMN())) = 4, 80.7509999999999, IF(INDIRECT(ADDRESS(ROW() - 2, COLUMN())) = 5, 85.596, IF(INDIRECT(ADDRESS(ROW() - 2, COLUMN())) = 6, 90.441, IF(INDIRECT(ADDRESS(ROW() - 2, COLUMN())) = 7, 96.901, IF(INDIRECT(ADDRESS(ROW() - 2, COLUMN())) = 8, 103.360999999999, IF(INDIRECT(ADDRESS(ROW() - 2, COLUMN())) = 9, 109.821, IF(INDIRECT(ADDRESS(ROW() - 2, COLUMN())) = 10, 116.280999999999, IF(INDIRECT(ADDRESS(ROW() - 2, COLUMN())) = 11, 122.740999999999, IF(INDIRECT(ADDRESS(ROW() - 2, COLUMN())) = 12, 129.202, IF(INDIRECT(ADDRESS(ROW() - 2, COLUMN())) = 13, 137.277, IF(INDIRECT(ADDRESS(ROW() - 2, COLUMN())) = 14, 145.352,0))))))))))))))</f>
        <v>#VALUE!</v>
      </c>
      <c r="APB7" s="88" t="str">
        <f> IF(INDIRECT(ADDRESS(ROW() - 2, COLUMN())) = 1, 100.512, IF(INDIRECT(ADDRESS(ROW() - 2, COLUMN())) = 2, 108.05, IF(INDIRECT(ADDRESS(ROW() - 2, COLUMN())) = 3, 115.589, IF(INDIRECT(ADDRESS(ROW() - 2, COLUMN())) = 4, 125.64, IF(INDIRECT(ADDRESS(ROW() - 2, COLUMN())) = 5, 133.178, IF(INDIRECT(ADDRESS(ROW() - 2, COLUMN())) = 6, 140.717, IF(INDIRECT(ADDRESS(ROW() - 2, COLUMN())) = 7, 150.768, IF(INDIRECT(ADDRESS(ROW() - 2, COLUMN())) = 8, 160.819, IF(INDIRECT(ADDRESS(ROW() - 2, COLUMN())) = 9, 170.87, IF(INDIRECT(ADDRESS(ROW() - 2, COLUMN())) = 10, 180.922, IF(INDIRECT(ADDRESS(ROW() - 2, COLUMN())) = 11, 190.972999999999, IF(INDIRECT(ADDRESS(ROW() - 2, COLUMN())) = 12, 201.024, IF(INDIRECT(ADDRESS(ROW() - 2, COLUMN())) = 13, 213.587999999999, IF(INDIRECT(ADDRESS(ROW() - 2, COLUMN())) = 14, 226.152,0))))))))))))))</f>
        <v>#VALUE!</v>
      </c>
      <c r="APC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 IF(INDIRECT(ADDRESS(ROW() - 2, COLUMN())) = 12, 128.195, IF(INDIRECT(ADDRESS(ROW() - 2, COLUMN())) = 13, 136.125, IF(INDIRECT(ADDRESS(ROW() - 2, COLUMN())) = 14, 144.054,0))))))))))))))</f>
        <v>#VALUE!</v>
      </c>
      <c r="APD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 IF(INDIRECT(ADDRESS(ROW() - 2, COLUMN())) = 12, 256.336, IF(INDIRECT(ADDRESS(ROW() - 2, COLUMN())) = 13, 272.192, IF(INDIRECT(ADDRESS(ROW() - 2, COLUMN())) = 14, 288.048,0))))))))))))))</f>
        <v>#VALUE!</v>
      </c>
      <c r="APE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 IF(INDIRECT(ADDRESS(ROW() - 2, COLUMN())) = 12, 320.178, IF(INDIRECT(ADDRESS(ROW() - 2, COLUMN())) = 13, 339.982, IF(INDIRECT(ADDRESS(ROW() - 2, COLUMN())) = 14, 359.787,0))))))))))))))</f>
        <v>#VALUE!</v>
      </c>
      <c r="APF7" s="88" t="str">
        <f> IF(INDIRECT(ADDRESS(ROW() - 2, COLUMN())) = 1, 11.168, IF(INDIRECT(ADDRESS(ROW() - 2, COLUMN())) = 2, 12.006, IF(INDIRECT(ADDRESS(ROW() - 2, COLUMN())) = 3, 12.8429999999999, IF(INDIRECT(ADDRESS(ROW() - 2, COLUMN())) = 4, 13.96, IF(INDIRECT(ADDRESS(ROW() - 2, COLUMN())) = 5, 14.798, IF(INDIRECT(ADDRESS(ROW() - 2, COLUMN())) = 6, 15.6349999999999, IF(INDIRECT(ADDRESS(ROW() - 2, COLUMN())) = 7, 16.752, IF(INDIRECT(ADDRESS(ROW() - 2, COLUMN())) = 8, 17.869, IF(INDIRECT(ADDRESS(ROW() - 2, COLUMN())) = 9, 18.986, IF(INDIRECT(ADDRESS(ROW() - 2, COLUMN())) = 10, 20.102, IF(INDIRECT(ADDRESS(ROW() - 2, COLUMN())) = 11, 21.2189999999999, IF(INDIRECT(ADDRESS(ROW() - 2, COLUMN())) = 12, 22.336, IF(INDIRECT(ADDRESS(ROW() - 2, COLUMN())) = 13, 23.732, IF(INDIRECT(ADDRESS(ROW() - 2, COLUMN())) = 14, 25.128,0))))))))))))))</f>
        <v>#VALUE!</v>
      </c>
      <c r="APG7" s="88" t="str">
        <f> IF(INDIRECT(ADDRESS(ROW() - 2, COLUMN())) = 1, 67.2, IF(INDIRECT(ADDRESS(ROW() - 2, COLUMN())) = 2, 72.24, IF(INDIRECT(ADDRESS(ROW() - 2, COLUMN())) = 3, 77.28, IF(INDIRECT(ADDRESS(ROW() - 2, COLUMN())) = 4, 84, IF(INDIRECT(ADDRESS(ROW() - 2, COLUMN())) = 5, 89.0399999999999, IF(INDIRECT(ADDRESS(ROW() - 2, COLUMN())) = 6, 94.08, IF(INDIRECT(ADDRESS(ROW() - 2, COLUMN())) = 7, 100.8, IF(INDIRECT(ADDRESS(ROW() - 2, COLUMN())) = 8, 107.52, IF(INDIRECT(ADDRESS(ROW() - 2, COLUMN())) = 9, 114.24, IF(INDIRECT(ADDRESS(ROW() - 2, COLUMN())) = 10, 120.96, IF(INDIRECT(ADDRESS(ROW() - 2, COLUMN())) = 11, 127.679999999999, IF(INDIRECT(ADDRESS(ROW() - 2, COLUMN())) = 12, 134.4, IF(INDIRECT(ADDRESS(ROW() - 2, COLUMN())) = 13, 142.799999999999,0)))))))))))))</f>
        <v>#VALUE!</v>
      </c>
      <c r="APH7" s="88" t="str">
        <f> IF(INDIRECT(ADDRESS(ROW() - 2, COLUMN())) = 1, 139.2, IF(INDIRECT(ADDRESS(ROW() - 2, COLUMN())) = 2, 149.64, IF(INDIRECT(ADDRESS(ROW() - 2, COLUMN())) = 3, 160.08, IF(INDIRECT(ADDRESS(ROW() - 2, COLUMN())) = 4, 174, IF(INDIRECT(ADDRESS(ROW() - 2, COLUMN())) = 5, 184.44, IF(INDIRECT(ADDRESS(ROW() - 2, COLUMN())) = 6, 194.88, IF(INDIRECT(ADDRESS(ROW() - 2, COLUMN())) = 7, 208.8, IF(INDIRECT(ADDRESS(ROW() - 2, COLUMN())) = 8, 222.719999999999, IF(INDIRECT(ADDRESS(ROW() - 2, COLUMN())) = 9, 236.64, IF(INDIRECT(ADDRESS(ROW() - 2, COLUMN())) = 10, 250.559999999999, IF(INDIRECT(ADDRESS(ROW() - 2, COLUMN())) = 11, 264.48, IF(INDIRECT(ADDRESS(ROW() - 2, COLUMN())) = 12, 278.4, IF(INDIRECT(ADDRESS(ROW() - 2, COLUMN())) = 13, 295.8,0)))))))))))))</f>
        <v>#VALUE!</v>
      </c>
      <c r="API7" s="88" t="str">
        <f> IF(INDIRECT(ADDRESS(ROW() - 2, COLUMN())) = 1, 39.2, IF(INDIRECT(ADDRESS(ROW() - 2, COLUMN())) = 2, 42.14, IF(INDIRECT(ADDRESS(ROW() - 2, COLUMN())) = 3, 45.08, IF(INDIRECT(ADDRESS(ROW() - 2, COLUMN())) = 4, 49, IF(INDIRECT(ADDRESS(ROW() - 2, COLUMN())) = 5, 51.94, IF(INDIRECT(ADDRESS(ROW() - 2, COLUMN())) = 6, 54.8799999999999, IF(INDIRECT(ADDRESS(ROW() - 2, COLUMN())) = 7, 58.8, IF(INDIRECT(ADDRESS(ROW() - 2, COLUMN())) = 8, 62.72, IF(INDIRECT(ADDRESS(ROW() - 2, COLUMN())) = 9, 66.64, IF(INDIRECT(ADDRESS(ROW() - 2, COLUMN())) = 10, 70.56, IF(INDIRECT(ADDRESS(ROW() - 2, COLUMN())) = 11, 74.48, IF(INDIRECT(ADDRESS(ROW() - 2, COLUMN())) = 12, 78.4, IF(INDIRECT(ADDRESS(ROW() - 2, COLUMN())) = 13, 83.3,0)))))))))))))</f>
        <v>#VALUE!</v>
      </c>
      <c r="APJ7" s="88" t="str">
        <f> IF(INDIRECT(ADDRESS(ROW() - 2, COLUMN())) = 1, 40.6, IF(INDIRECT(ADDRESS(ROW() - 2, COLUMN())) = 2, 43.645, IF(INDIRECT(ADDRESS(ROW() - 2, COLUMN())) = 3, 46.69, IF(INDIRECT(ADDRESS(ROW() - 2, COLUMN())) = 4, 50.7499999999999, IF(INDIRECT(ADDRESS(ROW() - 2, COLUMN())) = 5, 53.795, IF(INDIRECT(ADDRESS(ROW() - 2, COLUMN())) = 6, 56.84, IF(INDIRECT(ADDRESS(ROW() - 2, COLUMN())) = 7, 60.9, IF(INDIRECT(ADDRESS(ROW() - 2, COLUMN())) = 8, 64.96, IF(INDIRECT(ADDRESS(ROW() - 2, COLUMN())) = 9, 69.02, IF(INDIRECT(ADDRESS(ROW() - 2, COLUMN())) = 10, 73.08, IF(INDIRECT(ADDRESS(ROW() - 2, COLUMN())) = 11, 77.14, IF(INDIRECT(ADDRESS(ROW() - 2, COLUMN())) = 12, 81.2, IF(INDIRECT(ADDRESS(ROW() - 2, COLUMN())) = 13, 86.275,0)))))))))))))</f>
        <v>#VALUE!</v>
      </c>
      <c r="APK7" s="88" t="str">
        <f> IF(INDIRECT(ADDRESS(ROW() - 2, COLUMN())) = 1, 77.616, IF(INDIRECT(ADDRESS(ROW() - 2, COLUMN())) = 2, 83.437, IF(INDIRECT(ADDRESS(ROW() - 2, COLUMN())) = 3, 89.258, IF(INDIRECT(ADDRESS(ROW() - 2, COLUMN())) = 4, 97.02, IF(INDIRECT(ADDRESS(ROW() - 2, COLUMN())) = 5, 102.841, IF(INDIRECT(ADDRESS(ROW() - 2, COLUMN())) = 6, 108.661999999999, IF(INDIRECT(ADDRESS(ROW() - 2, COLUMN())) = 7, 116.423999999999, IF(INDIRECT(ADDRESS(ROW() - 2, COLUMN())) = 8, 124.185999999999, IF(INDIRECT(ADDRESS(ROW() - 2, COLUMN())) = 9, 131.947, IF(INDIRECT(ADDRESS(ROW() - 2, COLUMN())) = 10, 139.709, IF(INDIRECT(ADDRESS(ROW() - 2, COLUMN())) = 11, 147.47, IF(INDIRECT(ADDRESS(ROW() - 2, COLUMN())) = 12, 155.232, IF(INDIRECT(ADDRESS(ROW() - 2, COLUMN())) = 13, 164.934,0)))))))))))))</f>
        <v>#VALUE!</v>
      </c>
      <c r="APL7" s="88" t="str">
        <f> IF(INDIRECT(ADDRESS(ROW() - 2, COLUMN())) = 1, 6.468, IF(INDIRECT(ADDRESS(ROW() - 2, COLUMN())) = 2, 6.95299999999999, IF(INDIRECT(ADDRESS(ROW() - 2, COLUMN())) = 3, 7.438, IF(INDIRECT(ADDRESS(ROW() - 2, COLUMN())) = 4, 8.085, IF(INDIRECT(ADDRESS(ROW() - 2, COLUMN())) = 5, 8.57, IF(INDIRECT(ADDRESS(ROW() - 2, COLUMN())) = 6, 9.055, IF(INDIRECT(ADDRESS(ROW() - 2, COLUMN())) = 7, 9.702, IF(INDIRECT(ADDRESS(ROW() - 2, COLUMN())) = 8, 10.349, IF(INDIRECT(ADDRESS(ROW() - 2, COLUMN())) = 9, 10.996, IF(INDIRECT(ADDRESS(ROW() - 2, COLUMN())) = 10, 11.642, IF(INDIRECT(ADDRESS(ROW() - 2, COLUMN())) = 11, 12.289, IF(INDIRECT(ADDRESS(ROW() - 2, COLUMN())) = 12, 12.936, IF(INDIRECT(ADDRESS(ROW() - 2, COLUMN())) = 13, 13.745,0)))))))))))))</f>
        <v>#VALUE!</v>
      </c>
      <c r="APM7" s="88" t="str">
        <f> IF(INDIRECT(ADDRESS(ROW() - 2, COLUMN())) = 1, 48.386, IF(INDIRECT(ADDRESS(ROW() - 2, COLUMN())) = 2, 52.325, IF(INDIRECT(ADDRESS(ROW() - 2, COLUMN())) = 3, 56.263, IF(INDIRECT(ADDRESS(ROW() - 2, COLUMN())) = 4, 61.889, IF(INDIRECT(ADDRESS(ROW() - 2, COLUMN())) = 5, 65.828, IF(INDIRECT(ADDRESS(ROW() - 2, COLUMN())) = 6, 70.329, IF(INDIRECT(ADDRESS(ROW() - 2, COLUMN())) = 7, 76.518, IF(INDIRECT(ADDRESS(ROW() - 2, COLUMN())) = 8, 82.707, IF(INDIRECT(ADDRESS(ROW() - 2, COLUMN())) = 9, 88.895, IF(INDIRECT(ADDRESS(ROW() - 2, COLUMN())) = 10, 95.647, IF(INDIRECT(ADDRESS(ROW() - 2, COLUMN())) = 11, 102.399, IF(INDIRECT(ADDRESS(ROW() - 2, COLUMN())) = 12, 109.149999999999, IF(INDIRECT(ADDRESS(ROW() - 2, COLUMN())) = 13, 115.901999999999, IF(INDIRECT(ADDRESS(ROW() - 2, COLUMN())) = 14, 122.652999999999,0))))))))))))))</f>
        <v>#VALUE!</v>
      </c>
      <c r="APN7" s="88" t="str">
        <f> IF(INDIRECT(ADDRESS(ROW() - 2, COLUMN())) = 1, 43.729, IF(INDIRECT(ADDRESS(ROW() - 2, COLUMN())) = 2, 47.2889999999999, IF(INDIRECT(ADDRESS(ROW() - 2, COLUMN())) = 3, 50.848, IF(INDIRECT(ADDRESS(ROW() - 2, COLUMN())) = 4, 55.933, IF(INDIRECT(ADDRESS(ROW() - 2, COLUMN())) = 5, 59.492, IF(INDIRECT(ADDRESS(ROW() - 2, COLUMN())) = 6, 63.56, IF(INDIRECT(ADDRESS(ROW() - 2, COLUMN())) = 7, 69.1529999999999, IF(INDIRECT(ADDRESS(ROW() - 2, COLUMN())) = 8, 74.747, IF(INDIRECT(ADDRESS(ROW() - 2, COLUMN())) = 9, 80.34, IF(INDIRECT(ADDRESS(ROW() - 2, COLUMN())) = 10, 86.442, IF(INDIRECT(ADDRESS(ROW() - 2, COLUMN())) = 11, 92.5429999999999, IF(INDIRECT(ADDRESS(ROW() - 2, COLUMN())) = 12, 98.645, IF(INDIRECT(ADDRESS(ROW() - 2, COLUMN())) = 13, 104.746999999999, IF(INDIRECT(ADDRESS(ROW() - 2, COLUMN())) = 14, 110.849,0))))))))))))))</f>
        <v>#VALUE!</v>
      </c>
      <c r="APO7" s="88" t="str">
        <f> IF(INDIRECT(ADDRESS(ROW() - 2, COLUMN())) = 1, 55.12, IF(INDIRECT(ADDRESS(ROW() - 2, COLUMN())) = 2, 59.606, IF(INDIRECT(ADDRESS(ROW() - 2, COLUMN())) = 3, 64.093, IF(INDIRECT(ADDRESS(ROW() - 2, COLUMN())) = 4, 70.502, IF(INDIRECT(ADDRESS(ROW() - 2, COLUMN())) = 5, 74.9889999999999, IF(INDIRECT(ADDRESS(ROW() - 2, COLUMN())) = 6, 80.116, IF(INDIRECT(ADDRESS(ROW() - 2, COLUMN())) = 7, 87.167, IF(INDIRECT(ADDRESS(ROW() - 2, COLUMN())) = 8, 94.217, IF(INDIRECT(ADDRESS(ROW() - 2, COLUMN())) = 9, 101.267, IF(INDIRECT(ADDRESS(ROW() - 2, COLUMN())) = 10, 108.958, IF(INDIRECT(ADDRESS(ROW() - 2, COLUMN())) = 11, 116.649, IF(INDIRECT(ADDRESS(ROW() - 2, COLUMN())) = 12, 124.34, IF(INDIRECT(ADDRESS(ROW() - 2, COLUMN())) = 13, 132.031999999999, IF(INDIRECT(ADDRESS(ROW() - 2, COLUMN())) = 14, 139.722999999999,0))))))))))))))</f>
        <v>#VALUE!</v>
      </c>
      <c r="APP7" s="88" t="str">
        <f> IF(INDIRECT(ADDRESS(ROW() - 2, COLUMN())) = 1, 73.298, IF(INDIRECT(ADDRESS(ROW() - 2, COLUMN())) = 2, 79.264, IF(INDIRECT(ADDRESS(ROW() - 2, COLUMN())) = 3, 85.2299999999999, IF(INDIRECT(ADDRESS(ROW() - 2, COLUMN())) = 4, 93.753, IF(INDIRECT(ADDRESS(ROW() - 2, COLUMN())) = 5, 99.719, IF(INDIRECT(ADDRESS(ROW() - 2, COLUMN())) = 6, 106.536999999999, IF(INDIRECT(ADDRESS(ROW() - 2, COLUMN())) = 7, 115.913, IF(INDIRECT(ADDRESS(ROW() - 2, COLUMN())) = 8, 125.288, IF(INDIRECT(ADDRESS(ROW() - 2, COLUMN())) = 9, 134.663, IF(INDIRECT(ADDRESS(ROW() - 2, COLUMN())) = 10, 144.891, IF(INDIRECT(ADDRESS(ROW() - 2, COLUMN())) = 11, 155.119, IF(INDIRECT(ADDRESS(ROW() - 2, COLUMN())) = 12, 165.346, IF(INDIRECT(ADDRESS(ROW() - 2, COLUMN())) = 13, 175.574, IF(INDIRECT(ADDRESS(ROW() - 2, COLUMN())) = 14, 185.801,0))))))))))))))</f>
        <v>#VALUE!</v>
      </c>
      <c r="APQ7" s="88" t="str">
        <f> IF(INDIRECT(ADDRESS(ROW() - 2, COLUMN())) = 1, 74.2179999999999, IF(INDIRECT(ADDRESS(ROW() - 2, COLUMN())) = 2, 80.259, IF(INDIRECT(ADDRESS(ROW() - 2, COLUMN())) = 3, 86.3, IF(INDIRECT(ADDRESS(ROW() - 2, COLUMN())) = 4, 94.93, IF(INDIRECT(ADDRESS(ROW() - 2, COLUMN())) = 5, 100.971, IF(INDIRECT(ADDRESS(ROW() - 2, COLUMN())) = 6, 107.875, IF(INDIRECT(ADDRESS(ROW() - 2, COLUMN())) = 7, 117.368, IF(INDIRECT(ADDRESS(ROW() - 2, COLUMN())) = 8, 126.861, IF(INDIRECT(ADDRESS(ROW() - 2, COLUMN())) = 9, 136.353999999999, IF(INDIRECT(ADDRESS(ROW() - 2, COLUMN())) = 10, 146.71, IF(INDIRECT(ADDRESS(ROW() - 2, COLUMN())) = 11, 157.066, IF(INDIRECT(ADDRESS(ROW() - 2, COLUMN())) = 12, 167.422, IF(INDIRECT(ADDRESS(ROW() - 2, COLUMN())) = 13, 177.778, IF(INDIRECT(ADDRESS(ROW() - 2, COLUMN())) = 14, 188.134,0))))))))))))))</f>
        <v>#VALUE!</v>
      </c>
      <c r="APR7" s="88" t="str">
        <f> IF(INDIRECT(ADDRESS(ROW() - 2, COLUMN())) = 1, 63.932, IF(INDIRECT(ADDRESS(ROW() - 2, COLUMN())) = 2, 69.136, IF(INDIRECT(ADDRESS(ROW() - 2, COLUMN())) = 3, 74.3399999999999, IF(INDIRECT(ADDRESS(ROW() - 2, COLUMN())) = 4, 81.774, IF(INDIRECT(ADDRESS(ROW() - 2, COLUMN())) = 5, 86.978, IF(INDIRECT(ADDRESS(ROW() - 2, COLUMN())) = 6, 92.925, IF(INDIRECT(ADDRESS(ROW() - 2, COLUMN())) = 7, 101.102, IF(INDIRECT(ADDRESS(ROW() - 2, COLUMN())) = 8, 109.28, IF(INDIRECT(ADDRESS(ROW() - 2, COLUMN())) = 9, 117.457, IF(INDIRECT(ADDRESS(ROW() - 2, COLUMN())) = 10, 126.377999999999, IF(INDIRECT(ADDRESS(ROW() - 2, COLUMN())) = 11, 135.298999999999, IF(INDIRECT(ADDRESS(ROW() - 2, COLUMN())) = 12, 144.22, IF(INDIRECT(ADDRESS(ROW() - 2, COLUMN())) = 13, 153.14, IF(INDIRECT(ADDRESS(ROW() - 2, COLUMN())) = 14, 162.061,0))))))))))))))</f>
        <v>#VALUE!</v>
      </c>
      <c r="APS7" s="88" t="str">
        <f> IF(INDIRECT(ADDRESS(ROW() - 2, COLUMN())) = 1, 127.838, IF(INDIRECT(ADDRESS(ROW() - 2, COLUMN())) = 2, 138.243, IF(INDIRECT(ADDRESS(ROW() - 2, COLUMN())) = 3, 148.649, IF(INDIRECT(ADDRESS(ROW() - 2, COLUMN())) = 4, 163.513, IF(INDIRECT(ADDRESS(ROW() - 2, COLUMN())) = 5, 173.919, IF(INDIRECT(ADDRESS(ROW() - 2, COLUMN())) = 6, 185.810999999999, IF(INDIRECT(ADDRESS(ROW() - 2, COLUMN())) = 7, 202.162, IF(INDIRECT(ADDRESS(ROW() - 2, COLUMN())) = 8, 218.513, IF(INDIRECT(ADDRESS(ROW() - 2, COLUMN())) = 9, 234.865, IF(INDIRECT(ADDRESS(ROW() - 2, COLUMN())) = 10, 252.701999999999, IF(INDIRECT(ADDRESS(ROW() - 2, COLUMN())) = 11, 270.54, IF(INDIRECT(ADDRESS(ROW() - 2, COLUMN())) = 12, 288.378, IF(INDIRECT(ADDRESS(ROW() - 2, COLUMN())) = 13, 306.216, IF(INDIRECT(ADDRESS(ROW() - 2, COLUMN())) = 14, 324.054,0))))))))))))))</f>
        <v>#VALUE!</v>
      </c>
      <c r="APT7" s="88" t="str">
        <f> IF(INDIRECT(ADDRESS(ROW() - 2, COLUMN())) = 1, 159.676, IF(INDIRECT(ADDRESS(ROW() - 2, COLUMN())) = 2, 172.673, IF(INDIRECT(ADDRESS(ROW() - 2, COLUMN())) = 3, 185.67, IF(INDIRECT(ADDRESS(ROW() - 2, COLUMN())) = 4, 204.237, IF(INDIRECT(ADDRESS(ROW() - 2, COLUMN())) = 5, 217.234, IF(INDIRECT(ADDRESS(ROW() - 2, COLUMN())) = 6, 232.087, IF(INDIRECT(ADDRESS(ROW() - 2, COLUMN())) = 7, 252.511, IF(INDIRECT(ADDRESS(ROW() - 2, COLUMN())) = 8, 272.935, IF(INDIRECT(ADDRESS(ROW() - 2, COLUMN())) = 9, 293.359, IF(INDIRECT(ADDRESS(ROW() - 2, COLUMN())) = 10, 315.639, IF(INDIRECT(ADDRESS(ROW() - 2, COLUMN())) = 11, 337.919, IF(INDIRECT(ADDRESS(ROW() - 2, COLUMN())) = 12, 360.2, IF(INDIRECT(ADDRESS(ROW() - 2, COLUMN())) = 13, 382.48, IF(INDIRECT(ADDRESS(ROW() - 2, COLUMN())) = 14, 404.760999999999,0))))))))))))))</f>
        <v>#VALUE!</v>
      </c>
      <c r="APU7" s="88" t="str">
        <f> IF(INDIRECT(ADDRESS(ROW() - 2, COLUMN())) = 1, 9.46, IF(INDIRECT(ADDRESS(ROW() - 2, COLUMN())) = 2, 10.23, IF(INDIRECT(ADDRESS(ROW() - 2, COLUMN())) = 3, 11, IF(INDIRECT(ADDRESS(ROW() - 2, COLUMN())) = 4, 12.1, IF(INDIRECT(ADDRESS(ROW() - 2, COLUMN())) = 5, 12.87, IF(INDIRECT(ADDRESS(ROW() - 2, COLUMN())) = 6, 13.75, IF(INDIRECT(ADDRESS(ROW() - 2, COLUMN())) = 7, 14.96, IF(INDIRECT(ADDRESS(ROW() - 2, COLUMN())) = 8, 16.17, IF(INDIRECT(ADDRESS(ROW() - 2, COLUMN())) = 9, 17.38, IF(INDIRECT(ADDRESS(ROW() - 2, COLUMN())) = 10, 18.7, IF(INDIRECT(ADDRESS(ROW() - 2, COLUMN())) = 11, 20.02, IF(INDIRECT(ADDRESS(ROW() - 2, COLUMN())) = 12, 21.34, IF(INDIRECT(ADDRESS(ROW() - 2, COLUMN())) = 13, 22.66, IF(INDIRECT(ADDRESS(ROW() - 2, COLUMN())) = 14, 23.98,0))))))))))))))</f>
        <v>#VALUE!</v>
      </c>
    </row>
    <row r="8">
      <c r="A8" s="4" t="s">
        <v>254</v>
      </c>
      <c r="AA8" s="88" t="str">
        <f> IF(INDIRECT(ADDRESS(ROW() - 3, COLUMN())) = 1, 133.6, IF(INDIRECT(ADDRESS(ROW() - 3, COLUMN())) = 2, 143.62, IF(INDIRECT(ADDRESS(ROW() - 3, COLUMN())) = 3, 153.64, IF(INDIRECT(ADDRESS(ROW() - 3, COLUMN())) = 4, 167, IF(INDIRECT(ADDRESS(ROW() - 3, COLUMN())) = 5, 177.02, IF(INDIRECT(ADDRESS(ROW() - 3, COLUMN())) = 6, 187.04, IF(INDIRECT(ADDRESS(ROW() - 3, COLUMN())) = 7, 200.4, IF(INDIRECT(ADDRESS(ROW() - 3, COLUMN())) = 8, 213.76, IF(INDIRECT(ADDRESS(ROW() - 3, COLUMN())) = 9, 227.119999999999, IF(INDIRECT(ADDRESS(ROW() - 3, COLUMN())) = 10, 240.48, IF(INDIRECT(ADDRESS(ROW() - 3, COLUMN())) = 11, 253.84, IF(INDIRECT(ADDRESS(ROW() - 3, COLUMN())) = 12, 267.2, IF(INDIRECT(ADDRESS(ROW() - 3, COLUMN())) = 13, 283.9,0)))))))))))))</f>
        <v>#VALUE!</v>
      </c>
      <c r="IT8" s="195"/>
      <c r="KW8" s="88" t="str">
        <f> IF(INDIRECT(ADDRESS(ROW() - 3, COLUMN())) = 1, 98.216, IF(INDIRECT(ADDRESS(ROW() - 3, COLUMN())) = 2, 105.5822, IF(INDIRECT(ADDRESS(ROW() - 3, COLUMN())) = 3, 112.948399999999, IF(INDIRECT(ADDRESS(ROW() - 3, COLUMN())) = 4, 122.77, IF(INDIRECT(ADDRESS(ROW() - 3, COLUMN())) = 5, 130.1362, IF(INDIRECT(ADDRESS(ROW() - 3, COLUMN())) = 6, 137.5024, IF(INDIRECT(ADDRESS(ROW() - 3, COLUMN())) = 7, 147.324, IF(INDIRECT(ADDRESS(ROW() - 3, COLUMN())) = 8, 157.1456, IF(INDIRECT(ADDRESS(ROW() - 3, COLUMN())) = 9, 166.9672, IF(INDIRECT(ADDRESS(ROW() - 3, COLUMN())) = 10, 176.788799999999, IF(INDIRECT(ADDRESS(ROW() - 3, COLUMN())) = 11, 186.6104, IF(INDIRECT(ADDRESS(ROW() - 3, COLUMN())) = 12, 196.432, IF(INDIRECT(ADDRESS(ROW() - 3, COLUMN())) = 13, 208.709,0)))))))))))))</f>
        <v>#VALUE!</v>
      </c>
      <c r="KX8" s="88" t="str">
        <f> IF(INDIRECT(ADDRESS(ROW() - 3, COLUMN())) = 1, 61.3, IF(INDIRECT(ADDRESS(ROW() - 3, COLUMN())) = 2, 65.8975, IF(INDIRECT(ADDRESS(ROW() - 3, COLUMN())) = 3, 70.4949999999999, IF(INDIRECT(ADDRESS(ROW() - 3, COLUMN())) = 4, 76.625, IF(INDIRECT(ADDRESS(ROW() - 3, COLUMN())) = 5, 81.2225, IF(INDIRECT(ADDRESS(ROW() - 3, COLUMN())) = 6, 85.82, IF(INDIRECT(ADDRESS(ROW() - 3, COLUMN())) = 7, 91.95, IF(INDIRECT(ADDRESS(ROW() - 3, COLUMN())) = 8, 98.08, IF(INDIRECT(ADDRESS(ROW() - 3, COLUMN())) = 9, 104.21, IF(INDIRECT(ADDRESS(ROW() - 3, COLUMN())) = 10, 110.339999999999, IF(INDIRECT(ADDRESS(ROW() - 3, COLUMN())) = 11, 116.47, IF(INDIRECT(ADDRESS(ROW() - 3, COLUMN())) = 12, 122.6, IF(INDIRECT(ADDRESS(ROW() - 3, COLUMN())) = 13, 130.2625,0)))))))))))))</f>
        <v>#VALUE!</v>
      </c>
      <c r="QW8" s="88" t="str">
        <f> IF(INDIRECT(ADDRESS(ROW() - 3, COLUMN())) = 1, 120, IF(INDIRECT(ADDRESS(ROW() - 3, COLUMN())) = 2, 129, IF(INDIRECT(ADDRESS(ROW() - 3, COLUMN())) = 3, 138, IF(INDIRECT(ADDRESS(ROW() - 3, COLUMN())) = 4, 150, IF(INDIRECT(ADDRESS(ROW() - 3, COLUMN())) = 5, 159, IF(INDIRECT(ADDRESS(ROW() - 3, COLUMN())) = 6, 168, IF(INDIRECT(ADDRESS(ROW() - 3, COLUMN())) = 7, 180, IF(INDIRECT(ADDRESS(ROW() - 3, COLUMN())) = 8, 192, IF(INDIRECT(ADDRESS(ROW() - 3, COLUMN())) = 9, 204, IF(INDIRECT(ADDRESS(ROW() - 3, COLUMN())) = 10, 216, IF(INDIRECT(ADDRESS(ROW() - 3, COLUMN())) = 11, 227.999999999999, IF(INDIRECT(ADDRESS(ROW() - 3, COLUMN())) = 12, 240, IF(INDIRECT(ADDRESS(ROW() - 3, COLUMN())) = 13, 254.999999999999,0)))))))))))))</f>
        <v>#VALUE!</v>
      </c>
      <c r="ACY8" s="88" t="str">
        <f> IF(INDIRECT(ADDRESS(ROW() - 3, COLUMN())) = 1, 149.12, IF(INDIRECT(ADDRESS(ROW() - 3, COLUMN())) = 2, 160.304, IF(INDIRECT(ADDRESS(ROW() - 3, COLUMN())) = 3, 171.488, IF(INDIRECT(ADDRESS(ROW() - 3, COLUMN())) = 4, 186.4, IF(INDIRECT(ADDRESS(ROW() - 3, COLUMN())) = 5, 197.584, IF(INDIRECT(ADDRESS(ROW() - 3, COLUMN())) = 6, 208.768, IF(INDIRECT(ADDRESS(ROW() - 3, COLUMN())) = 7, 223.68, IF(INDIRECT(ADDRESS(ROW() - 3, COLUMN())) = 8, 238.592, IF(INDIRECT(ADDRESS(ROW() - 3, COLUMN())) = 9, 253.504, IF(INDIRECT(ADDRESS(ROW() - 3, COLUMN())) = 10, 268.416, IF(INDIRECT(ADDRESS(ROW() - 3, COLUMN())) = 11, 283.328, IF(INDIRECT(ADDRESS(ROW() - 3, COLUMN())) = 12, 298.24, IF(INDIRECT(ADDRESS(ROW() - 3, COLUMN())) = 13, 316.88,0)))))))))))))</f>
        <v>#VALUE!</v>
      </c>
      <c r="ACZ8" s="88" t="str">
        <f> IF(INDIRECT(ADDRESS(ROW() - 3, COLUMN())) = 1, 260.96, IF(INDIRECT(ADDRESS(ROW() - 3, COLUMN())) = 2, 280.532, IF(INDIRECT(ADDRESS(ROW() - 3, COLUMN())) = 3, 300.104, IF(INDIRECT(ADDRESS(ROW() - 3, COLUMN())) = 4, 326.2, IF(INDIRECT(ADDRESS(ROW() - 3, COLUMN())) = 5, 345.772, IF(INDIRECT(ADDRESS(ROW() - 3, COLUMN())) = 6, 365.344, IF(INDIRECT(ADDRESS(ROW() - 3, COLUMN())) = 7, 391.44, IF(INDIRECT(ADDRESS(ROW() - 3, COLUMN())) = 8, 417.536, IF(INDIRECT(ADDRESS(ROW() - 3, COLUMN())) = 9, 443.632, IF(INDIRECT(ADDRESS(ROW() - 3, COLUMN())) = 10, 469.728, IF(INDIRECT(ADDRESS(ROW() - 3, COLUMN())) = 11, 495.824, IF(INDIRECT(ADDRESS(ROW() - 3, COLUMN())) = 12, 521.92, IF(INDIRECT(ADDRESS(ROW() - 3, COLUMN())) = 13, 554.54,0)))))))))))))</f>
        <v>#VALUE!</v>
      </c>
      <c r="ADA8" s="88" t="str">
        <f> IF(INDIRECT(ADDRESS(ROW() - 3, COLUMN())) = 1, 372.8, IF(INDIRECT(ADDRESS(ROW() - 3, COLUMN())) = 2, 400.76, IF(INDIRECT(ADDRESS(ROW() - 3, COLUMN())) = 3, 428.72, IF(INDIRECT(ADDRESS(ROW() - 3, COLUMN())) = 4, 466, IF(INDIRECT(ADDRESS(ROW() - 3, COLUMN())) = 5, 493.96, IF(INDIRECT(ADDRESS(ROW() - 3, COLUMN())) = 6, 521.92, IF(INDIRECT(ADDRESS(ROW() - 3, COLUMN())) = 7, 559.199999999999, IF(INDIRECT(ADDRESS(ROW() - 3, COLUMN())) = 8, 596.48, IF(INDIRECT(ADDRESS(ROW() - 3, COLUMN())) = 9, 633.76, IF(INDIRECT(ADDRESS(ROW() - 3, COLUMN())) = 10, 671.04, IF(INDIRECT(ADDRESS(ROW() - 3, COLUMN())) = 11, 708.319999999999, IF(INDIRECT(ADDRESS(ROW() - 3, COLUMN())) = 12, 745.6, IF(INDIRECT(ADDRESS(ROW() - 3, COLUMN())) = 13, 792.199999999999,0)))))))))))))</f>
        <v>#VALUE!</v>
      </c>
      <c r="AGW8" s="195"/>
      <c r="AGX8" s="195"/>
      <c r="AGY8" s="195"/>
      <c r="AGZ8" s="195"/>
    </row>
    <row r="9">
      <c r="A9" s="4" t="s">
        <v>255</v>
      </c>
      <c r="IT9" s="195"/>
      <c r="OZ9" s="88" t="str">
        <f> IF(INDIRECT(ADDRESS(ROW() - 4, COLUMN())) = 1, 10.416, IF(INDIRECT(ADDRESS(ROW() - 4, COLUMN())) = 2, 11.1972, IF(INDIRECT(ADDRESS(ROW() - 4, COLUMN())) = 3, 11.9784, IF(INDIRECT(ADDRESS(ROW() - 4, COLUMN())) = 4, 13.02, IF(INDIRECT(ADDRESS(ROW() - 4, COLUMN())) = 5, 13.8012, IF(INDIRECT(ADDRESS(ROW() - 4, COLUMN())) = 6, 14.5824, IF(INDIRECT(ADDRESS(ROW() - 4, COLUMN())) = 7, 15.6239999999999, IF(INDIRECT(ADDRESS(ROW() - 4, COLUMN())) = 8, 16.6656, IF(INDIRECT(ADDRESS(ROW() - 4, COLUMN())) = 9, 17.7072, IF(INDIRECT(ADDRESS(ROW() - 4, COLUMN())) = 10, 18.7488, IF(INDIRECT(ADDRESS(ROW() - 4, COLUMN())) = 11, 19.7903999999999, IF(INDIRECT(ADDRESS(ROW() - 4, COLUMN())) = 12, 20.832, IF(INDIRECT(ADDRESS(ROW() - 4, COLUMN())) = 13, 22.134,0)))))))))))))</f>
        <v>#VALUE!</v>
      </c>
      <c r="VO9" s="88" t="str">
        <f> IF(INDIRECT(ADDRESS(ROW() - 4, COLUMN())) = 1, 3.60479999999999, IF(INDIRECT(ADDRESS(ROW() - 4, COLUMN())) = 2, 3.8752, IF(INDIRECT(ADDRESS(ROW() - 4, COLUMN())) = 3, 4.1455, IF(INDIRECT(ADDRESS(ROW() - 4, COLUMN())) = 4, 4.506, IF(INDIRECT(ADDRESS(ROW() - 4, COLUMN())) = 5, 4.7764, IF(INDIRECT(ADDRESS(ROW() - 4, COLUMN())) = 6, 5.04669999999999, IF(INDIRECT(ADDRESS(ROW() - 4, COLUMN())) = 7, 5.4072, IF(INDIRECT(ADDRESS(ROW() - 4, COLUMN())) = 8, 5.7677, IF(INDIRECT(ADDRESS(ROW() - 4, COLUMN())) = 9, 6.1282, IF(INDIRECT(ADDRESS(ROW() - 4, COLUMN())) = 10, 6.4886, IF(INDIRECT(ADDRESS(ROW() - 4, COLUMN())) = 11, 6.8491, IF(INDIRECT(ADDRESS(ROW() - 4, COLUMN())) = 12, 7.20959999999999, IF(INDIRECT(ADDRESS(ROW() - 4, COLUMN())) = 13, 7.6602,0)))))))))))))</f>
        <v>#VALUE!</v>
      </c>
      <c r="ABT9" s="88" t="str">
        <f> IF(INDIRECT(ADDRESS(ROW() - 4, COLUMN())) = 1, 11.576, IF(INDIRECT(ADDRESS(ROW() - 4, COLUMN())) = 2, 12.4442, IF(INDIRECT(ADDRESS(ROW() - 4, COLUMN())) = 3, 13.3123999999999, IF(INDIRECT(ADDRESS(ROW() - 4, COLUMN())) = 4, 14.4699999999999, IF(INDIRECT(ADDRESS(ROW() - 4, COLUMN())) = 5, 15.3381999999999, IF(INDIRECT(ADDRESS(ROW() - 4, COLUMN())) = 6, 16.2064, IF(INDIRECT(ADDRESS(ROW() - 4, COLUMN())) = 7, 17.3639999999999, IF(INDIRECT(ADDRESS(ROW() - 4, COLUMN())) = 8, 18.5216, IF(INDIRECT(ADDRESS(ROW() - 4, COLUMN())) = 9, 19.6791999999999, IF(INDIRECT(ADDRESS(ROW() - 4, COLUMN())) = 10, 20.8368, IF(INDIRECT(ADDRESS(ROW() - 4, COLUMN())) = 11, 21.9944,0)))))))))))</f>
        <v>#VALUE!</v>
      </c>
      <c r="ABX9" s="88" t="str">
        <f> IF(INDIRECT(ADDRESS(ROW() - 4, COLUMN())) = 1, 22.6136, IF(INDIRECT(ADDRESS(ROW() - 4, COLUMN())) = 2, 24.3096, IF(INDIRECT(ADDRESS(ROW() - 4, COLUMN())) = 3, 26.0056, IF(INDIRECT(ADDRESS(ROW() - 4, COLUMN())) = 4, 28.2669999999999, IF(INDIRECT(ADDRESS(ROW() - 4, COLUMN())) = 5, 29.963, IF(INDIRECT(ADDRESS(ROW() - 4, COLUMN())) = 6, 31.659, IF(INDIRECT(ADDRESS(ROW() - 4, COLUMN())) = 7, 33.9204, IF(INDIRECT(ADDRESS(ROW() - 4, COLUMN())) = 8, 36.1817999999999, IF(INDIRECT(ADDRESS(ROW() - 4, COLUMN())) = 9, 38.4431, IF(INDIRECT(ADDRESS(ROW() - 4, COLUMN())) = 10, 40.7044999999999, IF(INDIRECT(ADDRESS(ROW() - 4, COLUMN())) = 11, 42.9658, IF(INDIRECT(ADDRESS(ROW() - 4, COLUMN())) = 12, 45.2272, IF(INDIRECT(ADDRESS(ROW() - 4, COLUMN())) = 13, 48.0539,0)))))))))))))</f>
        <v>#VALUE!</v>
      </c>
      <c r="ABY9" s="88" t="str">
        <f> IF(INDIRECT(ADDRESS(ROW() - 4, COLUMN())) = 1, 7.308, IF(INDIRECT(ADDRESS(ROW() - 4, COLUMN())) = 2, 7.8561, IF(INDIRECT(ADDRESS(ROW() - 4, COLUMN())) = 3, 8.4042, IF(INDIRECT(ADDRESS(ROW() - 4, COLUMN())) = 4, 9.135, IF(INDIRECT(ADDRESS(ROW() - 4, COLUMN())) = 5, 9.6831, IF(INDIRECT(ADDRESS(ROW() - 4, COLUMN())) = 6, 10.2312, IF(INDIRECT(ADDRESS(ROW() - 4, COLUMN())) = 7, 10.962, IF(INDIRECT(ADDRESS(ROW() - 4, COLUMN())) = 8, 11.6928, IF(INDIRECT(ADDRESS(ROW() - 4, COLUMN())) = 9, 12.4236, IF(INDIRECT(ADDRESS(ROW() - 4, COLUMN())) = 10, 13.1543999999999, IF(INDIRECT(ADDRESS(ROW() - 4, COLUMN())) = 11, 13.8852, IF(INDIRECT(ADDRESS(ROW() - 4, COLUMN())) = 12, 14.616, IF(INDIRECT(ADDRESS(ROW() - 4, COLUMN())) = 13, 15.5294999999999,0)))))))))))))</f>
        <v>#VALUE!</v>
      </c>
      <c r="ABZ9" s="88" t="str">
        <f> IF(INDIRECT(ADDRESS(ROW() - 4, COLUMN())) = 1, 4.872, IF(INDIRECT(ADDRESS(ROW() - 4, COLUMN())) = 2, 5.2374, IF(INDIRECT(ADDRESS(ROW() - 4, COLUMN())) = 3, 5.6028, IF(INDIRECT(ADDRESS(ROW() - 4, COLUMN())) = 4, 6.09, IF(INDIRECT(ADDRESS(ROW() - 4, COLUMN())) = 5, 6.4554, IF(INDIRECT(ADDRESS(ROW() - 4, COLUMN())) = 6, 6.8208, IF(INDIRECT(ADDRESS(ROW() - 4, COLUMN())) = 7, 7.308, IF(INDIRECT(ADDRESS(ROW() - 4, COLUMN())) = 8, 7.79519999999999, IF(INDIRECT(ADDRESS(ROW() - 4, COLUMN())) = 9, 8.28239999999999, IF(INDIRECT(ADDRESS(ROW() - 4, COLUMN())) = 10, 8.7696, IF(INDIRECT(ADDRESS(ROW() - 4, COLUMN())) = 11, 9.2568, IF(INDIRECT(ADDRESS(ROW() - 4, COLUMN())) = 12, 9.744, IF(INDIRECT(ADDRESS(ROW() - 4, COLUMN())) = 13, 10.353,0)))))))))))))</f>
        <v>#VALUE!</v>
      </c>
      <c r="AES9" s="88" t="str">
        <f> IF(INDIRECT(ADDRESS(ROW() - 4, COLUMN())) = 1, 3.3389, IF(INDIRECT(ADDRESS(ROW() - 4, COLUMN())) = 2, 3.5893, IF(INDIRECT(ADDRESS(ROW() - 4, COLUMN())) = 3, 3.8397, IF(INDIRECT(ADDRESS(ROW() - 4, COLUMN())) = 4, 4.1736, IF(INDIRECT(ADDRESS(ROW() - 4, COLUMN())) = 5, 4.424, IF(INDIRECT(ADDRESS(ROW() - 4, COLUMN())) = 6, 4.6744, IF(INDIRECT(ADDRESS(ROW() - 4, COLUMN())) = 7, 5.0083, IF(INDIRECT(ADDRESS(ROW() - 4, COLUMN())) = 8, 5.3422, IF(INDIRECT(ADDRESS(ROW() - 4, COLUMN())) = 9, 5.6761, IF(INDIRECT(ADDRESS(ROW() - 4, COLUMN())) = 10, 6.01, IF(INDIRECT(ADDRESS(ROW() - 4, COLUMN())) = 11, 6.3439, IF(INDIRECT(ADDRESS(ROW() - 4, COLUMN())) = 12, 6.6778, IF(INDIRECT(ADDRESS(ROW() - 4, COLUMN())) = 13, 7.0951,0)))))))))))))</f>
        <v>#VALUE!</v>
      </c>
      <c r="AET9" s="88" t="str">
        <f> IF(INDIRECT(ADDRESS(ROW() - 4, COLUMN())) = 1, 4.5525, IF(INDIRECT(ADDRESS(ROW() - 4, COLUMN())) = 2, 4.8939, IF(INDIRECT(ADDRESS(ROW() - 4, COLUMN())) = 3, 5.23539999999999, IF(INDIRECT(ADDRESS(ROW() - 4, COLUMN())) = 4, 5.6906, IF(INDIRECT(ADDRESS(ROW() - 4, COLUMN())) = 5, 6.032, IF(INDIRECT(ADDRESS(ROW() - 4, COLUMN())) = 6, 6.3735, IF(INDIRECT(ADDRESS(ROW() - 4, COLUMN())) = 7, 6.8287, IF(INDIRECT(ADDRESS(ROW() - 4, COLUMN())) = 8, 7.284, IF(INDIRECT(ADDRESS(ROW() - 4, COLUMN())) = 9, 7.7392, IF(INDIRECT(ADDRESS(ROW() - 4, COLUMN())) = 10, 8.1945, IF(INDIRECT(ADDRESS(ROW() - 4, COLUMN())) = 11, 8.6497, IF(INDIRECT(ADDRESS(ROW() - 4, COLUMN())) = 12, 9.105, IF(INDIRECT(ADDRESS(ROW() - 4, COLUMN())) = 13, 9.674,0)))))))))))))</f>
        <v>#VALUE!</v>
      </c>
      <c r="AEU9" s="88" t="str">
        <f> IF(INDIRECT(ADDRESS(ROW() - 4, COLUMN())) = 1, 5.1445, IF(INDIRECT(ADDRESS(ROW() - 4, COLUMN())) = 2, 5.53029999999999, IF(INDIRECT(ADDRESS(ROW() - 4, COLUMN())) = 3, 5.9162, IF(INDIRECT(ADDRESS(ROW() - 4, COLUMN())) = 4, 6.4306, IF(INDIRECT(ADDRESS(ROW() - 4, COLUMN())) = 5, 6.8164, IF(INDIRECT(ADDRESS(ROW() - 4, COLUMN())) = 6, 7.2023, IF(INDIRECT(ADDRESS(ROW() - 4, COLUMN())) = 7, 7.7167, IF(INDIRECT(ADDRESS(ROW() - 4, COLUMN())) = 8, 8.2312, IF(INDIRECT(ADDRESS(ROW() - 4, COLUMN())) = 9, 8.7456, IF(INDIRECT(ADDRESS(ROW() - 4, COLUMN())) = 10, 9.2601, IF(INDIRECT(ADDRESS(ROW() - 4, COLUMN())) = 11, 9.7745, IF(INDIRECT(ADDRESS(ROW() - 4, COLUMN())) = 12, 10.289, IF(INDIRECT(ADDRESS(ROW() - 4, COLUMN())) = 13, 10.932,0)))))))))))))</f>
        <v>#VALUE!</v>
      </c>
      <c r="AEV9" s="88" t="str">
        <f> IF(INDIRECT(ADDRESS(ROW() - 4, COLUMN())) = 1, 7.1688, IF(INDIRECT(ADDRESS(ROW() - 4, COLUMN())) = 2, 7.70649999999999, IF(INDIRECT(ADDRESS(ROW() - 4, COLUMN())) = 3, 8.2441, IF(INDIRECT(ADDRESS(ROW() - 4, COLUMN())) = 4, 8.961, IF(INDIRECT(ADDRESS(ROW() - 4, COLUMN())) = 5, 9.4987, IF(INDIRECT(ADDRESS(ROW() - 4, COLUMN())) = 6, 10.0362999999999, IF(INDIRECT(ADDRESS(ROW() - 4, COLUMN())) = 7, 10.7532, IF(INDIRECT(ADDRESS(ROW() - 4, COLUMN())) = 8, 11.4701, IF(INDIRECT(ADDRESS(ROW() - 4, COLUMN())) = 9, 12.187, IF(INDIRECT(ADDRESS(ROW() - 4, COLUMN())) = 10, 12.9038, IF(INDIRECT(ADDRESS(ROW() - 4, COLUMN())) = 11, 13.6207, IF(INDIRECT(ADDRESS(ROW() - 4, COLUMN())) = 12, 14.3376, IF(INDIRECT(ADDRESS(ROW() - 4, COLUMN())) = 13, 15.2337,0)))))))))))))</f>
        <v>#VALUE!</v>
      </c>
      <c r="AEW9" s="88" t="str">
        <f> IF(INDIRECT(ADDRESS(ROW() - 4, COLUMN())) = 1, 3.2619, IF(INDIRECT(ADDRESS(ROW() - 4, COLUMN())) = 2, 3.5066, IF(INDIRECT(ADDRESS(ROW() - 4, COLUMN())) = 3, 3.7512, IF(INDIRECT(ADDRESS(ROW() - 4, COLUMN())) = 4, 4.0774, IF(INDIRECT(ADDRESS(ROW() - 4, COLUMN())) = 5, 4.322, IF(INDIRECT(ADDRESS(ROW() - 4, COLUMN())) = 6, 4.5667, IF(INDIRECT(ADDRESS(ROW() - 4, COLUMN())) = 7, 4.8929, IF(INDIRECT(ADDRESS(ROW() - 4, COLUMN())) = 8, 5.2191, IF(INDIRECT(ADDRESS(ROW() - 4, COLUMN())) = 9, 5.5453, IF(INDIRECT(ADDRESS(ROW() - 4, COLUMN())) = 10, 5.8715, IF(INDIRECT(ADDRESS(ROW() - 4, COLUMN())) = 11, 6.1976, IF(INDIRECT(ADDRESS(ROW() - 4, COLUMN())) = 12, 6.5238, IF(INDIRECT(ADDRESS(ROW() - 4, COLUMN())) = 13, 6.9316,0)))))))))))))</f>
        <v>#VALUE!</v>
      </c>
      <c r="AEX9" s="88" t="str">
        <f> IF(INDIRECT(ADDRESS(ROW() - 4, COLUMN())) = 1, 3.9605, IF(INDIRECT(ADDRESS(ROW() - 4, COLUMN())) = 2, 4.2575, IF(INDIRECT(ADDRESS(ROW() - 4, COLUMN())) = 3, 4.5546, IF(INDIRECT(ADDRESS(ROW() - 4, COLUMN())) = 4, 4.9506, IF(INDIRECT(ADDRESS(ROW() - 4, COLUMN())) = 5, 5.2476, IF(INDIRECT(ADDRESS(ROW() - 4, COLUMN())) = 6, 5.5447, IF(INDIRECT(ADDRESS(ROW() - 4, COLUMN())) = 7, 5.9407, IF(INDIRECT(ADDRESS(ROW() - 4, COLUMN())) = 8, 6.33679999999999, IF(INDIRECT(ADDRESS(ROW() - 4, COLUMN())) = 9, 6.7328, IF(INDIRECT(ADDRESS(ROW() - 4, COLUMN())) = 10, 7.1289, IF(INDIRECT(ADDRESS(ROW() - 4, COLUMN())) = 11, 7.5249, IF(INDIRECT(ADDRESS(ROW() - 4, COLUMN())) = 12, 7.921, IF(INDIRECT(ADDRESS(ROW() - 4, COLUMN())) = 13, 8.416,0)))))))))))))</f>
        <v>#VALUE!</v>
      </c>
      <c r="AEY9" s="88" t="str">
        <f> IF(INDIRECT(ADDRESS(ROW() - 4, COLUMN())) = 1, 5.0616, IF(INDIRECT(ADDRESS(ROW() - 4, COLUMN())) = 2, 5.4412, IF(INDIRECT(ADDRESS(ROW() - 4, COLUMN())) = 3, 5.8208, IF(INDIRECT(ADDRESS(ROW() - 4, COLUMN())) = 4, 6.327, IF(INDIRECT(ADDRESS(ROW() - 4, COLUMN())) = 5, 6.7066, IF(INDIRECT(ADDRESS(ROW() - 4, COLUMN())) = 6, 7.0862, IF(INDIRECT(ADDRESS(ROW() - 4, COLUMN())) = 7, 7.5924, IF(INDIRECT(ADDRESS(ROW() - 4, COLUMN())) = 8, 8.0986, IF(INDIRECT(ADDRESS(ROW() - 4, COLUMN())) = 9, 8.6047, IF(INDIRECT(ADDRESS(ROW() - 4, COLUMN())) = 10, 9.11089999999999, IF(INDIRECT(ADDRESS(ROW() - 4, COLUMN())) = 11, 9.617, IF(INDIRECT(ADDRESS(ROW() - 4, COLUMN())) = 12, 10.1232, IF(INDIRECT(ADDRESS(ROW() - 4, COLUMN())) = 13, 10.7559,0)))))))))))))</f>
        <v>#VALUE!</v>
      </c>
      <c r="AEZ9" s="88" t="str">
        <f> IF(INDIRECT(ADDRESS(ROW() - 4, COLUMN())) = 1, 18.432, IF(INDIRECT(ADDRESS(ROW() - 4, COLUMN())) = 2, 19.8144, IF(INDIRECT(ADDRESS(ROW() - 4, COLUMN())) = 3, 21.1968, IF(INDIRECT(ADDRESS(ROW() - 4, COLUMN())) = 4, 23.04, IF(INDIRECT(ADDRESS(ROW() - 4, COLUMN())) = 5, 24.4224, IF(INDIRECT(ADDRESS(ROW() - 4, COLUMN())) = 6, 25.8048, IF(INDIRECT(ADDRESS(ROW() - 4, COLUMN())) = 7, 27.648, IF(INDIRECT(ADDRESS(ROW() - 4, COLUMN())) = 8, 29.4912, IF(INDIRECT(ADDRESS(ROW() - 4, COLUMN())) = 9, 31.3344, IF(INDIRECT(ADDRESS(ROW() - 4, COLUMN())) = 10, 33.1776, IF(INDIRECT(ADDRESS(ROW() - 4, COLUMN())) = 11, 35.0208, IF(INDIRECT(ADDRESS(ROW() - 4, COLUMN())) = 12, 36.864, IF(INDIRECT(ADDRESS(ROW() - 4, COLUMN())) = 13, 39.168,0)))))))))))))</f>
        <v>#VALUE!</v>
      </c>
      <c r="AFA9" s="88" t="str">
        <f> IF(INDIRECT(ADDRESS(ROW() - 4, COLUMN())) = 1, 22.528, IF(INDIRECT(ADDRESS(ROW() - 4, COLUMN())) = 2, 24.2176, IF(INDIRECT(ADDRESS(ROW() - 4, COLUMN())) = 3, 25.9072, IF(INDIRECT(ADDRESS(ROW() - 4, COLUMN())) = 4, 28.16, IF(INDIRECT(ADDRESS(ROW() - 4, COLUMN())) = 5, 29.8496, IF(INDIRECT(ADDRESS(ROW() - 4, COLUMN())) = 6, 31.5392, IF(INDIRECT(ADDRESS(ROW() - 4, COLUMN())) = 7, 33.792, IF(INDIRECT(ADDRESS(ROW() - 4, COLUMN())) = 8, 36.0448, IF(INDIRECT(ADDRESS(ROW() - 4, COLUMN())) = 9, 38.2975999999999, IF(INDIRECT(ADDRESS(ROW() - 4, COLUMN())) = 10, 40.5503999999999, IF(INDIRECT(ADDRESS(ROW() - 4, COLUMN())) = 11, 42.8032, IF(INDIRECT(ADDRESS(ROW() - 4, COLUMN())) = 12, 45.056, IF(INDIRECT(ADDRESS(ROW() - 4, COLUMN())) = 13, 47.872,0)))))))))))))
</f>
        <v>#VALUE!</v>
      </c>
      <c r="AFK9" s="88" t="str">
        <f> IF(INDIRECT(ADDRESS(ROW() - 4, COLUMN())) = 1, 12, IF(INDIRECT(ADDRESS(ROW() - 4, COLUMN())) = 2, 12.9, IF(INDIRECT(ADDRESS(ROW() - 4, COLUMN())) = 3, 13.8, IF(INDIRECT(ADDRESS(ROW() - 4, COLUMN())) = 4, 15, IF(INDIRECT(ADDRESS(ROW() - 4, COLUMN())) = 5, 15.9, IF(INDIRECT(ADDRESS(ROW() - 4, COLUMN())) = 6, 16.8, IF(INDIRECT(ADDRESS(ROW() - 4, COLUMN())) = 7, 18, IF(INDIRECT(ADDRESS(ROW() - 4, COLUMN())) = 8, 19.2, IF(INDIRECT(ADDRESS(ROW() - 4, COLUMN())) = 9, 20.4, IF(INDIRECT(ADDRESS(ROW() - 4, COLUMN())) = 10, 21.6, IF(INDIRECT(ADDRESS(ROW() - 4, COLUMN())) = 11, 22.8, IF(INDIRECT(ADDRESS(ROW() - 4, COLUMN())) = 12, 24, IF(INDIRECT(ADDRESS(ROW() - 4, COLUMN())) = 13, 25.5,0)))))))))))))</f>
        <v>#VALUE!</v>
      </c>
      <c r="AFL9" s="88" t="str">
        <f> IF(INDIRECT(ADDRESS(ROW() - 4, COLUMN())) = 1, 19.04, IF(INDIRECT(ADDRESS(ROW() - 4, COLUMN())) = 2, 20.468, IF(INDIRECT(ADDRESS(ROW() - 4, COLUMN())) = 3, 21.8959999999999, IF(INDIRECT(ADDRESS(ROW() - 4, COLUMN())) = 4, 23.7999999999999, IF(INDIRECT(ADDRESS(ROW() - 4, COLUMN())) = 5, 25.228, IF(INDIRECT(ADDRESS(ROW() - 4, COLUMN())) = 6, 26.656, IF(INDIRECT(ADDRESS(ROW() - 4, COLUMN())) = 7, 28.56, IF(INDIRECT(ADDRESS(ROW() - 4, COLUMN())) = 8, 30.464, IF(INDIRECT(ADDRESS(ROW() - 4, COLUMN())) = 9, 32.368, IF(INDIRECT(ADDRESS(ROW() - 4, COLUMN())) = 10, 34.272, IF(INDIRECT(ADDRESS(ROW() - 4, COLUMN())) = 11, 36.176, IF(INDIRECT(ADDRESS(ROW() - 4, COLUMN())) = 12, 38.08, IF(INDIRECT(ADDRESS(ROW() - 4, COLUMN())) = 13, 40.46,0)))))))))))))</f>
        <v>#VALUE!</v>
      </c>
      <c r="AFM9" s="88" t="str">
        <f t="shared" ref="AFM9:AFN9" si="477"> IF(INDIRECT(ADDRESS(ROW() - 4, COLUMN())) = 1, 6.61039999999999, IF(INDIRECT(ADDRESS(ROW() - 4, COLUMN())) = 2, 7.1062, IF(INDIRECT(ADDRESS(ROW() - 4, COLUMN())) = 3, 7.602, IF(INDIRECT(ADDRESS(ROW() - 4, COLUMN())) = 4, 8.263, IF(INDIRECT(ADDRESS(ROW() - 4, COLUMN())) = 5, 8.7588, IF(INDIRECT(ADDRESS(ROW() - 4, COLUMN())) = 6, 9.2546, IF(INDIRECT(ADDRESS(ROW() - 4, COLUMN())) = 7, 9.9156, IF(INDIRECT(ADDRESS(ROW() - 4, COLUMN())) = 8, 10.5766, IF(INDIRECT(ADDRESS(ROW() - 4, COLUMN())) = 9, 11.2377, IF(INDIRECT(ADDRESS(ROW() - 4, COLUMN())) = 10, 11.8987, IF(INDIRECT(ADDRESS(ROW() - 4, COLUMN())) = 11, 12.5598, IF(INDIRECT(ADDRESS(ROW() - 4, COLUMN())) = 12, 13.2207999999999, IF(INDIRECT(ADDRESS(ROW() - 4, COLUMN())) = 13, 14.0471,0)))))))))))))</f>
        <v>#VALUE!</v>
      </c>
      <c r="AFN9" s="88" t="str">
        <f t="shared" si="477"/>
        <v>#VALUE!</v>
      </c>
      <c r="AFY9" s="88" t="str">
        <f> IF(INDIRECT(ADDRESS(ROW() - 4, COLUMN())) = 1, 7.0488, IF(INDIRECT(ADDRESS(ROW() - 4, COLUMN())) = 2, 7.5775, IF(INDIRECT(ADDRESS(ROW() - 4, COLUMN())) = 3, 8.1061, IF(INDIRECT(ADDRESS(ROW() - 4, COLUMN())) = 4, 8.811, IF(INDIRECT(ADDRESS(ROW() - 4, COLUMN())) = 5, 9.33969999999999, IF(INDIRECT(ADDRESS(ROW() - 4, COLUMN())) = 6, 9.8683, IF(INDIRECT(ADDRESS(ROW() - 4, COLUMN())) = 7, 10.5732, IF(INDIRECT(ADDRESS(ROW() - 4, COLUMN())) = 8, 11.2781, IF(INDIRECT(ADDRESS(ROW() - 4, COLUMN())) = 9, 11.983, IF(INDIRECT(ADDRESS(ROW() - 4, COLUMN())) = 10, 12.6878, IF(INDIRECT(ADDRESS(ROW() - 4, COLUMN())) = 11, 13.3927, IF(INDIRECT(ADDRESS(ROW() - 4, COLUMN())) = 12, 14.0976, IF(INDIRECT(ADDRESS(ROW() - 4, COLUMN())) = 13, 14.9787,0)))))))))))))</f>
        <v>#VALUE!</v>
      </c>
      <c r="AGW9" s="195"/>
      <c r="AGX9" s="195"/>
      <c r="AGY9" s="195"/>
      <c r="AGZ9" s="195"/>
      <c r="AJH9" s="88" t="str">
        <f> IF(INDIRECT(ADDRESS(ROW() - 4, COLUMN())) = 1, 1.032, IF(INDIRECT(ADDRESS(ROW() - 4, COLUMN())) = 2, 1.109, IF(INDIRECT(ADDRESS(ROW() - 4, COLUMN())) = 3, 1.187, IF(INDIRECT(ADDRESS(ROW() - 4, COLUMN())) = 4, 1.29, IF(INDIRECT(ADDRESS(ROW() - 4, COLUMN())) = 5, 1.367, IF(INDIRECT(ADDRESS(ROW() - 4, COLUMN())) = 6, 1.44499999999999, IF(INDIRECT(ADDRESS(ROW() - 4, COLUMN())) = 7, 1.548, IF(INDIRECT(ADDRESS(ROW() - 4, COLUMN())) = 8, 1.651, IF(INDIRECT(ADDRESS(ROW() - 4, COLUMN())) = 9, 1.754, IF(INDIRECT(ADDRESS(ROW() - 4, COLUMN())) = 10, 1.85799999999999, IF(INDIRECT(ADDRESS(ROW() - 4, COLUMN())) = 11, 1.96099999999999, IF(INDIRECT(ADDRESS(ROW() - 4, COLUMN())) = 12, 2.064, IF(INDIRECT(ADDRESS(ROW() - 4, COLUMN())) = 13, 2.193,0)))))))))))))</f>
        <v>#VALUE!</v>
      </c>
      <c r="AJI9" s="88" t="str">
        <f> IF(INDIRECT(ADDRESS(ROW() - 4, COLUMN())) = 1, 1.692, IF(INDIRECT(ADDRESS(ROW() - 4, COLUMN())) = 2, 1.819, IF(INDIRECT(ADDRESS(ROW() - 4, COLUMN())) = 3, 1.946, IF(INDIRECT(ADDRESS(ROW() - 4, COLUMN())) = 4, 2.11499999999999, IF(INDIRECT(ADDRESS(ROW() - 4, COLUMN())) = 5, 2.242, IF(INDIRECT(ADDRESS(ROW() - 4, COLUMN())) = 6, 2.36899999999999, IF(INDIRECT(ADDRESS(ROW() - 4, COLUMN())) = 7, 2.538, IF(INDIRECT(ADDRESS(ROW() - 4, COLUMN())) = 8, 2.707, IF(INDIRECT(ADDRESS(ROW() - 4, COLUMN())) = 9, 2.876, IF(INDIRECT(ADDRESS(ROW() - 4, COLUMN())) = 10, 3.046, IF(INDIRECT(ADDRESS(ROW() - 4, COLUMN())) = 11, 3.215, IF(INDIRECT(ADDRESS(ROW() - 4, COLUMN())) = 12, 3.384, IF(INDIRECT(ADDRESS(ROW() - 4, COLUMN())) = 13, 3.596,0)))))))))))))</f>
        <v>#VALUE!</v>
      </c>
      <c r="AJJ9" s="88" t="str">
        <f> IF(INDIRECT(ADDRESS(ROW() - 4, COLUMN())) = 1, 2.388, IF(INDIRECT(ADDRESS(ROW() - 4, COLUMN())) = 2, 2.56699999999999, IF(INDIRECT(ADDRESS(ROW() - 4, COLUMN())) = 3, 2.746, IF(INDIRECT(ADDRESS(ROW() - 4, COLUMN())) = 4, 2.985, IF(INDIRECT(ADDRESS(ROW() - 4, COLUMN())) = 5, 3.164, IF(INDIRECT(ADDRESS(ROW() - 4, COLUMN())) = 6, 3.343, IF(INDIRECT(ADDRESS(ROW() - 4, COLUMN())) = 7, 3.582, IF(INDIRECT(ADDRESS(ROW() - 4, COLUMN())) = 8, 3.821, IF(INDIRECT(ADDRESS(ROW() - 4, COLUMN())) = 9, 4.06, IF(INDIRECT(ADDRESS(ROW() - 4, COLUMN())) = 10, 4.298, IF(INDIRECT(ADDRESS(ROW() - 4, COLUMN())) = 11, 4.537, IF(INDIRECT(ADDRESS(ROW() - 4, COLUMN())) = 12, 4.776, IF(INDIRECT(ADDRESS(ROW() - 4, COLUMN())) = 13, 5.074,0)))))))))))))</f>
        <v>#VALUE!</v>
      </c>
      <c r="AOA9" s="88" t="str">
        <f t="shared" ref="AOA9:AOD9" si="478"> IF(INDIRECT(ADDRESS(ROW() - 4, COLUMN())) = 1, 7.319, IF(INDIRECT(ADDRESS(ROW() - 4, COLUMN())) = 2, 7.914, IF(INDIRECT(ADDRESS(ROW() - 4, COLUMN())) = 3, 8.51, IF(INDIRECT(ADDRESS(ROW() - 4, COLUMN())) = 4, 9.361, IF(INDIRECT(ADDRESS(ROW() - 4, COLUMN())) = 5, 9.957, IF(INDIRECT(ADDRESS(ROW() - 4, COLUMN())) = 6, 10.638, IF(INDIRECT(ADDRESS(ROW() - 4, COLUMN())) = 7, 11.574, IF(INDIRECT(ADDRESS(ROW() - 4, COLUMN())) = 8, 12.5099999999999, IF(INDIRECT(ADDRESS(ROW() - 4, COLUMN())) = 9, 13.446, IF(INDIRECT(ADDRESS(ROW() - 4, COLUMN())) = 10, 14.4669999999999, IF(INDIRECT(ADDRESS(ROW() - 4, COLUMN())) = 11, 15.488, IF(INDIRECT(ADDRESS(ROW() - 4, COLUMN())) = 12, 16.509, IF(INDIRECT(ADDRESS(ROW() - 4, COLUMN())) = 13, 17.531, IF(INDIRECT(ADDRESS(ROW() - 4, COLUMN())) = 14, 18.552,0))))))))))))))</f>
        <v>#VALUE!</v>
      </c>
      <c r="AOB9" s="88" t="str">
        <f t="shared" si="478"/>
        <v>#VALUE!</v>
      </c>
      <c r="AOC9" s="88" t="str">
        <f t="shared" si="478"/>
        <v>#VALUE!</v>
      </c>
      <c r="AOD9" s="88" t="str">
        <f t="shared" si="478"/>
        <v>#VALUE!</v>
      </c>
      <c r="AOE9" s="88" t="str">
        <f> IF(INDIRECT(ADDRESS(ROW() - 4, COLUMN())) = 1, 12.864, IF(INDIRECT(ADDRESS(ROW() - 4, COLUMN())) = 2, 13.8289999999999, IF(INDIRECT(ADDRESS(ROW() - 4, COLUMN())) = 3, 14.7939999999999, IF(INDIRECT(ADDRESS(ROW() - 4, COLUMN())) = 4, 16.08, IF(INDIRECT(ADDRESS(ROW() - 4, COLUMN())) = 5, 17.0449999999999, IF(INDIRECT(ADDRESS(ROW() - 4, COLUMN())) = 6, 18.01, IF(INDIRECT(ADDRESS(ROW() - 4, COLUMN())) = 7, 19.296, IF(INDIRECT(ADDRESS(ROW() - 4, COLUMN())) = 8, 20.582, IF(INDIRECT(ADDRESS(ROW() - 4, COLUMN())) = 9, 21.869, IF(INDIRECT(ADDRESS(ROW() - 4, COLUMN())) = 10, 23.155, IF(INDIRECT(ADDRESS(ROW() - 4, COLUMN())) = 11, 24.442, IF(INDIRECT(ADDRESS(ROW() - 4, COLUMN())) = 12, 25.728, IF(INDIRECT(ADDRESS(ROW() - 4, COLUMN())) = 13, 27.336,0)))))))))))))</f>
        <v>#VALUE!</v>
      </c>
      <c r="AOG9" s="88" t="str">
        <f>IF(INDIRECT(ADDRESS(ROW() - 4, COLUMN())) = 1, 22.258, IF(INDIRECT(ADDRESS(ROW() - 4, COLUMN())) = 2, 23.927, IF(INDIRECT(ADDRESS(ROW() - 4, COLUMN())) = 3, 25.596, IF(INDIRECT(ADDRESS(ROW() - 4, COLUMN())) = 4, 27.822, IF(INDIRECT(ADDRESS(ROW() - 4, COLUMN())) = 5, 29.492, IF(INDIRECT(ADDRESS(ROW() - 4, COLUMN())) = 6, 31.161, IF(INDIRECT(ADDRESS(ROW() - 4, COLUMN())) = 7, 33.387, IF(INDIRECT(ADDRESS(ROW() - 4, COLUMN())) = 8, 35.612, IF(INDIRECT(ADDRESS(ROW() - 4, COLUMN())) = 9, 37.838, IF(INDIRECT(ADDRESS(ROW() - 4, COLUMN())) = 10, 40.064, IF(INDIRECT(ADDRESS(ROW() - 4, COLUMN())) = 11, 42.29, IF(INDIRECT(ADDRESS(ROW() - 4, COLUMN())) = 12, 44.516, IF(INDIRECT(ADDRESS(ROW() - 4, COLUMN())) = 13, 47.298,0)))))))))))))</f>
        <v>#VALUE!</v>
      </c>
      <c r="AOH9" s="88" t="str">
        <f>IF(INDIRECT(ADDRESS(ROW() - 4, COLUMN())) = 1, 9.105, IF(INDIRECT(ADDRESS(ROW() - 4, COLUMN())) = 2, 9.788, IF(INDIRECT(ADDRESS(ROW() - 4, COLUMN())) = 3, 10.471, IF(INDIRECT(ADDRESS(ROW() - 4, COLUMN())) = 4, 11.382, IF(INDIRECT(ADDRESS(ROW() - 4, COLUMN())) = 5, 12.065, IF(INDIRECT(ADDRESS(ROW() - 4, COLUMN())) = 6, 12.748, IF(INDIRECT(ADDRESS(ROW() - 4, COLUMN())) = 7, 13.658, IF(INDIRECT(ADDRESS(ROW() - 4, COLUMN())) = 8, 14.5689999999999, IF(INDIRECT(ADDRESS(ROW() - 4, COLUMN())) = 9, 15.479, IF(INDIRECT(ADDRESS(ROW() - 4, COLUMN())) = 10, 16.39, IF(INDIRECT(ADDRESS(ROW() - 4, COLUMN())) = 11, 17.2999999999999, IF(INDIRECT(ADDRESS(ROW() - 4, COLUMN())) = 12, 18.211, IF(INDIRECT(ADDRESS(ROW() - 4, COLUMN())) = 13, 19.349,0)))))))))))))</f>
        <v>#VALUE!</v>
      </c>
      <c r="APV9" s="88" t="str">
        <f> IF(INDIRECT(ADDRESS(ROW() - 4, COLUMN())) = 1, 7.864, IF(INDIRECT(ADDRESS(ROW() - 4, COLUMN())) = 2, 8.454, IF(INDIRECT(ADDRESS(ROW() - 4, COLUMN())) = 3, 9.044, IF(INDIRECT(ADDRESS(ROW() - 4, COLUMN())) = 4, 9.83, IF(INDIRECT(ADDRESS(ROW() - 4, COLUMN())) = 5, 10.42, IF(INDIRECT(ADDRESS(ROW() - 4, COLUMN())) = 6, 11.01, IF(INDIRECT(ADDRESS(ROW() - 4, COLUMN())) = 7, 11.796, IF(INDIRECT(ADDRESS(ROW() - 4, COLUMN())) = 8, 12.5819999999999, IF(INDIRECT(ADDRESS(ROW() - 4, COLUMN())) = 9, 13.369, IF(INDIRECT(ADDRESS(ROW() - 4, COLUMN())) = 10, 14.155, IF(INDIRECT(ADDRESS(ROW() - 4, COLUMN())) = 11, 14.942, IF(INDIRECT(ADDRESS(ROW() - 4, COLUMN())) = 12, 15.728, IF(INDIRECT(ADDRESS(ROW() - 4, COLUMN())) = 13, 16.711,0)))))))))))))</f>
        <v>#VALUE!</v>
      </c>
      <c r="APW9" s="88" t="str">
        <f t="shared" ref="APW9:AQA9" si="479"> IF(INDIRECT(ADDRESS(ROW() - 4, COLUMN())) = 1, 5.96, IF(INDIRECT(ADDRESS(ROW() - 4, COLUMN())) = 2, 6.407, IF(INDIRECT(ADDRESS(ROW() - 4, COLUMN())) = 3, 6.854, IF(INDIRECT(ADDRESS(ROW() - 4, COLUMN())) = 4, 7.44999999999999, IF(INDIRECT(ADDRESS(ROW() - 4, COLUMN())) = 5, 7.897, IF(INDIRECT(ADDRESS(ROW() - 4, COLUMN())) = 6, 8.344, IF(INDIRECT(ADDRESS(ROW() - 4, COLUMN())) = 7, 8.94, IF(INDIRECT(ADDRESS(ROW() - 4, COLUMN())) = 8, 9.536, IF(INDIRECT(ADDRESS(ROW() - 4, COLUMN())) = 9, 10.132, IF(INDIRECT(ADDRESS(ROW() - 4, COLUMN())) = 10, 10.728, IF(INDIRECT(ADDRESS(ROW() - 4, COLUMN())) = 11, 11.324, IF(INDIRECT(ADDRESS(ROW() - 4, COLUMN())) = 12, 11.92, IF(INDIRECT(ADDRESS(ROW() - 4, COLUMN())) = 13, 12.665,0)))))))))))))</f>
        <v>#VALUE!</v>
      </c>
      <c r="APX9" s="88" t="str">
        <f t="shared" si="479"/>
        <v>#VALUE!</v>
      </c>
      <c r="APY9" s="88" t="str">
        <f t="shared" si="479"/>
        <v>#VALUE!</v>
      </c>
      <c r="APZ9" s="88" t="str">
        <f t="shared" si="479"/>
        <v>#VALUE!</v>
      </c>
      <c r="AQA9" s="88" t="str">
        <f t="shared" si="479"/>
        <v>#VALUE!</v>
      </c>
      <c r="AQB9" s="88" t="str">
        <f t="shared" ref="AQB9:AQF9" si="480"> IF(INDIRECT(ADDRESS(ROW() - 4, COLUMN())) = 1, 3.232, IF(INDIRECT(ADDRESS(ROW() - 4, COLUMN())) = 2, 3.474, IF(INDIRECT(ADDRESS(ROW() - 4, COLUMN())) = 3, 3.717, IF(INDIRECT(ADDRESS(ROW() - 4, COLUMN())) = 4, 4.04, IF(INDIRECT(ADDRESS(ROW() - 4, COLUMN())) = 5, 4.282, IF(INDIRECT(ADDRESS(ROW() - 4, COLUMN())) = 6, 4.52499999999999, IF(INDIRECT(ADDRESS(ROW() - 4, COLUMN())) = 7, 4.848, IF(INDIRECT(ADDRESS(ROW() - 4, COLUMN())) = 8, 5.171, IF(INDIRECT(ADDRESS(ROW() - 4, COLUMN())) = 9, 5.494, IF(INDIRECT(ADDRESS(ROW() - 4, COLUMN())) = 10, 5.818, IF(INDIRECT(ADDRESS(ROW() - 4, COLUMN())) = 11, 6.141, IF(INDIRECT(ADDRESS(ROW() - 4, COLUMN())) = 12, 6.464, IF(INDIRECT(ADDRESS(ROW() - 4, COLUMN())) = 13, 6.868,0)))))))))))))</f>
        <v>#VALUE!</v>
      </c>
      <c r="AQC9" s="88" t="str">
        <f t="shared" si="480"/>
        <v>#VALUE!</v>
      </c>
      <c r="AQD9" s="88" t="str">
        <f t="shared" si="480"/>
        <v>#VALUE!</v>
      </c>
      <c r="AQE9" s="88" t="str">
        <f t="shared" si="480"/>
        <v>#VALUE!</v>
      </c>
      <c r="AQF9" s="88" t="str">
        <f t="shared" si="480"/>
        <v>#VALUE!</v>
      </c>
      <c r="AQG9" s="88" t="str">
        <f t="shared" ref="AQG9:AQK9" si="481"> IF(INDIRECT(ADDRESS(ROW() - 4, COLUMN())) = 1, 8.288, IF(INDIRECT(ADDRESS(ROW() - 4, COLUMN())) = 2, 8.91, IF(INDIRECT(ADDRESS(ROW() - 4, COLUMN())) = 3, 9.531, IF(INDIRECT(ADDRESS(ROW() - 4, COLUMN())) = 4, 10.36, IF(INDIRECT(ADDRESS(ROW() - 4, COLUMN())) = 5, 10.982, IF(INDIRECT(ADDRESS(ROW() - 4, COLUMN())) = 6, 11.603, IF(INDIRECT(ADDRESS(ROW() - 4, COLUMN())) = 7, 12.432, IF(INDIRECT(ADDRESS(ROW() - 4, COLUMN())) = 8, 13.261, IF(INDIRECT(ADDRESS(ROW() - 4, COLUMN())) = 9, 14.09, IF(INDIRECT(ADDRESS(ROW() - 4, COLUMN())) = 10, 14.918, IF(INDIRECT(ADDRESS(ROW() - 4, COLUMN())) = 11, 15.747, IF(INDIRECT(ADDRESS(ROW() - 4, COLUMN())) = 12, 16.576, IF(INDIRECT(ADDRESS(ROW() - 4, COLUMN())) = 13, 17.612,0)))))))))))))</f>
        <v>#VALUE!</v>
      </c>
      <c r="AQH9" s="88" t="str">
        <f t="shared" si="481"/>
        <v>#VALUE!</v>
      </c>
      <c r="AQI9" s="88" t="str">
        <f t="shared" si="481"/>
        <v>#VALUE!</v>
      </c>
      <c r="AQJ9" s="88" t="str">
        <f t="shared" si="481"/>
        <v>#VALUE!</v>
      </c>
      <c r="AQK9" s="88" t="str">
        <f t="shared" si="481"/>
        <v>#VALUE!</v>
      </c>
      <c r="AQL9" s="88" t="str">
        <f> IF(INDIRECT(ADDRESS(ROW() - 4, COLUMN())) = 1, 11.4059999999999, IF(INDIRECT(ADDRESS(ROW() - 4, COLUMN())) = 2, 12.262, IF(INDIRECT(ADDRESS(ROW() - 4, COLUMN())) = 3, 13.117, IF(INDIRECT(ADDRESS(ROW() - 4, COLUMN())) = 4, 14.258, IF(INDIRECT(ADDRESS(ROW() - 4, COLUMN())) = 5, 15.113, IF(INDIRECT(ADDRESS(ROW() - 4, COLUMN())) = 6, 15.969, IF(INDIRECT(ADDRESS(ROW() - 4, COLUMN())) = 7, 17.11, IF(INDIRECT(ADDRESS(ROW() - 4, COLUMN())) = 8, 18.25, IF(INDIRECT(ADDRESS(ROW() - 4, COLUMN())) = 9, 19.391, IF(INDIRECT(ADDRESS(ROW() - 4, COLUMN())) = 10, 20.531, IF(INDIRECT(ADDRESS(ROW() - 4, COLUMN())) = 11, 21.672, IF(INDIRECT(ADDRESS(ROW() - 4, COLUMN())) = 12, 22.813, IF(INDIRECT(ADDRESS(ROW() - 4, COLUMN())) = 13, 24.239,0)))))))))))))</f>
        <v>#VALUE!</v>
      </c>
    </row>
    <row r="10">
      <c r="A10" s="4" t="s">
        <v>256</v>
      </c>
      <c r="B10" s="59"/>
      <c r="C10" s="59"/>
      <c r="D10" s="59"/>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c r="BW10" s="59"/>
      <c r="BX10" s="59"/>
      <c r="BY10" s="59"/>
      <c r="BZ10" s="59"/>
      <c r="CA10" s="59"/>
      <c r="CB10" s="59"/>
      <c r="CC10" s="59"/>
      <c r="CD10" s="59"/>
      <c r="CE10" s="59"/>
      <c r="CF10" s="59"/>
      <c r="CG10" s="59"/>
      <c r="CH10" s="59"/>
      <c r="CI10" s="59"/>
      <c r="CJ10" s="59"/>
      <c r="CK10" s="59"/>
      <c r="CL10" s="59"/>
      <c r="CM10" s="59"/>
      <c r="CN10" s="59"/>
      <c r="CO10" s="59"/>
      <c r="CP10" s="59"/>
      <c r="CQ10" s="59"/>
      <c r="CR10" s="59"/>
      <c r="CS10" s="59"/>
      <c r="CT10" s="59"/>
      <c r="CU10" s="59"/>
      <c r="CV10" s="59"/>
      <c r="CW10" s="59"/>
      <c r="CX10" s="59"/>
      <c r="CY10" s="59"/>
      <c r="CZ10" s="59"/>
      <c r="DA10" s="59"/>
      <c r="DB10" s="59"/>
      <c r="DC10" s="59"/>
      <c r="DD10" s="59"/>
      <c r="DE10" s="59"/>
      <c r="DF10" s="59"/>
      <c r="DG10" s="59"/>
      <c r="DH10" s="59"/>
      <c r="DI10" s="59"/>
      <c r="DJ10" s="59"/>
      <c r="DK10" s="59"/>
      <c r="DL10" s="59"/>
      <c r="DM10" s="59"/>
      <c r="DN10" s="59"/>
      <c r="DO10" s="59"/>
      <c r="DP10" s="59"/>
      <c r="DQ10" s="59"/>
      <c r="DR10" s="59"/>
      <c r="DS10" s="59"/>
      <c r="DT10" s="59"/>
      <c r="DU10" s="59"/>
      <c r="DV10" s="59"/>
      <c r="DW10" s="59"/>
      <c r="DX10" s="59"/>
      <c r="DY10" s="59"/>
      <c r="DZ10" s="59"/>
      <c r="EA10" s="59"/>
      <c r="EB10" s="59"/>
      <c r="EC10" s="59"/>
      <c r="ED10" s="59"/>
      <c r="EE10" s="59"/>
      <c r="EF10" s="59"/>
      <c r="EG10" s="59"/>
      <c r="EH10" s="59"/>
      <c r="EI10" s="59"/>
      <c r="EJ10" s="59"/>
      <c r="EK10" s="59"/>
      <c r="EL10" s="59"/>
      <c r="EM10" s="59"/>
      <c r="EN10" s="59"/>
      <c r="EO10" s="59"/>
      <c r="EP10" s="59"/>
      <c r="EQ10" s="59"/>
      <c r="ER10" s="59"/>
      <c r="ES10" s="59"/>
      <c r="ET10" s="59"/>
      <c r="EU10" s="59"/>
      <c r="EV10" s="59"/>
      <c r="EW10" s="59"/>
      <c r="EX10" s="59"/>
      <c r="EY10" s="59"/>
      <c r="EZ10" s="59"/>
      <c r="FA10" s="59"/>
      <c r="FB10" s="59"/>
      <c r="FC10" s="59"/>
      <c r="FD10" s="59"/>
      <c r="FE10" s="59"/>
      <c r="FF10" s="59"/>
      <c r="FG10" s="59"/>
      <c r="FH10" s="59"/>
      <c r="FI10" s="59"/>
      <c r="FJ10" s="59"/>
      <c r="FK10" s="59"/>
      <c r="FL10" s="59"/>
      <c r="FM10" s="59"/>
      <c r="FN10" s="59"/>
      <c r="FO10" s="59"/>
      <c r="FP10" s="59"/>
      <c r="FQ10" s="59"/>
      <c r="FR10" s="59"/>
      <c r="FS10" s="59"/>
      <c r="FT10" s="59"/>
      <c r="FU10" s="59"/>
      <c r="FV10" s="59"/>
      <c r="FW10" s="59"/>
      <c r="FX10" s="59"/>
      <c r="FY10" s="59"/>
      <c r="FZ10" s="59"/>
      <c r="GA10" s="59"/>
      <c r="GB10" s="59"/>
      <c r="GC10" s="59"/>
      <c r="GD10" s="59"/>
      <c r="GE10" s="59"/>
      <c r="GF10" s="59"/>
      <c r="GG10" s="59"/>
      <c r="GH10" s="59"/>
      <c r="GI10" s="59"/>
      <c r="GJ10" s="59"/>
      <c r="GK10" s="59"/>
      <c r="GL10" s="59"/>
      <c r="GM10" s="59"/>
      <c r="GN10" s="59"/>
      <c r="GO10" s="59"/>
      <c r="GP10" s="59"/>
      <c r="GQ10" s="59"/>
      <c r="GR10" s="59"/>
      <c r="GS10" s="59"/>
      <c r="GT10" s="59"/>
      <c r="GU10" s="59"/>
      <c r="GV10" s="59"/>
      <c r="GW10" s="59"/>
      <c r="GX10" s="59"/>
      <c r="GY10" s="59"/>
      <c r="GZ10" s="59"/>
      <c r="HA10" s="59"/>
      <c r="HB10" s="59"/>
      <c r="HC10" s="59"/>
      <c r="HD10" s="59"/>
      <c r="HE10" s="59"/>
      <c r="HF10" s="59"/>
      <c r="HG10" s="59"/>
      <c r="HH10" s="59"/>
      <c r="HI10" s="59"/>
      <c r="HJ10" s="59"/>
      <c r="HK10" s="59"/>
      <c r="HL10" s="59"/>
      <c r="HM10" s="59"/>
      <c r="HN10" s="59"/>
      <c r="HO10" s="59"/>
      <c r="HP10" s="59"/>
      <c r="HQ10" s="59"/>
      <c r="HR10" s="59"/>
      <c r="HS10" s="59"/>
      <c r="HT10" s="59"/>
      <c r="HU10" s="59"/>
      <c r="HV10" s="59"/>
      <c r="HW10" s="59"/>
      <c r="HX10" s="59"/>
      <c r="HY10" s="59"/>
      <c r="HZ10" s="59"/>
      <c r="IA10" s="59"/>
      <c r="IB10" s="59"/>
      <c r="IC10" s="59"/>
      <c r="ID10" s="59"/>
      <c r="IE10" s="59"/>
      <c r="IF10" s="59"/>
      <c r="IG10" s="59"/>
      <c r="IH10" s="59"/>
      <c r="II10" s="59"/>
      <c r="IJ10" s="59"/>
      <c r="IK10" s="59"/>
      <c r="IL10" s="59"/>
      <c r="IM10" s="59"/>
      <c r="IN10" s="59"/>
      <c r="IO10" s="59"/>
      <c r="IP10" s="59"/>
      <c r="IQ10" s="59"/>
      <c r="IR10" s="59"/>
      <c r="IS10" s="59"/>
      <c r="IT10" s="195"/>
      <c r="IU10" s="59"/>
      <c r="IV10" s="59"/>
      <c r="IW10" s="59"/>
      <c r="IX10" s="59"/>
      <c r="IY10" s="59"/>
      <c r="IZ10" s="59"/>
      <c r="JA10" s="59"/>
      <c r="JB10" s="59"/>
      <c r="JC10" s="59"/>
      <c r="JD10" s="59"/>
      <c r="JE10" s="59"/>
      <c r="JF10" s="59"/>
      <c r="JG10" s="59"/>
      <c r="JH10" s="59"/>
      <c r="JI10" s="59"/>
      <c r="JJ10" s="59"/>
      <c r="JK10" s="59"/>
      <c r="JL10" s="59"/>
      <c r="JM10" s="59"/>
      <c r="JN10" s="59"/>
      <c r="JO10" s="59"/>
      <c r="JP10" s="59"/>
      <c r="JQ10" s="59"/>
      <c r="JR10" s="59"/>
      <c r="JS10" s="59"/>
      <c r="JT10" s="59"/>
      <c r="JU10" s="59"/>
      <c r="JV10" s="59"/>
      <c r="JW10" s="59"/>
      <c r="JX10" s="59"/>
      <c r="JY10" s="59"/>
      <c r="JZ10" s="59"/>
      <c r="KA10" s="59"/>
      <c r="KB10" s="59"/>
      <c r="KC10" s="59"/>
      <c r="KD10" s="59"/>
      <c r="KE10" s="59"/>
      <c r="KF10" s="59"/>
      <c r="KG10" s="59"/>
      <c r="KH10" s="59"/>
      <c r="KI10" s="59"/>
      <c r="KJ10" s="59"/>
      <c r="KK10" s="59"/>
      <c r="KL10" s="59"/>
      <c r="KM10" s="59"/>
      <c r="KN10" s="59"/>
      <c r="KO10" s="59"/>
      <c r="KP10" s="59"/>
      <c r="KQ10" s="59"/>
      <c r="KR10" s="59"/>
      <c r="KS10" s="59"/>
      <c r="KT10" s="59"/>
      <c r="KU10" s="59"/>
      <c r="KV10" s="59"/>
      <c r="KW10" s="59"/>
      <c r="KX10" s="59"/>
      <c r="KY10" s="59"/>
      <c r="KZ10" s="59"/>
      <c r="LA10" s="59"/>
      <c r="LB10" s="59"/>
      <c r="LC10" s="59"/>
      <c r="LD10" s="59"/>
      <c r="LE10" s="59"/>
      <c r="LF10" s="59"/>
      <c r="LG10" s="59"/>
      <c r="LH10" s="59"/>
      <c r="LI10" s="59"/>
      <c r="LJ10" s="59"/>
      <c r="LK10" s="59"/>
      <c r="LL10" s="59"/>
      <c r="LM10" s="59"/>
      <c r="LN10" s="59"/>
      <c r="LO10" s="59"/>
      <c r="LP10" s="59"/>
      <c r="LQ10" s="59"/>
      <c r="LR10" s="59"/>
      <c r="LS10" s="59"/>
      <c r="LT10" s="59"/>
      <c r="LU10" s="59"/>
      <c r="LV10" s="59"/>
      <c r="LW10" s="59"/>
      <c r="LX10" s="59"/>
      <c r="LY10" s="59"/>
      <c r="LZ10" s="59"/>
      <c r="MA10" s="59"/>
      <c r="MB10" s="59"/>
      <c r="MC10" s="59"/>
      <c r="MD10" s="59"/>
      <c r="ME10" s="59"/>
      <c r="MF10" s="59"/>
      <c r="MG10" s="59"/>
      <c r="MH10" s="59"/>
      <c r="MI10" s="59"/>
      <c r="MJ10" s="59"/>
      <c r="MK10" s="59"/>
      <c r="ML10" s="59"/>
      <c r="MM10" s="59"/>
      <c r="MN10" s="59"/>
      <c r="MO10" s="59"/>
      <c r="MP10" s="59"/>
      <c r="MQ10" s="59"/>
      <c r="MR10" s="59"/>
      <c r="MS10" s="59"/>
      <c r="MT10" s="59"/>
      <c r="MU10" s="59"/>
      <c r="MV10" s="59"/>
      <c r="MW10" s="59"/>
      <c r="MX10" s="59"/>
      <c r="MY10" s="59"/>
      <c r="MZ10" s="59"/>
      <c r="NA10" s="59"/>
      <c r="NB10" s="59"/>
      <c r="NC10" s="59"/>
      <c r="ND10" s="59"/>
      <c r="NE10" s="59"/>
      <c r="NF10" s="59"/>
      <c r="NG10" s="59"/>
      <c r="NH10" s="59"/>
      <c r="NI10" s="59"/>
      <c r="NJ10" s="59"/>
      <c r="NK10" s="59"/>
      <c r="NL10" s="59"/>
      <c r="NM10" s="59"/>
      <c r="NN10" s="59"/>
      <c r="NO10" s="59"/>
      <c r="NP10" s="59"/>
      <c r="NQ10" s="59"/>
      <c r="NR10" s="59"/>
      <c r="NS10" s="59"/>
      <c r="NT10" s="59"/>
      <c r="NU10" s="59"/>
      <c r="NV10" s="59"/>
      <c r="NW10" s="59"/>
      <c r="NX10" s="59"/>
      <c r="NY10" s="59"/>
      <c r="NZ10" s="59"/>
      <c r="OA10" s="59"/>
      <c r="OB10" s="59"/>
      <c r="OC10" s="59"/>
      <c r="OD10" s="59"/>
      <c r="OE10" s="59"/>
      <c r="OF10" s="59"/>
      <c r="OG10" s="59"/>
      <c r="OH10" s="59"/>
      <c r="OI10" s="59"/>
      <c r="OJ10" s="59"/>
      <c r="OK10" s="59"/>
      <c r="OL10" s="59"/>
      <c r="OM10" s="59"/>
      <c r="ON10" s="59"/>
      <c r="OO10" s="59"/>
      <c r="OP10" s="59"/>
      <c r="OQ10" s="59"/>
      <c r="OR10" s="59"/>
      <c r="OS10" s="59"/>
      <c r="OT10" s="59"/>
      <c r="OU10" s="59"/>
      <c r="OV10" s="59"/>
      <c r="OW10" s="59"/>
      <c r="OX10" s="59"/>
      <c r="OY10" s="59"/>
      <c r="OZ10" s="59"/>
      <c r="PA10" s="59"/>
      <c r="PB10" s="59"/>
      <c r="PC10" s="59"/>
      <c r="PD10" s="59"/>
      <c r="PE10" s="59"/>
      <c r="PF10" s="59"/>
      <c r="PG10" s="59"/>
      <c r="PH10" s="59"/>
      <c r="PI10" s="59"/>
      <c r="PJ10" s="59"/>
      <c r="PK10" s="59"/>
      <c r="PL10" s="59"/>
      <c r="PM10" s="59"/>
      <c r="PN10" s="59"/>
      <c r="PO10" s="59"/>
      <c r="PP10" s="59"/>
      <c r="PQ10" s="59"/>
      <c r="PR10" s="59"/>
      <c r="PS10" s="59"/>
      <c r="PT10" s="59"/>
      <c r="PU10" s="59"/>
      <c r="PV10" s="59"/>
      <c r="PW10" s="59"/>
      <c r="PX10" s="59"/>
      <c r="PY10" s="59"/>
      <c r="PZ10" s="59"/>
      <c r="QA10" s="59"/>
      <c r="QB10" s="59"/>
      <c r="QC10" s="59"/>
      <c r="QD10" s="59"/>
      <c r="QE10" s="59"/>
      <c r="QF10" s="59"/>
      <c r="QG10" s="59"/>
      <c r="QH10" s="59"/>
      <c r="QI10" s="59"/>
      <c r="QJ10" s="59"/>
      <c r="QK10" s="59"/>
      <c r="QL10" s="59"/>
      <c r="QM10" s="59"/>
      <c r="QN10" s="59"/>
      <c r="QO10" s="59"/>
      <c r="QP10" s="59"/>
      <c r="QQ10" s="59"/>
      <c r="QR10" s="59"/>
      <c r="QS10" s="59"/>
      <c r="QT10" s="59"/>
      <c r="QU10" s="59"/>
      <c r="QV10" s="59"/>
      <c r="QW10" s="59"/>
      <c r="QX10" s="59"/>
      <c r="QY10" s="59"/>
      <c r="QZ10" s="59"/>
      <c r="RA10" s="59"/>
      <c r="RB10" s="59"/>
      <c r="RC10" s="59"/>
      <c r="RD10" s="59"/>
      <c r="RE10" s="59"/>
      <c r="RF10" s="59"/>
      <c r="RG10" s="59"/>
      <c r="RH10" s="59"/>
      <c r="RI10" s="59"/>
      <c r="RJ10" s="59"/>
      <c r="RK10" s="59"/>
      <c r="RL10" s="59"/>
      <c r="RM10" s="59"/>
      <c r="RN10" s="59"/>
      <c r="RO10" s="59"/>
      <c r="RP10" s="59"/>
      <c r="RQ10" s="59"/>
      <c r="RR10" s="59"/>
      <c r="RS10" s="59"/>
      <c r="RT10" s="59"/>
      <c r="RU10" s="59"/>
      <c r="RV10" s="59"/>
      <c r="RW10" s="59"/>
      <c r="RX10" s="59"/>
      <c r="RY10" s="59"/>
      <c r="RZ10" s="59"/>
      <c r="SA10" s="59"/>
      <c r="SB10" s="59"/>
      <c r="SC10" s="59"/>
      <c r="SD10" s="59"/>
      <c r="SE10" s="59"/>
      <c r="SF10" s="59"/>
      <c r="SG10" s="59"/>
      <c r="SH10" s="59"/>
      <c r="SI10" s="59"/>
      <c r="SJ10" s="59"/>
      <c r="SK10" s="59"/>
      <c r="SL10" s="59"/>
      <c r="SM10" s="59"/>
      <c r="SN10" s="59"/>
      <c r="SO10" s="59"/>
      <c r="SP10" s="59"/>
      <c r="SQ10" s="59"/>
      <c r="SR10" s="59"/>
      <c r="SS10" s="59"/>
      <c r="ST10" s="59"/>
      <c r="SU10" s="59"/>
      <c r="SV10" s="59"/>
      <c r="SW10" s="59"/>
      <c r="SX10" s="59"/>
      <c r="SY10" s="59"/>
      <c r="SZ10" s="59"/>
      <c r="TA10" s="59"/>
      <c r="TB10" s="59"/>
      <c r="TC10" s="59"/>
      <c r="TD10" s="59"/>
      <c r="TE10" s="59"/>
      <c r="TF10" s="59"/>
      <c r="TG10" s="59"/>
      <c r="TH10" s="59"/>
      <c r="TI10" s="59"/>
      <c r="TJ10" s="59"/>
      <c r="TK10" s="59"/>
      <c r="TL10" s="59"/>
      <c r="TM10" s="59"/>
      <c r="TN10" s="59"/>
      <c r="TO10" s="59"/>
      <c r="TP10" s="59"/>
      <c r="TQ10" s="59"/>
      <c r="TR10" s="59"/>
      <c r="TS10" s="59"/>
      <c r="TT10" s="59"/>
      <c r="TU10" s="59"/>
      <c r="TV10" s="59"/>
      <c r="TW10" s="59"/>
      <c r="TX10" s="59"/>
      <c r="TY10" s="59"/>
      <c r="TZ10" s="59"/>
      <c r="UA10" s="59"/>
      <c r="UB10" s="59"/>
      <c r="UC10" s="59"/>
      <c r="UD10" s="59"/>
      <c r="UE10" s="59"/>
      <c r="UF10" s="59"/>
      <c r="UG10" s="59"/>
      <c r="UH10" s="59"/>
      <c r="UI10" s="59"/>
      <c r="UJ10" s="59"/>
      <c r="UK10" s="59"/>
      <c r="UL10" s="59"/>
      <c r="UM10" s="59"/>
      <c r="UN10" s="59"/>
      <c r="UO10" s="59"/>
      <c r="UP10" s="59"/>
      <c r="UQ10" s="59"/>
      <c r="UR10" s="59"/>
      <c r="US10" s="59"/>
      <c r="UT10" s="59"/>
      <c r="UU10" s="59"/>
      <c r="UV10" s="59"/>
      <c r="UW10" s="59"/>
      <c r="UX10" s="59"/>
      <c r="UY10" s="59"/>
      <c r="UZ10" s="59"/>
      <c r="VA10" s="59"/>
      <c r="VB10" s="59"/>
      <c r="VC10" s="59"/>
      <c r="VD10" s="59"/>
      <c r="VE10" s="59"/>
      <c r="VF10" s="59"/>
      <c r="VG10" s="59"/>
      <c r="VH10" s="59"/>
      <c r="VI10" s="59"/>
      <c r="VJ10" s="59"/>
      <c r="VK10" s="59"/>
      <c r="VL10" s="59"/>
      <c r="VM10" s="59"/>
      <c r="VN10" s="59"/>
      <c r="VO10" s="59"/>
      <c r="VP10" s="59"/>
      <c r="VQ10" s="59"/>
      <c r="VR10" s="59"/>
      <c r="VS10" s="59"/>
      <c r="VT10" s="59"/>
      <c r="VU10" s="59"/>
      <c r="VV10" s="59"/>
      <c r="VW10" s="59"/>
      <c r="VX10" s="59"/>
      <c r="VY10" s="59"/>
      <c r="VZ10" s="59"/>
      <c r="WA10" s="59"/>
      <c r="WB10" s="59"/>
      <c r="WC10" s="59"/>
      <c r="WD10" s="59"/>
      <c r="WE10" s="59"/>
      <c r="WF10" s="59"/>
      <c r="WG10" s="59"/>
      <c r="WH10" s="59"/>
      <c r="WI10" s="59"/>
      <c r="WJ10" s="59"/>
      <c r="WK10" s="59"/>
      <c r="WL10" s="59"/>
      <c r="WM10" s="59"/>
      <c r="WN10" s="59"/>
      <c r="WO10" s="59"/>
      <c r="WP10" s="59"/>
      <c r="WQ10" s="59"/>
      <c r="WR10" s="59"/>
      <c r="WS10" s="59"/>
      <c r="WT10" s="59"/>
      <c r="WU10" s="59"/>
      <c r="WV10" s="59"/>
      <c r="WW10" s="59"/>
      <c r="WX10" s="59"/>
      <c r="WY10" s="59"/>
      <c r="WZ10" s="59"/>
      <c r="XA10" s="59"/>
      <c r="XB10" s="59"/>
      <c r="XC10" s="59"/>
      <c r="XD10" s="59"/>
      <c r="XE10" s="59"/>
      <c r="XF10" s="59"/>
      <c r="XG10" s="59"/>
      <c r="XH10" s="59"/>
      <c r="XI10" s="59"/>
      <c r="XJ10" s="59"/>
      <c r="XK10" s="59"/>
      <c r="XL10" s="59"/>
      <c r="XM10" s="59"/>
      <c r="XN10" s="59"/>
      <c r="XO10" s="59"/>
      <c r="XP10" s="59"/>
      <c r="XQ10" s="59"/>
      <c r="XR10" s="59"/>
      <c r="XS10" s="59"/>
      <c r="XT10" s="59"/>
      <c r="XU10" s="59"/>
      <c r="XV10" s="59"/>
      <c r="XW10" s="59"/>
      <c r="XX10" s="59"/>
      <c r="XY10" s="59"/>
      <c r="XZ10" s="59"/>
      <c r="YA10" s="59"/>
      <c r="YB10" s="59"/>
      <c r="YC10" s="59"/>
      <c r="YD10" s="59"/>
      <c r="YE10" s="59"/>
      <c r="YF10" s="59"/>
      <c r="YG10" s="59"/>
      <c r="YH10" s="59"/>
      <c r="YI10" s="59"/>
      <c r="YJ10" s="59"/>
      <c r="YK10" s="59"/>
      <c r="YL10" s="59"/>
      <c r="YM10" s="59"/>
      <c r="YN10" s="59"/>
      <c r="YO10" s="59"/>
      <c r="YP10" s="59"/>
      <c r="YQ10" s="59"/>
      <c r="YR10" s="59"/>
      <c r="YS10" s="59"/>
      <c r="YT10" s="59"/>
      <c r="YU10" s="59"/>
      <c r="YV10" s="59"/>
      <c r="YW10" s="59"/>
      <c r="YX10" s="59"/>
      <c r="YY10" s="59"/>
      <c r="YZ10" s="59"/>
      <c r="ZA10" s="59"/>
      <c r="ZB10" s="59"/>
      <c r="ZC10" s="59"/>
      <c r="ZD10" s="59"/>
      <c r="ZE10" s="59"/>
      <c r="ZF10" s="59"/>
      <c r="ZG10" s="59"/>
      <c r="ZH10" s="59"/>
      <c r="ZI10" s="59"/>
      <c r="ZJ10" s="59"/>
      <c r="ZK10" s="59"/>
      <c r="ZL10" s="59"/>
      <c r="ZM10" s="59"/>
      <c r="ZN10" s="59"/>
      <c r="ZO10" s="59"/>
      <c r="ZP10" s="59"/>
      <c r="ZQ10" s="59"/>
      <c r="ZR10" s="59"/>
      <c r="ZS10" s="59"/>
      <c r="ZT10" s="59"/>
      <c r="ZU10" s="59"/>
      <c r="ZV10" s="59"/>
      <c r="ZW10" s="59"/>
      <c r="ZX10" s="59"/>
      <c r="ZY10" s="59"/>
      <c r="ZZ10" s="59"/>
      <c r="AAA10" s="59"/>
      <c r="AAB10" s="59"/>
      <c r="AAC10" s="59"/>
      <c r="AAD10" s="59"/>
      <c r="AAE10" s="59"/>
      <c r="AAF10" s="59"/>
      <c r="AAG10" s="59"/>
      <c r="AAH10" s="59"/>
      <c r="AAI10" s="59"/>
      <c r="AAJ10" s="59"/>
      <c r="AAK10" s="59"/>
      <c r="AAL10" s="59"/>
      <c r="AAM10" s="59"/>
      <c r="AAN10" s="59"/>
      <c r="AAO10" s="59"/>
      <c r="AAP10" s="59"/>
      <c r="AAQ10" s="59"/>
      <c r="AAR10" s="59"/>
      <c r="AAS10" s="59"/>
      <c r="AAT10" s="59"/>
      <c r="AAU10" s="59"/>
      <c r="AAV10" s="59"/>
      <c r="AAW10" s="59"/>
      <c r="AAX10" s="59"/>
      <c r="AAY10" s="59"/>
      <c r="AAZ10" s="59"/>
      <c r="ABA10" s="59"/>
      <c r="ABB10" s="59"/>
      <c r="ABC10" s="59"/>
      <c r="ABD10" s="59"/>
      <c r="ABE10" s="59"/>
      <c r="ABF10" s="59"/>
      <c r="ABG10" s="59"/>
      <c r="ABH10" s="59"/>
      <c r="ABI10" s="59"/>
      <c r="ABJ10" s="59"/>
      <c r="ABK10" s="59"/>
      <c r="ABL10" s="59"/>
      <c r="ABM10" s="59"/>
      <c r="ABN10" s="59"/>
      <c r="ABO10" s="59"/>
      <c r="ABP10" s="59"/>
      <c r="ABQ10" s="59"/>
      <c r="ABR10" s="59"/>
      <c r="ABS10" s="59"/>
      <c r="ABT10" s="59"/>
      <c r="ABU10" s="59"/>
      <c r="ABV10" s="59"/>
      <c r="ABW10" s="59"/>
      <c r="ABX10" s="59"/>
      <c r="ABY10" s="59"/>
      <c r="ABZ10" s="59"/>
      <c r="ACA10" s="59"/>
      <c r="ACB10" s="59"/>
      <c r="ACC10" s="59"/>
      <c r="ACD10" s="59"/>
      <c r="ACE10" s="59"/>
      <c r="ACF10" s="59"/>
      <c r="ACG10" s="59"/>
      <c r="ACH10" s="59"/>
      <c r="ACI10" s="59"/>
      <c r="ACJ10" s="59"/>
      <c r="ACK10" s="59"/>
      <c r="ACL10" s="59"/>
      <c r="ACM10" s="59"/>
      <c r="ACN10" s="59"/>
      <c r="ACO10" s="59"/>
      <c r="ACP10" s="59"/>
      <c r="ACQ10" s="59"/>
      <c r="ACR10" s="59"/>
      <c r="ACS10" s="59"/>
      <c r="ACT10" s="59"/>
      <c r="ACU10" s="59"/>
      <c r="ACV10" s="59"/>
      <c r="ACW10" s="59"/>
      <c r="ACX10" s="59"/>
      <c r="ACY10" s="59"/>
      <c r="ACZ10" s="59"/>
      <c r="ADA10" s="59"/>
      <c r="ADB10" s="59"/>
      <c r="ADC10" s="59"/>
      <c r="ADD10" s="59"/>
      <c r="ADE10" s="59"/>
      <c r="ADF10" s="59"/>
      <c r="ADG10" s="59"/>
      <c r="ADH10" s="59"/>
      <c r="ADI10" s="59"/>
      <c r="ADJ10" s="59"/>
      <c r="ADK10" s="59"/>
      <c r="ADL10" s="59"/>
      <c r="ADM10" s="59"/>
      <c r="ADN10" s="59"/>
      <c r="ADO10" s="59"/>
      <c r="ADP10" s="59"/>
      <c r="ADQ10" s="59"/>
      <c r="ADR10" s="59"/>
      <c r="ADS10" s="59"/>
      <c r="ADT10" s="59"/>
      <c r="ADU10" s="59"/>
      <c r="ADV10" s="59"/>
      <c r="ADW10" s="59"/>
      <c r="ADX10" s="59"/>
      <c r="ADY10" s="59"/>
      <c r="ADZ10" s="59"/>
      <c r="AEA10" s="59"/>
      <c r="AEB10" s="59"/>
      <c r="AEC10" s="59"/>
      <c r="AED10" s="59"/>
      <c r="AEE10" s="59"/>
      <c r="AEF10" s="59"/>
      <c r="AEG10" s="59"/>
      <c r="AEH10" s="59"/>
      <c r="AEI10" s="59"/>
      <c r="AEJ10" s="59"/>
      <c r="AEK10" s="59"/>
      <c r="AEL10" s="59"/>
      <c r="AEM10" s="59"/>
      <c r="AEN10" s="59"/>
      <c r="AEO10" s="59"/>
      <c r="AEP10" s="59"/>
      <c r="AEQ10" s="59"/>
      <c r="AER10" s="59"/>
      <c r="AES10" s="59"/>
      <c r="AET10" s="59"/>
      <c r="AEU10" s="59"/>
      <c r="AEV10" s="59"/>
      <c r="AEW10" s="59"/>
      <c r="AEX10" s="59"/>
      <c r="AEY10" s="59"/>
      <c r="AEZ10" s="59"/>
      <c r="AFA10" s="59"/>
      <c r="AFB10" s="59"/>
      <c r="AFC10" s="59"/>
      <c r="AFD10" s="59"/>
      <c r="AFE10" s="59"/>
      <c r="AFF10" s="59"/>
      <c r="AFG10" s="59"/>
      <c r="AFH10" s="59"/>
      <c r="AFI10" s="59"/>
      <c r="AFJ10" s="59"/>
      <c r="AFK10" s="59"/>
      <c r="AFL10" s="59"/>
      <c r="AFM10" s="59"/>
      <c r="AFN10" s="59"/>
      <c r="AFO10" s="59"/>
      <c r="AFP10" s="59"/>
      <c r="AFQ10" s="59"/>
      <c r="AFR10" s="59"/>
      <c r="AFS10" s="59"/>
      <c r="AFT10" s="59"/>
      <c r="AFU10" s="59"/>
      <c r="AFV10" s="59"/>
      <c r="AFW10" s="59"/>
      <c r="AFX10" s="59"/>
      <c r="AFY10" s="59"/>
      <c r="AFZ10" s="59"/>
      <c r="AGA10" s="59"/>
      <c r="AGB10" s="59"/>
      <c r="AGC10" s="59"/>
      <c r="AGD10" s="59"/>
      <c r="AGE10" s="59"/>
      <c r="AGF10" s="59"/>
      <c r="AGG10" s="59"/>
      <c r="AGH10" s="59"/>
      <c r="AGI10" s="59"/>
      <c r="AGJ10" s="59" t="str">
        <f> IF(INDIRECT(ADDRESS(ROW() - 5, COLUMN())) = 1, 206.4, IF(INDIRECT(ADDRESS(ROW() - 5, COLUMN())) = 2, 221.88, IF(INDIRECT(ADDRESS(ROW() - 5, COLUMN())) = 3, 237.36, IF(INDIRECT(ADDRESS(ROW() - 5, COLUMN())) = 4, 258, IF(INDIRECT(ADDRESS(ROW() - 5, COLUMN())) = 5, 273.48, IF(INDIRECT(ADDRESS(ROW() - 5, COLUMN())) = 6, 288.96, IF(INDIRECT(ADDRESS(ROW() - 5, COLUMN())) = 7, 309.6, IF(INDIRECT(ADDRESS(ROW() - 5, COLUMN())) = 8, 330.24, IF(INDIRECT(ADDRESS(ROW() - 5, COLUMN())) = 9, 350.88, IF(INDIRECT(ADDRESS(ROW() - 5, COLUMN())) = 10, 371.52, IF(INDIRECT(ADDRESS(ROW() - 5, COLUMN())) = 11, 392.16, IF(INDIRECT(ADDRESS(ROW() - 5, COLUMN())) = 12, 412.8, IF(INDIRECT(ADDRESS(ROW() - 5, COLUMN())) = 13, 438.6,0)))))))))))))</f>
        <v>#VALUE!</v>
      </c>
      <c r="AGK10" s="59"/>
      <c r="AGL10" s="59"/>
      <c r="AGM10" s="59"/>
      <c r="AGN10" s="59"/>
      <c r="AGO10" s="59"/>
      <c r="AGP10" s="59"/>
      <c r="AGQ10" s="59"/>
      <c r="AGR10" s="59"/>
      <c r="AGS10" s="59"/>
      <c r="AGT10" s="59"/>
      <c r="AGU10" s="59"/>
      <c r="AGV10" s="59"/>
      <c r="AGW10" s="195"/>
      <c r="AGX10" s="195"/>
      <c r="AGY10" s="195"/>
      <c r="AGZ10" s="195"/>
      <c r="AHA10" s="59"/>
      <c r="AHB10" s="59"/>
      <c r="AHC10" s="59"/>
      <c r="AHD10" s="59"/>
      <c r="AHE10" s="59"/>
      <c r="AHF10" s="59"/>
      <c r="AHG10" s="59"/>
      <c r="AHH10" s="59"/>
      <c r="AHI10" s="59"/>
      <c r="AHJ10" s="59"/>
      <c r="AHK10" s="59"/>
      <c r="AHL10" s="59"/>
      <c r="AHM10" s="59"/>
      <c r="AHN10" s="59"/>
      <c r="AHO10" s="59"/>
      <c r="AHP10" s="59"/>
      <c r="AHQ10" s="59"/>
      <c r="AHR10" s="59"/>
      <c r="AHS10" s="59"/>
      <c r="AHT10" s="59" t="str">
        <f> IF(INDIRECT(ADDRESS(ROW() - 5, COLUMN())) = 1, 154.88, IF(INDIRECT(ADDRESS(ROW() - 5, COLUMN())) = 2, 166.496, IF(INDIRECT(ADDRESS(ROW() - 5, COLUMN())) = 3, 178.112, IF(INDIRECT(ADDRESS(ROW() - 5, COLUMN())) = 4, 193.6, IF(INDIRECT(ADDRESS(ROW() - 5, COLUMN())) = 5, 205.216, IF(INDIRECT(ADDRESS(ROW() - 5, COLUMN())) = 6, 216.832, IF(INDIRECT(ADDRESS(ROW() - 5, COLUMN())) = 7, 232.32, IF(INDIRECT(ADDRESS(ROW() - 5, COLUMN())) = 8, 247.808, IF(INDIRECT(ADDRESS(ROW() - 5, COLUMN())) = 9, 263.296, IF(INDIRECT(ADDRESS(ROW() - 5, COLUMN())) = 10, 278.784, IF(INDIRECT(ADDRESS(ROW() - 5, COLUMN())) = 11, 294.272, IF(INDIRECT(ADDRESS(ROW() - 5, COLUMN())) = 12, 309.76, IF(INDIRECT(ADDRESS(ROW() - 5, COLUMN())) = 13, 329.12,0)))))))))))))</f>
        <v>#VALUE!</v>
      </c>
      <c r="AHU10" s="59" t="str">
        <f t="shared" ref="AHU10:AHW10" si="482"> IF(INDIRECT(ADDRESS(ROW() - 5, COLUMN())) = 1, 134.4, IF(INDIRECT(ADDRESS(ROW() - 5, COLUMN())) = 2, 144.48, IF(INDIRECT(ADDRESS(ROW() - 5, COLUMN())) = 3, 154.56, IF(INDIRECT(ADDRESS(ROW() - 5, COLUMN())) = 4, 168, IF(INDIRECT(ADDRESS(ROW() - 5, COLUMN())) = 5, 178.079999999999, IF(INDIRECT(ADDRESS(ROW() - 5, COLUMN())) = 6, 188.16, IF(INDIRECT(ADDRESS(ROW() - 5, COLUMN())) = 7, 201.6, IF(INDIRECT(ADDRESS(ROW() - 5, COLUMN())) = 8, 215.04, IF(INDIRECT(ADDRESS(ROW() - 5, COLUMN())) = 9, 228.48, IF(INDIRECT(ADDRESS(ROW() - 5, COLUMN())) = 10, 241.92, IF(INDIRECT(ADDRESS(ROW() - 5, COLUMN())) = 11, 255.359999999999, IF(INDIRECT(ADDRESS(ROW() - 5, COLUMN())) = 12, 268.8, IF(INDIRECT(ADDRESS(ROW() - 5, COLUMN())) = 13, 285.599999999999,0)))))))))))))</f>
        <v>#VALUE!</v>
      </c>
      <c r="AHV10" s="59" t="str">
        <f t="shared" si="482"/>
        <v>#VALUE!</v>
      </c>
      <c r="AHW10" s="59" t="str">
        <f t="shared" si="482"/>
        <v>#VALUE!</v>
      </c>
      <c r="AHX10" s="59" t="str">
        <f> IF(INDIRECT(ADDRESS(ROW() - 5, COLUMN())) = 1, 97.28, IF(INDIRECT(ADDRESS(ROW() - 5, COLUMN())) = 2, 104.576, IF(INDIRECT(ADDRESS(ROW() - 5, COLUMN())) = 3, 111.872, IF(INDIRECT(ADDRESS(ROW() - 5, COLUMN())) = 4, 121.6, IF(INDIRECT(ADDRESS(ROW() - 5, COLUMN())) = 5, 128.896, IF(INDIRECT(ADDRESS(ROW() - 5, COLUMN())) = 6, 136.192, IF(INDIRECT(ADDRESS(ROW() - 5, COLUMN())) = 7, 145.92, IF(INDIRECT(ADDRESS(ROW() - 5, COLUMN())) = 8, 155.648, IF(INDIRECT(ADDRESS(ROW() - 5, COLUMN())) = 9, 165.375999999999, IF(INDIRECT(ADDRESS(ROW() - 5, COLUMN())) = 10, 175.103999999999, IF(INDIRECT(ADDRESS(ROW() - 5, COLUMN())) = 11, 184.832, IF(INDIRECT(ADDRESS(ROW() - 5, COLUMN())) = 12, 194.56, IF(INDIRECT(ADDRESS(ROW() - 5, COLUMN())) = 13, 206.72,0)))))))))))))</f>
        <v>#VALUE!</v>
      </c>
      <c r="AHY10" s="59"/>
      <c r="AHZ10" s="59"/>
      <c r="AIA10" s="59"/>
      <c r="AIB10" s="59"/>
      <c r="AIC10" s="59"/>
      <c r="AID10" s="59"/>
      <c r="AIE10" s="59"/>
      <c r="AIF10" s="59"/>
      <c r="AIG10" s="59"/>
      <c r="AIH10" s="59"/>
      <c r="AII10" s="59"/>
      <c r="AIJ10" s="59"/>
      <c r="AIK10" s="59"/>
      <c r="AIL10" s="59"/>
      <c r="AIM10" s="59"/>
      <c r="AIN10" s="59"/>
      <c r="AIO10" s="59"/>
      <c r="AIP10" s="59"/>
      <c r="AIQ10" s="59"/>
      <c r="AIR10" s="59"/>
      <c r="AIS10" s="59"/>
      <c r="AIT10" s="59"/>
      <c r="AIU10" s="59"/>
      <c r="AIV10" s="59"/>
      <c r="AIW10" s="59"/>
      <c r="AIX10" s="59"/>
      <c r="AIY10" s="59"/>
      <c r="AIZ10" s="59"/>
      <c r="AJA10" s="59"/>
      <c r="AJB10" s="59"/>
      <c r="AJC10" s="59"/>
      <c r="AJD10" s="59"/>
      <c r="AJE10" s="59"/>
      <c r="AJF10" s="59"/>
      <c r="AJG10" s="59"/>
      <c r="AJH10" s="59"/>
      <c r="AJI10" s="59"/>
      <c r="AJJ10" s="59"/>
      <c r="AJK10" s="59"/>
      <c r="AJL10" s="59"/>
      <c r="AJM10" s="59"/>
      <c r="AJN10" s="59"/>
      <c r="AJO10" s="59"/>
      <c r="AJP10" s="59"/>
      <c r="AJQ10" s="59"/>
      <c r="AJR10" s="59"/>
      <c r="AJS10" s="59"/>
      <c r="AJT10" s="59"/>
      <c r="AJU10" s="59"/>
      <c r="AJV10" s="59"/>
      <c r="AJW10" s="59"/>
      <c r="AJX10" s="59"/>
      <c r="AJY10" s="59"/>
      <c r="AJZ10" s="59"/>
      <c r="AKA10" s="59"/>
      <c r="AKB10" s="59"/>
      <c r="AKC10" s="59"/>
      <c r="AKD10" s="59"/>
      <c r="AKE10" s="59"/>
      <c r="AKF10" s="59"/>
      <c r="AKG10" s="59"/>
      <c r="AKH10" s="59"/>
      <c r="AKI10" s="59"/>
      <c r="AKJ10" s="59"/>
      <c r="AKK10" s="59"/>
      <c r="AKL10" s="59"/>
      <c r="AKM10" s="59"/>
      <c r="AKN10" s="59"/>
      <c r="AKO10" s="59"/>
      <c r="AKP10" s="59"/>
      <c r="AKQ10" s="59"/>
      <c r="AKR10" s="59"/>
      <c r="AKS10" s="59"/>
      <c r="AKT10" s="59"/>
      <c r="AKU10" s="59"/>
      <c r="AKV10" s="59"/>
      <c r="AKW10" s="59"/>
      <c r="AKX10" s="59"/>
      <c r="AKY10" s="59"/>
      <c r="AKZ10" s="59"/>
      <c r="ALA10" s="59"/>
      <c r="ALB10" s="59"/>
      <c r="ALC10" s="59"/>
      <c r="ALD10" s="59"/>
      <c r="ALE10" s="59"/>
      <c r="ALF10" s="59"/>
      <c r="ALG10" s="59"/>
      <c r="ALH10" s="59"/>
      <c r="ALI10" s="59"/>
      <c r="ALJ10" s="59"/>
      <c r="ALK10" s="59"/>
      <c r="ALL10" s="59"/>
      <c r="ALM10" s="59"/>
      <c r="ALN10" s="59"/>
      <c r="ALO10" s="59"/>
      <c r="ALP10" s="59"/>
      <c r="ALQ10" s="59"/>
      <c r="ALR10" s="59"/>
      <c r="ALS10" s="59"/>
      <c r="ALT10" s="59"/>
      <c r="ALU10" s="59"/>
      <c r="ALV10" s="59"/>
      <c r="ALW10" s="59"/>
      <c r="ALX10" s="59"/>
      <c r="ALY10" s="59"/>
      <c r="ALZ10" s="59"/>
      <c r="AMA10" s="59"/>
      <c r="AMB10" s="59"/>
      <c r="AMC10" s="59"/>
      <c r="AMD10" s="59"/>
      <c r="AME10" s="59"/>
      <c r="AMF10" s="59"/>
      <c r="AMG10" s="59"/>
      <c r="AMH10" s="59"/>
      <c r="AMI10" s="59"/>
      <c r="AMJ10" s="59"/>
      <c r="AMK10" s="59"/>
      <c r="AML10" s="59"/>
      <c r="AMM10" s="59"/>
      <c r="AMN10" s="59"/>
      <c r="AMO10" s="59"/>
      <c r="AMP10" s="59"/>
      <c r="AMQ10" s="59"/>
      <c r="AMR10" s="59"/>
      <c r="AMS10" s="59"/>
      <c r="AMT10" s="59"/>
      <c r="AMU10" s="59"/>
      <c r="AMV10" s="59"/>
      <c r="AMW10" s="59"/>
      <c r="AMX10" s="59"/>
      <c r="AMY10" s="59"/>
      <c r="AMZ10" s="59"/>
      <c r="ANA10" s="59"/>
      <c r="ANB10" s="59"/>
      <c r="ANC10" s="59"/>
      <c r="AND10" s="59"/>
      <c r="ANE10" s="59"/>
      <c r="ANF10" s="59"/>
      <c r="ANG10" s="59"/>
      <c r="ANH10" s="59"/>
      <c r="ANI10" s="59"/>
      <c r="ANJ10" s="59"/>
      <c r="ANK10" s="59"/>
      <c r="ANL10" s="59"/>
      <c r="ANM10" s="59"/>
      <c r="ANN10" s="59"/>
      <c r="ANO10" s="59"/>
      <c r="ANP10" s="59"/>
      <c r="ANQ10" s="59"/>
      <c r="ANR10" s="59"/>
      <c r="ANS10" s="59"/>
      <c r="ANT10" s="59"/>
      <c r="ANU10" s="59"/>
      <c r="ANV10" s="59"/>
      <c r="ANW10" s="59"/>
      <c r="ANX10" s="59"/>
      <c r="ANY10" s="59"/>
      <c r="ANZ10" s="59"/>
      <c r="AOA10" s="59"/>
      <c r="AOB10" s="59"/>
      <c r="AOC10" s="59"/>
      <c r="AOD10" s="59"/>
      <c r="AOE10" s="59"/>
      <c r="AOF10" s="59"/>
      <c r="AOG10" s="59"/>
      <c r="AOH10" s="59"/>
      <c r="AOI10" s="59"/>
      <c r="AOJ10" s="59"/>
      <c r="AOK10" s="59"/>
      <c r="AOL10" s="59"/>
      <c r="AOM10" s="59"/>
      <c r="AON10" s="59"/>
      <c r="AOO10" s="59"/>
      <c r="AOP10" s="59"/>
      <c r="AOQ10" s="59"/>
      <c r="AOR10" s="59"/>
      <c r="AOS10" s="59"/>
      <c r="AOT10" s="59"/>
      <c r="AOU10" s="59"/>
      <c r="AOV10" s="59"/>
      <c r="AOW10" s="59"/>
      <c r="AOX10" s="59"/>
      <c r="AOY10" s="59"/>
      <c r="AOZ10" s="59"/>
      <c r="APA10" s="59"/>
      <c r="APB10" s="59"/>
      <c r="APC10" s="59"/>
      <c r="APD10" s="59"/>
      <c r="APE10" s="59"/>
      <c r="APF10" s="59"/>
      <c r="APG10" s="59"/>
      <c r="APH10" s="59"/>
      <c r="API10" s="59"/>
      <c r="APJ10" s="59"/>
      <c r="APK10" s="59"/>
      <c r="APL10" s="59"/>
      <c r="APM10" s="59"/>
      <c r="APN10" s="59"/>
      <c r="APO10" s="59"/>
      <c r="APP10" s="59"/>
      <c r="APQ10" s="59"/>
      <c r="APR10" s="59"/>
      <c r="APS10" s="59"/>
      <c r="APT10" s="59"/>
      <c r="APU10" s="59"/>
      <c r="APV10" s="59"/>
      <c r="APW10" s="59"/>
      <c r="APX10" s="59"/>
      <c r="APY10" s="59"/>
      <c r="APZ10" s="59"/>
      <c r="AQA10" s="59"/>
      <c r="AQB10" s="59"/>
      <c r="AQC10" s="59"/>
      <c r="AQD10" s="59"/>
      <c r="AQE10" s="59"/>
      <c r="AQF10" s="59"/>
      <c r="AQG10" s="59"/>
      <c r="AQH10" s="59"/>
      <c r="AQI10" s="59"/>
      <c r="AQJ10" s="59"/>
      <c r="AQK10" s="59"/>
      <c r="AQL10" s="59"/>
    </row>
    <row r="11">
      <c r="A11" s="4" t="s">
        <v>257</v>
      </c>
      <c r="B11" s="59" t="str">
        <f t="shared" ref="B11:DS11" si="483">IFERROR(VLOOKUP(INDIRECT(ADDRESS(ROW() - 7, COLUMN())), INDIRECT(ADDRESS(ROW() - 81, 12)):INDIRECT(ADDRESS(ROW() - 77, 16)), 2, FALSE))</f>
        <v/>
      </c>
      <c r="C11" s="59" t="str">
        <f t="shared" si="483"/>
        <v/>
      </c>
      <c r="D11" s="59" t="str">
        <f t="shared" si="483"/>
        <v/>
      </c>
      <c r="E11" s="59" t="str">
        <f t="shared" si="483"/>
        <v/>
      </c>
      <c r="F11" s="59" t="str">
        <f t="shared" si="483"/>
        <v/>
      </c>
      <c r="G11" s="59" t="str">
        <f t="shared" si="483"/>
        <v/>
      </c>
      <c r="H11" s="59" t="str">
        <f t="shared" si="483"/>
        <v/>
      </c>
      <c r="I11" s="59" t="str">
        <f t="shared" si="483"/>
        <v/>
      </c>
      <c r="J11" s="59" t="str">
        <f t="shared" si="483"/>
        <v/>
      </c>
      <c r="K11" s="59" t="str">
        <f t="shared" si="483"/>
        <v/>
      </c>
      <c r="L11" s="59" t="str">
        <f t="shared" si="483"/>
        <v/>
      </c>
      <c r="M11" s="59" t="str">
        <f t="shared" si="483"/>
        <v/>
      </c>
      <c r="N11" s="59" t="str">
        <f t="shared" si="483"/>
        <v/>
      </c>
      <c r="O11" s="59" t="str">
        <f t="shared" si="483"/>
        <v/>
      </c>
      <c r="P11" s="59" t="str">
        <f t="shared" si="483"/>
        <v/>
      </c>
      <c r="Q11" s="59" t="str">
        <f t="shared" si="483"/>
        <v/>
      </c>
      <c r="R11" s="59" t="str">
        <f t="shared" si="483"/>
        <v/>
      </c>
      <c r="S11" s="59" t="str">
        <f t="shared" si="483"/>
        <v/>
      </c>
      <c r="T11" s="59" t="str">
        <f t="shared" si="483"/>
        <v/>
      </c>
      <c r="U11" s="59" t="str">
        <f t="shared" si="483"/>
        <v/>
      </c>
      <c r="V11" s="59" t="str">
        <f t="shared" si="483"/>
        <v/>
      </c>
      <c r="W11" s="59" t="str">
        <f t="shared" si="483"/>
        <v/>
      </c>
      <c r="X11" s="59" t="str">
        <f t="shared" si="483"/>
        <v/>
      </c>
      <c r="Y11" s="59" t="str">
        <f t="shared" si="483"/>
        <v/>
      </c>
      <c r="Z11" s="59" t="str">
        <f t="shared" si="483"/>
        <v/>
      </c>
      <c r="AA11" s="59" t="str">
        <f t="shared" si="483"/>
        <v/>
      </c>
      <c r="AB11" s="59" t="str">
        <f t="shared" si="483"/>
        <v/>
      </c>
      <c r="AC11" s="59" t="str">
        <f t="shared" si="483"/>
        <v/>
      </c>
      <c r="AD11" s="59" t="str">
        <f t="shared" si="483"/>
        <v/>
      </c>
      <c r="AE11" s="59" t="str">
        <f t="shared" si="483"/>
        <v/>
      </c>
      <c r="AF11" s="59" t="str">
        <f t="shared" si="483"/>
        <v/>
      </c>
      <c r="AG11" s="59" t="str">
        <f t="shared" si="483"/>
        <v/>
      </c>
      <c r="AH11" s="59" t="str">
        <f t="shared" si="483"/>
        <v/>
      </c>
      <c r="AI11" s="59" t="str">
        <f t="shared" si="483"/>
        <v/>
      </c>
      <c r="AJ11" s="59" t="str">
        <f t="shared" si="483"/>
        <v/>
      </c>
      <c r="AK11" s="59" t="str">
        <f t="shared" si="483"/>
        <v/>
      </c>
      <c r="AL11" s="59" t="str">
        <f t="shared" si="483"/>
        <v/>
      </c>
      <c r="AM11" s="59" t="str">
        <f t="shared" si="483"/>
        <v/>
      </c>
      <c r="AN11" s="59" t="str">
        <f t="shared" si="483"/>
        <v/>
      </c>
      <c r="AO11" s="59" t="str">
        <f t="shared" si="483"/>
        <v/>
      </c>
      <c r="AP11" s="59" t="str">
        <f t="shared" si="483"/>
        <v/>
      </c>
      <c r="AQ11" s="59" t="str">
        <f t="shared" si="483"/>
        <v/>
      </c>
      <c r="AR11" s="59" t="str">
        <f t="shared" si="483"/>
        <v/>
      </c>
      <c r="AS11" s="59" t="str">
        <f t="shared" si="483"/>
        <v/>
      </c>
      <c r="AT11" s="59" t="str">
        <f t="shared" si="483"/>
        <v/>
      </c>
      <c r="AU11" s="59" t="str">
        <f t="shared" si="483"/>
        <v/>
      </c>
      <c r="AV11" s="59" t="str">
        <f t="shared" si="483"/>
        <v/>
      </c>
      <c r="AW11" s="59" t="str">
        <f t="shared" si="483"/>
        <v/>
      </c>
      <c r="AX11" s="59" t="str">
        <f t="shared" si="483"/>
        <v/>
      </c>
      <c r="AY11" s="59" t="str">
        <f t="shared" si="483"/>
        <v/>
      </c>
      <c r="AZ11" s="59" t="str">
        <f t="shared" si="483"/>
        <v/>
      </c>
      <c r="BA11" s="59" t="str">
        <f t="shared" si="483"/>
        <v/>
      </c>
      <c r="BB11" s="59" t="str">
        <f t="shared" si="483"/>
        <v/>
      </c>
      <c r="BC11" s="59" t="str">
        <f t="shared" si="483"/>
        <v/>
      </c>
      <c r="BD11" s="59" t="str">
        <f t="shared" si="483"/>
        <v/>
      </c>
      <c r="BE11" s="59" t="str">
        <f t="shared" si="483"/>
        <v/>
      </c>
      <c r="BF11" s="59" t="str">
        <f t="shared" si="483"/>
        <v/>
      </c>
      <c r="BG11" s="59" t="str">
        <f t="shared" si="483"/>
        <v/>
      </c>
      <c r="BH11" s="59" t="str">
        <f t="shared" si="483"/>
        <v/>
      </c>
      <c r="BI11" s="59" t="str">
        <f t="shared" si="483"/>
        <v/>
      </c>
      <c r="BJ11" s="59" t="str">
        <f t="shared" si="483"/>
        <v/>
      </c>
      <c r="BK11" s="59" t="str">
        <f t="shared" si="483"/>
        <v/>
      </c>
      <c r="BL11" s="59" t="str">
        <f t="shared" si="483"/>
        <v/>
      </c>
      <c r="BM11" s="59" t="str">
        <f t="shared" si="483"/>
        <v/>
      </c>
      <c r="BN11" s="59" t="str">
        <f t="shared" si="483"/>
        <v/>
      </c>
      <c r="BO11" s="59" t="str">
        <f t="shared" si="483"/>
        <v/>
      </c>
      <c r="BP11" s="59" t="str">
        <f t="shared" si="483"/>
        <v/>
      </c>
      <c r="BQ11" s="59" t="str">
        <f t="shared" si="483"/>
        <v/>
      </c>
      <c r="BR11" s="59" t="str">
        <f t="shared" si="483"/>
        <v/>
      </c>
      <c r="BS11" s="59" t="str">
        <f t="shared" si="483"/>
        <v/>
      </c>
      <c r="BT11" s="59" t="str">
        <f t="shared" si="483"/>
        <v/>
      </c>
      <c r="BU11" s="59" t="str">
        <f t="shared" si="483"/>
        <v/>
      </c>
      <c r="BV11" s="59" t="str">
        <f t="shared" si="483"/>
        <v/>
      </c>
      <c r="BW11" s="59" t="str">
        <f t="shared" si="483"/>
        <v/>
      </c>
      <c r="BX11" s="59" t="str">
        <f t="shared" si="483"/>
        <v/>
      </c>
      <c r="BY11" s="59" t="str">
        <f t="shared" si="483"/>
        <v/>
      </c>
      <c r="BZ11" s="59" t="str">
        <f t="shared" si="483"/>
        <v/>
      </c>
      <c r="CA11" s="59" t="str">
        <f t="shared" si="483"/>
        <v/>
      </c>
      <c r="CB11" s="59" t="str">
        <f t="shared" si="483"/>
        <v/>
      </c>
      <c r="CC11" s="59" t="str">
        <f t="shared" si="483"/>
        <v/>
      </c>
      <c r="CD11" s="59" t="str">
        <f t="shared" si="483"/>
        <v/>
      </c>
      <c r="CE11" s="59" t="str">
        <f t="shared" si="483"/>
        <v/>
      </c>
      <c r="CF11" s="59" t="str">
        <f t="shared" si="483"/>
        <v/>
      </c>
      <c r="CG11" s="59" t="str">
        <f t="shared" si="483"/>
        <v/>
      </c>
      <c r="CH11" s="59" t="str">
        <f t="shared" si="483"/>
        <v/>
      </c>
      <c r="CI11" s="59" t="str">
        <f t="shared" si="483"/>
        <v/>
      </c>
      <c r="CJ11" s="59" t="str">
        <f t="shared" si="483"/>
        <v/>
      </c>
      <c r="CK11" s="59" t="str">
        <f t="shared" si="483"/>
        <v/>
      </c>
      <c r="CL11" s="59" t="str">
        <f t="shared" si="483"/>
        <v/>
      </c>
      <c r="CM11" s="59" t="str">
        <f t="shared" si="483"/>
        <v/>
      </c>
      <c r="CN11" s="59" t="str">
        <f t="shared" si="483"/>
        <v/>
      </c>
      <c r="CO11" s="59" t="str">
        <f t="shared" si="483"/>
        <v/>
      </c>
      <c r="CP11" s="59" t="str">
        <f t="shared" si="483"/>
        <v/>
      </c>
      <c r="CQ11" s="59" t="str">
        <f t="shared" si="483"/>
        <v/>
      </c>
      <c r="CR11" s="59" t="str">
        <f t="shared" si="483"/>
        <v/>
      </c>
      <c r="CS11" s="59" t="str">
        <f t="shared" si="483"/>
        <v/>
      </c>
      <c r="CT11" s="59" t="str">
        <f t="shared" si="483"/>
        <v/>
      </c>
      <c r="CU11" s="59" t="str">
        <f t="shared" si="483"/>
        <v/>
      </c>
      <c r="CV11" s="59" t="str">
        <f t="shared" si="483"/>
        <v/>
      </c>
      <c r="CW11" s="59" t="str">
        <f t="shared" si="483"/>
        <v/>
      </c>
      <c r="CX11" s="59" t="str">
        <f t="shared" si="483"/>
        <v/>
      </c>
      <c r="CY11" s="59" t="str">
        <f t="shared" si="483"/>
        <v/>
      </c>
      <c r="CZ11" s="59" t="str">
        <f t="shared" si="483"/>
        <v/>
      </c>
      <c r="DA11" s="59" t="str">
        <f t="shared" si="483"/>
        <v/>
      </c>
      <c r="DB11" s="59" t="str">
        <f t="shared" si="483"/>
        <v/>
      </c>
      <c r="DC11" s="59" t="str">
        <f t="shared" si="483"/>
        <v/>
      </c>
      <c r="DD11" s="59" t="str">
        <f t="shared" si="483"/>
        <v/>
      </c>
      <c r="DE11" s="59" t="str">
        <f t="shared" si="483"/>
        <v/>
      </c>
      <c r="DF11" s="59" t="str">
        <f t="shared" si="483"/>
        <v/>
      </c>
      <c r="DG11" s="59" t="str">
        <f t="shared" si="483"/>
        <v/>
      </c>
      <c r="DH11" s="59" t="str">
        <f t="shared" si="483"/>
        <v/>
      </c>
      <c r="DI11" s="59" t="str">
        <f t="shared" si="483"/>
        <v/>
      </c>
      <c r="DJ11" s="59" t="str">
        <f t="shared" si="483"/>
        <v/>
      </c>
      <c r="DK11" s="59" t="str">
        <f t="shared" si="483"/>
        <v/>
      </c>
      <c r="DL11" s="59" t="str">
        <f t="shared" si="483"/>
        <v/>
      </c>
      <c r="DM11" s="59" t="str">
        <f t="shared" si="483"/>
        <v/>
      </c>
      <c r="DN11" s="59" t="str">
        <f t="shared" si="483"/>
        <v/>
      </c>
      <c r="DO11" s="59" t="str">
        <f t="shared" si="483"/>
        <v/>
      </c>
      <c r="DP11" s="59" t="str">
        <f t="shared" si="483"/>
        <v/>
      </c>
      <c r="DQ11" s="59" t="str">
        <f t="shared" si="483"/>
        <v/>
      </c>
      <c r="DR11" s="59" t="str">
        <f t="shared" si="483"/>
        <v/>
      </c>
      <c r="DS11" s="59" t="str">
        <f t="shared" si="483"/>
        <v/>
      </c>
      <c r="DT11" s="59" t="str">
        <f>IFERROR(VLOOKUP(INDIRECT(ADDRESS(ROW() - 7, COLUMN())), INDIRECT(ADDRESS(ROW() - 81, 12)):INDIRECT(ADDRESS(ROW() - 77, 16)), 2, FALSE)) + IF(INDIRECT(ADDRESS(ROW() - 6, COLUMN())) = 1, 160, IF(INDIRECT(ADDRESS(ROW() - 6, COLUMN())) = 2, 172, IF(INDIRECT(ADDRESS(ROW() - 6, COLUMN())) = 3, 184, IF(INDIRECT(ADDRESS(ROW() - 6, COLUMN())) = 4, 200, IF(INDIRECT(ADDRESS(ROW() - 6, COLUMN())) = 5, 212, IF(INDIRECT(ADDRESS(ROW() - 6, COLUMN())) = 6, 224, IF(INDIRECT(ADDRESS(ROW() - 6, COLUMN())) = 7, 240, IF(INDIRECT(ADDRESS(ROW() - 6, COLUMN())) = 8, 256, IF(INDIRECT(ADDRESS(ROW() - 6, COLUMN())) = 9, 272, IF(INDIRECT(ADDRESS(ROW() - 6, COLUMN())) = 10, 288, IF(INDIRECT(ADDRESS(ROW() - 6, COLUMN())) = 11, 304, IF(INDIRECT(ADDRESS(ROW() - 6, COLUMN())) = 12, 320, IF(INDIRECT(ADDRESS(ROW() - 6, COLUMN())) = 13, 340,0)))))))))))))</f>
        <v>#VALUE!</v>
      </c>
      <c r="DU11" s="59" t="str">
        <f>IFERROR(VLOOKUP(INDIRECT(ADDRESS(ROW() - 7, COLUMN())), INDIRECT(ADDRESS(ROW() - 81, 12)):INDIRECT(ADDRESS(ROW() - 77, 16)), 2, FALSE)) + 2 * IF(INDIRECT(ADDRESS(ROW() - 6, COLUMN())) = 1, 160, IF(INDIRECT(ADDRESS(ROW() - 6, COLUMN())) = 2, 172, IF(INDIRECT(ADDRESS(ROW() - 6, COLUMN())) = 3, 184, IF(INDIRECT(ADDRESS(ROW() - 6, COLUMN())) = 4, 200, IF(INDIRECT(ADDRESS(ROW() - 6, COLUMN())) = 5, 212, IF(INDIRECT(ADDRESS(ROW() - 6, COLUMN())) = 6, 224, IF(INDIRECT(ADDRESS(ROW() - 6, COLUMN())) = 7, 240, IF(INDIRECT(ADDRESS(ROW() - 6, COLUMN())) = 8, 256, IF(INDIRECT(ADDRESS(ROW() - 6, COLUMN())) = 9, 272, IF(INDIRECT(ADDRESS(ROW() - 6, COLUMN())) = 10, 288, IF(INDIRECT(ADDRESS(ROW() - 6, COLUMN())) = 11, 304, IF(INDIRECT(ADDRESS(ROW() - 6, COLUMN())) = 12, 320, IF(INDIRECT(ADDRESS(ROW() - 6, COLUMN())) = 13, 340,0)))))))))))))</f>
        <v>#VALUE!</v>
      </c>
      <c r="DV11" s="59" t="str">
        <f t="shared" ref="DV11:IR11" si="484">IFERROR(VLOOKUP(INDIRECT(ADDRESS(ROW() - 7, COLUMN())), INDIRECT(ADDRESS(ROW() - 81, 12)):INDIRECT(ADDRESS(ROW() - 77, 16)), 2, FALSE))</f>
        <v/>
      </c>
      <c r="DW11" s="59" t="str">
        <f t="shared" si="484"/>
        <v/>
      </c>
      <c r="DX11" s="59" t="str">
        <f t="shared" si="484"/>
        <v/>
      </c>
      <c r="DY11" s="59" t="str">
        <f t="shared" si="484"/>
        <v/>
      </c>
      <c r="DZ11" s="59" t="str">
        <f t="shared" si="484"/>
        <v/>
      </c>
      <c r="EA11" s="59" t="str">
        <f t="shared" si="484"/>
        <v/>
      </c>
      <c r="EB11" s="59" t="str">
        <f t="shared" si="484"/>
        <v/>
      </c>
      <c r="EC11" s="59" t="str">
        <f t="shared" si="484"/>
        <v/>
      </c>
      <c r="ED11" s="59" t="str">
        <f t="shared" si="484"/>
        <v/>
      </c>
      <c r="EE11" s="59" t="str">
        <f t="shared" si="484"/>
        <v/>
      </c>
      <c r="EF11" s="59" t="str">
        <f t="shared" si="484"/>
        <v/>
      </c>
      <c r="EG11" s="59" t="str">
        <f t="shared" si="484"/>
        <v/>
      </c>
      <c r="EH11" s="59" t="str">
        <f t="shared" si="484"/>
        <v/>
      </c>
      <c r="EI11" s="59" t="str">
        <f t="shared" si="484"/>
        <v/>
      </c>
      <c r="EJ11" s="59" t="str">
        <f t="shared" si="484"/>
        <v/>
      </c>
      <c r="EK11" s="59" t="str">
        <f t="shared" si="484"/>
        <v/>
      </c>
      <c r="EL11" s="59" t="str">
        <f t="shared" si="484"/>
        <v/>
      </c>
      <c r="EM11" s="59" t="str">
        <f t="shared" si="484"/>
        <v/>
      </c>
      <c r="EN11" s="59" t="str">
        <f t="shared" si="484"/>
        <v/>
      </c>
      <c r="EO11" s="59" t="str">
        <f t="shared" si="484"/>
        <v/>
      </c>
      <c r="EP11" s="59" t="str">
        <f t="shared" si="484"/>
        <v/>
      </c>
      <c r="EQ11" s="59" t="str">
        <f t="shared" si="484"/>
        <v/>
      </c>
      <c r="ER11" s="59" t="str">
        <f t="shared" si="484"/>
        <v/>
      </c>
      <c r="ES11" s="59" t="str">
        <f t="shared" si="484"/>
        <v/>
      </c>
      <c r="ET11" s="59" t="str">
        <f t="shared" si="484"/>
        <v/>
      </c>
      <c r="EU11" s="59" t="str">
        <f t="shared" si="484"/>
        <v/>
      </c>
      <c r="EV11" s="59" t="str">
        <f t="shared" si="484"/>
        <v/>
      </c>
      <c r="EW11" s="59" t="str">
        <f t="shared" si="484"/>
        <v/>
      </c>
      <c r="EX11" s="59" t="str">
        <f t="shared" si="484"/>
        <v/>
      </c>
      <c r="EY11" s="59" t="str">
        <f t="shared" si="484"/>
        <v/>
      </c>
      <c r="EZ11" s="59" t="str">
        <f t="shared" si="484"/>
        <v/>
      </c>
      <c r="FA11" s="59" t="str">
        <f t="shared" si="484"/>
        <v/>
      </c>
      <c r="FB11" s="59" t="str">
        <f t="shared" si="484"/>
        <v/>
      </c>
      <c r="FC11" s="59" t="str">
        <f t="shared" si="484"/>
        <v/>
      </c>
      <c r="FD11" s="59" t="str">
        <f t="shared" si="484"/>
        <v/>
      </c>
      <c r="FE11" s="59" t="str">
        <f t="shared" si="484"/>
        <v/>
      </c>
      <c r="FF11" s="59" t="str">
        <f t="shared" si="484"/>
        <v/>
      </c>
      <c r="FG11" s="59" t="str">
        <f t="shared" si="484"/>
        <v/>
      </c>
      <c r="FH11" s="59" t="str">
        <f t="shared" si="484"/>
        <v/>
      </c>
      <c r="FI11" s="59" t="str">
        <f t="shared" si="484"/>
        <v/>
      </c>
      <c r="FJ11" s="59" t="str">
        <f t="shared" si="484"/>
        <v/>
      </c>
      <c r="FK11" s="59" t="str">
        <f t="shared" si="484"/>
        <v/>
      </c>
      <c r="FL11" s="59" t="str">
        <f t="shared" si="484"/>
        <v/>
      </c>
      <c r="FM11" s="59" t="str">
        <f t="shared" si="484"/>
        <v/>
      </c>
      <c r="FN11" s="59" t="str">
        <f t="shared" si="484"/>
        <v/>
      </c>
      <c r="FO11" s="59" t="str">
        <f t="shared" si="484"/>
        <v/>
      </c>
      <c r="FP11" s="59" t="str">
        <f t="shared" si="484"/>
        <v/>
      </c>
      <c r="FQ11" s="59" t="str">
        <f t="shared" si="484"/>
        <v/>
      </c>
      <c r="FR11" s="59" t="str">
        <f t="shared" si="484"/>
        <v/>
      </c>
      <c r="FS11" s="59" t="str">
        <f t="shared" si="484"/>
        <v/>
      </c>
      <c r="FT11" s="59" t="str">
        <f t="shared" si="484"/>
        <v/>
      </c>
      <c r="FU11" s="59" t="str">
        <f t="shared" si="484"/>
        <v/>
      </c>
      <c r="FV11" s="59" t="str">
        <f t="shared" si="484"/>
        <v/>
      </c>
      <c r="FW11" s="59" t="str">
        <f t="shared" si="484"/>
        <v/>
      </c>
      <c r="FX11" s="59" t="str">
        <f t="shared" si="484"/>
        <v/>
      </c>
      <c r="FY11" s="59" t="str">
        <f t="shared" si="484"/>
        <v/>
      </c>
      <c r="FZ11" s="59" t="str">
        <f t="shared" si="484"/>
        <v/>
      </c>
      <c r="GA11" s="59" t="str">
        <f t="shared" si="484"/>
        <v/>
      </c>
      <c r="GB11" s="59" t="str">
        <f t="shared" si="484"/>
        <v/>
      </c>
      <c r="GC11" s="59" t="str">
        <f t="shared" si="484"/>
        <v/>
      </c>
      <c r="GD11" s="59" t="str">
        <f t="shared" si="484"/>
        <v/>
      </c>
      <c r="GE11" s="59" t="str">
        <f t="shared" si="484"/>
        <v/>
      </c>
      <c r="GF11" s="59" t="str">
        <f t="shared" si="484"/>
        <v/>
      </c>
      <c r="GG11" s="59" t="str">
        <f t="shared" si="484"/>
        <v/>
      </c>
      <c r="GH11" s="59" t="str">
        <f t="shared" si="484"/>
        <v/>
      </c>
      <c r="GI11" s="59" t="str">
        <f t="shared" si="484"/>
        <v/>
      </c>
      <c r="GJ11" s="59" t="str">
        <f t="shared" si="484"/>
        <v/>
      </c>
      <c r="GK11" s="59" t="str">
        <f t="shared" si="484"/>
        <v/>
      </c>
      <c r="GL11" s="59" t="str">
        <f t="shared" si="484"/>
        <v/>
      </c>
      <c r="GM11" s="59" t="str">
        <f t="shared" si="484"/>
        <v/>
      </c>
      <c r="GN11" s="59" t="str">
        <f t="shared" si="484"/>
        <v/>
      </c>
      <c r="GO11" s="59" t="str">
        <f t="shared" si="484"/>
        <v/>
      </c>
      <c r="GP11" s="59" t="str">
        <f t="shared" si="484"/>
        <v/>
      </c>
      <c r="GQ11" s="59" t="str">
        <f t="shared" si="484"/>
        <v/>
      </c>
      <c r="GR11" s="59" t="str">
        <f t="shared" si="484"/>
        <v/>
      </c>
      <c r="GS11" s="59" t="str">
        <f t="shared" si="484"/>
        <v/>
      </c>
      <c r="GT11" s="59" t="str">
        <f t="shared" si="484"/>
        <v/>
      </c>
      <c r="GU11" s="59" t="str">
        <f t="shared" si="484"/>
        <v/>
      </c>
      <c r="GV11" s="59" t="str">
        <f t="shared" si="484"/>
        <v/>
      </c>
      <c r="GW11" s="59" t="str">
        <f t="shared" si="484"/>
        <v/>
      </c>
      <c r="GX11" s="59" t="str">
        <f t="shared" si="484"/>
        <v/>
      </c>
      <c r="GY11" s="59" t="str">
        <f t="shared" si="484"/>
        <v/>
      </c>
      <c r="GZ11" s="59" t="str">
        <f t="shared" si="484"/>
        <v/>
      </c>
      <c r="HA11" s="59" t="str">
        <f t="shared" si="484"/>
        <v/>
      </c>
      <c r="HB11" s="59" t="str">
        <f t="shared" si="484"/>
        <v/>
      </c>
      <c r="HC11" s="59" t="str">
        <f t="shared" si="484"/>
        <v/>
      </c>
      <c r="HD11" s="59" t="str">
        <f t="shared" si="484"/>
        <v/>
      </c>
      <c r="HE11" s="59" t="str">
        <f t="shared" si="484"/>
        <v/>
      </c>
      <c r="HF11" s="59" t="str">
        <f t="shared" si="484"/>
        <v/>
      </c>
      <c r="HG11" s="59" t="str">
        <f t="shared" si="484"/>
        <v/>
      </c>
      <c r="HH11" s="59" t="str">
        <f t="shared" si="484"/>
        <v/>
      </c>
      <c r="HI11" s="59" t="str">
        <f t="shared" si="484"/>
        <v/>
      </c>
      <c r="HJ11" s="59" t="str">
        <f t="shared" si="484"/>
        <v/>
      </c>
      <c r="HK11" s="59" t="str">
        <f t="shared" si="484"/>
        <v/>
      </c>
      <c r="HL11" s="59" t="str">
        <f t="shared" si="484"/>
        <v/>
      </c>
      <c r="HM11" s="59" t="str">
        <f t="shared" si="484"/>
        <v/>
      </c>
      <c r="HN11" s="59" t="str">
        <f t="shared" si="484"/>
        <v/>
      </c>
      <c r="HO11" s="59" t="str">
        <f t="shared" si="484"/>
        <v/>
      </c>
      <c r="HP11" s="59" t="str">
        <f t="shared" si="484"/>
        <v/>
      </c>
      <c r="HQ11" s="59" t="str">
        <f t="shared" si="484"/>
        <v/>
      </c>
      <c r="HR11" s="59" t="str">
        <f t="shared" si="484"/>
        <v/>
      </c>
      <c r="HS11" s="59" t="str">
        <f t="shared" si="484"/>
        <v/>
      </c>
      <c r="HT11" s="59" t="str">
        <f t="shared" si="484"/>
        <v/>
      </c>
      <c r="HU11" s="59" t="str">
        <f t="shared" si="484"/>
        <v/>
      </c>
      <c r="HV11" s="59" t="str">
        <f t="shared" si="484"/>
        <v/>
      </c>
      <c r="HW11" s="59" t="str">
        <f t="shared" si="484"/>
        <v/>
      </c>
      <c r="HX11" s="59" t="str">
        <f t="shared" si="484"/>
        <v/>
      </c>
      <c r="HY11" s="59" t="str">
        <f t="shared" si="484"/>
        <v/>
      </c>
      <c r="HZ11" s="59" t="str">
        <f t="shared" si="484"/>
        <v/>
      </c>
      <c r="IA11" s="59" t="str">
        <f t="shared" si="484"/>
        <v/>
      </c>
      <c r="IB11" s="59" t="str">
        <f t="shared" si="484"/>
        <v/>
      </c>
      <c r="IC11" s="59" t="str">
        <f t="shared" si="484"/>
        <v/>
      </c>
      <c r="ID11" s="59" t="str">
        <f t="shared" si="484"/>
        <v/>
      </c>
      <c r="IE11" s="59" t="str">
        <f t="shared" si="484"/>
        <v/>
      </c>
      <c r="IF11" s="59" t="str">
        <f t="shared" si="484"/>
        <v/>
      </c>
      <c r="IG11" s="59" t="str">
        <f t="shared" si="484"/>
        <v/>
      </c>
      <c r="IH11" s="59" t="str">
        <f t="shared" si="484"/>
        <v/>
      </c>
      <c r="II11" s="59" t="str">
        <f t="shared" si="484"/>
        <v/>
      </c>
      <c r="IJ11" s="59" t="str">
        <f t="shared" si="484"/>
        <v/>
      </c>
      <c r="IK11" s="59" t="str">
        <f t="shared" si="484"/>
        <v/>
      </c>
      <c r="IL11" s="59" t="str">
        <f t="shared" si="484"/>
        <v/>
      </c>
      <c r="IM11" s="59" t="str">
        <f t="shared" si="484"/>
        <v/>
      </c>
      <c r="IN11" s="59" t="str">
        <f t="shared" si="484"/>
        <v/>
      </c>
      <c r="IO11" s="59" t="str">
        <f t="shared" si="484"/>
        <v/>
      </c>
      <c r="IP11" s="59" t="str">
        <f t="shared" si="484"/>
        <v/>
      </c>
      <c r="IQ11" s="59" t="str">
        <f t="shared" si="484"/>
        <v/>
      </c>
      <c r="IR11" s="59" t="str">
        <f t="shared" si="484"/>
        <v/>
      </c>
      <c r="IS11" s="46" t="str">
        <f>IFERROR(VLOOKUP(INDIRECT(ADDRESS(ROW() - 7, COLUMN())), INDIRECT(ADDRESS(ROW() - 81, 12)):INDIRECT(ADDRESS(ROW() - 77, 16)), 2, FALSE)) + (HLOOKUP("Lightfall Stacks", INDIRECT(ADDRESS(ROW() - 75, 13)):INDIRECT(ADDRESS(ROW() - 74, 20)), 2, FALSE) * IF(INDIRECT(ADDRESS(ROW() - 6, COLUMN())) = 1, 74.992, IF(INDIRECT(ADDRESS(ROW() - 6, COLUMN())) = 2, 81.096, IF(INDIRECT(ADDRESS(ROW() - 6, COLUMN())) = 3, 87.2, IF(INDIRECT(ADDRESS(ROW() - 6, COLUMN())) = 4, 95.92, IF(INDIRECT(ADDRESS(ROW() - 6, COLUMN())) = 5, 102.024, IF(INDIRECT(ADDRESS(ROW() - 6, COLUMN())) = 6, 109, IF(INDIRECT(ADDRESS(ROW() - 6, COLUMN())) = 7, 118.592, IF(INDIRECT(ADDRESS(ROW() - 6, COLUMN())) = 8, 128.184, IF(INDIRECT(ADDRESS(ROW() - 6, COLUMN())) = 9, 137.776, IF(INDIRECT(ADDRESS(ROW() - 6, COLUMN())) = 10, 148.239999999999, IF(INDIRECT(ADDRESS(ROW() - 6, COLUMN())) = 11, 160.23, IF(INDIRECT(ADDRESS(ROW() - 6, COLUMN())) = 12, 174.3302, IF(INDIRECT(ADDRESS(ROW() - 6, COLUMN())) = 13, 188.4305,0))))))))))))))</f>
        <v>#VALUE!</v>
      </c>
      <c r="IT11" s="59" t="str">
        <f t="shared" ref="IT11:JE11" si="485">IFERROR(VLOOKUP(INDIRECT(ADDRESS(ROW() - 7, COLUMN())), INDIRECT(ADDRESS(ROW() - 81, 12)):INDIRECT(ADDRESS(ROW() - 77, 16)), 2, FALSE))</f>
        <v/>
      </c>
      <c r="IU11" s="59" t="str">
        <f t="shared" si="485"/>
        <v/>
      </c>
      <c r="IV11" s="59" t="str">
        <f t="shared" si="485"/>
        <v/>
      </c>
      <c r="IW11" s="59" t="str">
        <f t="shared" si="485"/>
        <v/>
      </c>
      <c r="IX11" s="59" t="str">
        <f t="shared" si="485"/>
        <v/>
      </c>
      <c r="IY11" s="59" t="str">
        <f t="shared" si="485"/>
        <v/>
      </c>
      <c r="IZ11" s="59" t="str">
        <f t="shared" si="485"/>
        <v/>
      </c>
      <c r="JA11" s="59" t="str">
        <f t="shared" si="485"/>
        <v/>
      </c>
      <c r="JB11" s="59" t="str">
        <f t="shared" si="485"/>
        <v/>
      </c>
      <c r="JC11" s="59" t="str">
        <f t="shared" si="485"/>
        <v/>
      </c>
      <c r="JD11" s="59" t="str">
        <f t="shared" si="485"/>
        <v/>
      </c>
      <c r="JE11" s="59" t="str">
        <f t="shared" si="485"/>
        <v/>
      </c>
      <c r="JF11" s="59" t="str">
        <f>IFERROR(VLOOKUP(INDIRECT(ADDRESS(ROW() - 7, COLUMN())), INDIRECT(ADDRESS(ROW() - 81, 12)):INDIRECT(ADDRESS(ROW() - 77, 16)), 2, FALSE)) + IF(OR(INDIRECT(ADDRESS(ROW() - (10 + TemplateStats!$B$2), 3)) = "C0", INDIRECT(ADDRESS(ROW() - (10 + TemplateStats!$B$2), 3)) = "C1"), 0, 200)</f>
        <v>#VALUE!</v>
      </c>
      <c r="JG11" s="59" t="str">
        <f t="shared" ref="JG11:LJ11" si="486">IFERROR(VLOOKUP(INDIRECT(ADDRESS(ROW() - 7, COLUMN())), INDIRECT(ADDRESS(ROW() - 81, 12)):INDIRECT(ADDRESS(ROW() - 77, 16)), 2, FALSE))</f>
        <v/>
      </c>
      <c r="JH11" s="59" t="str">
        <f t="shared" si="486"/>
        <v/>
      </c>
      <c r="JI11" s="59" t="str">
        <f t="shared" si="486"/>
        <v/>
      </c>
      <c r="JJ11" s="59" t="str">
        <f t="shared" si="486"/>
        <v/>
      </c>
      <c r="JK11" s="59" t="str">
        <f t="shared" si="486"/>
        <v/>
      </c>
      <c r="JL11" s="59" t="str">
        <f t="shared" si="486"/>
        <v/>
      </c>
      <c r="JM11" s="59" t="str">
        <f t="shared" si="486"/>
        <v/>
      </c>
      <c r="JN11" s="59" t="str">
        <f t="shared" si="486"/>
        <v/>
      </c>
      <c r="JO11" s="59" t="str">
        <f t="shared" si="486"/>
        <v/>
      </c>
      <c r="JP11" s="59" t="str">
        <f t="shared" si="486"/>
        <v/>
      </c>
      <c r="JQ11" s="59" t="str">
        <f t="shared" si="486"/>
        <v/>
      </c>
      <c r="JR11" s="59" t="str">
        <f t="shared" si="486"/>
        <v/>
      </c>
      <c r="JS11" s="59" t="str">
        <f t="shared" si="486"/>
        <v/>
      </c>
      <c r="JT11" s="59" t="str">
        <f t="shared" si="486"/>
        <v/>
      </c>
      <c r="JU11" s="59" t="str">
        <f t="shared" si="486"/>
        <v/>
      </c>
      <c r="JV11" s="59" t="str">
        <f t="shared" si="486"/>
        <v/>
      </c>
      <c r="JW11" s="59" t="str">
        <f t="shared" si="486"/>
        <v/>
      </c>
      <c r="JX11" s="59" t="str">
        <f t="shared" si="486"/>
        <v/>
      </c>
      <c r="JY11" s="59" t="str">
        <f t="shared" si="486"/>
        <v/>
      </c>
      <c r="JZ11" s="59" t="str">
        <f t="shared" si="486"/>
        <v/>
      </c>
      <c r="KA11" s="59" t="str">
        <f t="shared" si="486"/>
        <v/>
      </c>
      <c r="KB11" s="59" t="str">
        <f t="shared" si="486"/>
        <v/>
      </c>
      <c r="KC11" s="59" t="str">
        <f t="shared" si="486"/>
        <v/>
      </c>
      <c r="KD11" s="59" t="str">
        <f t="shared" si="486"/>
        <v/>
      </c>
      <c r="KE11" s="59" t="str">
        <f t="shared" si="486"/>
        <v/>
      </c>
      <c r="KF11" s="59" t="str">
        <f t="shared" si="486"/>
        <v/>
      </c>
      <c r="KG11" s="59" t="str">
        <f t="shared" si="486"/>
        <v/>
      </c>
      <c r="KH11" s="59" t="str">
        <f t="shared" si="486"/>
        <v/>
      </c>
      <c r="KI11" s="59" t="str">
        <f t="shared" si="486"/>
        <v/>
      </c>
      <c r="KJ11" s="59" t="str">
        <f t="shared" si="486"/>
        <v/>
      </c>
      <c r="KK11" s="59" t="str">
        <f t="shared" si="486"/>
        <v/>
      </c>
      <c r="KL11" s="59" t="str">
        <f t="shared" si="486"/>
        <v/>
      </c>
      <c r="KM11" s="59" t="str">
        <f t="shared" si="486"/>
        <v/>
      </c>
      <c r="KN11" s="59" t="str">
        <f t="shared" si="486"/>
        <v/>
      </c>
      <c r="KO11" s="59" t="str">
        <f t="shared" si="486"/>
        <v/>
      </c>
      <c r="KP11" s="59" t="str">
        <f t="shared" si="486"/>
        <v/>
      </c>
      <c r="KQ11" s="59" t="str">
        <f t="shared" si="486"/>
        <v/>
      </c>
      <c r="KR11" s="59" t="str">
        <f t="shared" si="486"/>
        <v/>
      </c>
      <c r="KS11" s="59" t="str">
        <f t="shared" si="486"/>
        <v/>
      </c>
      <c r="KT11" s="59" t="str">
        <f t="shared" si="486"/>
        <v/>
      </c>
      <c r="KU11" s="59" t="str">
        <f t="shared" si="486"/>
        <v/>
      </c>
      <c r="KV11" s="59" t="str">
        <f t="shared" si="486"/>
        <v/>
      </c>
      <c r="KW11" s="59" t="str">
        <f t="shared" si="486"/>
        <v/>
      </c>
      <c r="KX11" s="59" t="str">
        <f t="shared" si="486"/>
        <v/>
      </c>
      <c r="KY11" s="59" t="str">
        <f t="shared" si="486"/>
        <v/>
      </c>
      <c r="KZ11" s="59" t="str">
        <f t="shared" si="486"/>
        <v/>
      </c>
      <c r="LA11" s="59" t="str">
        <f t="shared" si="486"/>
        <v/>
      </c>
      <c r="LB11" s="59" t="str">
        <f t="shared" si="486"/>
        <v/>
      </c>
      <c r="LC11" s="59" t="str">
        <f t="shared" si="486"/>
        <v/>
      </c>
      <c r="LD11" s="59" t="str">
        <f t="shared" si="486"/>
        <v/>
      </c>
      <c r="LE11" s="59" t="str">
        <f t="shared" si="486"/>
        <v/>
      </c>
      <c r="LF11" s="59" t="str">
        <f t="shared" si="486"/>
        <v/>
      </c>
      <c r="LG11" s="59" t="str">
        <f t="shared" si="486"/>
        <v/>
      </c>
      <c r="LH11" s="59" t="str">
        <f t="shared" si="486"/>
        <v/>
      </c>
      <c r="LI11" s="59" t="str">
        <f t="shared" si="486"/>
        <v/>
      </c>
      <c r="LJ11" s="59" t="str">
        <f t="shared" si="486"/>
        <v/>
      </c>
      <c r="LK11" s="59" t="str">
        <f>IFERROR(VLOOKUP(INDIRECT(ADDRESS(ROW() - 7, COLUMN())), INDIRECT(ADDRESS(ROW() - 81, 12)):INDIRECT(ADDRESS(ROW() - 77, 16)), 2, FALSE)) + IF(INDIRECT(ADDRESS(ROW() - 6, COLUMN())) = 1, 56.8799999999999, IF(INDIRECT(ADDRESS(ROW() - 6, COLUMN())) = 2, 61.146, IF(INDIRECT(ADDRESS(ROW() - 6, COLUMN())) = 3, 65.412, IF(INDIRECT(ADDRESS(ROW() - 6, COLUMN())) = 4, 71.1, IF(INDIRECT(ADDRESS(ROW() - 6, COLUMN())) = 5, 75.366, IF(INDIRECT(ADDRESS(ROW() - 6, COLUMN())) = 6, 79.632, IF(INDIRECT(ADDRESS(ROW() - 6, COLUMN())) = 7, 85.32, IF(INDIRECT(ADDRESS(ROW() - 6, COLUMN())) = 8, 91.008, IF(INDIRECT(ADDRESS(ROW() - 6, COLUMN())) = 9, 96.696, IF(INDIRECT(ADDRESS(ROW() - 6, COLUMN())) = 10, 102.384, IF(INDIRECT(ADDRESS(ROW() - 6, COLUMN())) = 11, 108.071999999999, IF(INDIRECT(ADDRESS(ROW() - 6, COLUMN())) = 12, 113.759999999999, IF(INDIRECT(ADDRESS(ROW() - 6, COLUMN())) = 13, 120.87,0)))))))))))))</f>
        <v>#VALUE!</v>
      </c>
      <c r="LL11" s="59" t="str">
        <f>IFERROR(VLOOKUP(INDIRECT(ADDRESS(ROW() - 6, COLUMN())), INDIRECT(ADDRESS(ROW() - 80, 12)):INDIRECT(ADDRESS(ROW() - 76, 16)), 2, FALSE)) + 2 * IF(INDIRECT(ADDRESS(ROW() - 6, COLUMN())) = 1, 56.8799999999999, IF(INDIRECT(ADDRESS(ROW() - 6, COLUMN())) = 2, 61.146, IF(INDIRECT(ADDRESS(ROW() - 6, COLUMN())) = 3, 65.412, IF(INDIRECT(ADDRESS(ROW() - 6, COLUMN())) = 4, 71.1, IF(INDIRECT(ADDRESS(ROW() - 6, COLUMN())) = 5, 75.366, IF(INDIRECT(ADDRESS(ROW() - 6, COLUMN())) = 6, 79.632, IF(INDIRECT(ADDRESS(ROW() - 6, COLUMN())) = 7, 85.32, IF(INDIRECT(ADDRESS(ROW() - 6, COLUMN())) = 8, 91.008, IF(INDIRECT(ADDRESS(ROW() - 6, COLUMN())) = 9, 96.696, IF(INDIRECT(ADDRESS(ROW() - 6, COLUMN())) = 10, 102.384, IF(INDIRECT(ADDRESS(ROW() - 6, COLUMN())) = 11, 108.071999999999, IF(INDIRECT(ADDRESS(ROW() - 6, COLUMN())) = 12, 113.759999999999, IF(INDIRECT(ADDRESS(ROW() - 6, COLUMN())) = 13, 120.87,0)))))))))))))</f>
        <v>#VALUE!</v>
      </c>
      <c r="LM11" s="59" t="str">
        <f>IFERROR(VLOOKUP(INDIRECT(ADDRESS(ROW() - 6, COLUMN())), INDIRECT(ADDRESS(ROW() - 80, 12)):INDIRECT(ADDRESS(ROW() - 76, 16)), 2, FALSE)) + 3* IF(INDIRECT(ADDRESS(ROW() - 6, COLUMN())) = 1, 56.8799999999999, IF(INDIRECT(ADDRESS(ROW() - 6, COLUMN())) = 2, 61.146, IF(INDIRECT(ADDRESS(ROW() - 6, COLUMN())) = 3, 65.412, IF(INDIRECT(ADDRESS(ROW() - 6, COLUMN())) = 4, 71.1, IF(INDIRECT(ADDRESS(ROW() - 6, COLUMN())) = 5, 75.366, IF(INDIRECT(ADDRESS(ROW() - 6, COLUMN())) = 6, 79.632, IF(INDIRECT(ADDRESS(ROW() - 6, COLUMN())) = 7, 85.32, IF(INDIRECT(ADDRESS(ROW() - 6, COLUMN())) = 8, 91.008, IF(INDIRECT(ADDRESS(ROW() - 6, COLUMN())) = 9, 96.696, IF(INDIRECT(ADDRESS(ROW() - 6, COLUMN())) = 10, 102.384, IF(INDIRECT(ADDRESS(ROW() - 6, COLUMN())) = 11, 108.071999999999, IF(INDIRECT(ADDRESS(ROW() - 6, COLUMN())) = 12, 113.759999999999, IF(INDIRECT(ADDRESS(ROW() - 6, COLUMN())) = 13, 120.87,0)))))))))))))</f>
        <v>#VALUE!</v>
      </c>
      <c r="LN11" s="59" t="str">
        <f>IFERROR(VLOOKUP(INDIRECT(ADDRESS(ROW() - 6, COLUMN())), INDIRECT(ADDRESS(ROW() - 80, 12)):INDIRECT(ADDRESS(ROW() - 76, 16)), 2, FALSE)) + 4 * IF(INDIRECT(ADDRESS(ROW() - 6, COLUMN())) = 1, 56.8799999999999, IF(INDIRECT(ADDRESS(ROW() - 6, COLUMN())) = 2, 61.146, IF(INDIRECT(ADDRESS(ROW() - 6, COLUMN())) = 3, 65.412, IF(INDIRECT(ADDRESS(ROW() - 6, COLUMN())) = 4, 71.1, IF(INDIRECT(ADDRESS(ROW() - 6, COLUMN())) = 5, 75.366, IF(INDIRECT(ADDRESS(ROW() - 6, COLUMN())) = 6, 79.632, IF(INDIRECT(ADDRESS(ROW() - 6, COLUMN())) = 7, 85.32, IF(INDIRECT(ADDRESS(ROW() - 6, COLUMN())) = 8, 91.008, IF(INDIRECT(ADDRESS(ROW() - 6, COLUMN())) = 9, 96.696, IF(INDIRECT(ADDRESS(ROW() - 6, COLUMN())) = 10, 102.384, IF(INDIRECT(ADDRESS(ROW() - 6, COLUMN())) = 11, 108.071999999999, IF(INDIRECT(ADDRESS(ROW() - 6, COLUMN())) = 12, 113.759999999999, IF(INDIRECT(ADDRESS(ROW() - 6, COLUMN())) = 13, 120.87,0))))))))))))) + IF(INDIRECT(ADDRESS(ROW() - 6, COLUMN())) = 1, 113.759999999999, IF(INDIRECT(ADDRESS(ROW() - 6, COLUMN())) = 2, 122.292, IF(INDIRECT(ADDRESS(ROW() - 6, COLUMN())) = 3, 130.824, IF(INDIRECT(ADDRESS(ROW() - 6, COLUMN())) = 4, 142.2, IF(INDIRECT(ADDRESS(ROW() - 6, COLUMN())) = 5, 150.732, IF(INDIRECT(ADDRESS(ROW() - 6, COLUMN())) = 6, 159.264, IF(INDIRECT(ADDRESS(ROW() - 6, COLUMN())) = 7, 170.64, IF(INDIRECT(ADDRESS(ROW() - 6, COLUMN())) = 8, 182.016, IF(INDIRECT(ADDRESS(ROW() - 6, COLUMN())) = 9, 193.392, IF(INDIRECT(ADDRESS(ROW() - 6, COLUMN())) = 10, 204.768, IF(INDIRECT(ADDRESS(ROW() - 6, COLUMN())) = 11, 216.143999999999, IF(INDIRECT(ADDRESS(ROW() - 6, COLUMN())) = 12, 227.519999999999, IF(INDIRECT(ADDRESS(ROW() - 6, COLUMN())) = 13, 241.74,0)))))))))))))</f>
        <v>#VALUE!</v>
      </c>
      <c r="LO11" s="59" t="str">
        <f t="shared" ref="LO11:RV11" si="487">IFERROR(VLOOKUP(INDIRECT(ADDRESS(ROW() - 7, COLUMN())), INDIRECT(ADDRESS(ROW() - 81, 12)):INDIRECT(ADDRESS(ROW() - 77, 16)), 2, FALSE))</f>
        <v/>
      </c>
      <c r="LP11" s="59" t="str">
        <f t="shared" si="487"/>
        <v/>
      </c>
      <c r="LQ11" s="59" t="str">
        <f t="shared" si="487"/>
        <v/>
      </c>
      <c r="LR11" s="59" t="str">
        <f t="shared" si="487"/>
        <v/>
      </c>
      <c r="LS11" s="59" t="str">
        <f t="shared" si="487"/>
        <v/>
      </c>
      <c r="LT11" s="59" t="str">
        <f t="shared" si="487"/>
        <v/>
      </c>
      <c r="LU11" s="59" t="str">
        <f t="shared" si="487"/>
        <v/>
      </c>
      <c r="LV11" s="59" t="str">
        <f t="shared" si="487"/>
        <v/>
      </c>
      <c r="LW11" s="59" t="str">
        <f t="shared" si="487"/>
        <v/>
      </c>
      <c r="LX11" s="59" t="str">
        <f t="shared" si="487"/>
        <v/>
      </c>
      <c r="LY11" s="59" t="str">
        <f t="shared" si="487"/>
        <v/>
      </c>
      <c r="LZ11" s="59" t="str">
        <f t="shared" si="487"/>
        <v/>
      </c>
      <c r="MA11" s="59" t="str">
        <f t="shared" si="487"/>
        <v/>
      </c>
      <c r="MB11" s="59" t="str">
        <f t="shared" si="487"/>
        <v/>
      </c>
      <c r="MC11" s="59" t="str">
        <f t="shared" si="487"/>
        <v/>
      </c>
      <c r="MD11" s="59" t="str">
        <f t="shared" si="487"/>
        <v/>
      </c>
      <c r="ME11" s="59" t="str">
        <f t="shared" si="487"/>
        <v/>
      </c>
      <c r="MF11" s="59" t="str">
        <f t="shared" si="487"/>
        <v/>
      </c>
      <c r="MG11" s="59" t="str">
        <f t="shared" si="487"/>
        <v/>
      </c>
      <c r="MH11" s="59" t="str">
        <f t="shared" si="487"/>
        <v/>
      </c>
      <c r="MI11" s="59" t="str">
        <f t="shared" si="487"/>
        <v/>
      </c>
      <c r="MJ11" s="59" t="str">
        <f t="shared" si="487"/>
        <v/>
      </c>
      <c r="MK11" s="59" t="str">
        <f t="shared" si="487"/>
        <v/>
      </c>
      <c r="ML11" s="59" t="str">
        <f t="shared" si="487"/>
        <v/>
      </c>
      <c r="MM11" s="59" t="str">
        <f t="shared" si="487"/>
        <v/>
      </c>
      <c r="MN11" s="59" t="str">
        <f t="shared" si="487"/>
        <v/>
      </c>
      <c r="MO11" s="59" t="str">
        <f t="shared" si="487"/>
        <v/>
      </c>
      <c r="MP11" s="59" t="str">
        <f t="shared" si="487"/>
        <v/>
      </c>
      <c r="MQ11" s="59" t="str">
        <f t="shared" si="487"/>
        <v/>
      </c>
      <c r="MR11" s="59" t="str">
        <f t="shared" si="487"/>
        <v/>
      </c>
      <c r="MS11" s="59" t="str">
        <f t="shared" si="487"/>
        <v/>
      </c>
      <c r="MT11" s="59" t="str">
        <f t="shared" si="487"/>
        <v/>
      </c>
      <c r="MU11" s="59" t="str">
        <f t="shared" si="487"/>
        <v/>
      </c>
      <c r="MV11" s="59" t="str">
        <f t="shared" si="487"/>
        <v/>
      </c>
      <c r="MW11" s="59" t="str">
        <f t="shared" si="487"/>
        <v/>
      </c>
      <c r="MX11" s="59" t="str">
        <f t="shared" si="487"/>
        <v/>
      </c>
      <c r="MY11" s="59" t="str">
        <f t="shared" si="487"/>
        <v/>
      </c>
      <c r="MZ11" s="59" t="str">
        <f t="shared" si="487"/>
        <v/>
      </c>
      <c r="NA11" s="59" t="str">
        <f t="shared" si="487"/>
        <v/>
      </c>
      <c r="NB11" s="59" t="str">
        <f t="shared" si="487"/>
        <v/>
      </c>
      <c r="NC11" s="59" t="str">
        <f t="shared" si="487"/>
        <v/>
      </c>
      <c r="ND11" s="59" t="str">
        <f t="shared" si="487"/>
        <v/>
      </c>
      <c r="NE11" s="59" t="str">
        <f t="shared" si="487"/>
        <v/>
      </c>
      <c r="NF11" s="59" t="str">
        <f t="shared" si="487"/>
        <v/>
      </c>
      <c r="NG11" s="59" t="str">
        <f t="shared" si="487"/>
        <v/>
      </c>
      <c r="NH11" s="59" t="str">
        <f t="shared" si="487"/>
        <v/>
      </c>
      <c r="NI11" s="59" t="str">
        <f t="shared" si="487"/>
        <v/>
      </c>
      <c r="NJ11" s="59" t="str">
        <f t="shared" si="487"/>
        <v/>
      </c>
      <c r="NK11" s="59" t="str">
        <f t="shared" si="487"/>
        <v/>
      </c>
      <c r="NL11" s="59" t="str">
        <f t="shared" si="487"/>
        <v/>
      </c>
      <c r="NM11" s="59" t="str">
        <f t="shared" si="487"/>
        <v/>
      </c>
      <c r="NN11" s="59" t="str">
        <f t="shared" si="487"/>
        <v/>
      </c>
      <c r="NO11" s="59" t="str">
        <f t="shared" si="487"/>
        <v/>
      </c>
      <c r="NP11" s="59" t="str">
        <f t="shared" si="487"/>
        <v/>
      </c>
      <c r="NQ11" s="59" t="str">
        <f t="shared" si="487"/>
        <v/>
      </c>
      <c r="NR11" s="59" t="str">
        <f t="shared" si="487"/>
        <v/>
      </c>
      <c r="NS11" s="59" t="str">
        <f t="shared" si="487"/>
        <v/>
      </c>
      <c r="NT11" s="59" t="str">
        <f t="shared" si="487"/>
        <v/>
      </c>
      <c r="NU11" s="59" t="str">
        <f t="shared" si="487"/>
        <v/>
      </c>
      <c r="NV11" s="59" t="str">
        <f t="shared" si="487"/>
        <v/>
      </c>
      <c r="NW11" s="59" t="str">
        <f t="shared" si="487"/>
        <v/>
      </c>
      <c r="NX11" s="59" t="str">
        <f t="shared" si="487"/>
        <v/>
      </c>
      <c r="NY11" s="59" t="str">
        <f t="shared" si="487"/>
        <v/>
      </c>
      <c r="NZ11" s="59" t="str">
        <f t="shared" si="487"/>
        <v/>
      </c>
      <c r="OA11" s="59" t="str">
        <f t="shared" si="487"/>
        <v/>
      </c>
      <c r="OB11" s="59" t="str">
        <f t="shared" si="487"/>
        <v/>
      </c>
      <c r="OC11" s="59" t="str">
        <f t="shared" si="487"/>
        <v/>
      </c>
      <c r="OD11" s="59" t="str">
        <f t="shared" si="487"/>
        <v/>
      </c>
      <c r="OE11" s="59" t="str">
        <f t="shared" si="487"/>
        <v/>
      </c>
      <c r="OF11" s="59" t="str">
        <f t="shared" si="487"/>
        <v/>
      </c>
      <c r="OG11" s="59" t="str">
        <f t="shared" si="487"/>
        <v/>
      </c>
      <c r="OH11" s="59" t="str">
        <f t="shared" si="487"/>
        <v/>
      </c>
      <c r="OI11" s="59" t="str">
        <f t="shared" si="487"/>
        <v/>
      </c>
      <c r="OJ11" s="59" t="str">
        <f t="shared" si="487"/>
        <v/>
      </c>
      <c r="OK11" s="59" t="str">
        <f t="shared" si="487"/>
        <v/>
      </c>
      <c r="OL11" s="59" t="str">
        <f t="shared" si="487"/>
        <v/>
      </c>
      <c r="OM11" s="59" t="str">
        <f t="shared" si="487"/>
        <v/>
      </c>
      <c r="ON11" s="59" t="str">
        <f t="shared" si="487"/>
        <v/>
      </c>
      <c r="OO11" s="59" t="str">
        <f t="shared" si="487"/>
        <v/>
      </c>
      <c r="OP11" s="59" t="str">
        <f t="shared" si="487"/>
        <v/>
      </c>
      <c r="OQ11" s="59" t="str">
        <f t="shared" si="487"/>
        <v/>
      </c>
      <c r="OR11" s="59" t="str">
        <f t="shared" si="487"/>
        <v/>
      </c>
      <c r="OS11" s="59" t="str">
        <f t="shared" si="487"/>
        <v/>
      </c>
      <c r="OT11" s="59" t="str">
        <f t="shared" si="487"/>
        <v/>
      </c>
      <c r="OU11" s="59" t="str">
        <f t="shared" si="487"/>
        <v/>
      </c>
      <c r="OV11" s="59" t="str">
        <f t="shared" si="487"/>
        <v/>
      </c>
      <c r="OW11" s="59" t="str">
        <f t="shared" si="487"/>
        <v/>
      </c>
      <c r="OX11" s="59" t="str">
        <f t="shared" si="487"/>
        <v/>
      </c>
      <c r="OY11" s="59" t="str">
        <f t="shared" si="487"/>
        <v/>
      </c>
      <c r="OZ11" s="59" t="str">
        <f t="shared" si="487"/>
        <v/>
      </c>
      <c r="PA11" s="59" t="str">
        <f t="shared" si="487"/>
        <v/>
      </c>
      <c r="PB11" s="59" t="str">
        <f t="shared" si="487"/>
        <v/>
      </c>
      <c r="PC11" s="59" t="str">
        <f t="shared" si="487"/>
        <v/>
      </c>
      <c r="PD11" s="59" t="str">
        <f t="shared" si="487"/>
        <v/>
      </c>
      <c r="PE11" s="59" t="str">
        <f t="shared" si="487"/>
        <v/>
      </c>
      <c r="PF11" s="59" t="str">
        <f t="shared" si="487"/>
        <v/>
      </c>
      <c r="PG11" s="59" t="str">
        <f t="shared" si="487"/>
        <v/>
      </c>
      <c r="PH11" s="59" t="str">
        <f t="shared" si="487"/>
        <v/>
      </c>
      <c r="PI11" s="59" t="str">
        <f t="shared" si="487"/>
        <v/>
      </c>
      <c r="PJ11" s="59" t="str">
        <f t="shared" si="487"/>
        <v/>
      </c>
      <c r="PK11" s="59" t="str">
        <f t="shared" si="487"/>
        <v/>
      </c>
      <c r="PL11" s="59" t="str">
        <f t="shared" si="487"/>
        <v/>
      </c>
      <c r="PM11" s="59" t="str">
        <f t="shared" si="487"/>
        <v/>
      </c>
      <c r="PN11" s="59" t="str">
        <f t="shared" si="487"/>
        <v/>
      </c>
      <c r="PO11" s="59" t="str">
        <f t="shared" si="487"/>
        <v/>
      </c>
      <c r="PP11" s="59" t="str">
        <f t="shared" si="487"/>
        <v/>
      </c>
      <c r="PQ11" s="59" t="str">
        <f t="shared" si="487"/>
        <v/>
      </c>
      <c r="PR11" s="59" t="str">
        <f t="shared" si="487"/>
        <v/>
      </c>
      <c r="PS11" s="59" t="str">
        <f t="shared" si="487"/>
        <v/>
      </c>
      <c r="PT11" s="59" t="str">
        <f t="shared" si="487"/>
        <v/>
      </c>
      <c r="PU11" s="59" t="str">
        <f t="shared" si="487"/>
        <v/>
      </c>
      <c r="PV11" s="59" t="str">
        <f t="shared" si="487"/>
        <v/>
      </c>
      <c r="PW11" s="59" t="str">
        <f t="shared" si="487"/>
        <v/>
      </c>
      <c r="PX11" s="59" t="str">
        <f t="shared" si="487"/>
        <v/>
      </c>
      <c r="PY11" s="59" t="str">
        <f t="shared" si="487"/>
        <v/>
      </c>
      <c r="PZ11" s="59" t="str">
        <f t="shared" si="487"/>
        <v/>
      </c>
      <c r="QA11" s="59" t="str">
        <f t="shared" si="487"/>
        <v/>
      </c>
      <c r="QB11" s="59" t="str">
        <f t="shared" si="487"/>
        <v/>
      </c>
      <c r="QC11" s="59" t="str">
        <f t="shared" si="487"/>
        <v/>
      </c>
      <c r="QD11" s="59" t="str">
        <f t="shared" si="487"/>
        <v/>
      </c>
      <c r="QE11" s="59" t="str">
        <f t="shared" si="487"/>
        <v/>
      </c>
      <c r="QF11" s="59" t="str">
        <f t="shared" si="487"/>
        <v/>
      </c>
      <c r="QG11" s="59" t="str">
        <f t="shared" si="487"/>
        <v/>
      </c>
      <c r="QH11" s="59" t="str">
        <f t="shared" si="487"/>
        <v/>
      </c>
      <c r="QI11" s="59" t="str">
        <f t="shared" si="487"/>
        <v/>
      </c>
      <c r="QJ11" s="59" t="str">
        <f t="shared" si="487"/>
        <v/>
      </c>
      <c r="QK11" s="59" t="str">
        <f t="shared" si="487"/>
        <v/>
      </c>
      <c r="QL11" s="59" t="str">
        <f t="shared" si="487"/>
        <v/>
      </c>
      <c r="QM11" s="59" t="str">
        <f t="shared" si="487"/>
        <v/>
      </c>
      <c r="QN11" s="59" t="str">
        <f t="shared" si="487"/>
        <v/>
      </c>
      <c r="QO11" s="59" t="str">
        <f t="shared" si="487"/>
        <v/>
      </c>
      <c r="QP11" s="59" t="str">
        <f t="shared" si="487"/>
        <v/>
      </c>
      <c r="QQ11" s="59" t="str">
        <f t="shared" si="487"/>
        <v/>
      </c>
      <c r="QR11" s="59" t="str">
        <f t="shared" si="487"/>
        <v/>
      </c>
      <c r="QS11" s="59" t="str">
        <f t="shared" si="487"/>
        <v/>
      </c>
      <c r="QT11" s="59" t="str">
        <f t="shared" si="487"/>
        <v/>
      </c>
      <c r="QU11" s="59" t="str">
        <f t="shared" si="487"/>
        <v/>
      </c>
      <c r="QV11" s="59" t="str">
        <f t="shared" si="487"/>
        <v/>
      </c>
      <c r="QW11" s="59" t="str">
        <f t="shared" si="487"/>
        <v/>
      </c>
      <c r="QX11" s="59" t="str">
        <f t="shared" si="487"/>
        <v/>
      </c>
      <c r="QY11" s="59" t="str">
        <f t="shared" si="487"/>
        <v/>
      </c>
      <c r="QZ11" s="59" t="str">
        <f t="shared" si="487"/>
        <v/>
      </c>
      <c r="RA11" s="59" t="str">
        <f t="shared" si="487"/>
        <v/>
      </c>
      <c r="RB11" s="59" t="str">
        <f t="shared" si="487"/>
        <v/>
      </c>
      <c r="RC11" s="59" t="str">
        <f t="shared" si="487"/>
        <v/>
      </c>
      <c r="RD11" s="59" t="str">
        <f t="shared" si="487"/>
        <v/>
      </c>
      <c r="RE11" s="59" t="str">
        <f t="shared" si="487"/>
        <v/>
      </c>
      <c r="RF11" s="59" t="str">
        <f t="shared" si="487"/>
        <v/>
      </c>
      <c r="RG11" s="59" t="str">
        <f t="shared" si="487"/>
        <v/>
      </c>
      <c r="RH11" s="59" t="str">
        <f t="shared" si="487"/>
        <v/>
      </c>
      <c r="RI11" s="59" t="str">
        <f t="shared" si="487"/>
        <v/>
      </c>
      <c r="RJ11" s="59" t="str">
        <f t="shared" si="487"/>
        <v/>
      </c>
      <c r="RK11" s="59" t="str">
        <f t="shared" si="487"/>
        <v/>
      </c>
      <c r="RL11" s="59" t="str">
        <f t="shared" si="487"/>
        <v/>
      </c>
      <c r="RM11" s="59" t="str">
        <f t="shared" si="487"/>
        <v/>
      </c>
      <c r="RN11" s="59" t="str">
        <f t="shared" si="487"/>
        <v/>
      </c>
      <c r="RO11" s="59" t="str">
        <f t="shared" si="487"/>
        <v/>
      </c>
      <c r="RP11" s="59" t="str">
        <f t="shared" si="487"/>
        <v/>
      </c>
      <c r="RQ11" s="59" t="str">
        <f t="shared" si="487"/>
        <v/>
      </c>
      <c r="RR11" s="59" t="str">
        <f t="shared" si="487"/>
        <v/>
      </c>
      <c r="RS11" s="59" t="str">
        <f t="shared" si="487"/>
        <v/>
      </c>
      <c r="RT11" s="59" t="str">
        <f t="shared" si="487"/>
        <v/>
      </c>
      <c r="RU11" s="59" t="str">
        <f t="shared" si="487"/>
        <v/>
      </c>
      <c r="RV11" s="59" t="str">
        <f t="shared" si="487"/>
        <v/>
      </c>
      <c r="RW11" s="59" t="str">
        <f>IFERROR(VLOOKUP(INDIRECT(ADDRESS(ROW() - 7, COLUMN())), INDIRECT(ADDRESS(ROW() - 81, 12)):INDIRECT(ADDRESS(ROW() - 77, 16)), 2, FALSE)) + (HLOOKUP("Resolve Stacks", INDIRECT(ADDRESS(ROW() - 75, 13)):INDIRECT(ADDRESS(ROW() - 74, 20)), 2, FALSE) *  IF(INDIRECT(ADDRESS(ROW() - 6, COLUMN())) = 1, 3.888, IF(INDIRECT(ADDRESS(ROW() - 6, COLUMN())) = 2, 4.1796, IF(INDIRECT(ADDRESS(ROW() - 6, COLUMN())) = 3, 4.4712, IF(INDIRECT(ADDRESS(ROW() - 6, COLUMN())) = 4, 4.85999999999999, IF(INDIRECT(ADDRESS(ROW() - 6, COLUMN())) = 5, 5.1516, IF(INDIRECT(ADDRESS(ROW() - 6, COLUMN())) = 6, 5.4432, IF(INDIRECT(ADDRESS(ROW() - 6, COLUMN())) = 7, 5.832, IF(INDIRECT(ADDRESS(ROW() - 6, COLUMN())) = 8, 6.2208, IF(INDIRECT(ADDRESS(ROW() - 6, COLUMN())) = 9, 6.6096, IF(INDIRECT(ADDRESS(ROW() - 6, COLUMN())) = 10, 6.9984, IF(INDIRECT(ADDRESS(ROW() - 6, COLUMN())) = 11, 7.38719999999999, IF(INDIRECT(ADDRESS(ROW() - 6, COLUMN())) = 12, 7.776, IF(INDIRECT(ADDRESS(ROW() - 6, COLUMN())) = 13, 8.262,0))))))))))))))
</f>
        <v>#VALUE!</v>
      </c>
      <c r="RX11" s="59" t="str">
        <f t="shared" ref="RX11:SH11" si="488">IFERROR(VLOOKUP(INDIRECT(ADDRESS(ROW() - 7, COLUMN())), INDIRECT(ADDRESS(ROW() - 81, 12)):INDIRECT(ADDRESS(ROW() - 77, 16)), 2, FALSE)) + (HLOOKUP("Resolve Stacks", INDIRECT(ADDRESS(ROW() - 75, 13)):INDIRECT(ADDRESS(ROW() - 74, 20)), 2, FALSE) *  IF(INDIRECT(ADDRESS(ROW() - 6, COLUMN())) = 1, 0.7262, IF(INDIRECT(ADDRESS(ROW() - 6, COLUMN())) = 2, 0.7806, IF(INDIRECT(ADDRESS(ROW() - 6, COLUMN())) = 3, 0.8351, IF(INDIRECT(ADDRESS(ROW() - 6, COLUMN())) = 4, 0.9077, IF(INDIRECT(ADDRESS(ROW() - 6, COLUMN())) = 5, 0.9622, IF(INDIRECT(ADDRESS(ROW() - 6, COLUMN())) = 6, 1.0166, IF(INDIRECT(ADDRESS(ROW() - 6, COLUMN())) = 7, 1.0892, IF(INDIRECT(ADDRESS(ROW() - 6, COLUMN())) = 8, 1.1619, IF(INDIRECT(ADDRESS(ROW() - 6, COLUMN())) = 9, 1.2345, IF(INDIRECT(ADDRESS(ROW() - 6, COLUMN())) = 10, 1.3071, IF(INDIRECT(ADDRESS(ROW() - 6, COLUMN())) = 11, 1.3797, IF(INDIRECT(ADDRESS(ROW() - 6, COLUMN())) = 12, 1.4523, IF(INDIRECT(ADDRESS(ROW() - 6, COLUMN())) = 13, 1.5431,0))))))))))))))
</f>
        <v>#VALUE!</v>
      </c>
      <c r="RY11" s="59" t="str">
        <f t="shared" si="488"/>
        <v>#VALUE!</v>
      </c>
      <c r="RZ11" s="59" t="str">
        <f t="shared" si="488"/>
        <v>#VALUE!</v>
      </c>
      <c r="SA11" s="59" t="str">
        <f t="shared" si="488"/>
        <v>#VALUE!</v>
      </c>
      <c r="SB11" s="59" t="str">
        <f t="shared" si="488"/>
        <v>#VALUE!</v>
      </c>
      <c r="SC11" s="59" t="str">
        <f t="shared" si="488"/>
        <v>#VALUE!</v>
      </c>
      <c r="SD11" s="59" t="str">
        <f t="shared" si="488"/>
        <v>#VALUE!</v>
      </c>
      <c r="SE11" s="59" t="str">
        <f t="shared" si="488"/>
        <v>#VALUE!</v>
      </c>
      <c r="SF11" s="59" t="str">
        <f t="shared" si="488"/>
        <v>#VALUE!</v>
      </c>
      <c r="SG11" s="59" t="str">
        <f t="shared" si="488"/>
        <v>#VALUE!</v>
      </c>
      <c r="SH11" s="59" t="str">
        <f t="shared" si="488"/>
        <v>#VALUE!</v>
      </c>
      <c r="SI11" s="59" t="str">
        <f t="shared" ref="SI11:UO11" si="489">IFERROR(VLOOKUP(INDIRECT(ADDRESS(ROW() - 7, COLUMN())), INDIRECT(ADDRESS(ROW() - 81, 12)):INDIRECT(ADDRESS(ROW() - 77, 16)), 2, FALSE))</f>
        <v/>
      </c>
      <c r="SJ11" s="59" t="str">
        <f t="shared" si="489"/>
        <v/>
      </c>
      <c r="SK11" s="59" t="str">
        <f t="shared" si="489"/>
        <v/>
      </c>
      <c r="SL11" s="59" t="str">
        <f t="shared" si="489"/>
        <v/>
      </c>
      <c r="SM11" s="59" t="str">
        <f t="shared" si="489"/>
        <v/>
      </c>
      <c r="SN11" s="59" t="str">
        <f t="shared" si="489"/>
        <v/>
      </c>
      <c r="SO11" s="59" t="str">
        <f t="shared" si="489"/>
        <v/>
      </c>
      <c r="SP11" s="59" t="str">
        <f t="shared" si="489"/>
        <v/>
      </c>
      <c r="SQ11" s="59" t="str">
        <f t="shared" si="489"/>
        <v/>
      </c>
      <c r="SR11" s="59" t="str">
        <f t="shared" si="489"/>
        <v/>
      </c>
      <c r="SS11" s="59" t="str">
        <f t="shared" si="489"/>
        <v/>
      </c>
      <c r="ST11" s="59" t="str">
        <f t="shared" si="489"/>
        <v/>
      </c>
      <c r="SU11" s="59" t="str">
        <f t="shared" si="489"/>
        <v/>
      </c>
      <c r="SV11" s="59" t="str">
        <f t="shared" si="489"/>
        <v/>
      </c>
      <c r="SW11" s="59" t="str">
        <f t="shared" si="489"/>
        <v/>
      </c>
      <c r="SX11" s="59" t="str">
        <f t="shared" si="489"/>
        <v/>
      </c>
      <c r="SY11" s="59" t="str">
        <f t="shared" si="489"/>
        <v/>
      </c>
      <c r="SZ11" s="59" t="str">
        <f t="shared" si="489"/>
        <v/>
      </c>
      <c r="TA11" s="59" t="str">
        <f t="shared" si="489"/>
        <v/>
      </c>
      <c r="TB11" s="59" t="str">
        <f t="shared" si="489"/>
        <v/>
      </c>
      <c r="TC11" s="59" t="str">
        <f t="shared" si="489"/>
        <v/>
      </c>
      <c r="TD11" s="59" t="str">
        <f t="shared" si="489"/>
        <v/>
      </c>
      <c r="TE11" s="59" t="str">
        <f t="shared" si="489"/>
        <v/>
      </c>
      <c r="TF11" s="59" t="str">
        <f t="shared" si="489"/>
        <v/>
      </c>
      <c r="TG11" s="59" t="str">
        <f t="shared" si="489"/>
        <v/>
      </c>
      <c r="TH11" s="59" t="str">
        <f t="shared" si="489"/>
        <v/>
      </c>
      <c r="TI11" s="59" t="str">
        <f t="shared" si="489"/>
        <v/>
      </c>
      <c r="TJ11" s="59" t="str">
        <f t="shared" si="489"/>
        <v/>
      </c>
      <c r="TK11" s="59" t="str">
        <f t="shared" si="489"/>
        <v/>
      </c>
      <c r="TL11" s="59" t="str">
        <f t="shared" si="489"/>
        <v/>
      </c>
      <c r="TM11" s="59" t="str">
        <f t="shared" si="489"/>
        <v/>
      </c>
      <c r="TN11" s="59" t="str">
        <f t="shared" si="489"/>
        <v/>
      </c>
      <c r="TO11" s="59" t="str">
        <f t="shared" si="489"/>
        <v/>
      </c>
      <c r="TP11" s="59" t="str">
        <f t="shared" si="489"/>
        <v/>
      </c>
      <c r="TQ11" s="59" t="str">
        <f t="shared" si="489"/>
        <v/>
      </c>
      <c r="TR11" s="59" t="str">
        <f t="shared" si="489"/>
        <v/>
      </c>
      <c r="TS11" s="59" t="str">
        <f t="shared" si="489"/>
        <v/>
      </c>
      <c r="TT11" s="59" t="str">
        <f t="shared" si="489"/>
        <v/>
      </c>
      <c r="TU11" s="59" t="str">
        <f t="shared" si="489"/>
        <v/>
      </c>
      <c r="TV11" s="59" t="str">
        <f t="shared" si="489"/>
        <v/>
      </c>
      <c r="TW11" s="59" t="str">
        <f t="shared" si="489"/>
        <v/>
      </c>
      <c r="TX11" s="59" t="str">
        <f t="shared" si="489"/>
        <v/>
      </c>
      <c r="TY11" s="59" t="str">
        <f t="shared" si="489"/>
        <v/>
      </c>
      <c r="TZ11" s="59" t="str">
        <f t="shared" si="489"/>
        <v/>
      </c>
      <c r="UA11" s="59" t="str">
        <f t="shared" si="489"/>
        <v/>
      </c>
      <c r="UB11" s="59" t="str">
        <f t="shared" si="489"/>
        <v/>
      </c>
      <c r="UC11" s="59" t="str">
        <f t="shared" si="489"/>
        <v/>
      </c>
      <c r="UD11" s="59" t="str">
        <f t="shared" si="489"/>
        <v/>
      </c>
      <c r="UE11" s="59" t="str">
        <f t="shared" si="489"/>
        <v/>
      </c>
      <c r="UF11" s="59" t="str">
        <f t="shared" si="489"/>
        <v/>
      </c>
      <c r="UG11" s="59" t="str">
        <f t="shared" si="489"/>
        <v/>
      </c>
      <c r="UH11" s="59" t="str">
        <f t="shared" si="489"/>
        <v/>
      </c>
      <c r="UI11" s="59" t="str">
        <f t="shared" si="489"/>
        <v/>
      </c>
      <c r="UJ11" s="59" t="str">
        <f t="shared" si="489"/>
        <v/>
      </c>
      <c r="UK11" s="59" t="str">
        <f t="shared" si="489"/>
        <v/>
      </c>
      <c r="UL11" s="59" t="str">
        <f t="shared" si="489"/>
        <v/>
      </c>
      <c r="UM11" s="59" t="str">
        <f t="shared" si="489"/>
        <v/>
      </c>
      <c r="UN11" s="59" t="str">
        <f t="shared" si="489"/>
        <v/>
      </c>
      <c r="UO11" s="59" t="str">
        <f t="shared" si="489"/>
        <v/>
      </c>
      <c r="UP11" s="59" t="str">
        <f>IFERROR(VLOOKUP(INDIRECT(ADDRESS(ROW() - 7, COLUMN())), INDIRECT(ADDRESS(ROW() - 81, 12)):INDIRECT(ADDRESS(ROW() - 77, 16)), 2, FALSE)) + IF(INDIRECT(ADDRESS(ROW() - (TemplateStats!$B$2 + 10), 3)) = "C6", 0.2 * (INDIRECT(ADDRESS(ROW() - 72, 10))), 0)</f>
        <v>#VALUE!</v>
      </c>
      <c r="UQ11" s="59" t="str">
        <f t="shared" ref="UQ11:AHI11" si="490">IFERROR(VLOOKUP(INDIRECT(ADDRESS(ROW() - 7, COLUMN())), INDIRECT(ADDRESS(ROW() - 81, 12)):INDIRECT(ADDRESS(ROW() - 77, 16)), 2, FALSE))</f>
        <v/>
      </c>
      <c r="UR11" s="59" t="str">
        <f t="shared" si="490"/>
        <v/>
      </c>
      <c r="US11" s="59" t="str">
        <f t="shared" si="490"/>
        <v/>
      </c>
      <c r="UT11" s="59" t="str">
        <f t="shared" si="490"/>
        <v/>
      </c>
      <c r="UU11" s="59" t="str">
        <f t="shared" si="490"/>
        <v/>
      </c>
      <c r="UV11" s="59" t="str">
        <f t="shared" si="490"/>
        <v/>
      </c>
      <c r="UW11" s="59" t="str">
        <f t="shared" si="490"/>
        <v/>
      </c>
      <c r="UX11" s="59" t="str">
        <f t="shared" si="490"/>
        <v/>
      </c>
      <c r="UY11" s="59" t="str">
        <f t="shared" si="490"/>
        <v/>
      </c>
      <c r="UZ11" s="59" t="str">
        <f t="shared" si="490"/>
        <v/>
      </c>
      <c r="VA11" s="59" t="str">
        <f t="shared" si="490"/>
        <v/>
      </c>
      <c r="VB11" s="59" t="str">
        <f t="shared" si="490"/>
        <v/>
      </c>
      <c r="VC11" s="59" t="str">
        <f t="shared" si="490"/>
        <v/>
      </c>
      <c r="VD11" s="59" t="str">
        <f t="shared" si="490"/>
        <v/>
      </c>
      <c r="VE11" s="59" t="str">
        <f t="shared" si="490"/>
        <v/>
      </c>
      <c r="VF11" s="59" t="str">
        <f t="shared" si="490"/>
        <v/>
      </c>
      <c r="VG11" s="59" t="str">
        <f t="shared" si="490"/>
        <v/>
      </c>
      <c r="VH11" s="59" t="str">
        <f t="shared" si="490"/>
        <v/>
      </c>
      <c r="VI11" s="59" t="str">
        <f t="shared" si="490"/>
        <v/>
      </c>
      <c r="VJ11" s="59" t="str">
        <f t="shared" si="490"/>
        <v/>
      </c>
      <c r="VK11" s="59" t="str">
        <f t="shared" si="490"/>
        <v/>
      </c>
      <c r="VL11" s="59" t="str">
        <f t="shared" si="490"/>
        <v/>
      </c>
      <c r="VM11" s="59" t="str">
        <f t="shared" si="490"/>
        <v/>
      </c>
      <c r="VN11" s="59" t="str">
        <f t="shared" si="490"/>
        <v/>
      </c>
      <c r="VO11" s="59" t="str">
        <f t="shared" si="490"/>
        <v/>
      </c>
      <c r="VP11" s="59" t="str">
        <f t="shared" si="490"/>
        <v/>
      </c>
      <c r="VQ11" s="59" t="str">
        <f t="shared" si="490"/>
        <v/>
      </c>
      <c r="VR11" s="59" t="str">
        <f t="shared" si="490"/>
        <v/>
      </c>
      <c r="VS11" s="59" t="str">
        <f t="shared" si="490"/>
        <v/>
      </c>
      <c r="VT11" s="59" t="str">
        <f t="shared" si="490"/>
        <v/>
      </c>
      <c r="VU11" s="59" t="str">
        <f t="shared" si="490"/>
        <v/>
      </c>
      <c r="VV11" s="59" t="str">
        <f t="shared" si="490"/>
        <v/>
      </c>
      <c r="VW11" s="59" t="str">
        <f t="shared" si="490"/>
        <v/>
      </c>
      <c r="VX11" s="59" t="str">
        <f t="shared" si="490"/>
        <v/>
      </c>
      <c r="VY11" s="59" t="str">
        <f t="shared" si="490"/>
        <v/>
      </c>
      <c r="VZ11" s="59" t="str">
        <f t="shared" si="490"/>
        <v/>
      </c>
      <c r="WA11" s="59" t="str">
        <f t="shared" si="490"/>
        <v/>
      </c>
      <c r="WB11" s="59" t="str">
        <f t="shared" si="490"/>
        <v/>
      </c>
      <c r="WC11" s="59" t="str">
        <f t="shared" si="490"/>
        <v/>
      </c>
      <c r="WD11" s="59" t="str">
        <f t="shared" si="490"/>
        <v/>
      </c>
      <c r="WE11" s="59" t="str">
        <f t="shared" si="490"/>
        <v/>
      </c>
      <c r="WF11" s="59" t="str">
        <f t="shared" si="490"/>
        <v/>
      </c>
      <c r="WG11" s="59" t="str">
        <f t="shared" si="490"/>
        <v/>
      </c>
      <c r="WH11" s="59" t="str">
        <f t="shared" si="490"/>
        <v/>
      </c>
      <c r="WI11" s="59" t="str">
        <f t="shared" si="490"/>
        <v/>
      </c>
      <c r="WJ11" s="59" t="str">
        <f t="shared" si="490"/>
        <v/>
      </c>
      <c r="WK11" s="59" t="str">
        <f t="shared" si="490"/>
        <v/>
      </c>
      <c r="WL11" s="59" t="str">
        <f t="shared" si="490"/>
        <v/>
      </c>
      <c r="WM11" s="59" t="str">
        <f t="shared" si="490"/>
        <v/>
      </c>
      <c r="WN11" s="59" t="str">
        <f t="shared" si="490"/>
        <v/>
      </c>
      <c r="WO11" s="59" t="str">
        <f t="shared" si="490"/>
        <v/>
      </c>
      <c r="WP11" s="59" t="str">
        <f t="shared" si="490"/>
        <v/>
      </c>
      <c r="WQ11" s="59" t="str">
        <f t="shared" si="490"/>
        <v/>
      </c>
      <c r="WR11" s="59" t="str">
        <f t="shared" si="490"/>
        <v/>
      </c>
      <c r="WS11" s="59" t="str">
        <f t="shared" si="490"/>
        <v/>
      </c>
      <c r="WT11" s="59" t="str">
        <f t="shared" si="490"/>
        <v/>
      </c>
      <c r="WU11" s="59" t="str">
        <f t="shared" si="490"/>
        <v/>
      </c>
      <c r="WV11" s="59" t="str">
        <f t="shared" si="490"/>
        <v/>
      </c>
      <c r="WW11" s="59" t="str">
        <f t="shared" si="490"/>
        <v/>
      </c>
      <c r="WX11" s="59" t="str">
        <f t="shared" si="490"/>
        <v/>
      </c>
      <c r="WY11" s="59" t="str">
        <f t="shared" si="490"/>
        <v/>
      </c>
      <c r="WZ11" s="59" t="str">
        <f t="shared" si="490"/>
        <v/>
      </c>
      <c r="XA11" s="59" t="str">
        <f t="shared" si="490"/>
        <v/>
      </c>
      <c r="XB11" s="59" t="str">
        <f t="shared" si="490"/>
        <v/>
      </c>
      <c r="XC11" s="59" t="str">
        <f t="shared" si="490"/>
        <v/>
      </c>
      <c r="XD11" s="59" t="str">
        <f t="shared" si="490"/>
        <v/>
      </c>
      <c r="XE11" s="59" t="str">
        <f t="shared" si="490"/>
        <v/>
      </c>
      <c r="XF11" s="59" t="str">
        <f t="shared" si="490"/>
        <v/>
      </c>
      <c r="XG11" s="59" t="str">
        <f t="shared" si="490"/>
        <v/>
      </c>
      <c r="XH11" s="59" t="str">
        <f t="shared" si="490"/>
        <v/>
      </c>
      <c r="XI11" s="59" t="str">
        <f t="shared" si="490"/>
        <v/>
      </c>
      <c r="XJ11" s="59" t="str">
        <f t="shared" si="490"/>
        <v/>
      </c>
      <c r="XK11" s="59" t="str">
        <f t="shared" si="490"/>
        <v/>
      </c>
      <c r="XL11" s="59" t="str">
        <f t="shared" si="490"/>
        <v/>
      </c>
      <c r="XM11" s="59" t="str">
        <f t="shared" si="490"/>
        <v/>
      </c>
      <c r="XN11" s="59" t="str">
        <f t="shared" si="490"/>
        <v/>
      </c>
      <c r="XO11" s="59" t="str">
        <f t="shared" si="490"/>
        <v/>
      </c>
      <c r="XP11" s="59" t="str">
        <f t="shared" si="490"/>
        <v/>
      </c>
      <c r="XQ11" s="59" t="str">
        <f t="shared" si="490"/>
        <v/>
      </c>
      <c r="XR11" s="59" t="str">
        <f t="shared" si="490"/>
        <v/>
      </c>
      <c r="XS11" s="59" t="str">
        <f t="shared" si="490"/>
        <v/>
      </c>
      <c r="XT11" s="59" t="str">
        <f t="shared" si="490"/>
        <v/>
      </c>
      <c r="XU11" s="59" t="str">
        <f t="shared" si="490"/>
        <v/>
      </c>
      <c r="XV11" s="59" t="str">
        <f t="shared" si="490"/>
        <v/>
      </c>
      <c r="XW11" s="59" t="str">
        <f t="shared" si="490"/>
        <v/>
      </c>
      <c r="XX11" s="59" t="str">
        <f t="shared" si="490"/>
        <v/>
      </c>
      <c r="XY11" s="59" t="str">
        <f t="shared" si="490"/>
        <v/>
      </c>
      <c r="XZ11" s="59" t="str">
        <f t="shared" si="490"/>
        <v/>
      </c>
      <c r="YA11" s="59" t="str">
        <f t="shared" si="490"/>
        <v/>
      </c>
      <c r="YB11" s="59" t="str">
        <f t="shared" si="490"/>
        <v/>
      </c>
      <c r="YC11" s="59" t="str">
        <f t="shared" si="490"/>
        <v/>
      </c>
      <c r="YD11" s="59" t="str">
        <f t="shared" si="490"/>
        <v/>
      </c>
      <c r="YE11" s="59" t="str">
        <f t="shared" si="490"/>
        <v/>
      </c>
      <c r="YF11" s="59" t="str">
        <f t="shared" si="490"/>
        <v/>
      </c>
      <c r="YG11" s="59" t="str">
        <f t="shared" si="490"/>
        <v/>
      </c>
      <c r="YH11" s="59" t="str">
        <f t="shared" si="490"/>
        <v/>
      </c>
      <c r="YI11" s="59" t="str">
        <f t="shared" si="490"/>
        <v/>
      </c>
      <c r="YJ11" s="59" t="str">
        <f t="shared" si="490"/>
        <v/>
      </c>
      <c r="YK11" s="59" t="str">
        <f t="shared" si="490"/>
        <v/>
      </c>
      <c r="YL11" s="59" t="str">
        <f t="shared" si="490"/>
        <v/>
      </c>
      <c r="YM11" s="59" t="str">
        <f t="shared" si="490"/>
        <v/>
      </c>
      <c r="YN11" s="59" t="str">
        <f t="shared" si="490"/>
        <v/>
      </c>
      <c r="YO11" s="59" t="str">
        <f t="shared" si="490"/>
        <v/>
      </c>
      <c r="YP11" s="59" t="str">
        <f t="shared" si="490"/>
        <v/>
      </c>
      <c r="YQ11" s="59" t="str">
        <f t="shared" si="490"/>
        <v/>
      </c>
      <c r="YR11" s="59" t="str">
        <f t="shared" si="490"/>
        <v/>
      </c>
      <c r="YS11" s="59" t="str">
        <f t="shared" si="490"/>
        <v/>
      </c>
      <c r="YT11" s="59" t="str">
        <f t="shared" si="490"/>
        <v/>
      </c>
      <c r="YU11" s="59" t="str">
        <f t="shared" si="490"/>
        <v/>
      </c>
      <c r="YV11" s="59" t="str">
        <f t="shared" si="490"/>
        <v/>
      </c>
      <c r="YW11" s="59" t="str">
        <f t="shared" si="490"/>
        <v/>
      </c>
      <c r="YX11" s="59" t="str">
        <f t="shared" si="490"/>
        <v/>
      </c>
      <c r="YY11" s="59" t="str">
        <f t="shared" si="490"/>
        <v/>
      </c>
      <c r="YZ11" s="59" t="str">
        <f t="shared" si="490"/>
        <v/>
      </c>
      <c r="ZA11" s="59" t="str">
        <f t="shared" si="490"/>
        <v/>
      </c>
      <c r="ZB11" s="59" t="str">
        <f t="shared" si="490"/>
        <v/>
      </c>
      <c r="ZC11" s="59" t="str">
        <f t="shared" si="490"/>
        <v/>
      </c>
      <c r="ZD11" s="59" t="str">
        <f t="shared" si="490"/>
        <v/>
      </c>
      <c r="ZE11" s="59" t="str">
        <f t="shared" si="490"/>
        <v/>
      </c>
      <c r="ZF11" s="59" t="str">
        <f t="shared" si="490"/>
        <v/>
      </c>
      <c r="ZG11" s="59" t="str">
        <f t="shared" si="490"/>
        <v/>
      </c>
      <c r="ZH11" s="59" t="str">
        <f t="shared" si="490"/>
        <v/>
      </c>
      <c r="ZI11" s="59" t="str">
        <f t="shared" si="490"/>
        <v/>
      </c>
      <c r="ZJ11" s="59" t="str">
        <f t="shared" si="490"/>
        <v/>
      </c>
      <c r="ZK11" s="59" t="str">
        <f t="shared" si="490"/>
        <v/>
      </c>
      <c r="ZL11" s="59" t="str">
        <f t="shared" si="490"/>
        <v/>
      </c>
      <c r="ZM11" s="59" t="str">
        <f t="shared" si="490"/>
        <v/>
      </c>
      <c r="ZN11" s="59" t="str">
        <f t="shared" si="490"/>
        <v/>
      </c>
      <c r="ZO11" s="59" t="str">
        <f t="shared" si="490"/>
        <v/>
      </c>
      <c r="ZP11" s="59" t="str">
        <f t="shared" si="490"/>
        <v/>
      </c>
      <c r="ZQ11" s="59" t="str">
        <f t="shared" si="490"/>
        <v/>
      </c>
      <c r="ZR11" s="59" t="str">
        <f t="shared" si="490"/>
        <v/>
      </c>
      <c r="ZS11" s="59" t="str">
        <f t="shared" si="490"/>
        <v/>
      </c>
      <c r="ZT11" s="59" t="str">
        <f t="shared" si="490"/>
        <v/>
      </c>
      <c r="ZU11" s="59" t="str">
        <f t="shared" si="490"/>
        <v/>
      </c>
      <c r="ZV11" s="59" t="str">
        <f t="shared" si="490"/>
        <v/>
      </c>
      <c r="ZW11" s="59" t="str">
        <f t="shared" si="490"/>
        <v/>
      </c>
      <c r="ZX11" s="59" t="str">
        <f t="shared" si="490"/>
        <v/>
      </c>
      <c r="ZY11" s="59" t="str">
        <f t="shared" si="490"/>
        <v/>
      </c>
      <c r="ZZ11" s="59" t="str">
        <f t="shared" si="490"/>
        <v/>
      </c>
      <c r="AAA11" s="59" t="str">
        <f t="shared" si="490"/>
        <v/>
      </c>
      <c r="AAB11" s="59" t="str">
        <f t="shared" si="490"/>
        <v/>
      </c>
      <c r="AAC11" s="59" t="str">
        <f t="shared" si="490"/>
        <v/>
      </c>
      <c r="AAD11" s="59" t="str">
        <f t="shared" si="490"/>
        <v/>
      </c>
      <c r="AAE11" s="59" t="str">
        <f t="shared" si="490"/>
        <v/>
      </c>
      <c r="AAF11" s="59" t="str">
        <f t="shared" si="490"/>
        <v/>
      </c>
      <c r="AAG11" s="59" t="str">
        <f t="shared" si="490"/>
        <v/>
      </c>
      <c r="AAH11" s="59" t="str">
        <f t="shared" si="490"/>
        <v/>
      </c>
      <c r="AAI11" s="59" t="str">
        <f t="shared" si="490"/>
        <v/>
      </c>
      <c r="AAJ11" s="59" t="str">
        <f t="shared" si="490"/>
        <v/>
      </c>
      <c r="AAK11" s="59" t="str">
        <f t="shared" si="490"/>
        <v/>
      </c>
      <c r="AAL11" s="59" t="str">
        <f t="shared" si="490"/>
        <v/>
      </c>
      <c r="AAM11" s="59" t="str">
        <f t="shared" si="490"/>
        <v/>
      </c>
      <c r="AAN11" s="59" t="str">
        <f t="shared" si="490"/>
        <v/>
      </c>
      <c r="AAO11" s="59" t="str">
        <f t="shared" si="490"/>
        <v/>
      </c>
      <c r="AAP11" s="59" t="str">
        <f t="shared" si="490"/>
        <v/>
      </c>
      <c r="AAQ11" s="59" t="str">
        <f t="shared" si="490"/>
        <v/>
      </c>
      <c r="AAR11" s="59" t="str">
        <f t="shared" si="490"/>
        <v/>
      </c>
      <c r="AAS11" s="59" t="str">
        <f t="shared" si="490"/>
        <v/>
      </c>
      <c r="AAT11" s="59" t="str">
        <f t="shared" si="490"/>
        <v/>
      </c>
      <c r="AAU11" s="59" t="str">
        <f t="shared" si="490"/>
        <v/>
      </c>
      <c r="AAV11" s="59" t="str">
        <f t="shared" si="490"/>
        <v/>
      </c>
      <c r="AAW11" s="59" t="str">
        <f t="shared" si="490"/>
        <v/>
      </c>
      <c r="AAX11" s="59" t="str">
        <f t="shared" si="490"/>
        <v/>
      </c>
      <c r="AAY11" s="59" t="str">
        <f t="shared" si="490"/>
        <v/>
      </c>
      <c r="AAZ11" s="59" t="str">
        <f t="shared" si="490"/>
        <v/>
      </c>
      <c r="ABA11" s="59" t="str">
        <f t="shared" si="490"/>
        <v/>
      </c>
      <c r="ABB11" s="59" t="str">
        <f t="shared" si="490"/>
        <v/>
      </c>
      <c r="ABC11" s="59" t="str">
        <f t="shared" si="490"/>
        <v/>
      </c>
      <c r="ABD11" s="59" t="str">
        <f t="shared" si="490"/>
        <v/>
      </c>
      <c r="ABE11" s="59" t="str">
        <f t="shared" si="490"/>
        <v/>
      </c>
      <c r="ABF11" s="59" t="str">
        <f t="shared" si="490"/>
        <v/>
      </c>
      <c r="ABG11" s="59" t="str">
        <f t="shared" si="490"/>
        <v/>
      </c>
      <c r="ABH11" s="59" t="str">
        <f t="shared" si="490"/>
        <v/>
      </c>
      <c r="ABI11" s="59" t="str">
        <f t="shared" si="490"/>
        <v/>
      </c>
      <c r="ABJ11" s="59" t="str">
        <f t="shared" si="490"/>
        <v/>
      </c>
      <c r="ABK11" s="59" t="str">
        <f t="shared" si="490"/>
        <v/>
      </c>
      <c r="ABL11" s="59" t="str">
        <f t="shared" si="490"/>
        <v/>
      </c>
      <c r="ABM11" s="59" t="str">
        <f t="shared" si="490"/>
        <v/>
      </c>
      <c r="ABN11" s="59" t="str">
        <f t="shared" si="490"/>
        <v/>
      </c>
      <c r="ABO11" s="59" t="str">
        <f t="shared" si="490"/>
        <v/>
      </c>
      <c r="ABP11" s="59" t="str">
        <f t="shared" si="490"/>
        <v/>
      </c>
      <c r="ABQ11" s="59" t="str">
        <f t="shared" si="490"/>
        <v/>
      </c>
      <c r="ABR11" s="59" t="str">
        <f t="shared" si="490"/>
        <v/>
      </c>
      <c r="ABS11" s="59" t="str">
        <f t="shared" si="490"/>
        <v/>
      </c>
      <c r="ABT11" s="59" t="str">
        <f t="shared" si="490"/>
        <v/>
      </c>
      <c r="ABU11" s="59" t="str">
        <f t="shared" si="490"/>
        <v/>
      </c>
      <c r="ABV11" s="59" t="str">
        <f t="shared" si="490"/>
        <v/>
      </c>
      <c r="ABW11" s="59" t="str">
        <f t="shared" si="490"/>
        <v/>
      </c>
      <c r="ABX11" s="59" t="str">
        <f t="shared" si="490"/>
        <v/>
      </c>
      <c r="ABY11" s="59" t="str">
        <f t="shared" si="490"/>
        <v/>
      </c>
      <c r="ABZ11" s="59" t="str">
        <f t="shared" si="490"/>
        <v/>
      </c>
      <c r="ACA11" s="59" t="str">
        <f t="shared" si="490"/>
        <v/>
      </c>
      <c r="ACB11" s="59" t="str">
        <f t="shared" si="490"/>
        <v/>
      </c>
      <c r="ACC11" s="59" t="str">
        <f t="shared" si="490"/>
        <v/>
      </c>
      <c r="ACD11" s="59" t="str">
        <f t="shared" si="490"/>
        <v/>
      </c>
      <c r="ACE11" s="59" t="str">
        <f t="shared" si="490"/>
        <v/>
      </c>
      <c r="ACF11" s="59" t="str">
        <f t="shared" si="490"/>
        <v/>
      </c>
      <c r="ACG11" s="59" t="str">
        <f t="shared" si="490"/>
        <v/>
      </c>
      <c r="ACH11" s="59" t="str">
        <f t="shared" si="490"/>
        <v/>
      </c>
      <c r="ACI11" s="59" t="str">
        <f t="shared" si="490"/>
        <v/>
      </c>
      <c r="ACJ11" s="59" t="str">
        <f t="shared" si="490"/>
        <v/>
      </c>
      <c r="ACK11" s="59" t="str">
        <f t="shared" si="490"/>
        <v/>
      </c>
      <c r="ACL11" s="59" t="str">
        <f t="shared" si="490"/>
        <v/>
      </c>
      <c r="ACM11" s="59" t="str">
        <f t="shared" si="490"/>
        <v/>
      </c>
      <c r="ACN11" s="59" t="str">
        <f t="shared" si="490"/>
        <v/>
      </c>
      <c r="ACO11" s="59" t="str">
        <f t="shared" si="490"/>
        <v/>
      </c>
      <c r="ACP11" s="59" t="str">
        <f t="shared" si="490"/>
        <v/>
      </c>
      <c r="ACQ11" s="59" t="str">
        <f t="shared" si="490"/>
        <v/>
      </c>
      <c r="ACR11" s="59" t="str">
        <f t="shared" si="490"/>
        <v/>
      </c>
      <c r="ACS11" s="59" t="str">
        <f t="shared" si="490"/>
        <v/>
      </c>
      <c r="ACT11" s="59" t="str">
        <f t="shared" si="490"/>
        <v/>
      </c>
      <c r="ACU11" s="59" t="str">
        <f t="shared" si="490"/>
        <v/>
      </c>
      <c r="ACV11" s="59" t="str">
        <f t="shared" si="490"/>
        <v/>
      </c>
      <c r="ACW11" s="59" t="str">
        <f t="shared" si="490"/>
        <v/>
      </c>
      <c r="ACX11" s="59" t="str">
        <f t="shared" si="490"/>
        <v/>
      </c>
      <c r="ACY11" s="59" t="str">
        <f t="shared" si="490"/>
        <v/>
      </c>
      <c r="ACZ11" s="59" t="str">
        <f t="shared" si="490"/>
        <v/>
      </c>
      <c r="ADA11" s="59" t="str">
        <f t="shared" si="490"/>
        <v/>
      </c>
      <c r="ADB11" s="59" t="str">
        <f t="shared" si="490"/>
        <v/>
      </c>
      <c r="ADC11" s="59" t="str">
        <f t="shared" si="490"/>
        <v/>
      </c>
      <c r="ADD11" s="59" t="str">
        <f t="shared" si="490"/>
        <v/>
      </c>
      <c r="ADE11" s="59" t="str">
        <f t="shared" si="490"/>
        <v/>
      </c>
      <c r="ADF11" s="59" t="str">
        <f t="shared" si="490"/>
        <v/>
      </c>
      <c r="ADG11" s="59" t="str">
        <f t="shared" si="490"/>
        <v/>
      </c>
      <c r="ADH11" s="59" t="str">
        <f t="shared" si="490"/>
        <v/>
      </c>
      <c r="ADI11" s="59" t="str">
        <f t="shared" si="490"/>
        <v/>
      </c>
      <c r="ADJ11" s="59" t="str">
        <f t="shared" si="490"/>
        <v/>
      </c>
      <c r="ADK11" s="59" t="str">
        <f t="shared" si="490"/>
        <v/>
      </c>
      <c r="ADL11" s="59" t="str">
        <f t="shared" si="490"/>
        <v/>
      </c>
      <c r="ADM11" s="59" t="str">
        <f t="shared" si="490"/>
        <v/>
      </c>
      <c r="ADN11" s="59" t="str">
        <f t="shared" si="490"/>
        <v/>
      </c>
      <c r="ADO11" s="59" t="str">
        <f t="shared" si="490"/>
        <v/>
      </c>
      <c r="ADP11" s="59" t="str">
        <f t="shared" si="490"/>
        <v/>
      </c>
      <c r="ADQ11" s="59" t="str">
        <f t="shared" si="490"/>
        <v/>
      </c>
      <c r="ADR11" s="59" t="str">
        <f t="shared" si="490"/>
        <v/>
      </c>
      <c r="ADS11" s="59" t="str">
        <f t="shared" si="490"/>
        <v/>
      </c>
      <c r="ADT11" s="59" t="str">
        <f t="shared" si="490"/>
        <v/>
      </c>
      <c r="ADU11" s="59" t="str">
        <f t="shared" si="490"/>
        <v/>
      </c>
      <c r="ADV11" s="59" t="str">
        <f t="shared" si="490"/>
        <v/>
      </c>
      <c r="ADW11" s="59" t="str">
        <f t="shared" si="490"/>
        <v/>
      </c>
      <c r="ADX11" s="59" t="str">
        <f t="shared" si="490"/>
        <v/>
      </c>
      <c r="ADY11" s="59" t="str">
        <f t="shared" si="490"/>
        <v/>
      </c>
      <c r="ADZ11" s="59" t="str">
        <f t="shared" si="490"/>
        <v/>
      </c>
      <c r="AEA11" s="59" t="str">
        <f t="shared" si="490"/>
        <v/>
      </c>
      <c r="AEB11" s="59" t="str">
        <f t="shared" si="490"/>
        <v/>
      </c>
      <c r="AEC11" s="59" t="str">
        <f t="shared" si="490"/>
        <v/>
      </c>
      <c r="AED11" s="59" t="str">
        <f t="shared" si="490"/>
        <v/>
      </c>
      <c r="AEE11" s="59" t="str">
        <f t="shared" si="490"/>
        <v/>
      </c>
      <c r="AEF11" s="59" t="str">
        <f t="shared" si="490"/>
        <v/>
      </c>
      <c r="AEG11" s="59" t="str">
        <f t="shared" si="490"/>
        <v/>
      </c>
      <c r="AEH11" s="59" t="str">
        <f t="shared" si="490"/>
        <v/>
      </c>
      <c r="AEI11" s="59" t="str">
        <f t="shared" si="490"/>
        <v/>
      </c>
      <c r="AEJ11" s="59" t="str">
        <f t="shared" si="490"/>
        <v/>
      </c>
      <c r="AEK11" s="59" t="str">
        <f t="shared" si="490"/>
        <v/>
      </c>
      <c r="AEL11" s="59" t="str">
        <f t="shared" si="490"/>
        <v/>
      </c>
      <c r="AEM11" s="59" t="str">
        <f t="shared" si="490"/>
        <v/>
      </c>
      <c r="AEN11" s="59" t="str">
        <f t="shared" si="490"/>
        <v/>
      </c>
      <c r="AEO11" s="59" t="str">
        <f t="shared" si="490"/>
        <v/>
      </c>
      <c r="AEP11" s="59" t="str">
        <f t="shared" si="490"/>
        <v/>
      </c>
      <c r="AEQ11" s="59" t="str">
        <f t="shared" si="490"/>
        <v/>
      </c>
      <c r="AER11" s="59" t="str">
        <f t="shared" si="490"/>
        <v/>
      </c>
      <c r="AES11" s="59" t="str">
        <f t="shared" si="490"/>
        <v/>
      </c>
      <c r="AET11" s="59" t="str">
        <f t="shared" si="490"/>
        <v/>
      </c>
      <c r="AEU11" s="59" t="str">
        <f t="shared" si="490"/>
        <v/>
      </c>
      <c r="AEV11" s="59" t="str">
        <f t="shared" si="490"/>
        <v/>
      </c>
      <c r="AEW11" s="59" t="str">
        <f t="shared" si="490"/>
        <v/>
      </c>
      <c r="AEX11" s="59" t="str">
        <f t="shared" si="490"/>
        <v/>
      </c>
      <c r="AEY11" s="59" t="str">
        <f t="shared" si="490"/>
        <v/>
      </c>
      <c r="AEZ11" s="59" t="str">
        <f t="shared" si="490"/>
        <v/>
      </c>
      <c r="AFA11" s="59" t="str">
        <f t="shared" si="490"/>
        <v/>
      </c>
      <c r="AFB11" s="59" t="str">
        <f t="shared" si="490"/>
        <v/>
      </c>
      <c r="AFC11" s="59" t="str">
        <f t="shared" si="490"/>
        <v/>
      </c>
      <c r="AFD11" s="59" t="str">
        <f t="shared" si="490"/>
        <v/>
      </c>
      <c r="AFE11" s="59" t="str">
        <f t="shared" si="490"/>
        <v/>
      </c>
      <c r="AFF11" s="59" t="str">
        <f t="shared" si="490"/>
        <v/>
      </c>
      <c r="AFG11" s="59" t="str">
        <f t="shared" si="490"/>
        <v/>
      </c>
      <c r="AFH11" s="59" t="str">
        <f t="shared" si="490"/>
        <v/>
      </c>
      <c r="AFI11" s="59" t="str">
        <f t="shared" si="490"/>
        <v/>
      </c>
      <c r="AFJ11" s="59" t="str">
        <f t="shared" si="490"/>
        <v/>
      </c>
      <c r="AFK11" s="59" t="str">
        <f t="shared" si="490"/>
        <v/>
      </c>
      <c r="AFL11" s="59" t="str">
        <f t="shared" si="490"/>
        <v/>
      </c>
      <c r="AFM11" s="59" t="str">
        <f t="shared" si="490"/>
        <v/>
      </c>
      <c r="AFN11" s="59" t="str">
        <f t="shared" si="490"/>
        <v/>
      </c>
      <c r="AFO11" s="59" t="str">
        <f t="shared" si="490"/>
        <v/>
      </c>
      <c r="AFP11" s="59" t="str">
        <f t="shared" si="490"/>
        <v/>
      </c>
      <c r="AFQ11" s="59" t="str">
        <f t="shared" si="490"/>
        <v/>
      </c>
      <c r="AFR11" s="59" t="str">
        <f t="shared" si="490"/>
        <v/>
      </c>
      <c r="AFS11" s="59" t="str">
        <f t="shared" si="490"/>
        <v/>
      </c>
      <c r="AFT11" s="59" t="str">
        <f t="shared" si="490"/>
        <v/>
      </c>
      <c r="AFU11" s="59" t="str">
        <f t="shared" si="490"/>
        <v/>
      </c>
      <c r="AFV11" s="59" t="str">
        <f t="shared" si="490"/>
        <v/>
      </c>
      <c r="AFW11" s="59" t="str">
        <f t="shared" si="490"/>
        <v/>
      </c>
      <c r="AFX11" s="59" t="str">
        <f t="shared" si="490"/>
        <v/>
      </c>
      <c r="AFY11" s="59" t="str">
        <f t="shared" si="490"/>
        <v/>
      </c>
      <c r="AFZ11" s="59" t="str">
        <f t="shared" si="490"/>
        <v/>
      </c>
      <c r="AGA11" s="59" t="str">
        <f t="shared" si="490"/>
        <v/>
      </c>
      <c r="AGB11" s="59" t="str">
        <f t="shared" si="490"/>
        <v/>
      </c>
      <c r="AGC11" s="59" t="str">
        <f t="shared" si="490"/>
        <v/>
      </c>
      <c r="AGD11" s="59" t="str">
        <f t="shared" si="490"/>
        <v/>
      </c>
      <c r="AGE11" s="59" t="str">
        <f t="shared" si="490"/>
        <v/>
      </c>
      <c r="AGF11" s="59" t="str">
        <f t="shared" si="490"/>
        <v/>
      </c>
      <c r="AGG11" s="59" t="str">
        <f t="shared" si="490"/>
        <v/>
      </c>
      <c r="AGH11" s="59" t="str">
        <f t="shared" si="490"/>
        <v/>
      </c>
      <c r="AGI11" s="59" t="str">
        <f t="shared" si="490"/>
        <v/>
      </c>
      <c r="AGJ11" s="59" t="str">
        <f t="shared" si="490"/>
        <v/>
      </c>
      <c r="AGK11" s="59" t="str">
        <f t="shared" si="490"/>
        <v/>
      </c>
      <c r="AGL11" s="59" t="str">
        <f t="shared" si="490"/>
        <v/>
      </c>
      <c r="AGM11" s="59" t="str">
        <f t="shared" si="490"/>
        <v/>
      </c>
      <c r="AGN11" s="59" t="str">
        <f t="shared" si="490"/>
        <v/>
      </c>
      <c r="AGO11" s="59" t="str">
        <f t="shared" si="490"/>
        <v/>
      </c>
      <c r="AGP11" s="59" t="str">
        <f t="shared" si="490"/>
        <v/>
      </c>
      <c r="AGQ11" s="59" t="str">
        <f t="shared" si="490"/>
        <v/>
      </c>
      <c r="AGR11" s="59" t="str">
        <f t="shared" si="490"/>
        <v/>
      </c>
      <c r="AGS11" s="59" t="str">
        <f t="shared" si="490"/>
        <v/>
      </c>
      <c r="AGT11" s="59" t="str">
        <f t="shared" si="490"/>
        <v/>
      </c>
      <c r="AGU11" s="59" t="str">
        <f t="shared" si="490"/>
        <v/>
      </c>
      <c r="AGV11" s="59" t="str">
        <f t="shared" si="490"/>
        <v/>
      </c>
      <c r="AGW11" s="195" t="str">
        <f t="shared" si="490"/>
        <v/>
      </c>
      <c r="AGX11" s="195" t="str">
        <f t="shared" si="490"/>
        <v/>
      </c>
      <c r="AGY11" s="195" t="str">
        <f t="shared" si="490"/>
        <v/>
      </c>
      <c r="AGZ11" s="195" t="str">
        <f t="shared" si="490"/>
        <v/>
      </c>
      <c r="AHA11" s="59" t="str">
        <f t="shared" si="490"/>
        <v/>
      </c>
      <c r="AHB11" s="59" t="str">
        <f t="shared" si="490"/>
        <v/>
      </c>
      <c r="AHC11" s="59" t="str">
        <f t="shared" si="490"/>
        <v/>
      </c>
      <c r="AHD11" s="59" t="str">
        <f t="shared" si="490"/>
        <v/>
      </c>
      <c r="AHE11" s="59" t="str">
        <f t="shared" si="490"/>
        <v/>
      </c>
      <c r="AHF11" s="59" t="str">
        <f t="shared" si="490"/>
        <v/>
      </c>
      <c r="AHG11" s="59" t="str">
        <f t="shared" si="490"/>
        <v/>
      </c>
      <c r="AHH11" s="59" t="str">
        <f t="shared" si="490"/>
        <v/>
      </c>
      <c r="AHI11" s="59" t="str">
        <f t="shared" si="490"/>
        <v/>
      </c>
      <c r="AHJ11" s="59" t="str">
        <f>IFERROR(VLOOKUP(INDIRECT(ADDRESS(ROW() - 7, COLUMN())), INDIRECT(ADDRESS(ROW() - 81, 12)):INDIRECT(ADDRESS(ROW() - 77, 16)), 2, FALSE)) + IF(NOT(INDIRECT(ADDRESS(ROW() - (10 + TemplateStats!$B$2), 3)) = "C0"), 25)</f>
        <v>#VALUE!</v>
      </c>
      <c r="AHK11" s="59" t="str">
        <f t="shared" ref="AHK11:AMJ11" si="491">IFERROR(VLOOKUP(INDIRECT(ADDRESS(ROW() - 7, COLUMN())), INDIRECT(ADDRESS(ROW() - 81, 12)):INDIRECT(ADDRESS(ROW() - 77, 16)), 2, FALSE))</f>
        <v/>
      </c>
      <c r="AHL11" s="59" t="str">
        <f t="shared" si="491"/>
        <v/>
      </c>
      <c r="AHM11" s="59" t="str">
        <f t="shared" si="491"/>
        <v/>
      </c>
      <c r="AHN11" s="59" t="str">
        <f t="shared" si="491"/>
        <v/>
      </c>
      <c r="AHO11" s="59" t="str">
        <f t="shared" si="491"/>
        <v/>
      </c>
      <c r="AHP11" s="59" t="str">
        <f t="shared" si="491"/>
        <v/>
      </c>
      <c r="AHQ11" s="59" t="str">
        <f t="shared" si="491"/>
        <v/>
      </c>
      <c r="AHR11" s="59" t="str">
        <f t="shared" si="491"/>
        <v/>
      </c>
      <c r="AHS11" s="59" t="str">
        <f t="shared" si="491"/>
        <v/>
      </c>
      <c r="AHT11" s="59" t="str">
        <f t="shared" si="491"/>
        <v/>
      </c>
      <c r="AHU11" s="59" t="str">
        <f t="shared" si="491"/>
        <v/>
      </c>
      <c r="AHV11" s="59" t="str">
        <f t="shared" si="491"/>
        <v/>
      </c>
      <c r="AHW11" s="59" t="str">
        <f t="shared" si="491"/>
        <v/>
      </c>
      <c r="AHX11" s="59" t="str">
        <f t="shared" si="491"/>
        <v/>
      </c>
      <c r="AHY11" s="59" t="str">
        <f t="shared" si="491"/>
        <v/>
      </c>
      <c r="AHZ11" s="59" t="str">
        <f t="shared" si="491"/>
        <v/>
      </c>
      <c r="AIA11" s="59" t="str">
        <f t="shared" si="491"/>
        <v/>
      </c>
      <c r="AIB11" s="59" t="str">
        <f t="shared" si="491"/>
        <v/>
      </c>
      <c r="AIC11" s="59" t="str">
        <f t="shared" si="491"/>
        <v/>
      </c>
      <c r="AID11" s="59" t="str">
        <f t="shared" si="491"/>
        <v/>
      </c>
      <c r="AIE11" s="59" t="str">
        <f t="shared" si="491"/>
        <v/>
      </c>
      <c r="AIF11" s="59" t="str">
        <f t="shared" si="491"/>
        <v/>
      </c>
      <c r="AIG11" s="59" t="str">
        <f t="shared" si="491"/>
        <v/>
      </c>
      <c r="AIH11" s="59" t="str">
        <f t="shared" si="491"/>
        <v/>
      </c>
      <c r="AII11" s="59" t="str">
        <f t="shared" si="491"/>
        <v/>
      </c>
      <c r="AIJ11" s="59" t="str">
        <f t="shared" si="491"/>
        <v/>
      </c>
      <c r="AIK11" s="59" t="str">
        <f t="shared" si="491"/>
        <v/>
      </c>
      <c r="AIL11" s="59" t="str">
        <f t="shared" si="491"/>
        <v/>
      </c>
      <c r="AIM11" s="59" t="str">
        <f t="shared" si="491"/>
        <v/>
      </c>
      <c r="AIN11" s="59" t="str">
        <f t="shared" si="491"/>
        <v/>
      </c>
      <c r="AIO11" s="59" t="str">
        <f t="shared" si="491"/>
        <v/>
      </c>
      <c r="AIP11" s="59" t="str">
        <f t="shared" si="491"/>
        <v/>
      </c>
      <c r="AIQ11" s="59" t="str">
        <f t="shared" si="491"/>
        <v/>
      </c>
      <c r="AIR11" s="59" t="str">
        <f t="shared" si="491"/>
        <v/>
      </c>
      <c r="AIS11" s="59" t="str">
        <f t="shared" si="491"/>
        <v/>
      </c>
      <c r="AIT11" s="59" t="str">
        <f t="shared" si="491"/>
        <v/>
      </c>
      <c r="AIU11" s="59" t="str">
        <f t="shared" si="491"/>
        <v/>
      </c>
      <c r="AIV11" s="59" t="str">
        <f t="shared" si="491"/>
        <v/>
      </c>
      <c r="AIW11" s="59" t="str">
        <f t="shared" si="491"/>
        <v/>
      </c>
      <c r="AIX11" s="59" t="str">
        <f t="shared" si="491"/>
        <v/>
      </c>
      <c r="AIY11" s="59" t="str">
        <f t="shared" si="491"/>
        <v/>
      </c>
      <c r="AIZ11" s="59" t="str">
        <f t="shared" si="491"/>
        <v/>
      </c>
      <c r="AJA11" s="59" t="str">
        <f t="shared" si="491"/>
        <v/>
      </c>
      <c r="AJB11" s="59" t="str">
        <f t="shared" si="491"/>
        <v/>
      </c>
      <c r="AJC11" s="59" t="str">
        <f t="shared" si="491"/>
        <v/>
      </c>
      <c r="AJD11" s="59" t="str">
        <f t="shared" si="491"/>
        <v/>
      </c>
      <c r="AJE11" s="59" t="str">
        <f t="shared" si="491"/>
        <v/>
      </c>
      <c r="AJF11" s="59" t="str">
        <f t="shared" si="491"/>
        <v/>
      </c>
      <c r="AJG11" s="59" t="str">
        <f t="shared" si="491"/>
        <v/>
      </c>
      <c r="AJH11" s="59" t="str">
        <f t="shared" si="491"/>
        <v/>
      </c>
      <c r="AJI11" s="59" t="str">
        <f t="shared" si="491"/>
        <v/>
      </c>
      <c r="AJJ11" s="59" t="str">
        <f t="shared" si="491"/>
        <v/>
      </c>
      <c r="AJK11" s="59" t="str">
        <f t="shared" si="491"/>
        <v/>
      </c>
      <c r="AJL11" s="59" t="str">
        <f t="shared" si="491"/>
        <v/>
      </c>
      <c r="AJM11" s="59" t="str">
        <f t="shared" si="491"/>
        <v/>
      </c>
      <c r="AJN11" s="59" t="str">
        <f t="shared" si="491"/>
        <v/>
      </c>
      <c r="AJO11" s="59" t="str">
        <f t="shared" si="491"/>
        <v/>
      </c>
      <c r="AJP11" s="59" t="str">
        <f t="shared" si="491"/>
        <v/>
      </c>
      <c r="AJQ11" s="59" t="str">
        <f t="shared" si="491"/>
        <v/>
      </c>
      <c r="AJR11" s="59" t="str">
        <f t="shared" si="491"/>
        <v/>
      </c>
      <c r="AJS11" s="59" t="str">
        <f t="shared" si="491"/>
        <v/>
      </c>
      <c r="AJT11" s="59" t="str">
        <f t="shared" si="491"/>
        <v/>
      </c>
      <c r="AJU11" s="59" t="str">
        <f t="shared" si="491"/>
        <v/>
      </c>
      <c r="AJV11" s="59" t="str">
        <f t="shared" si="491"/>
        <v/>
      </c>
      <c r="AJW11" s="59" t="str">
        <f t="shared" si="491"/>
        <v/>
      </c>
      <c r="AJX11" s="59" t="str">
        <f t="shared" si="491"/>
        <v/>
      </c>
      <c r="AJY11" s="59" t="str">
        <f t="shared" si="491"/>
        <v/>
      </c>
      <c r="AJZ11" s="59" t="str">
        <f t="shared" si="491"/>
        <v/>
      </c>
      <c r="AKA11" s="59" t="str">
        <f t="shared" si="491"/>
        <v/>
      </c>
      <c r="AKB11" s="59" t="str">
        <f t="shared" si="491"/>
        <v/>
      </c>
      <c r="AKC11" s="59" t="str">
        <f t="shared" si="491"/>
        <v/>
      </c>
      <c r="AKD11" s="59" t="str">
        <f t="shared" si="491"/>
        <v/>
      </c>
      <c r="AKE11" s="59" t="str">
        <f t="shared" si="491"/>
        <v/>
      </c>
      <c r="AKF11" s="59" t="str">
        <f t="shared" si="491"/>
        <v/>
      </c>
      <c r="AKG11" s="59" t="str">
        <f t="shared" si="491"/>
        <v/>
      </c>
      <c r="AKH11" s="59" t="str">
        <f t="shared" si="491"/>
        <v/>
      </c>
      <c r="AKI11" s="59" t="str">
        <f t="shared" si="491"/>
        <v/>
      </c>
      <c r="AKJ11" s="59" t="str">
        <f t="shared" si="491"/>
        <v/>
      </c>
      <c r="AKK11" s="59" t="str">
        <f t="shared" si="491"/>
        <v/>
      </c>
      <c r="AKL11" s="59" t="str">
        <f t="shared" si="491"/>
        <v/>
      </c>
      <c r="AKM11" s="59" t="str">
        <f t="shared" si="491"/>
        <v/>
      </c>
      <c r="AKN11" s="59" t="str">
        <f t="shared" si="491"/>
        <v/>
      </c>
      <c r="AKO11" s="59" t="str">
        <f t="shared" si="491"/>
        <v/>
      </c>
      <c r="AKP11" s="59" t="str">
        <f t="shared" si="491"/>
        <v/>
      </c>
      <c r="AKQ11" s="59" t="str">
        <f t="shared" si="491"/>
        <v/>
      </c>
      <c r="AKR11" s="59" t="str">
        <f t="shared" si="491"/>
        <v/>
      </c>
      <c r="AKS11" s="59" t="str">
        <f t="shared" si="491"/>
        <v/>
      </c>
      <c r="AKT11" s="59" t="str">
        <f t="shared" si="491"/>
        <v/>
      </c>
      <c r="AKU11" s="59" t="str">
        <f t="shared" si="491"/>
        <v/>
      </c>
      <c r="AKV11" s="59" t="str">
        <f t="shared" si="491"/>
        <v/>
      </c>
      <c r="AKW11" s="59" t="str">
        <f t="shared" si="491"/>
        <v/>
      </c>
      <c r="AKX11" s="59" t="str">
        <f t="shared" si="491"/>
        <v/>
      </c>
      <c r="AKY11" s="59" t="str">
        <f t="shared" si="491"/>
        <v/>
      </c>
      <c r="AKZ11" s="59" t="str">
        <f t="shared" si="491"/>
        <v/>
      </c>
      <c r="ALA11" s="59" t="str">
        <f t="shared" si="491"/>
        <v/>
      </c>
      <c r="ALB11" s="59" t="str">
        <f t="shared" si="491"/>
        <v/>
      </c>
      <c r="ALC11" s="59" t="str">
        <f t="shared" si="491"/>
        <v/>
      </c>
      <c r="ALD11" s="59" t="str">
        <f t="shared" si="491"/>
        <v/>
      </c>
      <c r="ALE11" s="59" t="str">
        <f t="shared" si="491"/>
        <v/>
      </c>
      <c r="ALF11" s="59" t="str">
        <f t="shared" si="491"/>
        <v/>
      </c>
      <c r="ALG11" s="59" t="str">
        <f t="shared" si="491"/>
        <v/>
      </c>
      <c r="ALH11" s="59" t="str">
        <f t="shared" si="491"/>
        <v/>
      </c>
      <c r="ALI11" s="59" t="str">
        <f t="shared" si="491"/>
        <v/>
      </c>
      <c r="ALJ11" s="59" t="str">
        <f t="shared" si="491"/>
        <v/>
      </c>
      <c r="ALK11" s="59" t="str">
        <f t="shared" si="491"/>
        <v/>
      </c>
      <c r="ALL11" s="59" t="str">
        <f t="shared" si="491"/>
        <v/>
      </c>
      <c r="ALM11" s="59" t="str">
        <f t="shared" si="491"/>
        <v/>
      </c>
      <c r="ALN11" s="59" t="str">
        <f t="shared" si="491"/>
        <v/>
      </c>
      <c r="ALO11" s="59" t="str">
        <f t="shared" si="491"/>
        <v/>
      </c>
      <c r="ALP11" s="59" t="str">
        <f t="shared" si="491"/>
        <v/>
      </c>
      <c r="ALQ11" s="59" t="str">
        <f t="shared" si="491"/>
        <v/>
      </c>
      <c r="ALR11" s="59" t="str">
        <f t="shared" si="491"/>
        <v/>
      </c>
      <c r="ALS11" s="59" t="str">
        <f t="shared" si="491"/>
        <v/>
      </c>
      <c r="ALT11" s="59" t="str">
        <f t="shared" si="491"/>
        <v/>
      </c>
      <c r="ALU11" s="59" t="str">
        <f t="shared" si="491"/>
        <v/>
      </c>
      <c r="ALV11" s="59" t="str">
        <f t="shared" si="491"/>
        <v/>
      </c>
      <c r="ALW11" s="59" t="str">
        <f t="shared" si="491"/>
        <v/>
      </c>
      <c r="ALX11" s="59" t="str">
        <f t="shared" si="491"/>
        <v/>
      </c>
      <c r="ALY11" s="59" t="str">
        <f t="shared" si="491"/>
        <v/>
      </c>
      <c r="ALZ11" s="59" t="str">
        <f t="shared" si="491"/>
        <v/>
      </c>
      <c r="AMA11" s="59" t="str">
        <f t="shared" si="491"/>
        <v/>
      </c>
      <c r="AMB11" s="59" t="str">
        <f t="shared" si="491"/>
        <v/>
      </c>
      <c r="AMC11" s="59" t="str">
        <f t="shared" si="491"/>
        <v/>
      </c>
      <c r="AMD11" s="59" t="str">
        <f t="shared" si="491"/>
        <v/>
      </c>
      <c r="AME11" s="59" t="str">
        <f t="shared" si="491"/>
        <v/>
      </c>
      <c r="AMF11" s="59" t="str">
        <f t="shared" si="491"/>
        <v/>
      </c>
      <c r="AMG11" s="59" t="str">
        <f t="shared" si="491"/>
        <v/>
      </c>
      <c r="AMH11" s="59" t="str">
        <f t="shared" si="491"/>
        <v/>
      </c>
      <c r="AMI11" s="59" t="str">
        <f t="shared" si="491"/>
        <v/>
      </c>
      <c r="AMJ11" s="59" t="str">
        <f t="shared" si="491"/>
        <v/>
      </c>
      <c r="AMK11" s="59">
        <f>IFERROR(VLOOKUP(INDIRECT(ADDRESS(ROW() - 7, COLUMN())), INDIRECT(ADDRESS(ROW() - 81, 12)):INDIRECT(ADDRESS(ROW() - 77, 16)), 2, FALSE)) + 80</f>
        <v>80</v>
      </c>
      <c r="AML11" s="59" t="str">
        <f t="shared" ref="AML11:AMP11" si="492">IFERROR(VLOOKUP(INDIRECT(ADDRESS(ROW() - 7, COLUMN())), INDIRECT(ADDRESS(ROW() - 81, 12)):INDIRECT(ADDRESS(ROW() - 77, 16)), 2, FALSE))</f>
        <v/>
      </c>
      <c r="AMM11" s="59" t="str">
        <f t="shared" si="492"/>
        <v/>
      </c>
      <c r="AMN11" s="59" t="str">
        <f t="shared" si="492"/>
        <v/>
      </c>
      <c r="AMO11" s="59" t="str">
        <f t="shared" si="492"/>
        <v/>
      </c>
      <c r="AMP11" s="59" t="str">
        <f t="shared" si="492"/>
        <v/>
      </c>
      <c r="AMQ11" s="59" t="str">
        <f>IFERROR(VLOOKUP(INDIRECT(ADDRESS(ROW() - 7, COLUMN())), INDIRECT(ADDRESS(ROW() - 81, 12)):INDIRECT(ADDRESS(ROW() - 77, 16)), 2, FALSE)) + (1 *  IF(INDIRECT(ADDRESS(ROW() - 6, COLUMN())) = 1, 53.2, IF(INDIRECT(ADDRESS(ROW() - 6, COLUMN())) = 2, 57.19, IF(INDIRECT(ADDRESS(ROW() - 6, COLUMN())) = 3, 61.18, IF(INDIRECT(ADDRESS(ROW() - 6, COLUMN())) = 4, 66.5, IF(INDIRECT(ADDRESS(ROW() - 6, COLUMN())) = 5, 70.49, IF(INDIRECT(ADDRESS(ROW() - 6, COLUMN())) = 6, 74.48, IF(INDIRECT(ADDRESS(ROW() - 6, COLUMN())) = 7, 79.8, IF(INDIRECT(ADDRESS(ROW() - 6, COLUMN())) = 8, 85.1199999999999, IF(INDIRECT(ADDRESS(ROW() - 6, COLUMN())) = 9, 90.44, IF(INDIRECT(ADDRESS(ROW() - 6, COLUMN())) = 10, 95.76, IF(INDIRECT(ADDRESS(ROW() - 6, COLUMN())) = 11, 101.08, IF(INDIRECT(ADDRESS(ROW() - 6, COLUMN())) = 12, 106.4, IF(INDIRECT(ADDRESS(ROW() - 6, COLUMN())) = 13, 113.05,0))))))))))))))</f>
        <v>#VALUE!</v>
      </c>
      <c r="AMR11" s="59" t="str">
        <f>IFERROR(VLOOKUP(INDIRECT(ADDRESS(ROW() - 7, COLUMN())), INDIRECT(ADDRESS(ROW() - 81, 12)):INDIRECT(ADDRESS(ROW() - 77, 16)), 2, FALSE)) + (2 *  IF(INDIRECT(ADDRESS(ROW() - 6, COLUMN())) = 1, 53.2, IF(INDIRECT(ADDRESS(ROW() - 6, COLUMN())) = 2, 57.19, IF(INDIRECT(ADDRESS(ROW() - 6, COLUMN())) = 3, 61.18, IF(INDIRECT(ADDRESS(ROW() - 6, COLUMN())) = 4, 66.5, IF(INDIRECT(ADDRESS(ROW() - 6, COLUMN())) = 5, 70.49, IF(INDIRECT(ADDRESS(ROW() - 6, COLUMN())) = 6, 74.48, IF(INDIRECT(ADDRESS(ROW() - 6, COLUMN())) = 7, 79.8, IF(INDIRECT(ADDRESS(ROW() - 6, COLUMN())) = 8, 85.1199999999999, IF(INDIRECT(ADDRESS(ROW() - 6, COLUMN())) = 9, 90.44, IF(INDIRECT(ADDRESS(ROW() - 6, COLUMN())) = 10, 95.76, IF(INDIRECT(ADDRESS(ROW() - 6, COLUMN())) = 11, 101.08, IF(INDIRECT(ADDRESS(ROW() - 6, COLUMN())) = 12, 106.4, IF(INDIRECT(ADDRESS(ROW() - 6, COLUMN())) = 13, 113.05,0))))))))))))))</f>
        <v>#VALUE!</v>
      </c>
      <c r="AMS11" s="59" t="str">
        <f>IFERROR(VLOOKUP(INDIRECT(ADDRESS(ROW() - 7, COLUMN())), INDIRECT(ADDRESS(ROW() - 81, 12)):INDIRECT(ADDRESS(ROW() - 77, 16)), 2, FALSE)) + (3 *  IF(INDIRECT(ADDRESS(ROW() - 6, COLUMN())) = 1, 53.2, IF(INDIRECT(ADDRESS(ROW() - 6, COLUMN())) = 2, 57.19, IF(INDIRECT(ADDRESS(ROW() - 6, COLUMN())) = 3, 61.18, IF(INDIRECT(ADDRESS(ROW() - 6, COLUMN())) = 4, 66.5, IF(INDIRECT(ADDRESS(ROW() - 6, COLUMN())) = 5, 70.49, IF(INDIRECT(ADDRESS(ROW() - 6, COLUMN())) = 6, 74.48, IF(INDIRECT(ADDRESS(ROW() - 6, COLUMN())) = 7, 79.8, IF(INDIRECT(ADDRESS(ROW() - 6, COLUMN())) = 8, 85.1199999999999, IF(INDIRECT(ADDRESS(ROW() - 6, COLUMN())) = 9, 90.44, IF(INDIRECT(ADDRESS(ROW() - 6, COLUMN())) = 10, 95.76, IF(INDIRECT(ADDRESS(ROW() - 6, COLUMN())) = 11, 101.08, IF(INDIRECT(ADDRESS(ROW() - 6, COLUMN())) = 12, 106.4, IF(INDIRECT(ADDRESS(ROW() - 6, COLUMN())) = 13, 113.05,0))))))))))))))</f>
        <v>#VALUE!</v>
      </c>
      <c r="AMT11" s="59" t="str">
        <f>IFERROR(VLOOKUP(INDIRECT(ADDRESS(ROW() - 7, COLUMN())), INDIRECT(ADDRESS(ROW() - 81, 12)):INDIRECT(ADDRESS(ROW() - 77, 16)), 2, FALSE)) + (4 *  IF(INDIRECT(ADDRESS(ROW() - 6, COLUMN())) = 1, 53.2, IF(INDIRECT(ADDRESS(ROW() - 6, COLUMN())) = 2, 57.19, IF(INDIRECT(ADDRESS(ROW() - 6, COLUMN())) = 3, 61.18, IF(INDIRECT(ADDRESS(ROW() - 6, COLUMN())) = 4, 66.5, IF(INDIRECT(ADDRESS(ROW() - 6, COLUMN())) = 5, 70.49, IF(INDIRECT(ADDRESS(ROW() - 6, COLUMN())) = 6, 74.48, IF(INDIRECT(ADDRESS(ROW() - 6, COLUMN())) = 7, 79.8, IF(INDIRECT(ADDRESS(ROW() - 6, COLUMN())) = 8, 85.1199999999999, IF(INDIRECT(ADDRESS(ROW() - 6, COLUMN())) = 9, 90.44, IF(INDIRECT(ADDRESS(ROW() - 6, COLUMN())) = 10, 95.76, IF(INDIRECT(ADDRESS(ROW() - 6, COLUMN())) = 11, 101.08, IF(INDIRECT(ADDRESS(ROW() - 6, COLUMN())) = 12, 106.4, IF(INDIRECT(ADDRESS(ROW() - 6, COLUMN())) = 13, 113.05,0))))))))))))))</f>
        <v>#VALUE!</v>
      </c>
      <c r="AMU11" s="59" t="str">
        <f>IFERROR(VLOOKUP(INDIRECT(ADDRESS(ROW() - 7, COLUMN())), INDIRECT(ADDRESS(ROW() - 81, 12)):INDIRECT(ADDRESS(ROW() - 77, 16)), 2, FALSE)) + (5 *  IF(INDIRECT(ADDRESS(ROW() - 6, COLUMN())) = 1, 53.2, IF(INDIRECT(ADDRESS(ROW() - 6, COLUMN())) = 2, 57.19, IF(INDIRECT(ADDRESS(ROW() - 6, COLUMN())) = 3, 61.18, IF(INDIRECT(ADDRESS(ROW() - 6, COLUMN())) = 4, 66.5, IF(INDIRECT(ADDRESS(ROW() - 6, COLUMN())) = 5, 70.49, IF(INDIRECT(ADDRESS(ROW() - 6, COLUMN())) = 6, 74.48, IF(INDIRECT(ADDRESS(ROW() - 6, COLUMN())) = 7, 79.8, IF(INDIRECT(ADDRESS(ROW() - 6, COLUMN())) = 8, 85.1199999999999, IF(INDIRECT(ADDRESS(ROW() - 6, COLUMN())) = 9, 90.44, IF(INDIRECT(ADDRESS(ROW() - 6, COLUMN())) = 10, 95.76, IF(INDIRECT(ADDRESS(ROW() - 6, COLUMN())) = 11, 101.08, IF(INDIRECT(ADDRESS(ROW() - 6, COLUMN())) = 12, 106.4, IF(INDIRECT(ADDRESS(ROW() - 6, COLUMN())) = 13, 113.05,0))))))))))))))</f>
        <v>#VALUE!</v>
      </c>
      <c r="AMV11" s="59" t="str">
        <f t="shared" ref="AMV11:AQL11" si="493">IFERROR(VLOOKUP(INDIRECT(ADDRESS(ROW() - 7, COLUMN())), INDIRECT(ADDRESS(ROW() - 81, 12)):INDIRECT(ADDRESS(ROW() - 77, 16)), 2, FALSE))</f>
        <v/>
      </c>
      <c r="AMW11" s="59" t="str">
        <f t="shared" si="493"/>
        <v/>
      </c>
      <c r="AMX11" s="59" t="str">
        <f t="shared" si="493"/>
        <v/>
      </c>
      <c r="AMY11" s="59" t="str">
        <f t="shared" si="493"/>
        <v/>
      </c>
      <c r="AMZ11" s="59" t="str">
        <f t="shared" si="493"/>
        <v/>
      </c>
      <c r="ANA11" s="59" t="str">
        <f t="shared" si="493"/>
        <v/>
      </c>
      <c r="ANB11" s="59" t="str">
        <f t="shared" si="493"/>
        <v/>
      </c>
      <c r="ANC11" s="59" t="str">
        <f t="shared" si="493"/>
        <v/>
      </c>
      <c r="AND11" s="59" t="str">
        <f t="shared" si="493"/>
        <v/>
      </c>
      <c r="ANE11" s="59" t="str">
        <f t="shared" si="493"/>
        <v/>
      </c>
      <c r="ANF11" s="59" t="str">
        <f t="shared" si="493"/>
        <v/>
      </c>
      <c r="ANG11" s="59" t="str">
        <f t="shared" si="493"/>
        <v/>
      </c>
      <c r="ANH11" s="59" t="str">
        <f t="shared" si="493"/>
        <v/>
      </c>
      <c r="ANI11" s="59" t="str">
        <f t="shared" si="493"/>
        <v/>
      </c>
      <c r="ANJ11" s="59" t="str">
        <f t="shared" si="493"/>
        <v/>
      </c>
      <c r="ANK11" s="59" t="str">
        <f t="shared" si="493"/>
        <v/>
      </c>
      <c r="ANL11" s="59" t="str">
        <f t="shared" si="493"/>
        <v/>
      </c>
      <c r="ANM11" s="59" t="str">
        <f t="shared" si="493"/>
        <v/>
      </c>
      <c r="ANN11" s="59" t="str">
        <f t="shared" si="493"/>
        <v/>
      </c>
      <c r="ANO11" s="59" t="str">
        <f t="shared" si="493"/>
        <v/>
      </c>
      <c r="ANP11" s="59" t="str">
        <f t="shared" si="493"/>
        <v/>
      </c>
      <c r="ANQ11" s="59" t="str">
        <f t="shared" si="493"/>
        <v/>
      </c>
      <c r="ANR11" s="59" t="str">
        <f t="shared" si="493"/>
        <v/>
      </c>
      <c r="ANS11" s="59" t="str">
        <f t="shared" si="493"/>
        <v/>
      </c>
      <c r="ANT11" s="59" t="str">
        <f t="shared" si="493"/>
        <v/>
      </c>
      <c r="ANU11" s="59" t="str">
        <f t="shared" si="493"/>
        <v/>
      </c>
      <c r="ANV11" s="59" t="str">
        <f t="shared" si="493"/>
        <v/>
      </c>
      <c r="ANW11" s="59" t="str">
        <f t="shared" si="493"/>
        <v/>
      </c>
      <c r="ANX11" s="59" t="str">
        <f t="shared" si="493"/>
        <v/>
      </c>
      <c r="ANY11" s="59" t="str">
        <f t="shared" si="493"/>
        <v/>
      </c>
      <c r="ANZ11" s="59" t="str">
        <f t="shared" si="493"/>
        <v/>
      </c>
      <c r="AOA11" s="59" t="str">
        <f t="shared" si="493"/>
        <v/>
      </c>
      <c r="AOB11" s="59" t="str">
        <f t="shared" si="493"/>
        <v/>
      </c>
      <c r="AOC11" s="59" t="str">
        <f t="shared" si="493"/>
        <v/>
      </c>
      <c r="AOD11" s="59" t="str">
        <f t="shared" si="493"/>
        <v/>
      </c>
      <c r="AOE11" s="59" t="str">
        <f t="shared" si="493"/>
        <v/>
      </c>
      <c r="AOF11" s="59" t="str">
        <f t="shared" si="493"/>
        <v/>
      </c>
      <c r="AOG11" s="59" t="str">
        <f t="shared" si="493"/>
        <v/>
      </c>
      <c r="AOH11" s="59" t="str">
        <f t="shared" si="493"/>
        <v/>
      </c>
      <c r="AOI11" s="59" t="str">
        <f t="shared" si="493"/>
        <v/>
      </c>
      <c r="AOJ11" s="59" t="str">
        <f t="shared" si="493"/>
        <v/>
      </c>
      <c r="AOK11" s="59" t="str">
        <f t="shared" si="493"/>
        <v/>
      </c>
      <c r="AOL11" s="59" t="str">
        <f t="shared" si="493"/>
        <v/>
      </c>
      <c r="AOM11" s="59" t="str">
        <f t="shared" si="493"/>
        <v/>
      </c>
      <c r="AON11" s="59" t="str">
        <f t="shared" si="493"/>
        <v/>
      </c>
      <c r="AOO11" s="59" t="str">
        <f t="shared" si="493"/>
        <v/>
      </c>
      <c r="AOP11" s="59" t="str">
        <f t="shared" si="493"/>
        <v/>
      </c>
      <c r="AOQ11" s="59" t="str">
        <f t="shared" si="493"/>
        <v/>
      </c>
      <c r="AOR11" s="59" t="str">
        <f t="shared" si="493"/>
        <v/>
      </c>
      <c r="AOS11" s="59" t="str">
        <f t="shared" si="493"/>
        <v/>
      </c>
      <c r="AOT11" s="59" t="str">
        <f t="shared" si="493"/>
        <v/>
      </c>
      <c r="AOU11" s="59" t="str">
        <f t="shared" si="493"/>
        <v/>
      </c>
      <c r="AOV11" s="59" t="str">
        <f t="shared" si="493"/>
        <v/>
      </c>
      <c r="AOW11" s="59" t="str">
        <f t="shared" si="493"/>
        <v/>
      </c>
      <c r="AOX11" s="59" t="str">
        <f t="shared" si="493"/>
        <v/>
      </c>
      <c r="AOY11" s="59" t="str">
        <f t="shared" si="493"/>
        <v/>
      </c>
      <c r="AOZ11" s="59" t="str">
        <f t="shared" si="493"/>
        <v/>
      </c>
      <c r="APA11" s="59" t="str">
        <f t="shared" si="493"/>
        <v/>
      </c>
      <c r="APB11" s="59" t="str">
        <f t="shared" si="493"/>
        <v/>
      </c>
      <c r="APC11" s="59" t="str">
        <f t="shared" si="493"/>
        <v/>
      </c>
      <c r="APD11" s="59" t="str">
        <f t="shared" si="493"/>
        <v/>
      </c>
      <c r="APE11" s="59" t="str">
        <f t="shared" si="493"/>
        <v/>
      </c>
      <c r="APF11" s="59" t="str">
        <f t="shared" si="493"/>
        <v/>
      </c>
      <c r="APG11" s="59" t="str">
        <f t="shared" si="493"/>
        <v/>
      </c>
      <c r="APH11" s="59" t="str">
        <f t="shared" si="493"/>
        <v/>
      </c>
      <c r="API11" s="59" t="str">
        <f t="shared" si="493"/>
        <v/>
      </c>
      <c r="APJ11" s="59" t="str">
        <f t="shared" si="493"/>
        <v/>
      </c>
      <c r="APK11" s="59" t="str">
        <f t="shared" si="493"/>
        <v/>
      </c>
      <c r="APL11" s="59" t="str">
        <f t="shared" si="493"/>
        <v/>
      </c>
      <c r="APM11" s="59" t="str">
        <f t="shared" si="493"/>
        <v/>
      </c>
      <c r="APN11" s="59" t="str">
        <f t="shared" si="493"/>
        <v/>
      </c>
      <c r="APO11" s="59" t="str">
        <f t="shared" si="493"/>
        <v/>
      </c>
      <c r="APP11" s="59" t="str">
        <f t="shared" si="493"/>
        <v/>
      </c>
      <c r="APQ11" s="59" t="str">
        <f t="shared" si="493"/>
        <v/>
      </c>
      <c r="APR11" s="59" t="str">
        <f t="shared" si="493"/>
        <v/>
      </c>
      <c r="APS11" s="59" t="str">
        <f t="shared" si="493"/>
        <v/>
      </c>
      <c r="APT11" s="59" t="str">
        <f t="shared" si="493"/>
        <v/>
      </c>
      <c r="APU11" s="59" t="str">
        <f t="shared" si="493"/>
        <v/>
      </c>
      <c r="APV11" s="59" t="str">
        <f t="shared" si="493"/>
        <v/>
      </c>
      <c r="APW11" s="59" t="str">
        <f t="shared" si="493"/>
        <v/>
      </c>
      <c r="APX11" s="59" t="str">
        <f t="shared" si="493"/>
        <v/>
      </c>
      <c r="APY11" s="59" t="str">
        <f t="shared" si="493"/>
        <v/>
      </c>
      <c r="APZ11" s="59" t="str">
        <f t="shared" si="493"/>
        <v/>
      </c>
      <c r="AQA11" s="59" t="str">
        <f t="shared" si="493"/>
        <v/>
      </c>
      <c r="AQB11" s="59" t="str">
        <f t="shared" si="493"/>
        <v/>
      </c>
      <c r="AQC11" s="59" t="str">
        <f t="shared" si="493"/>
        <v/>
      </c>
      <c r="AQD11" s="59" t="str">
        <f t="shared" si="493"/>
        <v/>
      </c>
      <c r="AQE11" s="59" t="str">
        <f t="shared" si="493"/>
        <v/>
      </c>
      <c r="AQF11" s="59" t="str">
        <f t="shared" si="493"/>
        <v/>
      </c>
      <c r="AQG11" s="59" t="str">
        <f t="shared" si="493"/>
        <v/>
      </c>
      <c r="AQH11" s="59" t="str">
        <f t="shared" si="493"/>
        <v/>
      </c>
      <c r="AQI11" s="59" t="str">
        <f t="shared" si="493"/>
        <v/>
      </c>
      <c r="AQJ11" s="59" t="str">
        <f t="shared" si="493"/>
        <v/>
      </c>
      <c r="AQK11" s="59" t="str">
        <f t="shared" si="493"/>
        <v/>
      </c>
      <c r="AQL11" s="59" t="str">
        <f t="shared" si="493"/>
        <v/>
      </c>
    </row>
    <row r="12">
      <c r="A12" s="4" t="s">
        <v>258</v>
      </c>
      <c r="B12" s="59" t="str">
        <f t="shared" ref="B12:LT12" si="494">IFERROR(VLOOKUP(INDIRECT(ADDRESS(ROW() - 8, COLUMN())), INDIRECT(ADDRESS(ROW() - 82, 12)):INDIRECT(ADDRESS(ROW() - 78, 16)), 3, FALSE))</f>
        <v/>
      </c>
      <c r="C12" s="59" t="str">
        <f t="shared" si="494"/>
        <v/>
      </c>
      <c r="D12" s="59" t="str">
        <f t="shared" si="494"/>
        <v/>
      </c>
      <c r="E12" s="59" t="str">
        <f t="shared" si="494"/>
        <v/>
      </c>
      <c r="F12" s="59" t="str">
        <f t="shared" si="494"/>
        <v/>
      </c>
      <c r="G12" s="59" t="str">
        <f t="shared" si="494"/>
        <v/>
      </c>
      <c r="H12" s="59" t="str">
        <f t="shared" si="494"/>
        <v/>
      </c>
      <c r="I12" s="59" t="str">
        <f t="shared" si="494"/>
        <v/>
      </c>
      <c r="J12" s="59" t="str">
        <f t="shared" si="494"/>
        <v/>
      </c>
      <c r="K12" s="59" t="str">
        <f t="shared" si="494"/>
        <v/>
      </c>
      <c r="L12" s="59" t="str">
        <f t="shared" si="494"/>
        <v/>
      </c>
      <c r="M12" s="59" t="str">
        <f t="shared" si="494"/>
        <v/>
      </c>
      <c r="N12" s="59" t="str">
        <f t="shared" si="494"/>
        <v/>
      </c>
      <c r="O12" s="59" t="str">
        <f t="shared" si="494"/>
        <v/>
      </c>
      <c r="P12" s="59" t="str">
        <f t="shared" si="494"/>
        <v/>
      </c>
      <c r="Q12" s="59" t="str">
        <f t="shared" si="494"/>
        <v/>
      </c>
      <c r="R12" s="59" t="str">
        <f t="shared" si="494"/>
        <v/>
      </c>
      <c r="S12" s="59" t="str">
        <f t="shared" si="494"/>
        <v/>
      </c>
      <c r="T12" s="59" t="str">
        <f t="shared" si="494"/>
        <v/>
      </c>
      <c r="U12" s="59" t="str">
        <f t="shared" si="494"/>
        <v/>
      </c>
      <c r="V12" s="59" t="str">
        <f t="shared" si="494"/>
        <v/>
      </c>
      <c r="W12" s="59" t="str">
        <f t="shared" si="494"/>
        <v/>
      </c>
      <c r="X12" s="59" t="str">
        <f t="shared" si="494"/>
        <v/>
      </c>
      <c r="Y12" s="59" t="str">
        <f t="shared" si="494"/>
        <v/>
      </c>
      <c r="Z12" s="59" t="str">
        <f t="shared" si="494"/>
        <v/>
      </c>
      <c r="AA12" s="59" t="str">
        <f t="shared" si="494"/>
        <v/>
      </c>
      <c r="AB12" s="59" t="str">
        <f t="shared" si="494"/>
        <v/>
      </c>
      <c r="AC12" s="59" t="str">
        <f t="shared" si="494"/>
        <v/>
      </c>
      <c r="AD12" s="59" t="str">
        <f t="shared" si="494"/>
        <v/>
      </c>
      <c r="AE12" s="59" t="str">
        <f t="shared" si="494"/>
        <v/>
      </c>
      <c r="AF12" s="59" t="str">
        <f t="shared" si="494"/>
        <v/>
      </c>
      <c r="AG12" s="59" t="str">
        <f t="shared" si="494"/>
        <v/>
      </c>
      <c r="AH12" s="59" t="str">
        <f t="shared" si="494"/>
        <v/>
      </c>
      <c r="AI12" s="59" t="str">
        <f t="shared" si="494"/>
        <v/>
      </c>
      <c r="AJ12" s="59" t="str">
        <f t="shared" si="494"/>
        <v/>
      </c>
      <c r="AK12" s="59" t="str">
        <f t="shared" si="494"/>
        <v/>
      </c>
      <c r="AL12" s="59" t="str">
        <f t="shared" si="494"/>
        <v/>
      </c>
      <c r="AM12" s="59" t="str">
        <f t="shared" si="494"/>
        <v/>
      </c>
      <c r="AN12" s="59" t="str">
        <f t="shared" si="494"/>
        <v/>
      </c>
      <c r="AO12" s="59" t="str">
        <f t="shared" si="494"/>
        <v/>
      </c>
      <c r="AP12" s="59" t="str">
        <f t="shared" si="494"/>
        <v/>
      </c>
      <c r="AQ12" s="59" t="str">
        <f t="shared" si="494"/>
        <v/>
      </c>
      <c r="AR12" s="59" t="str">
        <f t="shared" si="494"/>
        <v/>
      </c>
      <c r="AS12" s="59" t="str">
        <f t="shared" si="494"/>
        <v/>
      </c>
      <c r="AT12" s="59" t="str">
        <f t="shared" si="494"/>
        <v/>
      </c>
      <c r="AU12" s="59" t="str">
        <f t="shared" si="494"/>
        <v/>
      </c>
      <c r="AV12" s="59" t="str">
        <f t="shared" si="494"/>
        <v/>
      </c>
      <c r="AW12" s="59" t="str">
        <f t="shared" si="494"/>
        <v/>
      </c>
      <c r="AX12" s="59" t="str">
        <f t="shared" si="494"/>
        <v/>
      </c>
      <c r="AY12" s="59" t="str">
        <f t="shared" si="494"/>
        <v/>
      </c>
      <c r="AZ12" s="59" t="str">
        <f t="shared" si="494"/>
        <v/>
      </c>
      <c r="BA12" s="59" t="str">
        <f t="shared" si="494"/>
        <v/>
      </c>
      <c r="BB12" s="59" t="str">
        <f t="shared" si="494"/>
        <v/>
      </c>
      <c r="BC12" s="59" t="str">
        <f t="shared" si="494"/>
        <v/>
      </c>
      <c r="BD12" s="59" t="str">
        <f t="shared" si="494"/>
        <v/>
      </c>
      <c r="BE12" s="59" t="str">
        <f t="shared" si="494"/>
        <v/>
      </c>
      <c r="BF12" s="59" t="str">
        <f t="shared" si="494"/>
        <v/>
      </c>
      <c r="BG12" s="59" t="str">
        <f t="shared" si="494"/>
        <v/>
      </c>
      <c r="BH12" s="59" t="str">
        <f t="shared" si="494"/>
        <v/>
      </c>
      <c r="BI12" s="59" t="str">
        <f t="shared" si="494"/>
        <v/>
      </c>
      <c r="BJ12" s="59" t="str">
        <f t="shared" si="494"/>
        <v/>
      </c>
      <c r="BK12" s="59" t="str">
        <f t="shared" si="494"/>
        <v/>
      </c>
      <c r="BL12" s="59" t="str">
        <f t="shared" si="494"/>
        <v/>
      </c>
      <c r="BM12" s="59" t="str">
        <f t="shared" si="494"/>
        <v/>
      </c>
      <c r="BN12" s="59" t="str">
        <f t="shared" si="494"/>
        <v/>
      </c>
      <c r="BO12" s="59" t="str">
        <f t="shared" si="494"/>
        <v/>
      </c>
      <c r="BP12" s="59" t="str">
        <f t="shared" si="494"/>
        <v/>
      </c>
      <c r="BQ12" s="59" t="str">
        <f t="shared" si="494"/>
        <v/>
      </c>
      <c r="BR12" s="59" t="str">
        <f t="shared" si="494"/>
        <v/>
      </c>
      <c r="BS12" s="59" t="str">
        <f t="shared" si="494"/>
        <v/>
      </c>
      <c r="BT12" s="59" t="str">
        <f t="shared" si="494"/>
        <v/>
      </c>
      <c r="BU12" s="59" t="str">
        <f t="shared" si="494"/>
        <v/>
      </c>
      <c r="BV12" s="59" t="str">
        <f t="shared" si="494"/>
        <v/>
      </c>
      <c r="BW12" s="59" t="str">
        <f t="shared" si="494"/>
        <v/>
      </c>
      <c r="BX12" s="59" t="str">
        <f t="shared" si="494"/>
        <v/>
      </c>
      <c r="BY12" s="59" t="str">
        <f t="shared" si="494"/>
        <v/>
      </c>
      <c r="BZ12" s="59" t="str">
        <f t="shared" si="494"/>
        <v/>
      </c>
      <c r="CA12" s="59" t="str">
        <f t="shared" si="494"/>
        <v/>
      </c>
      <c r="CB12" s="59" t="str">
        <f t="shared" si="494"/>
        <v/>
      </c>
      <c r="CC12" s="59" t="str">
        <f t="shared" si="494"/>
        <v/>
      </c>
      <c r="CD12" s="59" t="str">
        <f t="shared" si="494"/>
        <v/>
      </c>
      <c r="CE12" s="59" t="str">
        <f t="shared" si="494"/>
        <v/>
      </c>
      <c r="CF12" s="59" t="str">
        <f t="shared" si="494"/>
        <v/>
      </c>
      <c r="CG12" s="59" t="str">
        <f t="shared" si="494"/>
        <v/>
      </c>
      <c r="CH12" s="59" t="str">
        <f t="shared" si="494"/>
        <v/>
      </c>
      <c r="CI12" s="59" t="str">
        <f t="shared" si="494"/>
        <v/>
      </c>
      <c r="CJ12" s="59" t="str">
        <f t="shared" si="494"/>
        <v/>
      </c>
      <c r="CK12" s="59" t="str">
        <f t="shared" si="494"/>
        <v/>
      </c>
      <c r="CL12" s="59" t="str">
        <f t="shared" si="494"/>
        <v/>
      </c>
      <c r="CM12" s="59" t="str">
        <f t="shared" si="494"/>
        <v/>
      </c>
      <c r="CN12" s="59" t="str">
        <f t="shared" si="494"/>
        <v/>
      </c>
      <c r="CO12" s="59" t="str">
        <f t="shared" si="494"/>
        <v/>
      </c>
      <c r="CP12" s="59" t="str">
        <f t="shared" si="494"/>
        <v/>
      </c>
      <c r="CQ12" s="59" t="str">
        <f t="shared" si="494"/>
        <v/>
      </c>
      <c r="CR12" s="59" t="str">
        <f t="shared" si="494"/>
        <v/>
      </c>
      <c r="CS12" s="59" t="str">
        <f t="shared" si="494"/>
        <v/>
      </c>
      <c r="CT12" s="59" t="str">
        <f t="shared" si="494"/>
        <v/>
      </c>
      <c r="CU12" s="59" t="str">
        <f t="shared" si="494"/>
        <v/>
      </c>
      <c r="CV12" s="59" t="str">
        <f t="shared" si="494"/>
        <v/>
      </c>
      <c r="CW12" s="59" t="str">
        <f t="shared" si="494"/>
        <v/>
      </c>
      <c r="CX12" s="59" t="str">
        <f t="shared" si="494"/>
        <v/>
      </c>
      <c r="CY12" s="59" t="str">
        <f t="shared" si="494"/>
        <v/>
      </c>
      <c r="CZ12" s="59" t="str">
        <f t="shared" si="494"/>
        <v/>
      </c>
      <c r="DA12" s="59" t="str">
        <f t="shared" si="494"/>
        <v/>
      </c>
      <c r="DB12" s="59" t="str">
        <f t="shared" si="494"/>
        <v/>
      </c>
      <c r="DC12" s="59" t="str">
        <f t="shared" si="494"/>
        <v/>
      </c>
      <c r="DD12" s="59" t="str">
        <f t="shared" si="494"/>
        <v/>
      </c>
      <c r="DE12" s="59" t="str">
        <f t="shared" si="494"/>
        <v/>
      </c>
      <c r="DF12" s="59" t="str">
        <f t="shared" si="494"/>
        <v/>
      </c>
      <c r="DG12" s="59" t="str">
        <f t="shared" si="494"/>
        <v/>
      </c>
      <c r="DH12" s="59" t="str">
        <f t="shared" si="494"/>
        <v/>
      </c>
      <c r="DI12" s="59" t="str">
        <f t="shared" si="494"/>
        <v/>
      </c>
      <c r="DJ12" s="59" t="str">
        <f t="shared" si="494"/>
        <v/>
      </c>
      <c r="DK12" s="59" t="str">
        <f t="shared" si="494"/>
        <v/>
      </c>
      <c r="DL12" s="59" t="str">
        <f t="shared" si="494"/>
        <v/>
      </c>
      <c r="DM12" s="59" t="str">
        <f t="shared" si="494"/>
        <v/>
      </c>
      <c r="DN12" s="59" t="str">
        <f t="shared" si="494"/>
        <v/>
      </c>
      <c r="DO12" s="59" t="str">
        <f t="shared" si="494"/>
        <v/>
      </c>
      <c r="DP12" s="59" t="str">
        <f t="shared" si="494"/>
        <v/>
      </c>
      <c r="DQ12" s="59" t="str">
        <f t="shared" si="494"/>
        <v/>
      </c>
      <c r="DR12" s="59" t="str">
        <f t="shared" si="494"/>
        <v/>
      </c>
      <c r="DS12" s="59" t="str">
        <f t="shared" si="494"/>
        <v/>
      </c>
      <c r="DT12" s="59" t="str">
        <f t="shared" si="494"/>
        <v/>
      </c>
      <c r="DU12" s="59" t="str">
        <f t="shared" si="494"/>
        <v/>
      </c>
      <c r="DV12" s="59" t="str">
        <f t="shared" si="494"/>
        <v/>
      </c>
      <c r="DW12" s="59" t="str">
        <f t="shared" si="494"/>
        <v/>
      </c>
      <c r="DX12" s="59" t="str">
        <f t="shared" si="494"/>
        <v/>
      </c>
      <c r="DY12" s="59" t="str">
        <f t="shared" si="494"/>
        <v/>
      </c>
      <c r="DZ12" s="59" t="str">
        <f t="shared" si="494"/>
        <v/>
      </c>
      <c r="EA12" s="59" t="str">
        <f t="shared" si="494"/>
        <v/>
      </c>
      <c r="EB12" s="59" t="str">
        <f t="shared" si="494"/>
        <v/>
      </c>
      <c r="EC12" s="59" t="str">
        <f t="shared" si="494"/>
        <v/>
      </c>
      <c r="ED12" s="59" t="str">
        <f t="shared" si="494"/>
        <v/>
      </c>
      <c r="EE12" s="59" t="str">
        <f t="shared" si="494"/>
        <v/>
      </c>
      <c r="EF12" s="59" t="str">
        <f t="shared" si="494"/>
        <v/>
      </c>
      <c r="EG12" s="59" t="str">
        <f t="shared" si="494"/>
        <v/>
      </c>
      <c r="EH12" s="59" t="str">
        <f t="shared" si="494"/>
        <v/>
      </c>
      <c r="EI12" s="59" t="str">
        <f t="shared" si="494"/>
        <v/>
      </c>
      <c r="EJ12" s="59" t="str">
        <f t="shared" si="494"/>
        <v/>
      </c>
      <c r="EK12" s="59" t="str">
        <f t="shared" si="494"/>
        <v/>
      </c>
      <c r="EL12" s="59" t="str">
        <f t="shared" si="494"/>
        <v/>
      </c>
      <c r="EM12" s="59" t="str">
        <f t="shared" si="494"/>
        <v/>
      </c>
      <c r="EN12" s="59" t="str">
        <f t="shared" si="494"/>
        <v/>
      </c>
      <c r="EO12" s="59" t="str">
        <f t="shared" si="494"/>
        <v/>
      </c>
      <c r="EP12" s="59" t="str">
        <f t="shared" si="494"/>
        <v/>
      </c>
      <c r="EQ12" s="59" t="str">
        <f t="shared" si="494"/>
        <v/>
      </c>
      <c r="ER12" s="59" t="str">
        <f t="shared" si="494"/>
        <v/>
      </c>
      <c r="ES12" s="59" t="str">
        <f t="shared" si="494"/>
        <v/>
      </c>
      <c r="ET12" s="59" t="str">
        <f t="shared" si="494"/>
        <v/>
      </c>
      <c r="EU12" s="59" t="str">
        <f t="shared" si="494"/>
        <v/>
      </c>
      <c r="EV12" s="59" t="str">
        <f t="shared" si="494"/>
        <v/>
      </c>
      <c r="EW12" s="59" t="str">
        <f t="shared" si="494"/>
        <v/>
      </c>
      <c r="EX12" s="59" t="str">
        <f t="shared" si="494"/>
        <v/>
      </c>
      <c r="EY12" s="59" t="str">
        <f t="shared" si="494"/>
        <v/>
      </c>
      <c r="EZ12" s="59" t="str">
        <f t="shared" si="494"/>
        <v/>
      </c>
      <c r="FA12" s="59" t="str">
        <f t="shared" si="494"/>
        <v/>
      </c>
      <c r="FB12" s="59" t="str">
        <f t="shared" si="494"/>
        <v/>
      </c>
      <c r="FC12" s="59" t="str">
        <f t="shared" si="494"/>
        <v/>
      </c>
      <c r="FD12" s="59" t="str">
        <f t="shared" si="494"/>
        <v/>
      </c>
      <c r="FE12" s="59" t="str">
        <f t="shared" si="494"/>
        <v/>
      </c>
      <c r="FF12" s="59" t="str">
        <f t="shared" si="494"/>
        <v/>
      </c>
      <c r="FG12" s="59" t="str">
        <f t="shared" si="494"/>
        <v/>
      </c>
      <c r="FH12" s="59" t="str">
        <f t="shared" si="494"/>
        <v/>
      </c>
      <c r="FI12" s="59" t="str">
        <f t="shared" si="494"/>
        <v/>
      </c>
      <c r="FJ12" s="59" t="str">
        <f t="shared" si="494"/>
        <v/>
      </c>
      <c r="FK12" s="59" t="str">
        <f t="shared" si="494"/>
        <v/>
      </c>
      <c r="FL12" s="59" t="str">
        <f t="shared" si="494"/>
        <v/>
      </c>
      <c r="FM12" s="59" t="str">
        <f t="shared" si="494"/>
        <v/>
      </c>
      <c r="FN12" s="59" t="str">
        <f t="shared" si="494"/>
        <v/>
      </c>
      <c r="FO12" s="59" t="str">
        <f t="shared" si="494"/>
        <v/>
      </c>
      <c r="FP12" s="59" t="str">
        <f t="shared" si="494"/>
        <v/>
      </c>
      <c r="FQ12" s="59" t="str">
        <f t="shared" si="494"/>
        <v/>
      </c>
      <c r="FR12" s="59" t="str">
        <f t="shared" si="494"/>
        <v/>
      </c>
      <c r="FS12" s="59" t="str">
        <f t="shared" si="494"/>
        <v/>
      </c>
      <c r="FT12" s="59" t="str">
        <f t="shared" si="494"/>
        <v/>
      </c>
      <c r="FU12" s="59" t="str">
        <f t="shared" si="494"/>
        <v/>
      </c>
      <c r="FV12" s="59" t="str">
        <f t="shared" si="494"/>
        <v/>
      </c>
      <c r="FW12" s="59" t="str">
        <f t="shared" si="494"/>
        <v/>
      </c>
      <c r="FX12" s="59" t="str">
        <f t="shared" si="494"/>
        <v/>
      </c>
      <c r="FY12" s="59" t="str">
        <f t="shared" si="494"/>
        <v/>
      </c>
      <c r="FZ12" s="59" t="str">
        <f t="shared" si="494"/>
        <v/>
      </c>
      <c r="GA12" s="59" t="str">
        <f t="shared" si="494"/>
        <v/>
      </c>
      <c r="GB12" s="59" t="str">
        <f t="shared" si="494"/>
        <v/>
      </c>
      <c r="GC12" s="59" t="str">
        <f t="shared" si="494"/>
        <v/>
      </c>
      <c r="GD12" s="59" t="str">
        <f t="shared" si="494"/>
        <v/>
      </c>
      <c r="GE12" s="59" t="str">
        <f t="shared" si="494"/>
        <v/>
      </c>
      <c r="GF12" s="59" t="str">
        <f t="shared" si="494"/>
        <v/>
      </c>
      <c r="GG12" s="59" t="str">
        <f t="shared" si="494"/>
        <v/>
      </c>
      <c r="GH12" s="59" t="str">
        <f t="shared" si="494"/>
        <v/>
      </c>
      <c r="GI12" s="59" t="str">
        <f t="shared" si="494"/>
        <v/>
      </c>
      <c r="GJ12" s="59" t="str">
        <f t="shared" si="494"/>
        <v/>
      </c>
      <c r="GK12" s="59" t="str">
        <f t="shared" si="494"/>
        <v/>
      </c>
      <c r="GL12" s="59" t="str">
        <f t="shared" si="494"/>
        <v/>
      </c>
      <c r="GM12" s="59" t="str">
        <f t="shared" si="494"/>
        <v/>
      </c>
      <c r="GN12" s="59" t="str">
        <f t="shared" si="494"/>
        <v/>
      </c>
      <c r="GO12" s="59" t="str">
        <f t="shared" si="494"/>
        <v/>
      </c>
      <c r="GP12" s="59" t="str">
        <f t="shared" si="494"/>
        <v/>
      </c>
      <c r="GQ12" s="59" t="str">
        <f t="shared" si="494"/>
        <v/>
      </c>
      <c r="GR12" s="59" t="str">
        <f t="shared" si="494"/>
        <v/>
      </c>
      <c r="GS12" s="59" t="str">
        <f t="shared" si="494"/>
        <v/>
      </c>
      <c r="GT12" s="59" t="str">
        <f t="shared" si="494"/>
        <v/>
      </c>
      <c r="GU12" s="59" t="str">
        <f t="shared" si="494"/>
        <v/>
      </c>
      <c r="GV12" s="59" t="str">
        <f t="shared" si="494"/>
        <v/>
      </c>
      <c r="GW12" s="59" t="str">
        <f t="shared" si="494"/>
        <v/>
      </c>
      <c r="GX12" s="59" t="str">
        <f t="shared" si="494"/>
        <v/>
      </c>
      <c r="GY12" s="59" t="str">
        <f t="shared" si="494"/>
        <v/>
      </c>
      <c r="GZ12" s="59" t="str">
        <f t="shared" si="494"/>
        <v/>
      </c>
      <c r="HA12" s="59" t="str">
        <f t="shared" si="494"/>
        <v/>
      </c>
      <c r="HB12" s="59" t="str">
        <f t="shared" si="494"/>
        <v/>
      </c>
      <c r="HC12" s="59" t="str">
        <f t="shared" si="494"/>
        <v/>
      </c>
      <c r="HD12" s="59" t="str">
        <f t="shared" si="494"/>
        <v/>
      </c>
      <c r="HE12" s="59" t="str">
        <f t="shared" si="494"/>
        <v/>
      </c>
      <c r="HF12" s="59" t="str">
        <f t="shared" si="494"/>
        <v/>
      </c>
      <c r="HG12" s="59" t="str">
        <f t="shared" si="494"/>
        <v/>
      </c>
      <c r="HH12" s="59" t="str">
        <f t="shared" si="494"/>
        <v/>
      </c>
      <c r="HI12" s="59" t="str">
        <f t="shared" si="494"/>
        <v/>
      </c>
      <c r="HJ12" s="59" t="str">
        <f t="shared" si="494"/>
        <v/>
      </c>
      <c r="HK12" s="59" t="str">
        <f t="shared" si="494"/>
        <v/>
      </c>
      <c r="HL12" s="59" t="str">
        <f t="shared" si="494"/>
        <v/>
      </c>
      <c r="HM12" s="59" t="str">
        <f t="shared" si="494"/>
        <v/>
      </c>
      <c r="HN12" s="59" t="str">
        <f t="shared" si="494"/>
        <v/>
      </c>
      <c r="HO12" s="59" t="str">
        <f t="shared" si="494"/>
        <v/>
      </c>
      <c r="HP12" s="59" t="str">
        <f t="shared" si="494"/>
        <v/>
      </c>
      <c r="HQ12" s="59" t="str">
        <f t="shared" si="494"/>
        <v/>
      </c>
      <c r="HR12" s="59" t="str">
        <f t="shared" si="494"/>
        <v/>
      </c>
      <c r="HS12" s="59" t="str">
        <f t="shared" si="494"/>
        <v/>
      </c>
      <c r="HT12" s="59" t="str">
        <f t="shared" si="494"/>
        <v/>
      </c>
      <c r="HU12" s="59" t="str">
        <f t="shared" si="494"/>
        <v/>
      </c>
      <c r="HV12" s="59" t="str">
        <f t="shared" si="494"/>
        <v/>
      </c>
      <c r="HW12" s="59" t="str">
        <f t="shared" si="494"/>
        <v/>
      </c>
      <c r="HX12" s="59" t="str">
        <f t="shared" si="494"/>
        <v/>
      </c>
      <c r="HY12" s="59" t="str">
        <f t="shared" si="494"/>
        <v/>
      </c>
      <c r="HZ12" s="59" t="str">
        <f t="shared" si="494"/>
        <v/>
      </c>
      <c r="IA12" s="59" t="str">
        <f t="shared" si="494"/>
        <v/>
      </c>
      <c r="IB12" s="59" t="str">
        <f t="shared" si="494"/>
        <v/>
      </c>
      <c r="IC12" s="59" t="str">
        <f t="shared" si="494"/>
        <v/>
      </c>
      <c r="ID12" s="59" t="str">
        <f t="shared" si="494"/>
        <v/>
      </c>
      <c r="IE12" s="59" t="str">
        <f t="shared" si="494"/>
        <v/>
      </c>
      <c r="IF12" s="59" t="str">
        <f t="shared" si="494"/>
        <v/>
      </c>
      <c r="IG12" s="59" t="str">
        <f t="shared" si="494"/>
        <v/>
      </c>
      <c r="IH12" s="59" t="str">
        <f t="shared" si="494"/>
        <v/>
      </c>
      <c r="II12" s="59" t="str">
        <f t="shared" si="494"/>
        <v/>
      </c>
      <c r="IJ12" s="59" t="str">
        <f t="shared" si="494"/>
        <v/>
      </c>
      <c r="IK12" s="59" t="str">
        <f t="shared" si="494"/>
        <v/>
      </c>
      <c r="IL12" s="59" t="str">
        <f t="shared" si="494"/>
        <v/>
      </c>
      <c r="IM12" s="59" t="str">
        <f t="shared" si="494"/>
        <v/>
      </c>
      <c r="IN12" s="59" t="str">
        <f t="shared" si="494"/>
        <v/>
      </c>
      <c r="IO12" s="59" t="str">
        <f t="shared" si="494"/>
        <v/>
      </c>
      <c r="IP12" s="59" t="str">
        <f t="shared" si="494"/>
        <v/>
      </c>
      <c r="IQ12" s="59" t="str">
        <f t="shared" si="494"/>
        <v/>
      </c>
      <c r="IR12" s="59" t="str">
        <f t="shared" si="494"/>
        <v/>
      </c>
      <c r="IS12" s="59" t="str">
        <f t="shared" si="494"/>
        <v/>
      </c>
      <c r="IT12" s="195" t="str">
        <f t="shared" si="494"/>
        <v/>
      </c>
      <c r="IU12" s="59" t="str">
        <f t="shared" si="494"/>
        <v/>
      </c>
      <c r="IV12" s="59" t="str">
        <f t="shared" si="494"/>
        <v/>
      </c>
      <c r="IW12" s="59" t="str">
        <f t="shared" si="494"/>
        <v/>
      </c>
      <c r="IX12" s="59" t="str">
        <f t="shared" si="494"/>
        <v/>
      </c>
      <c r="IY12" s="59" t="str">
        <f t="shared" si="494"/>
        <v/>
      </c>
      <c r="IZ12" s="59" t="str">
        <f t="shared" si="494"/>
        <v/>
      </c>
      <c r="JA12" s="59" t="str">
        <f t="shared" si="494"/>
        <v/>
      </c>
      <c r="JB12" s="59" t="str">
        <f t="shared" si="494"/>
        <v/>
      </c>
      <c r="JC12" s="59" t="str">
        <f t="shared" si="494"/>
        <v/>
      </c>
      <c r="JD12" s="59" t="str">
        <f t="shared" si="494"/>
        <v/>
      </c>
      <c r="JE12" s="59" t="str">
        <f t="shared" si="494"/>
        <v/>
      </c>
      <c r="JF12" s="59" t="str">
        <f t="shared" si="494"/>
        <v/>
      </c>
      <c r="JG12" s="59" t="str">
        <f t="shared" si="494"/>
        <v/>
      </c>
      <c r="JH12" s="59" t="str">
        <f t="shared" si="494"/>
        <v/>
      </c>
      <c r="JI12" s="59" t="str">
        <f t="shared" si="494"/>
        <v/>
      </c>
      <c r="JJ12" s="59" t="str">
        <f t="shared" si="494"/>
        <v/>
      </c>
      <c r="JK12" s="59" t="str">
        <f t="shared" si="494"/>
        <v/>
      </c>
      <c r="JL12" s="59" t="str">
        <f t="shared" si="494"/>
        <v/>
      </c>
      <c r="JM12" s="59" t="str">
        <f t="shared" si="494"/>
        <v/>
      </c>
      <c r="JN12" s="59" t="str">
        <f t="shared" si="494"/>
        <v/>
      </c>
      <c r="JO12" s="59" t="str">
        <f t="shared" si="494"/>
        <v/>
      </c>
      <c r="JP12" s="59" t="str">
        <f t="shared" si="494"/>
        <v/>
      </c>
      <c r="JQ12" s="59" t="str">
        <f t="shared" si="494"/>
        <v/>
      </c>
      <c r="JR12" s="59" t="str">
        <f t="shared" si="494"/>
        <v/>
      </c>
      <c r="JS12" s="59" t="str">
        <f t="shared" si="494"/>
        <v/>
      </c>
      <c r="JT12" s="59" t="str">
        <f t="shared" si="494"/>
        <v/>
      </c>
      <c r="JU12" s="59" t="str">
        <f t="shared" si="494"/>
        <v/>
      </c>
      <c r="JV12" s="59" t="str">
        <f t="shared" si="494"/>
        <v/>
      </c>
      <c r="JW12" s="59" t="str">
        <f t="shared" si="494"/>
        <v/>
      </c>
      <c r="JX12" s="59" t="str">
        <f t="shared" si="494"/>
        <v/>
      </c>
      <c r="JY12" s="59" t="str">
        <f t="shared" si="494"/>
        <v/>
      </c>
      <c r="JZ12" s="59" t="str">
        <f t="shared" si="494"/>
        <v/>
      </c>
      <c r="KA12" s="59" t="str">
        <f t="shared" si="494"/>
        <v/>
      </c>
      <c r="KB12" s="59" t="str">
        <f t="shared" si="494"/>
        <v/>
      </c>
      <c r="KC12" s="59" t="str">
        <f t="shared" si="494"/>
        <v/>
      </c>
      <c r="KD12" s="59" t="str">
        <f t="shared" si="494"/>
        <v/>
      </c>
      <c r="KE12" s="59" t="str">
        <f t="shared" si="494"/>
        <v/>
      </c>
      <c r="KF12" s="59" t="str">
        <f t="shared" si="494"/>
        <v/>
      </c>
      <c r="KG12" s="59" t="str">
        <f t="shared" si="494"/>
        <v/>
      </c>
      <c r="KH12" s="59" t="str">
        <f t="shared" si="494"/>
        <v/>
      </c>
      <c r="KI12" s="59" t="str">
        <f t="shared" si="494"/>
        <v/>
      </c>
      <c r="KJ12" s="59" t="str">
        <f t="shared" si="494"/>
        <v/>
      </c>
      <c r="KK12" s="59" t="str">
        <f t="shared" si="494"/>
        <v/>
      </c>
      <c r="KL12" s="59" t="str">
        <f t="shared" si="494"/>
        <v/>
      </c>
      <c r="KM12" s="59" t="str">
        <f t="shared" si="494"/>
        <v/>
      </c>
      <c r="KN12" s="59" t="str">
        <f t="shared" si="494"/>
        <v/>
      </c>
      <c r="KO12" s="59" t="str">
        <f t="shared" si="494"/>
        <v/>
      </c>
      <c r="KP12" s="59" t="str">
        <f t="shared" si="494"/>
        <v/>
      </c>
      <c r="KQ12" s="59" t="str">
        <f t="shared" si="494"/>
        <v/>
      </c>
      <c r="KR12" s="59" t="str">
        <f t="shared" si="494"/>
        <v/>
      </c>
      <c r="KS12" s="59" t="str">
        <f t="shared" si="494"/>
        <v/>
      </c>
      <c r="KT12" s="59" t="str">
        <f t="shared" si="494"/>
        <v/>
      </c>
      <c r="KU12" s="59" t="str">
        <f t="shared" si="494"/>
        <v/>
      </c>
      <c r="KV12" s="59" t="str">
        <f t="shared" si="494"/>
        <v/>
      </c>
      <c r="KW12" s="59" t="str">
        <f t="shared" si="494"/>
        <v/>
      </c>
      <c r="KX12" s="59" t="str">
        <f t="shared" si="494"/>
        <v/>
      </c>
      <c r="KY12" s="59" t="str">
        <f t="shared" si="494"/>
        <v/>
      </c>
      <c r="KZ12" s="59" t="str">
        <f t="shared" si="494"/>
        <v/>
      </c>
      <c r="LA12" s="59" t="str">
        <f t="shared" si="494"/>
        <v/>
      </c>
      <c r="LB12" s="59" t="str">
        <f t="shared" si="494"/>
        <v/>
      </c>
      <c r="LC12" s="59" t="str">
        <f t="shared" si="494"/>
        <v/>
      </c>
      <c r="LD12" s="59" t="str">
        <f t="shared" si="494"/>
        <v/>
      </c>
      <c r="LE12" s="59" t="str">
        <f t="shared" si="494"/>
        <v/>
      </c>
      <c r="LF12" s="59" t="str">
        <f t="shared" si="494"/>
        <v/>
      </c>
      <c r="LG12" s="59" t="str">
        <f t="shared" si="494"/>
        <v/>
      </c>
      <c r="LH12" s="59" t="str">
        <f t="shared" si="494"/>
        <v/>
      </c>
      <c r="LI12" s="59" t="str">
        <f t="shared" si="494"/>
        <v/>
      </c>
      <c r="LJ12" s="59" t="str">
        <f t="shared" si="494"/>
        <v/>
      </c>
      <c r="LK12" s="59" t="str">
        <f t="shared" si="494"/>
        <v/>
      </c>
      <c r="LL12" s="59" t="str">
        <f t="shared" si="494"/>
        <v/>
      </c>
      <c r="LM12" s="59" t="str">
        <f t="shared" si="494"/>
        <v/>
      </c>
      <c r="LN12" s="59" t="str">
        <f t="shared" si="494"/>
        <v/>
      </c>
      <c r="LO12" s="59" t="str">
        <f t="shared" si="494"/>
        <v/>
      </c>
      <c r="LP12" s="59" t="str">
        <f t="shared" si="494"/>
        <v/>
      </c>
      <c r="LQ12" s="59" t="str">
        <f t="shared" si="494"/>
        <v/>
      </c>
      <c r="LR12" s="59" t="str">
        <f t="shared" si="494"/>
        <v/>
      </c>
      <c r="LS12" s="59" t="str">
        <f t="shared" si="494"/>
        <v/>
      </c>
      <c r="LT12" s="59" t="str">
        <f t="shared" si="494"/>
        <v/>
      </c>
      <c r="LU12" s="59">
        <f t="shared" ref="LU12:LV12" si="495">IFERROR(VLOOKUP(INDIRECT(ADDRESS(ROW() - 8, COLUMN())), INDIRECT(ADDRESS(ROW() - 82, 12)):INDIRECT(ADDRESS(ROW() - 78, 16)), 3, FALSE)) + 35</f>
        <v>35</v>
      </c>
      <c r="LV12" s="59">
        <f t="shared" si="495"/>
        <v>35</v>
      </c>
      <c r="LW12" s="59" t="str">
        <f t="shared" ref="LW12:AQL12" si="496">IFERROR(VLOOKUP(INDIRECT(ADDRESS(ROW() - 8, COLUMN())), INDIRECT(ADDRESS(ROW() - 82, 12)):INDIRECT(ADDRESS(ROW() - 78, 16)), 3, FALSE))</f>
        <v/>
      </c>
      <c r="LX12" s="59" t="str">
        <f t="shared" si="496"/>
        <v/>
      </c>
      <c r="LY12" s="59" t="str">
        <f t="shared" si="496"/>
        <v/>
      </c>
      <c r="LZ12" s="59" t="str">
        <f t="shared" si="496"/>
        <v/>
      </c>
      <c r="MA12" s="59" t="str">
        <f t="shared" si="496"/>
        <v/>
      </c>
      <c r="MB12" s="59" t="str">
        <f t="shared" si="496"/>
        <v/>
      </c>
      <c r="MC12" s="59" t="str">
        <f t="shared" si="496"/>
        <v/>
      </c>
      <c r="MD12" s="59" t="str">
        <f t="shared" si="496"/>
        <v/>
      </c>
      <c r="ME12" s="59" t="str">
        <f t="shared" si="496"/>
        <v/>
      </c>
      <c r="MF12" s="59" t="str">
        <f t="shared" si="496"/>
        <v/>
      </c>
      <c r="MG12" s="59" t="str">
        <f t="shared" si="496"/>
        <v/>
      </c>
      <c r="MH12" s="59" t="str">
        <f t="shared" si="496"/>
        <v/>
      </c>
      <c r="MI12" s="59" t="str">
        <f t="shared" si="496"/>
        <v/>
      </c>
      <c r="MJ12" s="59" t="str">
        <f t="shared" si="496"/>
        <v/>
      </c>
      <c r="MK12" s="59" t="str">
        <f t="shared" si="496"/>
        <v/>
      </c>
      <c r="ML12" s="59" t="str">
        <f t="shared" si="496"/>
        <v/>
      </c>
      <c r="MM12" s="59" t="str">
        <f t="shared" si="496"/>
        <v/>
      </c>
      <c r="MN12" s="59" t="str">
        <f t="shared" si="496"/>
        <v/>
      </c>
      <c r="MO12" s="59" t="str">
        <f t="shared" si="496"/>
        <v/>
      </c>
      <c r="MP12" s="59" t="str">
        <f t="shared" si="496"/>
        <v/>
      </c>
      <c r="MQ12" s="59" t="str">
        <f t="shared" si="496"/>
        <v/>
      </c>
      <c r="MR12" s="59" t="str">
        <f t="shared" si="496"/>
        <v/>
      </c>
      <c r="MS12" s="59" t="str">
        <f t="shared" si="496"/>
        <v/>
      </c>
      <c r="MT12" s="59" t="str">
        <f t="shared" si="496"/>
        <v/>
      </c>
      <c r="MU12" s="59" t="str">
        <f t="shared" si="496"/>
        <v/>
      </c>
      <c r="MV12" s="59" t="str">
        <f t="shared" si="496"/>
        <v/>
      </c>
      <c r="MW12" s="59" t="str">
        <f t="shared" si="496"/>
        <v/>
      </c>
      <c r="MX12" s="59" t="str">
        <f t="shared" si="496"/>
        <v/>
      </c>
      <c r="MY12" s="59" t="str">
        <f t="shared" si="496"/>
        <v/>
      </c>
      <c r="MZ12" s="59" t="str">
        <f t="shared" si="496"/>
        <v/>
      </c>
      <c r="NA12" s="59" t="str">
        <f t="shared" si="496"/>
        <v/>
      </c>
      <c r="NB12" s="59" t="str">
        <f t="shared" si="496"/>
        <v/>
      </c>
      <c r="NC12" s="59" t="str">
        <f t="shared" si="496"/>
        <v/>
      </c>
      <c r="ND12" s="59" t="str">
        <f t="shared" si="496"/>
        <v/>
      </c>
      <c r="NE12" s="59" t="str">
        <f t="shared" si="496"/>
        <v/>
      </c>
      <c r="NF12" s="59" t="str">
        <f t="shared" si="496"/>
        <v/>
      </c>
      <c r="NG12" s="59" t="str">
        <f t="shared" si="496"/>
        <v/>
      </c>
      <c r="NH12" s="59" t="str">
        <f t="shared" si="496"/>
        <v/>
      </c>
      <c r="NI12" s="59" t="str">
        <f t="shared" si="496"/>
        <v/>
      </c>
      <c r="NJ12" s="59" t="str">
        <f t="shared" si="496"/>
        <v/>
      </c>
      <c r="NK12" s="59" t="str">
        <f t="shared" si="496"/>
        <v/>
      </c>
      <c r="NL12" s="59" t="str">
        <f t="shared" si="496"/>
        <v/>
      </c>
      <c r="NM12" s="59" t="str">
        <f t="shared" si="496"/>
        <v/>
      </c>
      <c r="NN12" s="59" t="str">
        <f t="shared" si="496"/>
        <v/>
      </c>
      <c r="NO12" s="59" t="str">
        <f t="shared" si="496"/>
        <v/>
      </c>
      <c r="NP12" s="59" t="str">
        <f t="shared" si="496"/>
        <v/>
      </c>
      <c r="NQ12" s="59" t="str">
        <f t="shared" si="496"/>
        <v/>
      </c>
      <c r="NR12" s="59" t="str">
        <f t="shared" si="496"/>
        <v/>
      </c>
      <c r="NS12" s="59" t="str">
        <f t="shared" si="496"/>
        <v/>
      </c>
      <c r="NT12" s="59" t="str">
        <f t="shared" si="496"/>
        <v/>
      </c>
      <c r="NU12" s="59" t="str">
        <f t="shared" si="496"/>
        <v/>
      </c>
      <c r="NV12" s="59" t="str">
        <f t="shared" si="496"/>
        <v/>
      </c>
      <c r="NW12" s="59" t="str">
        <f t="shared" si="496"/>
        <v/>
      </c>
      <c r="NX12" s="59" t="str">
        <f t="shared" si="496"/>
        <v/>
      </c>
      <c r="NY12" s="59" t="str">
        <f t="shared" si="496"/>
        <v/>
      </c>
      <c r="NZ12" s="59" t="str">
        <f t="shared" si="496"/>
        <v/>
      </c>
      <c r="OA12" s="59" t="str">
        <f t="shared" si="496"/>
        <v/>
      </c>
      <c r="OB12" s="59" t="str">
        <f t="shared" si="496"/>
        <v/>
      </c>
      <c r="OC12" s="59" t="str">
        <f t="shared" si="496"/>
        <v/>
      </c>
      <c r="OD12" s="59" t="str">
        <f t="shared" si="496"/>
        <v/>
      </c>
      <c r="OE12" s="59" t="str">
        <f t="shared" si="496"/>
        <v/>
      </c>
      <c r="OF12" s="59" t="str">
        <f t="shared" si="496"/>
        <v/>
      </c>
      <c r="OG12" s="59" t="str">
        <f t="shared" si="496"/>
        <v/>
      </c>
      <c r="OH12" s="59" t="str">
        <f t="shared" si="496"/>
        <v/>
      </c>
      <c r="OI12" s="59" t="str">
        <f t="shared" si="496"/>
        <v/>
      </c>
      <c r="OJ12" s="59" t="str">
        <f t="shared" si="496"/>
        <v/>
      </c>
      <c r="OK12" s="59" t="str">
        <f t="shared" si="496"/>
        <v/>
      </c>
      <c r="OL12" s="59" t="str">
        <f t="shared" si="496"/>
        <v/>
      </c>
      <c r="OM12" s="59" t="str">
        <f t="shared" si="496"/>
        <v/>
      </c>
      <c r="ON12" s="59" t="str">
        <f t="shared" si="496"/>
        <v/>
      </c>
      <c r="OO12" s="59" t="str">
        <f t="shared" si="496"/>
        <v/>
      </c>
      <c r="OP12" s="59" t="str">
        <f t="shared" si="496"/>
        <v/>
      </c>
      <c r="OQ12" s="59" t="str">
        <f t="shared" si="496"/>
        <v/>
      </c>
      <c r="OR12" s="59" t="str">
        <f t="shared" si="496"/>
        <v/>
      </c>
      <c r="OS12" s="59" t="str">
        <f t="shared" si="496"/>
        <v/>
      </c>
      <c r="OT12" s="59" t="str">
        <f t="shared" si="496"/>
        <v/>
      </c>
      <c r="OU12" s="59" t="str">
        <f t="shared" si="496"/>
        <v/>
      </c>
      <c r="OV12" s="59" t="str">
        <f t="shared" si="496"/>
        <v/>
      </c>
      <c r="OW12" s="59" t="str">
        <f t="shared" si="496"/>
        <v/>
      </c>
      <c r="OX12" s="59" t="str">
        <f t="shared" si="496"/>
        <v/>
      </c>
      <c r="OY12" s="59" t="str">
        <f t="shared" si="496"/>
        <v/>
      </c>
      <c r="OZ12" s="59" t="str">
        <f t="shared" si="496"/>
        <v/>
      </c>
      <c r="PA12" s="59" t="str">
        <f t="shared" si="496"/>
        <v/>
      </c>
      <c r="PB12" s="59" t="str">
        <f t="shared" si="496"/>
        <v/>
      </c>
      <c r="PC12" s="59" t="str">
        <f t="shared" si="496"/>
        <v/>
      </c>
      <c r="PD12" s="59" t="str">
        <f t="shared" si="496"/>
        <v/>
      </c>
      <c r="PE12" s="59" t="str">
        <f t="shared" si="496"/>
        <v/>
      </c>
      <c r="PF12" s="59" t="str">
        <f t="shared" si="496"/>
        <v/>
      </c>
      <c r="PG12" s="59" t="str">
        <f t="shared" si="496"/>
        <v/>
      </c>
      <c r="PH12" s="59" t="str">
        <f t="shared" si="496"/>
        <v/>
      </c>
      <c r="PI12" s="59" t="str">
        <f t="shared" si="496"/>
        <v/>
      </c>
      <c r="PJ12" s="59" t="str">
        <f t="shared" si="496"/>
        <v/>
      </c>
      <c r="PK12" s="59" t="str">
        <f t="shared" si="496"/>
        <v/>
      </c>
      <c r="PL12" s="59" t="str">
        <f t="shared" si="496"/>
        <v/>
      </c>
      <c r="PM12" s="59" t="str">
        <f t="shared" si="496"/>
        <v/>
      </c>
      <c r="PN12" s="59" t="str">
        <f t="shared" si="496"/>
        <v/>
      </c>
      <c r="PO12" s="59" t="str">
        <f t="shared" si="496"/>
        <v/>
      </c>
      <c r="PP12" s="59" t="str">
        <f t="shared" si="496"/>
        <v/>
      </c>
      <c r="PQ12" s="59" t="str">
        <f t="shared" si="496"/>
        <v/>
      </c>
      <c r="PR12" s="59" t="str">
        <f t="shared" si="496"/>
        <v/>
      </c>
      <c r="PS12" s="59" t="str">
        <f t="shared" si="496"/>
        <v/>
      </c>
      <c r="PT12" s="59" t="str">
        <f t="shared" si="496"/>
        <v/>
      </c>
      <c r="PU12" s="59" t="str">
        <f t="shared" si="496"/>
        <v/>
      </c>
      <c r="PV12" s="59" t="str">
        <f t="shared" si="496"/>
        <v/>
      </c>
      <c r="PW12" s="59" t="str">
        <f t="shared" si="496"/>
        <v/>
      </c>
      <c r="PX12" s="59" t="str">
        <f t="shared" si="496"/>
        <v/>
      </c>
      <c r="PY12" s="59" t="str">
        <f t="shared" si="496"/>
        <v/>
      </c>
      <c r="PZ12" s="59" t="str">
        <f t="shared" si="496"/>
        <v/>
      </c>
      <c r="QA12" s="59" t="str">
        <f t="shared" si="496"/>
        <v/>
      </c>
      <c r="QB12" s="59" t="str">
        <f t="shared" si="496"/>
        <v/>
      </c>
      <c r="QC12" s="59" t="str">
        <f t="shared" si="496"/>
        <v/>
      </c>
      <c r="QD12" s="59" t="str">
        <f t="shared" si="496"/>
        <v/>
      </c>
      <c r="QE12" s="59" t="str">
        <f t="shared" si="496"/>
        <v/>
      </c>
      <c r="QF12" s="59" t="str">
        <f t="shared" si="496"/>
        <v/>
      </c>
      <c r="QG12" s="59" t="str">
        <f t="shared" si="496"/>
        <v/>
      </c>
      <c r="QH12" s="59" t="str">
        <f t="shared" si="496"/>
        <v/>
      </c>
      <c r="QI12" s="59" t="str">
        <f t="shared" si="496"/>
        <v/>
      </c>
      <c r="QJ12" s="59" t="str">
        <f t="shared" si="496"/>
        <v/>
      </c>
      <c r="QK12" s="59" t="str">
        <f t="shared" si="496"/>
        <v/>
      </c>
      <c r="QL12" s="59" t="str">
        <f t="shared" si="496"/>
        <v/>
      </c>
      <c r="QM12" s="59" t="str">
        <f t="shared" si="496"/>
        <v/>
      </c>
      <c r="QN12" s="59" t="str">
        <f t="shared" si="496"/>
        <v/>
      </c>
      <c r="QO12" s="59" t="str">
        <f t="shared" si="496"/>
        <v/>
      </c>
      <c r="QP12" s="59" t="str">
        <f t="shared" si="496"/>
        <v/>
      </c>
      <c r="QQ12" s="59" t="str">
        <f t="shared" si="496"/>
        <v/>
      </c>
      <c r="QR12" s="59" t="str">
        <f t="shared" si="496"/>
        <v/>
      </c>
      <c r="QS12" s="59" t="str">
        <f t="shared" si="496"/>
        <v/>
      </c>
      <c r="QT12" s="59" t="str">
        <f t="shared" si="496"/>
        <v/>
      </c>
      <c r="QU12" s="59" t="str">
        <f t="shared" si="496"/>
        <v/>
      </c>
      <c r="QV12" s="59" t="str">
        <f t="shared" si="496"/>
        <v/>
      </c>
      <c r="QW12" s="59" t="str">
        <f t="shared" si="496"/>
        <v/>
      </c>
      <c r="QX12" s="59" t="str">
        <f t="shared" si="496"/>
        <v/>
      </c>
      <c r="QY12" s="59" t="str">
        <f t="shared" si="496"/>
        <v/>
      </c>
      <c r="QZ12" s="59" t="str">
        <f t="shared" si="496"/>
        <v/>
      </c>
      <c r="RA12" s="59" t="str">
        <f t="shared" si="496"/>
        <v/>
      </c>
      <c r="RB12" s="59" t="str">
        <f t="shared" si="496"/>
        <v/>
      </c>
      <c r="RC12" s="59" t="str">
        <f t="shared" si="496"/>
        <v/>
      </c>
      <c r="RD12" s="59" t="str">
        <f t="shared" si="496"/>
        <v/>
      </c>
      <c r="RE12" s="59" t="str">
        <f t="shared" si="496"/>
        <v/>
      </c>
      <c r="RF12" s="59" t="str">
        <f t="shared" si="496"/>
        <v/>
      </c>
      <c r="RG12" s="59" t="str">
        <f t="shared" si="496"/>
        <v/>
      </c>
      <c r="RH12" s="59" t="str">
        <f t="shared" si="496"/>
        <v/>
      </c>
      <c r="RI12" s="59" t="str">
        <f t="shared" si="496"/>
        <v/>
      </c>
      <c r="RJ12" s="59" t="str">
        <f t="shared" si="496"/>
        <v/>
      </c>
      <c r="RK12" s="59" t="str">
        <f t="shared" si="496"/>
        <v/>
      </c>
      <c r="RL12" s="59" t="str">
        <f t="shared" si="496"/>
        <v/>
      </c>
      <c r="RM12" s="59" t="str">
        <f t="shared" si="496"/>
        <v/>
      </c>
      <c r="RN12" s="59" t="str">
        <f t="shared" si="496"/>
        <v/>
      </c>
      <c r="RO12" s="59" t="str">
        <f t="shared" si="496"/>
        <v/>
      </c>
      <c r="RP12" s="59" t="str">
        <f t="shared" si="496"/>
        <v/>
      </c>
      <c r="RQ12" s="59" t="str">
        <f t="shared" si="496"/>
        <v/>
      </c>
      <c r="RR12" s="59" t="str">
        <f t="shared" si="496"/>
        <v/>
      </c>
      <c r="RS12" s="59" t="str">
        <f t="shared" si="496"/>
        <v/>
      </c>
      <c r="RT12" s="59" t="str">
        <f t="shared" si="496"/>
        <v/>
      </c>
      <c r="RU12" s="59" t="str">
        <f t="shared" si="496"/>
        <v/>
      </c>
      <c r="RV12" s="59" t="str">
        <f t="shared" si="496"/>
        <v/>
      </c>
      <c r="RW12" s="59" t="str">
        <f t="shared" si="496"/>
        <v/>
      </c>
      <c r="RX12" s="59" t="str">
        <f t="shared" si="496"/>
        <v/>
      </c>
      <c r="RY12" s="59" t="str">
        <f t="shared" si="496"/>
        <v/>
      </c>
      <c r="RZ12" s="59" t="str">
        <f t="shared" si="496"/>
        <v/>
      </c>
      <c r="SA12" s="59" t="str">
        <f t="shared" si="496"/>
        <v/>
      </c>
      <c r="SB12" s="59" t="str">
        <f t="shared" si="496"/>
        <v/>
      </c>
      <c r="SC12" s="59" t="str">
        <f t="shared" si="496"/>
        <v/>
      </c>
      <c r="SD12" s="59" t="str">
        <f t="shared" si="496"/>
        <v/>
      </c>
      <c r="SE12" s="59" t="str">
        <f t="shared" si="496"/>
        <v/>
      </c>
      <c r="SF12" s="59" t="str">
        <f t="shared" si="496"/>
        <v/>
      </c>
      <c r="SG12" s="59" t="str">
        <f t="shared" si="496"/>
        <v/>
      </c>
      <c r="SH12" s="59" t="str">
        <f t="shared" si="496"/>
        <v/>
      </c>
      <c r="SI12" s="59" t="str">
        <f t="shared" si="496"/>
        <v/>
      </c>
      <c r="SJ12" s="59" t="str">
        <f t="shared" si="496"/>
        <v/>
      </c>
      <c r="SK12" s="59" t="str">
        <f t="shared" si="496"/>
        <v/>
      </c>
      <c r="SL12" s="59" t="str">
        <f t="shared" si="496"/>
        <v/>
      </c>
      <c r="SM12" s="59" t="str">
        <f t="shared" si="496"/>
        <v/>
      </c>
      <c r="SN12" s="59" t="str">
        <f t="shared" si="496"/>
        <v/>
      </c>
      <c r="SO12" s="59" t="str">
        <f t="shared" si="496"/>
        <v/>
      </c>
      <c r="SP12" s="59" t="str">
        <f t="shared" si="496"/>
        <v/>
      </c>
      <c r="SQ12" s="59" t="str">
        <f t="shared" si="496"/>
        <v/>
      </c>
      <c r="SR12" s="59" t="str">
        <f t="shared" si="496"/>
        <v/>
      </c>
      <c r="SS12" s="59" t="str">
        <f t="shared" si="496"/>
        <v/>
      </c>
      <c r="ST12" s="59" t="str">
        <f t="shared" si="496"/>
        <v/>
      </c>
      <c r="SU12" s="59" t="str">
        <f t="shared" si="496"/>
        <v/>
      </c>
      <c r="SV12" s="59" t="str">
        <f t="shared" si="496"/>
        <v/>
      </c>
      <c r="SW12" s="59" t="str">
        <f t="shared" si="496"/>
        <v/>
      </c>
      <c r="SX12" s="59" t="str">
        <f t="shared" si="496"/>
        <v/>
      </c>
      <c r="SY12" s="59" t="str">
        <f t="shared" si="496"/>
        <v/>
      </c>
      <c r="SZ12" s="59" t="str">
        <f t="shared" si="496"/>
        <v/>
      </c>
      <c r="TA12" s="59" t="str">
        <f t="shared" si="496"/>
        <v/>
      </c>
      <c r="TB12" s="59" t="str">
        <f t="shared" si="496"/>
        <v/>
      </c>
      <c r="TC12" s="59" t="str">
        <f t="shared" si="496"/>
        <v/>
      </c>
      <c r="TD12" s="59" t="str">
        <f t="shared" si="496"/>
        <v/>
      </c>
      <c r="TE12" s="59" t="str">
        <f t="shared" si="496"/>
        <v/>
      </c>
      <c r="TF12" s="59" t="str">
        <f t="shared" si="496"/>
        <v/>
      </c>
      <c r="TG12" s="59" t="str">
        <f t="shared" si="496"/>
        <v/>
      </c>
      <c r="TH12" s="59" t="str">
        <f t="shared" si="496"/>
        <v/>
      </c>
      <c r="TI12" s="59" t="str">
        <f t="shared" si="496"/>
        <v/>
      </c>
      <c r="TJ12" s="59" t="str">
        <f t="shared" si="496"/>
        <v/>
      </c>
      <c r="TK12" s="59" t="str">
        <f t="shared" si="496"/>
        <v/>
      </c>
      <c r="TL12" s="59" t="str">
        <f t="shared" si="496"/>
        <v/>
      </c>
      <c r="TM12" s="59" t="str">
        <f t="shared" si="496"/>
        <v/>
      </c>
      <c r="TN12" s="59" t="str">
        <f t="shared" si="496"/>
        <v/>
      </c>
      <c r="TO12" s="59" t="str">
        <f t="shared" si="496"/>
        <v/>
      </c>
      <c r="TP12" s="59" t="str">
        <f t="shared" si="496"/>
        <v/>
      </c>
      <c r="TQ12" s="59" t="str">
        <f t="shared" si="496"/>
        <v/>
      </c>
      <c r="TR12" s="59" t="str">
        <f t="shared" si="496"/>
        <v/>
      </c>
      <c r="TS12" s="59" t="str">
        <f t="shared" si="496"/>
        <v/>
      </c>
      <c r="TT12" s="59" t="str">
        <f t="shared" si="496"/>
        <v/>
      </c>
      <c r="TU12" s="59" t="str">
        <f t="shared" si="496"/>
        <v/>
      </c>
      <c r="TV12" s="59" t="str">
        <f t="shared" si="496"/>
        <v/>
      </c>
      <c r="TW12" s="59" t="str">
        <f t="shared" si="496"/>
        <v/>
      </c>
      <c r="TX12" s="59" t="str">
        <f t="shared" si="496"/>
        <v/>
      </c>
      <c r="TY12" s="59" t="str">
        <f t="shared" si="496"/>
        <v/>
      </c>
      <c r="TZ12" s="59" t="str">
        <f t="shared" si="496"/>
        <v/>
      </c>
      <c r="UA12" s="59" t="str">
        <f t="shared" si="496"/>
        <v/>
      </c>
      <c r="UB12" s="59" t="str">
        <f t="shared" si="496"/>
        <v/>
      </c>
      <c r="UC12" s="59" t="str">
        <f t="shared" si="496"/>
        <v/>
      </c>
      <c r="UD12" s="59" t="str">
        <f t="shared" si="496"/>
        <v/>
      </c>
      <c r="UE12" s="59" t="str">
        <f t="shared" si="496"/>
        <v/>
      </c>
      <c r="UF12" s="59" t="str">
        <f t="shared" si="496"/>
        <v/>
      </c>
      <c r="UG12" s="59" t="str">
        <f t="shared" si="496"/>
        <v/>
      </c>
      <c r="UH12" s="59" t="str">
        <f t="shared" si="496"/>
        <v/>
      </c>
      <c r="UI12" s="59" t="str">
        <f t="shared" si="496"/>
        <v/>
      </c>
      <c r="UJ12" s="59" t="str">
        <f t="shared" si="496"/>
        <v/>
      </c>
      <c r="UK12" s="59" t="str">
        <f t="shared" si="496"/>
        <v/>
      </c>
      <c r="UL12" s="59" t="str">
        <f t="shared" si="496"/>
        <v/>
      </c>
      <c r="UM12" s="59" t="str">
        <f t="shared" si="496"/>
        <v/>
      </c>
      <c r="UN12" s="59" t="str">
        <f t="shared" si="496"/>
        <v/>
      </c>
      <c r="UO12" s="59" t="str">
        <f t="shared" si="496"/>
        <v/>
      </c>
      <c r="UP12" s="59" t="str">
        <f t="shared" si="496"/>
        <v/>
      </c>
      <c r="UQ12" s="59" t="str">
        <f t="shared" si="496"/>
        <v/>
      </c>
      <c r="UR12" s="59" t="str">
        <f t="shared" si="496"/>
        <v/>
      </c>
      <c r="US12" s="59" t="str">
        <f t="shared" si="496"/>
        <v/>
      </c>
      <c r="UT12" s="59" t="str">
        <f t="shared" si="496"/>
        <v/>
      </c>
      <c r="UU12" s="59" t="str">
        <f t="shared" si="496"/>
        <v/>
      </c>
      <c r="UV12" s="59" t="str">
        <f t="shared" si="496"/>
        <v/>
      </c>
      <c r="UW12" s="59" t="str">
        <f t="shared" si="496"/>
        <v/>
      </c>
      <c r="UX12" s="59" t="str">
        <f t="shared" si="496"/>
        <v/>
      </c>
      <c r="UY12" s="59" t="str">
        <f t="shared" si="496"/>
        <v/>
      </c>
      <c r="UZ12" s="59" t="str">
        <f t="shared" si="496"/>
        <v/>
      </c>
      <c r="VA12" s="59" t="str">
        <f t="shared" si="496"/>
        <v/>
      </c>
      <c r="VB12" s="59" t="str">
        <f t="shared" si="496"/>
        <v/>
      </c>
      <c r="VC12" s="59" t="str">
        <f t="shared" si="496"/>
        <v/>
      </c>
      <c r="VD12" s="59" t="str">
        <f t="shared" si="496"/>
        <v/>
      </c>
      <c r="VE12" s="59" t="str">
        <f t="shared" si="496"/>
        <v/>
      </c>
      <c r="VF12" s="59" t="str">
        <f t="shared" si="496"/>
        <v/>
      </c>
      <c r="VG12" s="59" t="str">
        <f t="shared" si="496"/>
        <v/>
      </c>
      <c r="VH12" s="59" t="str">
        <f t="shared" si="496"/>
        <v/>
      </c>
      <c r="VI12" s="59" t="str">
        <f t="shared" si="496"/>
        <v/>
      </c>
      <c r="VJ12" s="59" t="str">
        <f t="shared" si="496"/>
        <v/>
      </c>
      <c r="VK12" s="59" t="str">
        <f t="shared" si="496"/>
        <v/>
      </c>
      <c r="VL12" s="59" t="str">
        <f t="shared" si="496"/>
        <v/>
      </c>
      <c r="VM12" s="59" t="str">
        <f t="shared" si="496"/>
        <v/>
      </c>
      <c r="VN12" s="59" t="str">
        <f t="shared" si="496"/>
        <v/>
      </c>
      <c r="VO12" s="59" t="str">
        <f t="shared" si="496"/>
        <v/>
      </c>
      <c r="VP12" s="59" t="str">
        <f t="shared" si="496"/>
        <v/>
      </c>
      <c r="VQ12" s="59" t="str">
        <f t="shared" si="496"/>
        <v/>
      </c>
      <c r="VR12" s="59" t="str">
        <f t="shared" si="496"/>
        <v/>
      </c>
      <c r="VS12" s="59" t="str">
        <f t="shared" si="496"/>
        <v/>
      </c>
      <c r="VT12" s="59" t="str">
        <f t="shared" si="496"/>
        <v/>
      </c>
      <c r="VU12" s="59" t="str">
        <f t="shared" si="496"/>
        <v/>
      </c>
      <c r="VV12" s="59" t="str">
        <f t="shared" si="496"/>
        <v/>
      </c>
      <c r="VW12" s="59" t="str">
        <f t="shared" si="496"/>
        <v/>
      </c>
      <c r="VX12" s="59" t="str">
        <f t="shared" si="496"/>
        <v/>
      </c>
      <c r="VY12" s="59" t="str">
        <f t="shared" si="496"/>
        <v/>
      </c>
      <c r="VZ12" s="59" t="str">
        <f t="shared" si="496"/>
        <v/>
      </c>
      <c r="WA12" s="59" t="str">
        <f t="shared" si="496"/>
        <v/>
      </c>
      <c r="WB12" s="59" t="str">
        <f t="shared" si="496"/>
        <v/>
      </c>
      <c r="WC12" s="59" t="str">
        <f t="shared" si="496"/>
        <v/>
      </c>
      <c r="WD12" s="59" t="str">
        <f t="shared" si="496"/>
        <v/>
      </c>
      <c r="WE12" s="59" t="str">
        <f t="shared" si="496"/>
        <v/>
      </c>
      <c r="WF12" s="59" t="str">
        <f t="shared" si="496"/>
        <v/>
      </c>
      <c r="WG12" s="59" t="str">
        <f t="shared" si="496"/>
        <v/>
      </c>
      <c r="WH12" s="59" t="str">
        <f t="shared" si="496"/>
        <v/>
      </c>
      <c r="WI12" s="59" t="str">
        <f t="shared" si="496"/>
        <v/>
      </c>
      <c r="WJ12" s="59" t="str">
        <f t="shared" si="496"/>
        <v/>
      </c>
      <c r="WK12" s="59" t="str">
        <f t="shared" si="496"/>
        <v/>
      </c>
      <c r="WL12" s="59" t="str">
        <f t="shared" si="496"/>
        <v/>
      </c>
      <c r="WM12" s="59" t="str">
        <f t="shared" si="496"/>
        <v/>
      </c>
      <c r="WN12" s="59" t="str">
        <f t="shared" si="496"/>
        <v/>
      </c>
      <c r="WO12" s="59" t="str">
        <f t="shared" si="496"/>
        <v/>
      </c>
      <c r="WP12" s="59" t="str">
        <f t="shared" si="496"/>
        <v/>
      </c>
      <c r="WQ12" s="59" t="str">
        <f t="shared" si="496"/>
        <v/>
      </c>
      <c r="WR12" s="59" t="str">
        <f t="shared" si="496"/>
        <v/>
      </c>
      <c r="WS12" s="59" t="str">
        <f t="shared" si="496"/>
        <v/>
      </c>
      <c r="WT12" s="59" t="str">
        <f t="shared" si="496"/>
        <v/>
      </c>
      <c r="WU12" s="59" t="str">
        <f t="shared" si="496"/>
        <v/>
      </c>
      <c r="WV12" s="59" t="str">
        <f t="shared" si="496"/>
        <v/>
      </c>
      <c r="WW12" s="59" t="str">
        <f t="shared" si="496"/>
        <v/>
      </c>
      <c r="WX12" s="59" t="str">
        <f t="shared" si="496"/>
        <v/>
      </c>
      <c r="WY12" s="59" t="str">
        <f t="shared" si="496"/>
        <v/>
      </c>
      <c r="WZ12" s="59" t="str">
        <f t="shared" si="496"/>
        <v/>
      </c>
      <c r="XA12" s="59" t="str">
        <f t="shared" si="496"/>
        <v/>
      </c>
      <c r="XB12" s="59" t="str">
        <f t="shared" si="496"/>
        <v/>
      </c>
      <c r="XC12" s="59" t="str">
        <f t="shared" si="496"/>
        <v/>
      </c>
      <c r="XD12" s="59" t="str">
        <f t="shared" si="496"/>
        <v/>
      </c>
      <c r="XE12" s="59" t="str">
        <f t="shared" si="496"/>
        <v/>
      </c>
      <c r="XF12" s="59" t="str">
        <f t="shared" si="496"/>
        <v/>
      </c>
      <c r="XG12" s="59" t="str">
        <f t="shared" si="496"/>
        <v/>
      </c>
      <c r="XH12" s="59" t="str">
        <f t="shared" si="496"/>
        <v/>
      </c>
      <c r="XI12" s="59" t="str">
        <f t="shared" si="496"/>
        <v/>
      </c>
      <c r="XJ12" s="59" t="str">
        <f t="shared" si="496"/>
        <v/>
      </c>
      <c r="XK12" s="59" t="str">
        <f t="shared" si="496"/>
        <v/>
      </c>
      <c r="XL12" s="59" t="str">
        <f t="shared" si="496"/>
        <v/>
      </c>
      <c r="XM12" s="59" t="str">
        <f t="shared" si="496"/>
        <v/>
      </c>
      <c r="XN12" s="59" t="str">
        <f t="shared" si="496"/>
        <v/>
      </c>
      <c r="XO12" s="59" t="str">
        <f t="shared" si="496"/>
        <v/>
      </c>
      <c r="XP12" s="59" t="str">
        <f t="shared" si="496"/>
        <v/>
      </c>
      <c r="XQ12" s="59" t="str">
        <f t="shared" si="496"/>
        <v/>
      </c>
      <c r="XR12" s="59" t="str">
        <f t="shared" si="496"/>
        <v/>
      </c>
      <c r="XS12" s="59" t="str">
        <f t="shared" si="496"/>
        <v/>
      </c>
      <c r="XT12" s="59" t="str">
        <f t="shared" si="496"/>
        <v/>
      </c>
      <c r="XU12" s="59" t="str">
        <f t="shared" si="496"/>
        <v/>
      </c>
      <c r="XV12" s="59" t="str">
        <f t="shared" si="496"/>
        <v/>
      </c>
      <c r="XW12" s="59" t="str">
        <f t="shared" si="496"/>
        <v/>
      </c>
      <c r="XX12" s="59" t="str">
        <f t="shared" si="496"/>
        <v/>
      </c>
      <c r="XY12" s="59" t="str">
        <f t="shared" si="496"/>
        <v/>
      </c>
      <c r="XZ12" s="59" t="str">
        <f t="shared" si="496"/>
        <v/>
      </c>
      <c r="YA12" s="59" t="str">
        <f t="shared" si="496"/>
        <v/>
      </c>
      <c r="YB12" s="59" t="str">
        <f t="shared" si="496"/>
        <v/>
      </c>
      <c r="YC12" s="59" t="str">
        <f t="shared" si="496"/>
        <v/>
      </c>
      <c r="YD12" s="59" t="str">
        <f t="shared" si="496"/>
        <v/>
      </c>
      <c r="YE12" s="59" t="str">
        <f t="shared" si="496"/>
        <v/>
      </c>
      <c r="YF12" s="59" t="str">
        <f t="shared" si="496"/>
        <v/>
      </c>
      <c r="YG12" s="59" t="str">
        <f t="shared" si="496"/>
        <v/>
      </c>
      <c r="YH12" s="59" t="str">
        <f t="shared" si="496"/>
        <v/>
      </c>
      <c r="YI12" s="59" t="str">
        <f t="shared" si="496"/>
        <v/>
      </c>
      <c r="YJ12" s="59" t="str">
        <f t="shared" si="496"/>
        <v/>
      </c>
      <c r="YK12" s="59" t="str">
        <f t="shared" si="496"/>
        <v/>
      </c>
      <c r="YL12" s="59" t="str">
        <f t="shared" si="496"/>
        <v/>
      </c>
      <c r="YM12" s="59" t="str">
        <f t="shared" si="496"/>
        <v/>
      </c>
      <c r="YN12" s="59" t="str">
        <f t="shared" si="496"/>
        <v/>
      </c>
      <c r="YO12" s="59" t="str">
        <f t="shared" si="496"/>
        <v/>
      </c>
      <c r="YP12" s="59" t="str">
        <f t="shared" si="496"/>
        <v/>
      </c>
      <c r="YQ12" s="59" t="str">
        <f t="shared" si="496"/>
        <v/>
      </c>
      <c r="YR12" s="59" t="str">
        <f t="shared" si="496"/>
        <v/>
      </c>
      <c r="YS12" s="59" t="str">
        <f t="shared" si="496"/>
        <v/>
      </c>
      <c r="YT12" s="59" t="str">
        <f t="shared" si="496"/>
        <v/>
      </c>
      <c r="YU12" s="59" t="str">
        <f t="shared" si="496"/>
        <v/>
      </c>
      <c r="YV12" s="59" t="str">
        <f t="shared" si="496"/>
        <v/>
      </c>
      <c r="YW12" s="59" t="str">
        <f t="shared" si="496"/>
        <v/>
      </c>
      <c r="YX12" s="59" t="str">
        <f t="shared" si="496"/>
        <v/>
      </c>
      <c r="YY12" s="59" t="str">
        <f t="shared" si="496"/>
        <v/>
      </c>
      <c r="YZ12" s="59" t="str">
        <f t="shared" si="496"/>
        <v/>
      </c>
      <c r="ZA12" s="59" t="str">
        <f t="shared" si="496"/>
        <v/>
      </c>
      <c r="ZB12" s="59" t="str">
        <f t="shared" si="496"/>
        <v/>
      </c>
      <c r="ZC12" s="59" t="str">
        <f t="shared" si="496"/>
        <v/>
      </c>
      <c r="ZD12" s="59" t="str">
        <f t="shared" si="496"/>
        <v/>
      </c>
      <c r="ZE12" s="59" t="str">
        <f t="shared" si="496"/>
        <v/>
      </c>
      <c r="ZF12" s="59" t="str">
        <f t="shared" si="496"/>
        <v/>
      </c>
      <c r="ZG12" s="59" t="str">
        <f t="shared" si="496"/>
        <v/>
      </c>
      <c r="ZH12" s="59" t="str">
        <f t="shared" si="496"/>
        <v/>
      </c>
      <c r="ZI12" s="59" t="str">
        <f t="shared" si="496"/>
        <v/>
      </c>
      <c r="ZJ12" s="59" t="str">
        <f t="shared" si="496"/>
        <v/>
      </c>
      <c r="ZK12" s="59" t="str">
        <f t="shared" si="496"/>
        <v/>
      </c>
      <c r="ZL12" s="59" t="str">
        <f t="shared" si="496"/>
        <v/>
      </c>
      <c r="ZM12" s="59" t="str">
        <f t="shared" si="496"/>
        <v/>
      </c>
      <c r="ZN12" s="59" t="str">
        <f t="shared" si="496"/>
        <v/>
      </c>
      <c r="ZO12" s="59" t="str">
        <f t="shared" si="496"/>
        <v/>
      </c>
      <c r="ZP12" s="59" t="str">
        <f t="shared" si="496"/>
        <v/>
      </c>
      <c r="ZQ12" s="59" t="str">
        <f t="shared" si="496"/>
        <v/>
      </c>
      <c r="ZR12" s="59" t="str">
        <f t="shared" si="496"/>
        <v/>
      </c>
      <c r="ZS12" s="59" t="str">
        <f t="shared" si="496"/>
        <v/>
      </c>
      <c r="ZT12" s="59" t="str">
        <f t="shared" si="496"/>
        <v/>
      </c>
      <c r="ZU12" s="59" t="str">
        <f t="shared" si="496"/>
        <v/>
      </c>
      <c r="ZV12" s="59" t="str">
        <f t="shared" si="496"/>
        <v/>
      </c>
      <c r="ZW12" s="59" t="str">
        <f t="shared" si="496"/>
        <v/>
      </c>
      <c r="ZX12" s="59" t="str">
        <f t="shared" si="496"/>
        <v/>
      </c>
      <c r="ZY12" s="59" t="str">
        <f t="shared" si="496"/>
        <v/>
      </c>
      <c r="ZZ12" s="59" t="str">
        <f t="shared" si="496"/>
        <v/>
      </c>
      <c r="AAA12" s="59" t="str">
        <f t="shared" si="496"/>
        <v/>
      </c>
      <c r="AAB12" s="59" t="str">
        <f t="shared" si="496"/>
        <v/>
      </c>
      <c r="AAC12" s="59" t="str">
        <f t="shared" si="496"/>
        <v/>
      </c>
      <c r="AAD12" s="59" t="str">
        <f t="shared" si="496"/>
        <v/>
      </c>
      <c r="AAE12" s="59" t="str">
        <f t="shared" si="496"/>
        <v/>
      </c>
      <c r="AAF12" s="59" t="str">
        <f t="shared" si="496"/>
        <v/>
      </c>
      <c r="AAG12" s="59" t="str">
        <f t="shared" si="496"/>
        <v/>
      </c>
      <c r="AAH12" s="59" t="str">
        <f t="shared" si="496"/>
        <v/>
      </c>
      <c r="AAI12" s="59" t="str">
        <f t="shared" si="496"/>
        <v/>
      </c>
      <c r="AAJ12" s="59" t="str">
        <f t="shared" si="496"/>
        <v/>
      </c>
      <c r="AAK12" s="59" t="str">
        <f t="shared" si="496"/>
        <v/>
      </c>
      <c r="AAL12" s="59" t="str">
        <f t="shared" si="496"/>
        <v/>
      </c>
      <c r="AAM12" s="59" t="str">
        <f t="shared" si="496"/>
        <v/>
      </c>
      <c r="AAN12" s="59" t="str">
        <f t="shared" si="496"/>
        <v/>
      </c>
      <c r="AAO12" s="59" t="str">
        <f t="shared" si="496"/>
        <v/>
      </c>
      <c r="AAP12" s="59" t="str">
        <f t="shared" si="496"/>
        <v/>
      </c>
      <c r="AAQ12" s="59" t="str">
        <f t="shared" si="496"/>
        <v/>
      </c>
      <c r="AAR12" s="59" t="str">
        <f t="shared" si="496"/>
        <v/>
      </c>
      <c r="AAS12" s="59" t="str">
        <f t="shared" si="496"/>
        <v/>
      </c>
      <c r="AAT12" s="59" t="str">
        <f t="shared" si="496"/>
        <v/>
      </c>
      <c r="AAU12" s="59" t="str">
        <f t="shared" si="496"/>
        <v/>
      </c>
      <c r="AAV12" s="59" t="str">
        <f t="shared" si="496"/>
        <v/>
      </c>
      <c r="AAW12" s="59" t="str">
        <f t="shared" si="496"/>
        <v/>
      </c>
      <c r="AAX12" s="59" t="str">
        <f t="shared" si="496"/>
        <v/>
      </c>
      <c r="AAY12" s="59" t="str">
        <f t="shared" si="496"/>
        <v/>
      </c>
      <c r="AAZ12" s="59" t="str">
        <f t="shared" si="496"/>
        <v/>
      </c>
      <c r="ABA12" s="59" t="str">
        <f t="shared" si="496"/>
        <v/>
      </c>
      <c r="ABB12" s="59" t="str">
        <f t="shared" si="496"/>
        <v/>
      </c>
      <c r="ABC12" s="59" t="str">
        <f t="shared" si="496"/>
        <v/>
      </c>
      <c r="ABD12" s="59" t="str">
        <f t="shared" si="496"/>
        <v/>
      </c>
      <c r="ABE12" s="59" t="str">
        <f t="shared" si="496"/>
        <v/>
      </c>
      <c r="ABF12" s="59" t="str">
        <f t="shared" si="496"/>
        <v/>
      </c>
      <c r="ABG12" s="59" t="str">
        <f t="shared" si="496"/>
        <v/>
      </c>
      <c r="ABH12" s="59" t="str">
        <f t="shared" si="496"/>
        <v/>
      </c>
      <c r="ABI12" s="59" t="str">
        <f t="shared" si="496"/>
        <v/>
      </c>
      <c r="ABJ12" s="59" t="str">
        <f t="shared" si="496"/>
        <v/>
      </c>
      <c r="ABK12" s="59" t="str">
        <f t="shared" si="496"/>
        <v/>
      </c>
      <c r="ABL12" s="59" t="str">
        <f t="shared" si="496"/>
        <v/>
      </c>
      <c r="ABM12" s="59" t="str">
        <f t="shared" si="496"/>
        <v/>
      </c>
      <c r="ABN12" s="59" t="str">
        <f t="shared" si="496"/>
        <v/>
      </c>
      <c r="ABO12" s="59" t="str">
        <f t="shared" si="496"/>
        <v/>
      </c>
      <c r="ABP12" s="59" t="str">
        <f t="shared" si="496"/>
        <v/>
      </c>
      <c r="ABQ12" s="59" t="str">
        <f t="shared" si="496"/>
        <v/>
      </c>
      <c r="ABR12" s="59" t="str">
        <f t="shared" si="496"/>
        <v/>
      </c>
      <c r="ABS12" s="59" t="str">
        <f t="shared" si="496"/>
        <v/>
      </c>
      <c r="ABT12" s="59" t="str">
        <f t="shared" si="496"/>
        <v/>
      </c>
      <c r="ABU12" s="59" t="str">
        <f t="shared" si="496"/>
        <v/>
      </c>
      <c r="ABV12" s="59" t="str">
        <f t="shared" si="496"/>
        <v/>
      </c>
      <c r="ABW12" s="59" t="str">
        <f t="shared" si="496"/>
        <v/>
      </c>
      <c r="ABX12" s="59" t="str">
        <f t="shared" si="496"/>
        <v/>
      </c>
      <c r="ABY12" s="59" t="str">
        <f t="shared" si="496"/>
        <v/>
      </c>
      <c r="ABZ12" s="59" t="str">
        <f t="shared" si="496"/>
        <v/>
      </c>
      <c r="ACA12" s="59" t="str">
        <f t="shared" si="496"/>
        <v/>
      </c>
      <c r="ACB12" s="59" t="str">
        <f t="shared" si="496"/>
        <v/>
      </c>
      <c r="ACC12" s="59" t="str">
        <f t="shared" si="496"/>
        <v/>
      </c>
      <c r="ACD12" s="59" t="str">
        <f t="shared" si="496"/>
        <v/>
      </c>
      <c r="ACE12" s="59" t="str">
        <f t="shared" si="496"/>
        <v/>
      </c>
      <c r="ACF12" s="59" t="str">
        <f t="shared" si="496"/>
        <v/>
      </c>
      <c r="ACG12" s="59" t="str">
        <f t="shared" si="496"/>
        <v/>
      </c>
      <c r="ACH12" s="59" t="str">
        <f t="shared" si="496"/>
        <v/>
      </c>
      <c r="ACI12" s="59" t="str">
        <f t="shared" si="496"/>
        <v/>
      </c>
      <c r="ACJ12" s="59" t="str">
        <f t="shared" si="496"/>
        <v/>
      </c>
      <c r="ACK12" s="59" t="str">
        <f t="shared" si="496"/>
        <v/>
      </c>
      <c r="ACL12" s="59" t="str">
        <f t="shared" si="496"/>
        <v/>
      </c>
      <c r="ACM12" s="59" t="str">
        <f t="shared" si="496"/>
        <v/>
      </c>
      <c r="ACN12" s="59" t="str">
        <f t="shared" si="496"/>
        <v/>
      </c>
      <c r="ACO12" s="59" t="str">
        <f t="shared" si="496"/>
        <v/>
      </c>
      <c r="ACP12" s="59" t="str">
        <f t="shared" si="496"/>
        <v/>
      </c>
      <c r="ACQ12" s="59" t="str">
        <f t="shared" si="496"/>
        <v/>
      </c>
      <c r="ACR12" s="59" t="str">
        <f t="shared" si="496"/>
        <v/>
      </c>
      <c r="ACS12" s="59" t="str">
        <f t="shared" si="496"/>
        <v/>
      </c>
      <c r="ACT12" s="59" t="str">
        <f t="shared" si="496"/>
        <v/>
      </c>
      <c r="ACU12" s="59" t="str">
        <f t="shared" si="496"/>
        <v/>
      </c>
      <c r="ACV12" s="59" t="str">
        <f t="shared" si="496"/>
        <v/>
      </c>
      <c r="ACW12" s="59" t="str">
        <f t="shared" si="496"/>
        <v/>
      </c>
      <c r="ACX12" s="59" t="str">
        <f t="shared" si="496"/>
        <v/>
      </c>
      <c r="ACY12" s="59" t="str">
        <f t="shared" si="496"/>
        <v/>
      </c>
      <c r="ACZ12" s="59" t="str">
        <f t="shared" si="496"/>
        <v/>
      </c>
      <c r="ADA12" s="59" t="str">
        <f t="shared" si="496"/>
        <v/>
      </c>
      <c r="ADB12" s="59" t="str">
        <f t="shared" si="496"/>
        <v/>
      </c>
      <c r="ADC12" s="59" t="str">
        <f t="shared" si="496"/>
        <v/>
      </c>
      <c r="ADD12" s="59" t="str">
        <f t="shared" si="496"/>
        <v/>
      </c>
      <c r="ADE12" s="59" t="str">
        <f t="shared" si="496"/>
        <v/>
      </c>
      <c r="ADF12" s="59" t="str">
        <f t="shared" si="496"/>
        <v/>
      </c>
      <c r="ADG12" s="59" t="str">
        <f t="shared" si="496"/>
        <v/>
      </c>
      <c r="ADH12" s="59" t="str">
        <f t="shared" si="496"/>
        <v/>
      </c>
      <c r="ADI12" s="59" t="str">
        <f t="shared" si="496"/>
        <v/>
      </c>
      <c r="ADJ12" s="59" t="str">
        <f t="shared" si="496"/>
        <v/>
      </c>
      <c r="ADK12" s="59" t="str">
        <f t="shared" si="496"/>
        <v/>
      </c>
      <c r="ADL12" s="59" t="str">
        <f t="shared" si="496"/>
        <v/>
      </c>
      <c r="ADM12" s="59" t="str">
        <f t="shared" si="496"/>
        <v/>
      </c>
      <c r="ADN12" s="59" t="str">
        <f t="shared" si="496"/>
        <v/>
      </c>
      <c r="ADO12" s="59" t="str">
        <f t="shared" si="496"/>
        <v/>
      </c>
      <c r="ADP12" s="59" t="str">
        <f t="shared" si="496"/>
        <v/>
      </c>
      <c r="ADQ12" s="59" t="str">
        <f t="shared" si="496"/>
        <v/>
      </c>
      <c r="ADR12" s="59" t="str">
        <f t="shared" si="496"/>
        <v/>
      </c>
      <c r="ADS12" s="59" t="str">
        <f t="shared" si="496"/>
        <v/>
      </c>
      <c r="ADT12" s="59" t="str">
        <f t="shared" si="496"/>
        <v/>
      </c>
      <c r="ADU12" s="59" t="str">
        <f t="shared" si="496"/>
        <v/>
      </c>
      <c r="ADV12" s="59" t="str">
        <f t="shared" si="496"/>
        <v/>
      </c>
      <c r="ADW12" s="59" t="str">
        <f t="shared" si="496"/>
        <v/>
      </c>
      <c r="ADX12" s="59" t="str">
        <f t="shared" si="496"/>
        <v/>
      </c>
      <c r="ADY12" s="59" t="str">
        <f t="shared" si="496"/>
        <v/>
      </c>
      <c r="ADZ12" s="59" t="str">
        <f t="shared" si="496"/>
        <v/>
      </c>
      <c r="AEA12" s="59" t="str">
        <f t="shared" si="496"/>
        <v/>
      </c>
      <c r="AEB12" s="59" t="str">
        <f t="shared" si="496"/>
        <v/>
      </c>
      <c r="AEC12" s="59" t="str">
        <f t="shared" si="496"/>
        <v/>
      </c>
      <c r="AED12" s="59" t="str">
        <f t="shared" si="496"/>
        <v/>
      </c>
      <c r="AEE12" s="59" t="str">
        <f t="shared" si="496"/>
        <v/>
      </c>
      <c r="AEF12" s="59" t="str">
        <f t="shared" si="496"/>
        <v/>
      </c>
      <c r="AEG12" s="59" t="str">
        <f t="shared" si="496"/>
        <v/>
      </c>
      <c r="AEH12" s="59" t="str">
        <f t="shared" si="496"/>
        <v/>
      </c>
      <c r="AEI12" s="59" t="str">
        <f t="shared" si="496"/>
        <v/>
      </c>
      <c r="AEJ12" s="59" t="str">
        <f t="shared" si="496"/>
        <v/>
      </c>
      <c r="AEK12" s="59" t="str">
        <f t="shared" si="496"/>
        <v/>
      </c>
      <c r="AEL12" s="59" t="str">
        <f t="shared" si="496"/>
        <v/>
      </c>
      <c r="AEM12" s="59" t="str">
        <f t="shared" si="496"/>
        <v/>
      </c>
      <c r="AEN12" s="59" t="str">
        <f t="shared" si="496"/>
        <v/>
      </c>
      <c r="AEO12" s="59" t="str">
        <f t="shared" si="496"/>
        <v/>
      </c>
      <c r="AEP12" s="59" t="str">
        <f t="shared" si="496"/>
        <v/>
      </c>
      <c r="AEQ12" s="59" t="str">
        <f t="shared" si="496"/>
        <v/>
      </c>
      <c r="AER12" s="59" t="str">
        <f t="shared" si="496"/>
        <v/>
      </c>
      <c r="AES12" s="59" t="str">
        <f t="shared" si="496"/>
        <v/>
      </c>
      <c r="AET12" s="59" t="str">
        <f t="shared" si="496"/>
        <v/>
      </c>
      <c r="AEU12" s="59" t="str">
        <f t="shared" si="496"/>
        <v/>
      </c>
      <c r="AEV12" s="59" t="str">
        <f t="shared" si="496"/>
        <v/>
      </c>
      <c r="AEW12" s="59" t="str">
        <f t="shared" si="496"/>
        <v/>
      </c>
      <c r="AEX12" s="59" t="str">
        <f t="shared" si="496"/>
        <v/>
      </c>
      <c r="AEY12" s="59" t="str">
        <f t="shared" si="496"/>
        <v/>
      </c>
      <c r="AEZ12" s="59" t="str">
        <f t="shared" si="496"/>
        <v/>
      </c>
      <c r="AFA12" s="59" t="str">
        <f t="shared" si="496"/>
        <v/>
      </c>
      <c r="AFB12" s="59" t="str">
        <f t="shared" si="496"/>
        <v/>
      </c>
      <c r="AFC12" s="59" t="str">
        <f t="shared" si="496"/>
        <v/>
      </c>
      <c r="AFD12" s="59" t="str">
        <f t="shared" si="496"/>
        <v/>
      </c>
      <c r="AFE12" s="59" t="str">
        <f t="shared" si="496"/>
        <v/>
      </c>
      <c r="AFF12" s="59" t="str">
        <f t="shared" si="496"/>
        <v/>
      </c>
      <c r="AFG12" s="59" t="str">
        <f t="shared" si="496"/>
        <v/>
      </c>
      <c r="AFH12" s="59" t="str">
        <f t="shared" si="496"/>
        <v/>
      </c>
      <c r="AFI12" s="59" t="str">
        <f t="shared" si="496"/>
        <v/>
      </c>
      <c r="AFJ12" s="59" t="str">
        <f t="shared" si="496"/>
        <v/>
      </c>
      <c r="AFK12" s="59" t="str">
        <f t="shared" si="496"/>
        <v/>
      </c>
      <c r="AFL12" s="59" t="str">
        <f t="shared" si="496"/>
        <v/>
      </c>
      <c r="AFM12" s="59" t="str">
        <f t="shared" si="496"/>
        <v/>
      </c>
      <c r="AFN12" s="59" t="str">
        <f t="shared" si="496"/>
        <v/>
      </c>
      <c r="AFO12" s="59" t="str">
        <f t="shared" si="496"/>
        <v/>
      </c>
      <c r="AFP12" s="59" t="str">
        <f t="shared" si="496"/>
        <v/>
      </c>
      <c r="AFQ12" s="59" t="str">
        <f t="shared" si="496"/>
        <v/>
      </c>
      <c r="AFR12" s="59" t="str">
        <f t="shared" si="496"/>
        <v/>
      </c>
      <c r="AFS12" s="59" t="str">
        <f t="shared" si="496"/>
        <v/>
      </c>
      <c r="AFT12" s="59" t="str">
        <f t="shared" si="496"/>
        <v/>
      </c>
      <c r="AFU12" s="59" t="str">
        <f t="shared" si="496"/>
        <v/>
      </c>
      <c r="AFV12" s="59" t="str">
        <f t="shared" si="496"/>
        <v/>
      </c>
      <c r="AFW12" s="59" t="str">
        <f t="shared" si="496"/>
        <v/>
      </c>
      <c r="AFX12" s="59" t="str">
        <f t="shared" si="496"/>
        <v/>
      </c>
      <c r="AFY12" s="59" t="str">
        <f t="shared" si="496"/>
        <v/>
      </c>
      <c r="AFZ12" s="59" t="str">
        <f t="shared" si="496"/>
        <v/>
      </c>
      <c r="AGA12" s="59" t="str">
        <f t="shared" si="496"/>
        <v/>
      </c>
      <c r="AGB12" s="59" t="str">
        <f t="shared" si="496"/>
        <v/>
      </c>
      <c r="AGC12" s="59" t="str">
        <f t="shared" si="496"/>
        <v/>
      </c>
      <c r="AGD12" s="59" t="str">
        <f t="shared" si="496"/>
        <v/>
      </c>
      <c r="AGE12" s="59" t="str">
        <f t="shared" si="496"/>
        <v/>
      </c>
      <c r="AGF12" s="59" t="str">
        <f t="shared" si="496"/>
        <v/>
      </c>
      <c r="AGG12" s="59" t="str">
        <f t="shared" si="496"/>
        <v/>
      </c>
      <c r="AGH12" s="59" t="str">
        <f t="shared" si="496"/>
        <v/>
      </c>
      <c r="AGI12" s="59" t="str">
        <f t="shared" si="496"/>
        <v/>
      </c>
      <c r="AGJ12" s="59" t="str">
        <f t="shared" si="496"/>
        <v/>
      </c>
      <c r="AGK12" s="59" t="str">
        <f t="shared" si="496"/>
        <v/>
      </c>
      <c r="AGL12" s="59" t="str">
        <f t="shared" si="496"/>
        <v/>
      </c>
      <c r="AGM12" s="59" t="str">
        <f t="shared" si="496"/>
        <v/>
      </c>
      <c r="AGN12" s="59" t="str">
        <f t="shared" si="496"/>
        <v/>
      </c>
      <c r="AGO12" s="59" t="str">
        <f t="shared" si="496"/>
        <v/>
      </c>
      <c r="AGP12" s="59" t="str">
        <f t="shared" si="496"/>
        <v/>
      </c>
      <c r="AGQ12" s="59" t="str">
        <f t="shared" si="496"/>
        <v/>
      </c>
      <c r="AGR12" s="59" t="str">
        <f t="shared" si="496"/>
        <v/>
      </c>
      <c r="AGS12" s="59" t="str">
        <f t="shared" si="496"/>
        <v/>
      </c>
      <c r="AGT12" s="59" t="str">
        <f t="shared" si="496"/>
        <v/>
      </c>
      <c r="AGU12" s="59" t="str">
        <f t="shared" si="496"/>
        <v/>
      </c>
      <c r="AGV12" s="59" t="str">
        <f t="shared" si="496"/>
        <v/>
      </c>
      <c r="AGW12" s="59" t="str">
        <f t="shared" si="496"/>
        <v/>
      </c>
      <c r="AGX12" s="59" t="str">
        <f t="shared" si="496"/>
        <v/>
      </c>
      <c r="AGY12" s="59" t="str">
        <f t="shared" si="496"/>
        <v/>
      </c>
      <c r="AGZ12" s="59" t="str">
        <f t="shared" si="496"/>
        <v/>
      </c>
      <c r="AHA12" s="59" t="str">
        <f t="shared" si="496"/>
        <v/>
      </c>
      <c r="AHB12" s="59" t="str">
        <f t="shared" si="496"/>
        <v/>
      </c>
      <c r="AHC12" s="59" t="str">
        <f t="shared" si="496"/>
        <v/>
      </c>
      <c r="AHD12" s="59" t="str">
        <f t="shared" si="496"/>
        <v/>
      </c>
      <c r="AHE12" s="59" t="str">
        <f t="shared" si="496"/>
        <v/>
      </c>
      <c r="AHF12" s="59" t="str">
        <f t="shared" si="496"/>
        <v/>
      </c>
      <c r="AHG12" s="59" t="str">
        <f t="shared" si="496"/>
        <v/>
      </c>
      <c r="AHH12" s="59" t="str">
        <f t="shared" si="496"/>
        <v/>
      </c>
      <c r="AHI12" s="59" t="str">
        <f t="shared" si="496"/>
        <v/>
      </c>
      <c r="AHJ12" s="59" t="str">
        <f t="shared" si="496"/>
        <v/>
      </c>
      <c r="AHK12" s="59" t="str">
        <f t="shared" si="496"/>
        <v/>
      </c>
      <c r="AHL12" s="59" t="str">
        <f t="shared" si="496"/>
        <v/>
      </c>
      <c r="AHM12" s="59" t="str">
        <f t="shared" si="496"/>
        <v/>
      </c>
      <c r="AHN12" s="59" t="str">
        <f t="shared" si="496"/>
        <v/>
      </c>
      <c r="AHO12" s="59" t="str">
        <f t="shared" si="496"/>
        <v/>
      </c>
      <c r="AHP12" s="59" t="str">
        <f t="shared" si="496"/>
        <v/>
      </c>
      <c r="AHQ12" s="59" t="str">
        <f t="shared" si="496"/>
        <v/>
      </c>
      <c r="AHR12" s="59" t="str">
        <f t="shared" si="496"/>
        <v/>
      </c>
      <c r="AHS12" s="59" t="str">
        <f t="shared" si="496"/>
        <v/>
      </c>
      <c r="AHT12" s="59" t="str">
        <f t="shared" si="496"/>
        <v/>
      </c>
      <c r="AHU12" s="59" t="str">
        <f t="shared" si="496"/>
        <v/>
      </c>
      <c r="AHV12" s="59" t="str">
        <f t="shared" si="496"/>
        <v/>
      </c>
      <c r="AHW12" s="59" t="str">
        <f t="shared" si="496"/>
        <v/>
      </c>
      <c r="AHX12" s="59" t="str">
        <f t="shared" si="496"/>
        <v/>
      </c>
      <c r="AHY12" s="59" t="str">
        <f t="shared" si="496"/>
        <v/>
      </c>
      <c r="AHZ12" s="59" t="str">
        <f t="shared" si="496"/>
        <v/>
      </c>
      <c r="AIA12" s="59" t="str">
        <f t="shared" si="496"/>
        <v/>
      </c>
      <c r="AIB12" s="59" t="str">
        <f t="shared" si="496"/>
        <v/>
      </c>
      <c r="AIC12" s="59" t="str">
        <f t="shared" si="496"/>
        <v/>
      </c>
      <c r="AID12" s="59" t="str">
        <f t="shared" si="496"/>
        <v/>
      </c>
      <c r="AIE12" s="59" t="str">
        <f t="shared" si="496"/>
        <v/>
      </c>
      <c r="AIF12" s="59" t="str">
        <f t="shared" si="496"/>
        <v/>
      </c>
      <c r="AIG12" s="59" t="str">
        <f t="shared" si="496"/>
        <v/>
      </c>
      <c r="AIH12" s="59" t="str">
        <f t="shared" si="496"/>
        <v/>
      </c>
      <c r="AII12" s="59" t="str">
        <f t="shared" si="496"/>
        <v/>
      </c>
      <c r="AIJ12" s="59" t="str">
        <f t="shared" si="496"/>
        <v/>
      </c>
      <c r="AIK12" s="59" t="str">
        <f t="shared" si="496"/>
        <v/>
      </c>
      <c r="AIL12" s="59" t="str">
        <f t="shared" si="496"/>
        <v/>
      </c>
      <c r="AIM12" s="59" t="str">
        <f t="shared" si="496"/>
        <v/>
      </c>
      <c r="AIN12" s="59" t="str">
        <f t="shared" si="496"/>
        <v/>
      </c>
      <c r="AIO12" s="59" t="str">
        <f t="shared" si="496"/>
        <v/>
      </c>
      <c r="AIP12" s="59" t="str">
        <f t="shared" si="496"/>
        <v/>
      </c>
      <c r="AIQ12" s="59" t="str">
        <f t="shared" si="496"/>
        <v/>
      </c>
      <c r="AIR12" s="59" t="str">
        <f t="shared" si="496"/>
        <v/>
      </c>
      <c r="AIS12" s="59" t="str">
        <f t="shared" si="496"/>
        <v/>
      </c>
      <c r="AIT12" s="59" t="str">
        <f t="shared" si="496"/>
        <v/>
      </c>
      <c r="AIU12" s="59" t="str">
        <f t="shared" si="496"/>
        <v/>
      </c>
      <c r="AIV12" s="59" t="str">
        <f t="shared" si="496"/>
        <v/>
      </c>
      <c r="AIW12" s="59" t="str">
        <f t="shared" si="496"/>
        <v/>
      </c>
      <c r="AIX12" s="59" t="str">
        <f t="shared" si="496"/>
        <v/>
      </c>
      <c r="AIY12" s="59" t="str">
        <f t="shared" si="496"/>
        <v/>
      </c>
      <c r="AIZ12" s="59" t="str">
        <f t="shared" si="496"/>
        <v/>
      </c>
      <c r="AJA12" s="59" t="str">
        <f t="shared" si="496"/>
        <v/>
      </c>
      <c r="AJB12" s="59" t="str">
        <f t="shared" si="496"/>
        <v/>
      </c>
      <c r="AJC12" s="59" t="str">
        <f t="shared" si="496"/>
        <v/>
      </c>
      <c r="AJD12" s="59" t="str">
        <f t="shared" si="496"/>
        <v/>
      </c>
      <c r="AJE12" s="59" t="str">
        <f t="shared" si="496"/>
        <v/>
      </c>
      <c r="AJF12" s="59" t="str">
        <f t="shared" si="496"/>
        <v/>
      </c>
      <c r="AJG12" s="59" t="str">
        <f t="shared" si="496"/>
        <v/>
      </c>
      <c r="AJH12" s="59" t="str">
        <f t="shared" si="496"/>
        <v/>
      </c>
      <c r="AJI12" s="59" t="str">
        <f t="shared" si="496"/>
        <v/>
      </c>
      <c r="AJJ12" s="59" t="str">
        <f t="shared" si="496"/>
        <v/>
      </c>
      <c r="AJK12" s="59" t="str">
        <f t="shared" si="496"/>
        <v/>
      </c>
      <c r="AJL12" s="59" t="str">
        <f t="shared" si="496"/>
        <v/>
      </c>
      <c r="AJM12" s="59" t="str">
        <f t="shared" si="496"/>
        <v/>
      </c>
      <c r="AJN12" s="59" t="str">
        <f t="shared" si="496"/>
        <v/>
      </c>
      <c r="AJO12" s="59" t="str">
        <f t="shared" si="496"/>
        <v/>
      </c>
      <c r="AJP12" s="59" t="str">
        <f t="shared" si="496"/>
        <v/>
      </c>
      <c r="AJQ12" s="59" t="str">
        <f t="shared" si="496"/>
        <v/>
      </c>
      <c r="AJR12" s="59" t="str">
        <f t="shared" si="496"/>
        <v/>
      </c>
      <c r="AJS12" s="59" t="str">
        <f t="shared" si="496"/>
        <v/>
      </c>
      <c r="AJT12" s="59" t="str">
        <f t="shared" si="496"/>
        <v/>
      </c>
      <c r="AJU12" s="59" t="str">
        <f t="shared" si="496"/>
        <v/>
      </c>
      <c r="AJV12" s="59" t="str">
        <f t="shared" si="496"/>
        <v/>
      </c>
      <c r="AJW12" s="59" t="str">
        <f t="shared" si="496"/>
        <v/>
      </c>
      <c r="AJX12" s="59" t="str">
        <f t="shared" si="496"/>
        <v/>
      </c>
      <c r="AJY12" s="59" t="str">
        <f t="shared" si="496"/>
        <v/>
      </c>
      <c r="AJZ12" s="59" t="str">
        <f t="shared" si="496"/>
        <v/>
      </c>
      <c r="AKA12" s="59" t="str">
        <f t="shared" si="496"/>
        <v/>
      </c>
      <c r="AKB12" s="59" t="str">
        <f t="shared" si="496"/>
        <v/>
      </c>
      <c r="AKC12" s="59" t="str">
        <f t="shared" si="496"/>
        <v/>
      </c>
      <c r="AKD12" s="59" t="str">
        <f t="shared" si="496"/>
        <v/>
      </c>
      <c r="AKE12" s="59" t="str">
        <f t="shared" si="496"/>
        <v/>
      </c>
      <c r="AKF12" s="59" t="str">
        <f t="shared" si="496"/>
        <v/>
      </c>
      <c r="AKG12" s="59" t="str">
        <f t="shared" si="496"/>
        <v/>
      </c>
      <c r="AKH12" s="59" t="str">
        <f t="shared" si="496"/>
        <v/>
      </c>
      <c r="AKI12" s="59" t="str">
        <f t="shared" si="496"/>
        <v/>
      </c>
      <c r="AKJ12" s="59" t="str">
        <f t="shared" si="496"/>
        <v/>
      </c>
      <c r="AKK12" s="59" t="str">
        <f t="shared" si="496"/>
        <v/>
      </c>
      <c r="AKL12" s="59" t="str">
        <f t="shared" si="496"/>
        <v/>
      </c>
      <c r="AKM12" s="59" t="str">
        <f t="shared" si="496"/>
        <v/>
      </c>
      <c r="AKN12" s="59" t="str">
        <f t="shared" si="496"/>
        <v/>
      </c>
      <c r="AKO12" s="59" t="str">
        <f t="shared" si="496"/>
        <v/>
      </c>
      <c r="AKP12" s="59" t="str">
        <f t="shared" si="496"/>
        <v/>
      </c>
      <c r="AKQ12" s="59" t="str">
        <f t="shared" si="496"/>
        <v/>
      </c>
      <c r="AKR12" s="59" t="str">
        <f t="shared" si="496"/>
        <v/>
      </c>
      <c r="AKS12" s="59" t="str">
        <f t="shared" si="496"/>
        <v/>
      </c>
      <c r="AKT12" s="59" t="str">
        <f t="shared" si="496"/>
        <v/>
      </c>
      <c r="AKU12" s="59" t="str">
        <f t="shared" si="496"/>
        <v/>
      </c>
      <c r="AKV12" s="59" t="str">
        <f t="shared" si="496"/>
        <v/>
      </c>
      <c r="AKW12" s="59" t="str">
        <f t="shared" si="496"/>
        <v/>
      </c>
      <c r="AKX12" s="59" t="str">
        <f t="shared" si="496"/>
        <v/>
      </c>
      <c r="AKY12" s="59" t="str">
        <f t="shared" si="496"/>
        <v/>
      </c>
      <c r="AKZ12" s="59" t="str">
        <f t="shared" si="496"/>
        <v/>
      </c>
      <c r="ALA12" s="59" t="str">
        <f t="shared" si="496"/>
        <v/>
      </c>
      <c r="ALB12" s="59" t="str">
        <f t="shared" si="496"/>
        <v/>
      </c>
      <c r="ALC12" s="59" t="str">
        <f t="shared" si="496"/>
        <v/>
      </c>
      <c r="ALD12" s="59" t="str">
        <f t="shared" si="496"/>
        <v/>
      </c>
      <c r="ALE12" s="59" t="str">
        <f t="shared" si="496"/>
        <v/>
      </c>
      <c r="ALF12" s="59" t="str">
        <f t="shared" si="496"/>
        <v/>
      </c>
      <c r="ALG12" s="59" t="str">
        <f t="shared" si="496"/>
        <v/>
      </c>
      <c r="ALH12" s="59" t="str">
        <f t="shared" si="496"/>
        <v/>
      </c>
      <c r="ALI12" s="59" t="str">
        <f t="shared" si="496"/>
        <v/>
      </c>
      <c r="ALJ12" s="59" t="str">
        <f t="shared" si="496"/>
        <v/>
      </c>
      <c r="ALK12" s="59" t="str">
        <f t="shared" si="496"/>
        <v/>
      </c>
      <c r="ALL12" s="59" t="str">
        <f t="shared" si="496"/>
        <v/>
      </c>
      <c r="ALM12" s="59" t="str">
        <f t="shared" si="496"/>
        <v/>
      </c>
      <c r="ALN12" s="59" t="str">
        <f t="shared" si="496"/>
        <v/>
      </c>
      <c r="ALO12" s="59" t="str">
        <f t="shared" si="496"/>
        <v/>
      </c>
      <c r="ALP12" s="59" t="str">
        <f t="shared" si="496"/>
        <v/>
      </c>
      <c r="ALQ12" s="59" t="str">
        <f t="shared" si="496"/>
        <v/>
      </c>
      <c r="ALR12" s="59" t="str">
        <f t="shared" si="496"/>
        <v/>
      </c>
      <c r="ALS12" s="59" t="str">
        <f t="shared" si="496"/>
        <v/>
      </c>
      <c r="ALT12" s="59" t="str">
        <f t="shared" si="496"/>
        <v/>
      </c>
      <c r="ALU12" s="59" t="str">
        <f t="shared" si="496"/>
        <v/>
      </c>
      <c r="ALV12" s="59" t="str">
        <f t="shared" si="496"/>
        <v/>
      </c>
      <c r="ALW12" s="59" t="str">
        <f t="shared" si="496"/>
        <v/>
      </c>
      <c r="ALX12" s="59" t="str">
        <f t="shared" si="496"/>
        <v/>
      </c>
      <c r="ALY12" s="59" t="str">
        <f t="shared" si="496"/>
        <v/>
      </c>
      <c r="ALZ12" s="59" t="str">
        <f t="shared" si="496"/>
        <v/>
      </c>
      <c r="AMA12" s="59" t="str">
        <f t="shared" si="496"/>
        <v/>
      </c>
      <c r="AMB12" s="59" t="str">
        <f t="shared" si="496"/>
        <v/>
      </c>
      <c r="AMC12" s="59" t="str">
        <f t="shared" si="496"/>
        <v/>
      </c>
      <c r="AMD12" s="59" t="str">
        <f t="shared" si="496"/>
        <v/>
      </c>
      <c r="AME12" s="59" t="str">
        <f t="shared" si="496"/>
        <v/>
      </c>
      <c r="AMF12" s="59" t="str">
        <f t="shared" si="496"/>
        <v/>
      </c>
      <c r="AMG12" s="59" t="str">
        <f t="shared" si="496"/>
        <v/>
      </c>
      <c r="AMH12" s="59" t="str">
        <f t="shared" si="496"/>
        <v/>
      </c>
      <c r="AMI12" s="59" t="str">
        <f t="shared" si="496"/>
        <v/>
      </c>
      <c r="AMJ12" s="59" t="str">
        <f t="shared" si="496"/>
        <v/>
      </c>
      <c r="AMK12" s="59" t="str">
        <f t="shared" si="496"/>
        <v/>
      </c>
      <c r="AML12" s="59" t="str">
        <f t="shared" si="496"/>
        <v/>
      </c>
      <c r="AMM12" s="59" t="str">
        <f t="shared" si="496"/>
        <v/>
      </c>
      <c r="AMN12" s="59" t="str">
        <f t="shared" si="496"/>
        <v/>
      </c>
      <c r="AMO12" s="59" t="str">
        <f t="shared" si="496"/>
        <v/>
      </c>
      <c r="AMP12" s="59" t="str">
        <f t="shared" si="496"/>
        <v/>
      </c>
      <c r="AMQ12" s="59" t="str">
        <f t="shared" si="496"/>
        <v/>
      </c>
      <c r="AMR12" s="59" t="str">
        <f t="shared" si="496"/>
        <v/>
      </c>
      <c r="AMS12" s="59" t="str">
        <f t="shared" si="496"/>
        <v/>
      </c>
      <c r="AMT12" s="59" t="str">
        <f t="shared" si="496"/>
        <v/>
      </c>
      <c r="AMU12" s="59" t="str">
        <f t="shared" si="496"/>
        <v/>
      </c>
      <c r="AMV12" s="59" t="str">
        <f t="shared" si="496"/>
        <v/>
      </c>
      <c r="AMW12" s="59" t="str">
        <f t="shared" si="496"/>
        <v/>
      </c>
      <c r="AMX12" s="59" t="str">
        <f t="shared" si="496"/>
        <v/>
      </c>
      <c r="AMY12" s="59" t="str">
        <f t="shared" si="496"/>
        <v/>
      </c>
      <c r="AMZ12" s="59" t="str">
        <f t="shared" si="496"/>
        <v/>
      </c>
      <c r="ANA12" s="59" t="str">
        <f t="shared" si="496"/>
        <v/>
      </c>
      <c r="ANB12" s="59" t="str">
        <f t="shared" si="496"/>
        <v/>
      </c>
      <c r="ANC12" s="59" t="str">
        <f t="shared" si="496"/>
        <v/>
      </c>
      <c r="AND12" s="59" t="str">
        <f t="shared" si="496"/>
        <v/>
      </c>
      <c r="ANE12" s="59" t="str">
        <f t="shared" si="496"/>
        <v/>
      </c>
      <c r="ANF12" s="59" t="str">
        <f t="shared" si="496"/>
        <v/>
      </c>
      <c r="ANG12" s="59" t="str">
        <f t="shared" si="496"/>
        <v/>
      </c>
      <c r="ANH12" s="59" t="str">
        <f t="shared" si="496"/>
        <v/>
      </c>
      <c r="ANI12" s="59" t="str">
        <f t="shared" si="496"/>
        <v/>
      </c>
      <c r="ANJ12" s="59" t="str">
        <f t="shared" si="496"/>
        <v/>
      </c>
      <c r="ANK12" s="59" t="str">
        <f t="shared" si="496"/>
        <v/>
      </c>
      <c r="ANL12" s="59" t="str">
        <f t="shared" si="496"/>
        <v/>
      </c>
      <c r="ANM12" s="59" t="str">
        <f t="shared" si="496"/>
        <v/>
      </c>
      <c r="ANN12" s="59" t="str">
        <f t="shared" si="496"/>
        <v/>
      </c>
      <c r="ANO12" s="59" t="str">
        <f t="shared" si="496"/>
        <v/>
      </c>
      <c r="ANP12" s="59" t="str">
        <f t="shared" si="496"/>
        <v/>
      </c>
      <c r="ANQ12" s="59" t="str">
        <f t="shared" si="496"/>
        <v/>
      </c>
      <c r="ANR12" s="59" t="str">
        <f t="shared" si="496"/>
        <v/>
      </c>
      <c r="ANS12" s="59" t="str">
        <f t="shared" si="496"/>
        <v/>
      </c>
      <c r="ANT12" s="59" t="str">
        <f t="shared" si="496"/>
        <v/>
      </c>
      <c r="ANU12" s="59" t="str">
        <f t="shared" si="496"/>
        <v/>
      </c>
      <c r="ANV12" s="59" t="str">
        <f t="shared" si="496"/>
        <v/>
      </c>
      <c r="ANW12" s="59" t="str">
        <f t="shared" si="496"/>
        <v/>
      </c>
      <c r="ANX12" s="59" t="str">
        <f t="shared" si="496"/>
        <v/>
      </c>
      <c r="ANY12" s="59" t="str">
        <f t="shared" si="496"/>
        <v/>
      </c>
      <c r="ANZ12" s="59" t="str">
        <f t="shared" si="496"/>
        <v/>
      </c>
      <c r="AOA12" s="59" t="str">
        <f t="shared" si="496"/>
        <v/>
      </c>
      <c r="AOB12" s="59" t="str">
        <f t="shared" si="496"/>
        <v/>
      </c>
      <c r="AOC12" s="59" t="str">
        <f t="shared" si="496"/>
        <v/>
      </c>
      <c r="AOD12" s="59" t="str">
        <f t="shared" si="496"/>
        <v/>
      </c>
      <c r="AOE12" s="59" t="str">
        <f t="shared" si="496"/>
        <v/>
      </c>
      <c r="AOF12" s="59" t="str">
        <f t="shared" si="496"/>
        <v/>
      </c>
      <c r="AOG12" s="59" t="str">
        <f t="shared" si="496"/>
        <v/>
      </c>
      <c r="AOH12" s="59" t="str">
        <f t="shared" si="496"/>
        <v/>
      </c>
      <c r="AOI12" s="59" t="str">
        <f t="shared" si="496"/>
        <v/>
      </c>
      <c r="AOJ12" s="59" t="str">
        <f t="shared" si="496"/>
        <v/>
      </c>
      <c r="AOK12" s="59" t="str">
        <f t="shared" si="496"/>
        <v/>
      </c>
      <c r="AOL12" s="59" t="str">
        <f t="shared" si="496"/>
        <v/>
      </c>
      <c r="AOM12" s="59" t="str">
        <f t="shared" si="496"/>
        <v/>
      </c>
      <c r="AON12" s="59" t="str">
        <f t="shared" si="496"/>
        <v/>
      </c>
      <c r="AOO12" s="59" t="str">
        <f t="shared" si="496"/>
        <v/>
      </c>
      <c r="AOP12" s="59" t="str">
        <f t="shared" si="496"/>
        <v/>
      </c>
      <c r="AOQ12" s="59" t="str">
        <f t="shared" si="496"/>
        <v/>
      </c>
      <c r="AOR12" s="59" t="str">
        <f t="shared" si="496"/>
        <v/>
      </c>
      <c r="AOS12" s="59" t="str">
        <f t="shared" si="496"/>
        <v/>
      </c>
      <c r="AOT12" s="59" t="str">
        <f t="shared" si="496"/>
        <v/>
      </c>
      <c r="AOU12" s="59" t="str">
        <f t="shared" si="496"/>
        <v/>
      </c>
      <c r="AOV12" s="59" t="str">
        <f t="shared" si="496"/>
        <v/>
      </c>
      <c r="AOW12" s="59" t="str">
        <f t="shared" si="496"/>
        <v/>
      </c>
      <c r="AOX12" s="59" t="str">
        <f t="shared" si="496"/>
        <v/>
      </c>
      <c r="AOY12" s="59" t="str">
        <f t="shared" si="496"/>
        <v/>
      </c>
      <c r="AOZ12" s="59" t="str">
        <f t="shared" si="496"/>
        <v/>
      </c>
      <c r="APA12" s="59" t="str">
        <f t="shared" si="496"/>
        <v/>
      </c>
      <c r="APB12" s="59" t="str">
        <f t="shared" si="496"/>
        <v/>
      </c>
      <c r="APC12" s="59" t="str">
        <f t="shared" si="496"/>
        <v/>
      </c>
      <c r="APD12" s="59" t="str">
        <f t="shared" si="496"/>
        <v/>
      </c>
      <c r="APE12" s="59" t="str">
        <f t="shared" si="496"/>
        <v/>
      </c>
      <c r="APF12" s="59" t="str">
        <f t="shared" si="496"/>
        <v/>
      </c>
      <c r="APG12" s="59" t="str">
        <f t="shared" si="496"/>
        <v/>
      </c>
      <c r="APH12" s="59" t="str">
        <f t="shared" si="496"/>
        <v/>
      </c>
      <c r="API12" s="59" t="str">
        <f t="shared" si="496"/>
        <v/>
      </c>
      <c r="APJ12" s="59" t="str">
        <f t="shared" si="496"/>
        <v/>
      </c>
      <c r="APK12" s="59" t="str">
        <f t="shared" si="496"/>
        <v/>
      </c>
      <c r="APL12" s="59" t="str">
        <f t="shared" si="496"/>
        <v/>
      </c>
      <c r="APM12" s="59" t="str">
        <f t="shared" si="496"/>
        <v/>
      </c>
      <c r="APN12" s="59" t="str">
        <f t="shared" si="496"/>
        <v/>
      </c>
      <c r="APO12" s="59" t="str">
        <f t="shared" si="496"/>
        <v/>
      </c>
      <c r="APP12" s="59" t="str">
        <f t="shared" si="496"/>
        <v/>
      </c>
      <c r="APQ12" s="59" t="str">
        <f t="shared" si="496"/>
        <v/>
      </c>
      <c r="APR12" s="59" t="str">
        <f t="shared" si="496"/>
        <v/>
      </c>
      <c r="APS12" s="59" t="str">
        <f t="shared" si="496"/>
        <v/>
      </c>
      <c r="APT12" s="59" t="str">
        <f t="shared" si="496"/>
        <v/>
      </c>
      <c r="APU12" s="59" t="str">
        <f t="shared" si="496"/>
        <v/>
      </c>
      <c r="APV12" s="59" t="str">
        <f t="shared" si="496"/>
        <v/>
      </c>
      <c r="APW12" s="59" t="str">
        <f t="shared" si="496"/>
        <v/>
      </c>
      <c r="APX12" s="59" t="str">
        <f t="shared" si="496"/>
        <v/>
      </c>
      <c r="APY12" s="59" t="str">
        <f t="shared" si="496"/>
        <v/>
      </c>
      <c r="APZ12" s="59" t="str">
        <f t="shared" si="496"/>
        <v/>
      </c>
      <c r="AQA12" s="59" t="str">
        <f t="shared" si="496"/>
        <v/>
      </c>
      <c r="AQB12" s="59" t="str">
        <f t="shared" si="496"/>
        <v/>
      </c>
      <c r="AQC12" s="59" t="str">
        <f t="shared" si="496"/>
        <v/>
      </c>
      <c r="AQD12" s="59" t="str">
        <f t="shared" si="496"/>
        <v/>
      </c>
      <c r="AQE12" s="59" t="str">
        <f t="shared" si="496"/>
        <v/>
      </c>
      <c r="AQF12" s="59" t="str">
        <f t="shared" si="496"/>
        <v/>
      </c>
      <c r="AQG12" s="59" t="str">
        <f t="shared" si="496"/>
        <v/>
      </c>
      <c r="AQH12" s="59" t="str">
        <f t="shared" si="496"/>
        <v/>
      </c>
      <c r="AQI12" s="59" t="str">
        <f t="shared" si="496"/>
        <v/>
      </c>
      <c r="AQJ12" s="59" t="str">
        <f t="shared" si="496"/>
        <v/>
      </c>
      <c r="AQK12" s="59" t="str">
        <f t="shared" si="496"/>
        <v/>
      </c>
      <c r="AQL12" s="59" t="str">
        <f t="shared" si="496"/>
        <v/>
      </c>
    </row>
    <row r="13">
      <c r="A13" s="4" t="s">
        <v>259</v>
      </c>
      <c r="B13" s="59" t="str">
        <f t="shared" ref="B13:CT13" si="497">IFERROR(VLOOKUP(INDIRECT(ADDRESS(ROW() - 9, COLUMN())), INDIRECT(ADDRESS(ROW() - 83, 12)):INDIRECT(ADDRESS(ROW() - 79, 16)), 4, FALSE))</f>
        <v/>
      </c>
      <c r="C13" s="59" t="str">
        <f t="shared" si="497"/>
        <v/>
      </c>
      <c r="D13" s="59" t="str">
        <f t="shared" si="497"/>
        <v/>
      </c>
      <c r="E13" s="59" t="str">
        <f t="shared" si="497"/>
        <v/>
      </c>
      <c r="F13" s="59" t="str">
        <f t="shared" si="497"/>
        <v/>
      </c>
      <c r="G13" s="59" t="str">
        <f t="shared" si="497"/>
        <v/>
      </c>
      <c r="H13" s="59" t="str">
        <f t="shared" si="497"/>
        <v/>
      </c>
      <c r="I13" s="59" t="str">
        <f t="shared" si="497"/>
        <v/>
      </c>
      <c r="J13" s="59" t="str">
        <f t="shared" si="497"/>
        <v/>
      </c>
      <c r="K13" s="59" t="str">
        <f t="shared" si="497"/>
        <v/>
      </c>
      <c r="L13" s="59" t="str">
        <f t="shared" si="497"/>
        <v/>
      </c>
      <c r="M13" s="59" t="str">
        <f t="shared" si="497"/>
        <v/>
      </c>
      <c r="N13" s="59" t="str">
        <f t="shared" si="497"/>
        <v/>
      </c>
      <c r="O13" s="59" t="str">
        <f t="shared" si="497"/>
        <v/>
      </c>
      <c r="P13" s="59" t="str">
        <f t="shared" si="497"/>
        <v/>
      </c>
      <c r="Q13" s="59" t="str">
        <f t="shared" si="497"/>
        <v/>
      </c>
      <c r="R13" s="59" t="str">
        <f t="shared" si="497"/>
        <v/>
      </c>
      <c r="S13" s="59" t="str">
        <f t="shared" si="497"/>
        <v/>
      </c>
      <c r="T13" s="59" t="str">
        <f t="shared" si="497"/>
        <v/>
      </c>
      <c r="U13" s="59" t="str">
        <f t="shared" si="497"/>
        <v/>
      </c>
      <c r="V13" s="59" t="str">
        <f t="shared" si="497"/>
        <v/>
      </c>
      <c r="W13" s="59" t="str">
        <f t="shared" si="497"/>
        <v/>
      </c>
      <c r="X13" s="59" t="str">
        <f t="shared" si="497"/>
        <v/>
      </c>
      <c r="Y13" s="59" t="str">
        <f t="shared" si="497"/>
        <v/>
      </c>
      <c r="Z13" s="59" t="str">
        <f t="shared" si="497"/>
        <v/>
      </c>
      <c r="AA13" s="59" t="str">
        <f t="shared" si="497"/>
        <v/>
      </c>
      <c r="AB13" s="59" t="str">
        <f t="shared" si="497"/>
        <v/>
      </c>
      <c r="AC13" s="59" t="str">
        <f t="shared" si="497"/>
        <v/>
      </c>
      <c r="AD13" s="59" t="str">
        <f t="shared" si="497"/>
        <v/>
      </c>
      <c r="AE13" s="59" t="str">
        <f t="shared" si="497"/>
        <v/>
      </c>
      <c r="AF13" s="59" t="str">
        <f t="shared" si="497"/>
        <v/>
      </c>
      <c r="AG13" s="59" t="str">
        <f t="shared" si="497"/>
        <v/>
      </c>
      <c r="AH13" s="59" t="str">
        <f t="shared" si="497"/>
        <v/>
      </c>
      <c r="AI13" s="59" t="str">
        <f t="shared" si="497"/>
        <v/>
      </c>
      <c r="AJ13" s="59" t="str">
        <f t="shared" si="497"/>
        <v/>
      </c>
      <c r="AK13" s="59" t="str">
        <f t="shared" si="497"/>
        <v/>
      </c>
      <c r="AL13" s="59" t="str">
        <f t="shared" si="497"/>
        <v/>
      </c>
      <c r="AM13" s="59" t="str">
        <f t="shared" si="497"/>
        <v/>
      </c>
      <c r="AN13" s="59" t="str">
        <f t="shared" si="497"/>
        <v/>
      </c>
      <c r="AO13" s="59" t="str">
        <f t="shared" si="497"/>
        <v/>
      </c>
      <c r="AP13" s="59" t="str">
        <f t="shared" si="497"/>
        <v/>
      </c>
      <c r="AQ13" s="59" t="str">
        <f t="shared" si="497"/>
        <v/>
      </c>
      <c r="AR13" s="59" t="str">
        <f t="shared" si="497"/>
        <v/>
      </c>
      <c r="AS13" s="59" t="str">
        <f t="shared" si="497"/>
        <v/>
      </c>
      <c r="AT13" s="59" t="str">
        <f t="shared" si="497"/>
        <v/>
      </c>
      <c r="AU13" s="59" t="str">
        <f t="shared" si="497"/>
        <v/>
      </c>
      <c r="AV13" s="59" t="str">
        <f t="shared" si="497"/>
        <v/>
      </c>
      <c r="AW13" s="59" t="str">
        <f t="shared" si="497"/>
        <v/>
      </c>
      <c r="AX13" s="59" t="str">
        <f t="shared" si="497"/>
        <v/>
      </c>
      <c r="AY13" s="59" t="str">
        <f t="shared" si="497"/>
        <v/>
      </c>
      <c r="AZ13" s="59" t="str">
        <f t="shared" si="497"/>
        <v/>
      </c>
      <c r="BA13" s="59" t="str">
        <f t="shared" si="497"/>
        <v/>
      </c>
      <c r="BB13" s="59" t="str">
        <f t="shared" si="497"/>
        <v/>
      </c>
      <c r="BC13" s="59" t="str">
        <f t="shared" si="497"/>
        <v/>
      </c>
      <c r="BD13" s="59" t="str">
        <f t="shared" si="497"/>
        <v/>
      </c>
      <c r="BE13" s="59" t="str">
        <f t="shared" si="497"/>
        <v/>
      </c>
      <c r="BF13" s="59" t="str">
        <f t="shared" si="497"/>
        <v/>
      </c>
      <c r="BG13" s="59" t="str">
        <f t="shared" si="497"/>
        <v/>
      </c>
      <c r="BH13" s="59" t="str">
        <f t="shared" si="497"/>
        <v/>
      </c>
      <c r="BI13" s="59" t="str">
        <f t="shared" si="497"/>
        <v/>
      </c>
      <c r="BJ13" s="59" t="str">
        <f t="shared" si="497"/>
        <v/>
      </c>
      <c r="BK13" s="59" t="str">
        <f t="shared" si="497"/>
        <v/>
      </c>
      <c r="BL13" s="59" t="str">
        <f t="shared" si="497"/>
        <v/>
      </c>
      <c r="BM13" s="59" t="str">
        <f t="shared" si="497"/>
        <v/>
      </c>
      <c r="BN13" s="59" t="str">
        <f t="shared" si="497"/>
        <v/>
      </c>
      <c r="BO13" s="59" t="str">
        <f t="shared" si="497"/>
        <v/>
      </c>
      <c r="BP13" s="59" t="str">
        <f t="shared" si="497"/>
        <v/>
      </c>
      <c r="BQ13" s="59" t="str">
        <f t="shared" si="497"/>
        <v/>
      </c>
      <c r="BR13" s="59" t="str">
        <f t="shared" si="497"/>
        <v/>
      </c>
      <c r="BS13" s="59" t="str">
        <f t="shared" si="497"/>
        <v/>
      </c>
      <c r="BT13" s="59" t="str">
        <f t="shared" si="497"/>
        <v/>
      </c>
      <c r="BU13" s="59" t="str">
        <f t="shared" si="497"/>
        <v/>
      </c>
      <c r="BV13" s="59" t="str">
        <f t="shared" si="497"/>
        <v/>
      </c>
      <c r="BW13" s="59" t="str">
        <f t="shared" si="497"/>
        <v/>
      </c>
      <c r="BX13" s="59" t="str">
        <f t="shared" si="497"/>
        <v/>
      </c>
      <c r="BY13" s="59" t="str">
        <f t="shared" si="497"/>
        <v/>
      </c>
      <c r="BZ13" s="59" t="str">
        <f t="shared" si="497"/>
        <v/>
      </c>
      <c r="CA13" s="59" t="str">
        <f t="shared" si="497"/>
        <v/>
      </c>
      <c r="CB13" s="59" t="str">
        <f t="shared" si="497"/>
        <v/>
      </c>
      <c r="CC13" s="59" t="str">
        <f t="shared" si="497"/>
        <v/>
      </c>
      <c r="CD13" s="59" t="str">
        <f t="shared" si="497"/>
        <v/>
      </c>
      <c r="CE13" s="59" t="str">
        <f t="shared" si="497"/>
        <v/>
      </c>
      <c r="CF13" s="59" t="str">
        <f t="shared" si="497"/>
        <v/>
      </c>
      <c r="CG13" s="59" t="str">
        <f t="shared" si="497"/>
        <v/>
      </c>
      <c r="CH13" s="59" t="str">
        <f t="shared" si="497"/>
        <v/>
      </c>
      <c r="CI13" s="59" t="str">
        <f t="shared" si="497"/>
        <v/>
      </c>
      <c r="CJ13" s="59" t="str">
        <f t="shared" si="497"/>
        <v/>
      </c>
      <c r="CK13" s="59" t="str">
        <f t="shared" si="497"/>
        <v/>
      </c>
      <c r="CL13" s="59" t="str">
        <f t="shared" si="497"/>
        <v/>
      </c>
      <c r="CM13" s="59" t="str">
        <f t="shared" si="497"/>
        <v/>
      </c>
      <c r="CN13" s="59" t="str">
        <f t="shared" si="497"/>
        <v/>
      </c>
      <c r="CO13" s="59" t="str">
        <f t="shared" si="497"/>
        <v/>
      </c>
      <c r="CP13" s="59" t="str">
        <f t="shared" si="497"/>
        <v/>
      </c>
      <c r="CQ13" s="59" t="str">
        <f t="shared" si="497"/>
        <v/>
      </c>
      <c r="CR13" s="59" t="str">
        <f t="shared" si="497"/>
        <v/>
      </c>
      <c r="CS13" s="59" t="str">
        <f t="shared" si="497"/>
        <v/>
      </c>
      <c r="CT13" s="59" t="str">
        <f t="shared" si="497"/>
        <v/>
      </c>
      <c r="CU13" s="59" t="str">
        <f>IFERROR(VLOOKUP(INDIRECT(ADDRESS(ROW() - 9, COLUMN())), INDIRECT(ADDRESS(ROW() - 83, 12)):INDIRECT(ADDRESS(ROW() - 79, 16)), 4, FALSE)) +  (IF(INDIRECT(ADDRESS(ROW() - 8, COLUMN())) = 1, 0.561099999999999, IF(INDIRECT(ADDRESS(ROW() - 8, COLUMN())) = 2, 0.6067, IF(INDIRECT(ADDRESS(ROW() - 8, COLUMN())) = 3, 0.6524, IF(INDIRECT(ADDRESS(ROW() - 8, COLUMN())) = 4, 0.7176, IF(INDIRECT(ADDRESS(ROW() - 8, COLUMN())) = 5, 0.7633, IF(INDIRECT(ADDRESS(ROW() - 8, COLUMN())) = 6, 0.8155, IF(INDIRECT(ADDRESS(ROW() - 8, COLUMN())) = 7, 0.8873, IF(INDIRECT(ADDRESS(ROW() - 8, COLUMN())) = 8, 0.959, IF(INDIRECT(ADDRESS(ROW() - 8, COLUMN())) = 9, 1.0308, IF(INDIRECT(ADDRESS(ROW() - 8, COLUMN())) = 10, 1.1091, IF(INDIRECT(ADDRESS(ROW() - 8, COLUMN())) = 11, 1.1874, IF(INDIRECT(ADDRESS(ROW() - 8, COLUMN())) = 12, 1.2657, IF(INDIRECT(ADDRESS(ROW() - 8, COLUMN())) = 13, 1.34389999999999,0))))))))))))) * IF(OR(INDIRECT(ADDRESS(ROW() - (12 + TemplateStats!$B$2), 3)) = "C0", INDIRECT(ADDRESS(ROW() - (12 + TemplateStats!$B$2), 3)) = "C1"), 4, 5))</f>
        <v>#VALUE!</v>
      </c>
      <c r="CV13" s="59" t="str">
        <f>IFERROR(VLOOKUP(INDIRECT(ADDRESS(ROW() - 9, COLUMN())), INDIRECT(ADDRESS(ROW() - 83, 12)):INDIRECT(ADDRESS(ROW() - 79, 16)), 4, FALSE)) +  (IF(INDIRECT(ADDRESS(ROW() - 8, COLUMN())) = 1, 0.561099999999999, IF(INDIRECT(ADDRESS(ROW() - 8, COLUMN())) = 2, 0.6067, IF(INDIRECT(ADDRESS(ROW() - 8, COLUMN())) = 3, 0.6524, IF(INDIRECT(ADDRESS(ROW() - 8, COLUMN())) = 4, 0.7176, IF(INDIRECT(ADDRESS(ROW() - 8, COLUMN())) = 5, 0.7633, IF(INDIRECT(ADDRESS(ROW() - 8, COLUMN())) = 6, 0.8155, IF(INDIRECT(ADDRESS(ROW() - 8, COLUMN())) = 7, 0.8873, IF(INDIRECT(ADDRESS(ROW() - 8, COLUMN())) = 8, 0.959, IF(INDIRECT(ADDRESS(ROW() - 8, COLUMN())) = 9, 1.0308, IF(INDIRECT(ADDRESS(ROW() - 8, COLUMN())) = 10, 1.1091, IF(INDIRECT(ADDRESS(ROW() - 8, COLUMN())) = 11, 1.1874, IF(INDIRECT(ADDRESS(ROW() - 8, COLUMN())) = 12, 1.2657, IF(INDIRECT(ADDRESS(ROW() - 8, COLUMN())) = 13, 1.34389999999999,0))))))))))))) * IF(OR(INDIRECT(ADDRESS(ROW() - (12 + TemplateStats!$B$2), 3)) = "C0", INDIRECT(ADDRESS(ROW() - (12 + TemplateStats!$B$2), 3)) = "C1"), 4, 5))</f>
        <v>#VALUE!</v>
      </c>
      <c r="CW13" s="59" t="str">
        <f>IFERROR(VLOOKUP(INDIRECT(ADDRESS(ROW() - 9, COLUMN())), INDIRECT(ADDRESS(ROW() - 83, 12)):INDIRECT(ADDRESS(ROW() - 79, 16)), 4, FALSE)) +  (IF(INDIRECT(ADDRESS(ROW() - 8, COLUMN())) = 1, 0.561099999999999, IF(INDIRECT(ADDRESS(ROW() - 8, COLUMN())) = 2, 0.6067, IF(INDIRECT(ADDRESS(ROW() - 8, COLUMN())) = 3, 0.6524, IF(INDIRECT(ADDRESS(ROW() - 8, COLUMN())) = 4, 0.7176, IF(INDIRECT(ADDRESS(ROW() - 8, COLUMN())) = 5, 0.7633, IF(INDIRECT(ADDRESS(ROW() - 8, COLUMN())) = 6, 0.8155, IF(INDIRECT(ADDRESS(ROW() - 8, COLUMN())) = 7, 0.8873, IF(INDIRECT(ADDRESS(ROW() - 8, COLUMN())) = 8, 0.959, IF(INDIRECT(ADDRESS(ROW() - 8, COLUMN())) = 9, 1.0308, IF(INDIRECT(ADDRESS(ROW() - 8, COLUMN())) = 10, 1.1091, IF(INDIRECT(ADDRESS(ROW() - 8, COLUMN())) = 11, 1.1874, IF(INDIRECT(ADDRESS(ROW() - 8, COLUMN())) = 12, 1.2657, IF(INDIRECT(ADDRESS(ROW() - 8, COLUMN())) = 13, 1.34389999999999,0))))))))))))) * IF(OR(INDIRECT(ADDRESS(ROW() - (12 + TemplateStats!$B$2), 3)) = "C0", INDIRECT(ADDRESS(ROW() - (12 + TemplateStats!$B$2), 3)) = "C1"), 4, 5))</f>
        <v>#VALUE!</v>
      </c>
      <c r="CX13" s="59" t="str">
        <f t="shared" ref="CX13:OZ13" si="498">IFERROR(VLOOKUP(INDIRECT(ADDRESS(ROW() - 9, COLUMN())), INDIRECT(ADDRESS(ROW() - 83, 12)):INDIRECT(ADDRESS(ROW() - 79, 16)), 4, FALSE))</f>
        <v/>
      </c>
      <c r="CY13" s="59" t="str">
        <f t="shared" si="498"/>
        <v/>
      </c>
      <c r="CZ13" s="59" t="str">
        <f t="shared" si="498"/>
        <v/>
      </c>
      <c r="DA13" s="59" t="str">
        <f t="shared" si="498"/>
        <v/>
      </c>
      <c r="DB13" s="59" t="str">
        <f t="shared" si="498"/>
        <v/>
      </c>
      <c r="DC13" s="59" t="str">
        <f t="shared" si="498"/>
        <v/>
      </c>
      <c r="DD13" s="59" t="str">
        <f t="shared" si="498"/>
        <v/>
      </c>
      <c r="DE13" s="59" t="str">
        <f t="shared" si="498"/>
        <v/>
      </c>
      <c r="DF13" s="59" t="str">
        <f t="shared" si="498"/>
        <v/>
      </c>
      <c r="DG13" s="59" t="str">
        <f t="shared" si="498"/>
        <v/>
      </c>
      <c r="DH13" s="59" t="str">
        <f t="shared" si="498"/>
        <v/>
      </c>
      <c r="DI13" s="59" t="str">
        <f t="shared" si="498"/>
        <v/>
      </c>
      <c r="DJ13" s="59" t="str">
        <f t="shared" si="498"/>
        <v/>
      </c>
      <c r="DK13" s="59" t="str">
        <f t="shared" si="498"/>
        <v/>
      </c>
      <c r="DL13" s="59" t="str">
        <f t="shared" si="498"/>
        <v/>
      </c>
      <c r="DM13" s="59" t="str">
        <f t="shared" si="498"/>
        <v/>
      </c>
      <c r="DN13" s="59" t="str">
        <f t="shared" si="498"/>
        <v/>
      </c>
      <c r="DO13" s="59" t="str">
        <f t="shared" si="498"/>
        <v/>
      </c>
      <c r="DP13" s="59" t="str">
        <f t="shared" si="498"/>
        <v/>
      </c>
      <c r="DQ13" s="59" t="str">
        <f t="shared" si="498"/>
        <v/>
      </c>
      <c r="DR13" s="59" t="str">
        <f t="shared" si="498"/>
        <v/>
      </c>
      <c r="DS13" s="59" t="str">
        <f t="shared" si="498"/>
        <v/>
      </c>
      <c r="DT13" s="59" t="str">
        <f t="shared" si="498"/>
        <v/>
      </c>
      <c r="DU13" s="59" t="str">
        <f t="shared" si="498"/>
        <v/>
      </c>
      <c r="DV13" s="59" t="str">
        <f t="shared" si="498"/>
        <v/>
      </c>
      <c r="DW13" s="59" t="str">
        <f t="shared" si="498"/>
        <v/>
      </c>
      <c r="DX13" s="59" t="str">
        <f t="shared" si="498"/>
        <v/>
      </c>
      <c r="DY13" s="59" t="str">
        <f t="shared" si="498"/>
        <v/>
      </c>
      <c r="DZ13" s="59" t="str">
        <f t="shared" si="498"/>
        <v/>
      </c>
      <c r="EA13" s="59" t="str">
        <f t="shared" si="498"/>
        <v/>
      </c>
      <c r="EB13" s="59" t="str">
        <f t="shared" si="498"/>
        <v/>
      </c>
      <c r="EC13" s="59" t="str">
        <f t="shared" si="498"/>
        <v/>
      </c>
      <c r="ED13" s="59" t="str">
        <f t="shared" si="498"/>
        <v/>
      </c>
      <c r="EE13" s="59" t="str">
        <f t="shared" si="498"/>
        <v/>
      </c>
      <c r="EF13" s="59" t="str">
        <f t="shared" si="498"/>
        <v/>
      </c>
      <c r="EG13" s="59" t="str">
        <f t="shared" si="498"/>
        <v/>
      </c>
      <c r="EH13" s="59" t="str">
        <f t="shared" si="498"/>
        <v/>
      </c>
      <c r="EI13" s="59" t="str">
        <f t="shared" si="498"/>
        <v/>
      </c>
      <c r="EJ13" s="59" t="str">
        <f t="shared" si="498"/>
        <v/>
      </c>
      <c r="EK13" s="59" t="str">
        <f t="shared" si="498"/>
        <v/>
      </c>
      <c r="EL13" s="59" t="str">
        <f t="shared" si="498"/>
        <v/>
      </c>
      <c r="EM13" s="59" t="str">
        <f t="shared" si="498"/>
        <v/>
      </c>
      <c r="EN13" s="59" t="str">
        <f t="shared" si="498"/>
        <v/>
      </c>
      <c r="EO13" s="59" t="str">
        <f t="shared" si="498"/>
        <v/>
      </c>
      <c r="EP13" s="59" t="str">
        <f t="shared" si="498"/>
        <v/>
      </c>
      <c r="EQ13" s="59" t="str">
        <f t="shared" si="498"/>
        <v/>
      </c>
      <c r="ER13" s="59" t="str">
        <f t="shared" si="498"/>
        <v/>
      </c>
      <c r="ES13" s="59" t="str">
        <f t="shared" si="498"/>
        <v/>
      </c>
      <c r="ET13" s="59" t="str">
        <f t="shared" si="498"/>
        <v/>
      </c>
      <c r="EU13" s="59" t="str">
        <f t="shared" si="498"/>
        <v/>
      </c>
      <c r="EV13" s="59" t="str">
        <f t="shared" si="498"/>
        <v/>
      </c>
      <c r="EW13" s="59" t="str">
        <f t="shared" si="498"/>
        <v/>
      </c>
      <c r="EX13" s="59" t="str">
        <f t="shared" si="498"/>
        <v/>
      </c>
      <c r="EY13" s="59" t="str">
        <f t="shared" si="498"/>
        <v/>
      </c>
      <c r="EZ13" s="59" t="str">
        <f t="shared" si="498"/>
        <v/>
      </c>
      <c r="FA13" s="59" t="str">
        <f t="shared" si="498"/>
        <v/>
      </c>
      <c r="FB13" s="59" t="str">
        <f t="shared" si="498"/>
        <v/>
      </c>
      <c r="FC13" s="59" t="str">
        <f t="shared" si="498"/>
        <v/>
      </c>
      <c r="FD13" s="59" t="str">
        <f t="shared" si="498"/>
        <v/>
      </c>
      <c r="FE13" s="59" t="str">
        <f t="shared" si="498"/>
        <v/>
      </c>
      <c r="FF13" s="59" t="str">
        <f t="shared" si="498"/>
        <v/>
      </c>
      <c r="FG13" s="59" t="str">
        <f t="shared" si="498"/>
        <v/>
      </c>
      <c r="FH13" s="59" t="str">
        <f t="shared" si="498"/>
        <v/>
      </c>
      <c r="FI13" s="59" t="str">
        <f t="shared" si="498"/>
        <v/>
      </c>
      <c r="FJ13" s="59" t="str">
        <f t="shared" si="498"/>
        <v/>
      </c>
      <c r="FK13" s="59" t="str">
        <f t="shared" si="498"/>
        <v/>
      </c>
      <c r="FL13" s="59" t="str">
        <f t="shared" si="498"/>
        <v/>
      </c>
      <c r="FM13" s="59" t="str">
        <f t="shared" si="498"/>
        <v/>
      </c>
      <c r="FN13" s="59" t="str">
        <f t="shared" si="498"/>
        <v/>
      </c>
      <c r="FO13" s="59" t="str">
        <f t="shared" si="498"/>
        <v/>
      </c>
      <c r="FP13" s="59" t="str">
        <f t="shared" si="498"/>
        <v/>
      </c>
      <c r="FQ13" s="59" t="str">
        <f t="shared" si="498"/>
        <v/>
      </c>
      <c r="FR13" s="59" t="str">
        <f t="shared" si="498"/>
        <v/>
      </c>
      <c r="FS13" s="59" t="str">
        <f t="shared" si="498"/>
        <v/>
      </c>
      <c r="FT13" s="59" t="str">
        <f t="shared" si="498"/>
        <v/>
      </c>
      <c r="FU13" s="59" t="str">
        <f t="shared" si="498"/>
        <v/>
      </c>
      <c r="FV13" s="59" t="str">
        <f t="shared" si="498"/>
        <v/>
      </c>
      <c r="FW13" s="59" t="str">
        <f t="shared" si="498"/>
        <v/>
      </c>
      <c r="FX13" s="59" t="str">
        <f t="shared" si="498"/>
        <v/>
      </c>
      <c r="FY13" s="59" t="str">
        <f t="shared" si="498"/>
        <v/>
      </c>
      <c r="FZ13" s="59" t="str">
        <f t="shared" si="498"/>
        <v/>
      </c>
      <c r="GA13" s="59" t="str">
        <f t="shared" si="498"/>
        <v/>
      </c>
      <c r="GB13" s="59" t="str">
        <f t="shared" si="498"/>
        <v/>
      </c>
      <c r="GC13" s="59" t="str">
        <f t="shared" si="498"/>
        <v/>
      </c>
      <c r="GD13" s="59" t="str">
        <f t="shared" si="498"/>
        <v/>
      </c>
      <c r="GE13" s="59" t="str">
        <f t="shared" si="498"/>
        <v/>
      </c>
      <c r="GF13" s="59" t="str">
        <f t="shared" si="498"/>
        <v/>
      </c>
      <c r="GG13" s="59" t="str">
        <f t="shared" si="498"/>
        <v/>
      </c>
      <c r="GH13" s="59" t="str">
        <f t="shared" si="498"/>
        <v/>
      </c>
      <c r="GI13" s="59" t="str">
        <f t="shared" si="498"/>
        <v/>
      </c>
      <c r="GJ13" s="59" t="str">
        <f t="shared" si="498"/>
        <v/>
      </c>
      <c r="GK13" s="59" t="str">
        <f t="shared" si="498"/>
        <v/>
      </c>
      <c r="GL13" s="59" t="str">
        <f t="shared" si="498"/>
        <v/>
      </c>
      <c r="GM13" s="59" t="str">
        <f t="shared" si="498"/>
        <v/>
      </c>
      <c r="GN13" s="59" t="str">
        <f t="shared" si="498"/>
        <v/>
      </c>
      <c r="GO13" s="59" t="str">
        <f t="shared" si="498"/>
        <v/>
      </c>
      <c r="GP13" s="59" t="str">
        <f t="shared" si="498"/>
        <v/>
      </c>
      <c r="GQ13" s="59" t="str">
        <f t="shared" si="498"/>
        <v/>
      </c>
      <c r="GR13" s="59" t="str">
        <f t="shared" si="498"/>
        <v/>
      </c>
      <c r="GS13" s="59" t="str">
        <f t="shared" si="498"/>
        <v/>
      </c>
      <c r="GT13" s="59" t="str">
        <f t="shared" si="498"/>
        <v/>
      </c>
      <c r="GU13" s="59" t="str">
        <f t="shared" si="498"/>
        <v/>
      </c>
      <c r="GV13" s="59" t="str">
        <f t="shared" si="498"/>
        <v/>
      </c>
      <c r="GW13" s="59" t="str">
        <f t="shared" si="498"/>
        <v/>
      </c>
      <c r="GX13" s="59" t="str">
        <f t="shared" si="498"/>
        <v/>
      </c>
      <c r="GY13" s="59" t="str">
        <f t="shared" si="498"/>
        <v/>
      </c>
      <c r="GZ13" s="59" t="str">
        <f t="shared" si="498"/>
        <v/>
      </c>
      <c r="HA13" s="59" t="str">
        <f t="shared" si="498"/>
        <v/>
      </c>
      <c r="HB13" s="59" t="str">
        <f t="shared" si="498"/>
        <v/>
      </c>
      <c r="HC13" s="59" t="str">
        <f t="shared" si="498"/>
        <v/>
      </c>
      <c r="HD13" s="59" t="str">
        <f t="shared" si="498"/>
        <v/>
      </c>
      <c r="HE13" s="59" t="str">
        <f t="shared" si="498"/>
        <v/>
      </c>
      <c r="HF13" s="59" t="str">
        <f t="shared" si="498"/>
        <v/>
      </c>
      <c r="HG13" s="59" t="str">
        <f t="shared" si="498"/>
        <v/>
      </c>
      <c r="HH13" s="59" t="str">
        <f t="shared" si="498"/>
        <v/>
      </c>
      <c r="HI13" s="59" t="str">
        <f t="shared" si="498"/>
        <v/>
      </c>
      <c r="HJ13" s="59" t="str">
        <f t="shared" si="498"/>
        <v/>
      </c>
      <c r="HK13" s="59" t="str">
        <f t="shared" si="498"/>
        <v/>
      </c>
      <c r="HL13" s="59" t="str">
        <f t="shared" si="498"/>
        <v/>
      </c>
      <c r="HM13" s="59" t="str">
        <f t="shared" si="498"/>
        <v/>
      </c>
      <c r="HN13" s="59" t="str">
        <f t="shared" si="498"/>
        <v/>
      </c>
      <c r="HO13" s="59" t="str">
        <f t="shared" si="498"/>
        <v/>
      </c>
      <c r="HP13" s="59" t="str">
        <f t="shared" si="498"/>
        <v/>
      </c>
      <c r="HQ13" s="59" t="str">
        <f t="shared" si="498"/>
        <v/>
      </c>
      <c r="HR13" s="59" t="str">
        <f t="shared" si="498"/>
        <v/>
      </c>
      <c r="HS13" s="59" t="str">
        <f t="shared" si="498"/>
        <v/>
      </c>
      <c r="HT13" s="59" t="str">
        <f t="shared" si="498"/>
        <v/>
      </c>
      <c r="HU13" s="59" t="str">
        <f t="shared" si="498"/>
        <v/>
      </c>
      <c r="HV13" s="59" t="str">
        <f t="shared" si="498"/>
        <v/>
      </c>
      <c r="HW13" s="59" t="str">
        <f t="shared" si="498"/>
        <v/>
      </c>
      <c r="HX13" s="59" t="str">
        <f t="shared" si="498"/>
        <v/>
      </c>
      <c r="HY13" s="59" t="str">
        <f t="shared" si="498"/>
        <v/>
      </c>
      <c r="HZ13" s="59" t="str">
        <f t="shared" si="498"/>
        <v/>
      </c>
      <c r="IA13" s="59" t="str">
        <f t="shared" si="498"/>
        <v/>
      </c>
      <c r="IB13" s="59" t="str">
        <f t="shared" si="498"/>
        <v/>
      </c>
      <c r="IC13" s="59" t="str">
        <f t="shared" si="498"/>
        <v/>
      </c>
      <c r="ID13" s="59" t="str">
        <f t="shared" si="498"/>
        <v/>
      </c>
      <c r="IE13" s="59" t="str">
        <f t="shared" si="498"/>
        <v/>
      </c>
      <c r="IF13" s="59" t="str">
        <f t="shared" si="498"/>
        <v/>
      </c>
      <c r="IG13" s="59" t="str">
        <f t="shared" si="498"/>
        <v/>
      </c>
      <c r="IH13" s="59" t="str">
        <f t="shared" si="498"/>
        <v/>
      </c>
      <c r="II13" s="59" t="str">
        <f t="shared" si="498"/>
        <v/>
      </c>
      <c r="IJ13" s="59" t="str">
        <f t="shared" si="498"/>
        <v/>
      </c>
      <c r="IK13" s="59" t="str">
        <f t="shared" si="498"/>
        <v/>
      </c>
      <c r="IL13" s="59" t="str">
        <f t="shared" si="498"/>
        <v/>
      </c>
      <c r="IM13" s="59" t="str">
        <f t="shared" si="498"/>
        <v/>
      </c>
      <c r="IN13" s="59" t="str">
        <f t="shared" si="498"/>
        <v/>
      </c>
      <c r="IO13" s="59" t="str">
        <f t="shared" si="498"/>
        <v/>
      </c>
      <c r="IP13" s="59" t="str">
        <f t="shared" si="498"/>
        <v/>
      </c>
      <c r="IQ13" s="59" t="str">
        <f t="shared" si="498"/>
        <v/>
      </c>
      <c r="IR13" s="59" t="str">
        <f t="shared" si="498"/>
        <v/>
      </c>
      <c r="IS13" s="59" t="str">
        <f t="shared" si="498"/>
        <v/>
      </c>
      <c r="IT13" s="195" t="str">
        <f t="shared" si="498"/>
        <v/>
      </c>
      <c r="IU13" s="59" t="str">
        <f t="shared" si="498"/>
        <v/>
      </c>
      <c r="IV13" s="59" t="str">
        <f t="shared" si="498"/>
        <v/>
      </c>
      <c r="IW13" s="59" t="str">
        <f t="shared" si="498"/>
        <v/>
      </c>
      <c r="IX13" s="59" t="str">
        <f t="shared" si="498"/>
        <v/>
      </c>
      <c r="IY13" s="59" t="str">
        <f t="shared" si="498"/>
        <v/>
      </c>
      <c r="IZ13" s="59" t="str">
        <f t="shared" si="498"/>
        <v/>
      </c>
      <c r="JA13" s="59" t="str">
        <f t="shared" si="498"/>
        <v/>
      </c>
      <c r="JB13" s="59" t="str">
        <f t="shared" si="498"/>
        <v/>
      </c>
      <c r="JC13" s="59" t="str">
        <f t="shared" si="498"/>
        <v/>
      </c>
      <c r="JD13" s="59" t="str">
        <f t="shared" si="498"/>
        <v/>
      </c>
      <c r="JE13" s="59" t="str">
        <f t="shared" si="498"/>
        <v/>
      </c>
      <c r="JF13" s="59" t="str">
        <f t="shared" si="498"/>
        <v/>
      </c>
      <c r="JG13" s="59" t="str">
        <f t="shared" si="498"/>
        <v/>
      </c>
      <c r="JH13" s="59" t="str">
        <f t="shared" si="498"/>
        <v/>
      </c>
      <c r="JI13" s="59" t="str">
        <f t="shared" si="498"/>
        <v/>
      </c>
      <c r="JJ13" s="59" t="str">
        <f t="shared" si="498"/>
        <v/>
      </c>
      <c r="JK13" s="59" t="str">
        <f t="shared" si="498"/>
        <v/>
      </c>
      <c r="JL13" s="59" t="str">
        <f t="shared" si="498"/>
        <v/>
      </c>
      <c r="JM13" s="59" t="str">
        <f t="shared" si="498"/>
        <v/>
      </c>
      <c r="JN13" s="59" t="str">
        <f t="shared" si="498"/>
        <v/>
      </c>
      <c r="JO13" s="59" t="str">
        <f t="shared" si="498"/>
        <v/>
      </c>
      <c r="JP13" s="59" t="str">
        <f t="shared" si="498"/>
        <v/>
      </c>
      <c r="JQ13" s="59" t="str">
        <f t="shared" si="498"/>
        <v/>
      </c>
      <c r="JR13" s="59" t="str">
        <f t="shared" si="498"/>
        <v/>
      </c>
      <c r="JS13" s="59" t="str">
        <f t="shared" si="498"/>
        <v/>
      </c>
      <c r="JT13" s="59" t="str">
        <f t="shared" si="498"/>
        <v/>
      </c>
      <c r="JU13" s="59" t="str">
        <f t="shared" si="498"/>
        <v/>
      </c>
      <c r="JV13" s="59" t="str">
        <f t="shared" si="498"/>
        <v/>
      </c>
      <c r="JW13" s="59" t="str">
        <f t="shared" si="498"/>
        <v/>
      </c>
      <c r="JX13" s="59" t="str">
        <f t="shared" si="498"/>
        <v/>
      </c>
      <c r="JY13" s="59" t="str">
        <f t="shared" si="498"/>
        <v/>
      </c>
      <c r="JZ13" s="59" t="str">
        <f t="shared" si="498"/>
        <v/>
      </c>
      <c r="KA13" s="59" t="str">
        <f t="shared" si="498"/>
        <v/>
      </c>
      <c r="KB13" s="59" t="str">
        <f t="shared" si="498"/>
        <v/>
      </c>
      <c r="KC13" s="59" t="str">
        <f t="shared" si="498"/>
        <v/>
      </c>
      <c r="KD13" s="59" t="str">
        <f t="shared" si="498"/>
        <v/>
      </c>
      <c r="KE13" s="59" t="str">
        <f t="shared" si="498"/>
        <v/>
      </c>
      <c r="KF13" s="59" t="str">
        <f t="shared" si="498"/>
        <v/>
      </c>
      <c r="KG13" s="59" t="str">
        <f t="shared" si="498"/>
        <v/>
      </c>
      <c r="KH13" s="59" t="str">
        <f t="shared" si="498"/>
        <v/>
      </c>
      <c r="KI13" s="59" t="str">
        <f t="shared" si="498"/>
        <v/>
      </c>
      <c r="KJ13" s="59" t="str">
        <f t="shared" si="498"/>
        <v/>
      </c>
      <c r="KK13" s="59" t="str">
        <f t="shared" si="498"/>
        <v/>
      </c>
      <c r="KL13" s="59" t="str">
        <f t="shared" si="498"/>
        <v/>
      </c>
      <c r="KM13" s="59" t="str">
        <f t="shared" si="498"/>
        <v/>
      </c>
      <c r="KN13" s="59" t="str">
        <f t="shared" si="498"/>
        <v/>
      </c>
      <c r="KO13" s="59" t="str">
        <f t="shared" si="498"/>
        <v/>
      </c>
      <c r="KP13" s="59" t="str">
        <f t="shared" si="498"/>
        <v/>
      </c>
      <c r="KQ13" s="59" t="str">
        <f t="shared" si="498"/>
        <v/>
      </c>
      <c r="KR13" s="59" t="str">
        <f t="shared" si="498"/>
        <v/>
      </c>
      <c r="KS13" s="59" t="str">
        <f t="shared" si="498"/>
        <v/>
      </c>
      <c r="KT13" s="59" t="str">
        <f t="shared" si="498"/>
        <v/>
      </c>
      <c r="KU13" s="59" t="str">
        <f t="shared" si="498"/>
        <v/>
      </c>
      <c r="KV13" s="59" t="str">
        <f t="shared" si="498"/>
        <v/>
      </c>
      <c r="KW13" s="59" t="str">
        <f t="shared" si="498"/>
        <v/>
      </c>
      <c r="KX13" s="59" t="str">
        <f t="shared" si="498"/>
        <v/>
      </c>
      <c r="KY13" s="59" t="str">
        <f t="shared" si="498"/>
        <v/>
      </c>
      <c r="KZ13" s="59" t="str">
        <f t="shared" si="498"/>
        <v/>
      </c>
      <c r="LA13" s="59" t="str">
        <f t="shared" si="498"/>
        <v/>
      </c>
      <c r="LB13" s="59" t="str">
        <f t="shared" si="498"/>
        <v/>
      </c>
      <c r="LC13" s="59" t="str">
        <f t="shared" si="498"/>
        <v/>
      </c>
      <c r="LD13" s="59" t="str">
        <f t="shared" si="498"/>
        <v/>
      </c>
      <c r="LE13" s="59" t="str">
        <f t="shared" si="498"/>
        <v/>
      </c>
      <c r="LF13" s="59" t="str">
        <f t="shared" si="498"/>
        <v/>
      </c>
      <c r="LG13" s="59" t="str">
        <f t="shared" si="498"/>
        <v/>
      </c>
      <c r="LH13" s="59" t="str">
        <f t="shared" si="498"/>
        <v/>
      </c>
      <c r="LI13" s="59" t="str">
        <f t="shared" si="498"/>
        <v/>
      </c>
      <c r="LJ13" s="59" t="str">
        <f t="shared" si="498"/>
        <v/>
      </c>
      <c r="LK13" s="59" t="str">
        <f t="shared" si="498"/>
        <v/>
      </c>
      <c r="LL13" s="59" t="str">
        <f t="shared" si="498"/>
        <v/>
      </c>
      <c r="LM13" s="59" t="str">
        <f t="shared" si="498"/>
        <v/>
      </c>
      <c r="LN13" s="59" t="str">
        <f t="shared" si="498"/>
        <v/>
      </c>
      <c r="LO13" s="59" t="str">
        <f t="shared" si="498"/>
        <v/>
      </c>
      <c r="LP13" s="59" t="str">
        <f t="shared" si="498"/>
        <v/>
      </c>
      <c r="LQ13" s="59" t="str">
        <f t="shared" si="498"/>
        <v/>
      </c>
      <c r="LR13" s="59" t="str">
        <f t="shared" si="498"/>
        <v/>
      </c>
      <c r="LS13" s="59" t="str">
        <f t="shared" si="498"/>
        <v/>
      </c>
      <c r="LT13" s="59" t="str">
        <f t="shared" si="498"/>
        <v/>
      </c>
      <c r="LU13" s="59" t="str">
        <f t="shared" si="498"/>
        <v/>
      </c>
      <c r="LV13" s="59" t="str">
        <f t="shared" si="498"/>
        <v/>
      </c>
      <c r="LW13" s="59" t="str">
        <f t="shared" si="498"/>
        <v/>
      </c>
      <c r="LX13" s="59" t="str">
        <f t="shared" si="498"/>
        <v/>
      </c>
      <c r="LY13" s="59" t="str">
        <f t="shared" si="498"/>
        <v/>
      </c>
      <c r="LZ13" s="59" t="str">
        <f t="shared" si="498"/>
        <v/>
      </c>
      <c r="MA13" s="59" t="str">
        <f t="shared" si="498"/>
        <v/>
      </c>
      <c r="MB13" s="59" t="str">
        <f t="shared" si="498"/>
        <v/>
      </c>
      <c r="MC13" s="59" t="str">
        <f t="shared" si="498"/>
        <v/>
      </c>
      <c r="MD13" s="59" t="str">
        <f t="shared" si="498"/>
        <v/>
      </c>
      <c r="ME13" s="59" t="str">
        <f t="shared" si="498"/>
        <v/>
      </c>
      <c r="MF13" s="59" t="str">
        <f t="shared" si="498"/>
        <v/>
      </c>
      <c r="MG13" s="59" t="str">
        <f t="shared" si="498"/>
        <v/>
      </c>
      <c r="MH13" s="59" t="str">
        <f t="shared" si="498"/>
        <v/>
      </c>
      <c r="MI13" s="59" t="str">
        <f t="shared" si="498"/>
        <v/>
      </c>
      <c r="MJ13" s="59" t="str">
        <f t="shared" si="498"/>
        <v/>
      </c>
      <c r="MK13" s="59" t="str">
        <f t="shared" si="498"/>
        <v/>
      </c>
      <c r="ML13" s="59" t="str">
        <f t="shared" si="498"/>
        <v/>
      </c>
      <c r="MM13" s="59" t="str">
        <f t="shared" si="498"/>
        <v/>
      </c>
      <c r="MN13" s="59" t="str">
        <f t="shared" si="498"/>
        <v/>
      </c>
      <c r="MO13" s="59" t="str">
        <f t="shared" si="498"/>
        <v/>
      </c>
      <c r="MP13" s="59" t="str">
        <f t="shared" si="498"/>
        <v/>
      </c>
      <c r="MQ13" s="59" t="str">
        <f t="shared" si="498"/>
        <v/>
      </c>
      <c r="MR13" s="59" t="str">
        <f t="shared" si="498"/>
        <v/>
      </c>
      <c r="MS13" s="59" t="str">
        <f t="shared" si="498"/>
        <v/>
      </c>
      <c r="MT13" s="59" t="str">
        <f t="shared" si="498"/>
        <v/>
      </c>
      <c r="MU13" s="59" t="str">
        <f t="shared" si="498"/>
        <v/>
      </c>
      <c r="MV13" s="59" t="str">
        <f t="shared" si="498"/>
        <v/>
      </c>
      <c r="MW13" s="59" t="str">
        <f t="shared" si="498"/>
        <v/>
      </c>
      <c r="MX13" s="59" t="str">
        <f t="shared" si="498"/>
        <v/>
      </c>
      <c r="MY13" s="59" t="str">
        <f t="shared" si="498"/>
        <v/>
      </c>
      <c r="MZ13" s="59" t="str">
        <f t="shared" si="498"/>
        <v/>
      </c>
      <c r="NA13" s="59" t="str">
        <f t="shared" si="498"/>
        <v/>
      </c>
      <c r="NB13" s="59" t="str">
        <f t="shared" si="498"/>
        <v/>
      </c>
      <c r="NC13" s="59" t="str">
        <f t="shared" si="498"/>
        <v/>
      </c>
      <c r="ND13" s="59" t="str">
        <f t="shared" si="498"/>
        <v/>
      </c>
      <c r="NE13" s="59" t="str">
        <f t="shared" si="498"/>
        <v/>
      </c>
      <c r="NF13" s="59" t="str">
        <f t="shared" si="498"/>
        <v/>
      </c>
      <c r="NG13" s="59" t="str">
        <f t="shared" si="498"/>
        <v/>
      </c>
      <c r="NH13" s="59" t="str">
        <f t="shared" si="498"/>
        <v/>
      </c>
      <c r="NI13" s="59" t="str">
        <f t="shared" si="498"/>
        <v/>
      </c>
      <c r="NJ13" s="59" t="str">
        <f t="shared" si="498"/>
        <v/>
      </c>
      <c r="NK13" s="59" t="str">
        <f t="shared" si="498"/>
        <v/>
      </c>
      <c r="NL13" s="59" t="str">
        <f t="shared" si="498"/>
        <v/>
      </c>
      <c r="NM13" s="59" t="str">
        <f t="shared" si="498"/>
        <v/>
      </c>
      <c r="NN13" s="59" t="str">
        <f t="shared" si="498"/>
        <v/>
      </c>
      <c r="NO13" s="59" t="str">
        <f t="shared" si="498"/>
        <v/>
      </c>
      <c r="NP13" s="59" t="str">
        <f t="shared" si="498"/>
        <v/>
      </c>
      <c r="NQ13" s="59" t="str">
        <f t="shared" si="498"/>
        <v/>
      </c>
      <c r="NR13" s="59" t="str">
        <f t="shared" si="498"/>
        <v/>
      </c>
      <c r="NS13" s="59" t="str">
        <f t="shared" si="498"/>
        <v/>
      </c>
      <c r="NT13" s="59" t="str">
        <f t="shared" si="498"/>
        <v/>
      </c>
      <c r="NU13" s="59" t="str">
        <f t="shared" si="498"/>
        <v/>
      </c>
      <c r="NV13" s="59" t="str">
        <f t="shared" si="498"/>
        <v/>
      </c>
      <c r="NW13" s="59" t="str">
        <f t="shared" si="498"/>
        <v/>
      </c>
      <c r="NX13" s="59" t="str">
        <f t="shared" si="498"/>
        <v/>
      </c>
      <c r="NY13" s="59" t="str">
        <f t="shared" si="498"/>
        <v/>
      </c>
      <c r="NZ13" s="59" t="str">
        <f t="shared" si="498"/>
        <v/>
      </c>
      <c r="OA13" s="59" t="str">
        <f t="shared" si="498"/>
        <v/>
      </c>
      <c r="OB13" s="59" t="str">
        <f t="shared" si="498"/>
        <v/>
      </c>
      <c r="OC13" s="59" t="str">
        <f t="shared" si="498"/>
        <v/>
      </c>
      <c r="OD13" s="59" t="str">
        <f t="shared" si="498"/>
        <v/>
      </c>
      <c r="OE13" s="59" t="str">
        <f t="shared" si="498"/>
        <v/>
      </c>
      <c r="OF13" s="59" t="str">
        <f t="shared" si="498"/>
        <v/>
      </c>
      <c r="OG13" s="59" t="str">
        <f t="shared" si="498"/>
        <v/>
      </c>
      <c r="OH13" s="59" t="str">
        <f t="shared" si="498"/>
        <v/>
      </c>
      <c r="OI13" s="59" t="str">
        <f t="shared" si="498"/>
        <v/>
      </c>
      <c r="OJ13" s="59" t="str">
        <f t="shared" si="498"/>
        <v/>
      </c>
      <c r="OK13" s="59" t="str">
        <f t="shared" si="498"/>
        <v/>
      </c>
      <c r="OL13" s="59" t="str">
        <f t="shared" si="498"/>
        <v/>
      </c>
      <c r="OM13" s="59" t="str">
        <f t="shared" si="498"/>
        <v/>
      </c>
      <c r="ON13" s="59" t="str">
        <f t="shared" si="498"/>
        <v/>
      </c>
      <c r="OO13" s="59" t="str">
        <f t="shared" si="498"/>
        <v/>
      </c>
      <c r="OP13" s="59" t="str">
        <f t="shared" si="498"/>
        <v/>
      </c>
      <c r="OQ13" s="59" t="str">
        <f t="shared" si="498"/>
        <v/>
      </c>
      <c r="OR13" s="59" t="str">
        <f t="shared" si="498"/>
        <v/>
      </c>
      <c r="OS13" s="59" t="str">
        <f t="shared" si="498"/>
        <v/>
      </c>
      <c r="OT13" s="59" t="str">
        <f t="shared" si="498"/>
        <v/>
      </c>
      <c r="OU13" s="59" t="str">
        <f t="shared" si="498"/>
        <v/>
      </c>
      <c r="OV13" s="59" t="str">
        <f t="shared" si="498"/>
        <v/>
      </c>
      <c r="OW13" s="59" t="str">
        <f t="shared" si="498"/>
        <v/>
      </c>
      <c r="OX13" s="59" t="str">
        <f t="shared" si="498"/>
        <v/>
      </c>
      <c r="OY13" s="59" t="str">
        <f t="shared" si="498"/>
        <v/>
      </c>
      <c r="OZ13" s="59" t="str">
        <f t="shared" si="498"/>
        <v/>
      </c>
      <c r="PA13" s="59" t="str">
        <f>IFERROR(VLOOKUP(INDIRECT(ADDRESS(ROW() - 9, COLUMN())), INDIRECT(ADDRESS(ROW() - 83, 12)):INDIRECT(ADDRESS(ROW() - 79, 16)), 4, FALSE)) + IF(INDIRECT(ADDRESS(ROW() - (24 + TemplateStats!$B$2), 6)) = 1, 7.09629999999999, IF(INDIRECT(ADDRESS(ROW() - (24 + TemplateStats!$B$2), 6)) = 2, 7.6285, IF(INDIRECT(ADDRESS(ROW() - (24 + TemplateStats!$B$2), 6)) = 3, 8.1608, IF(INDIRECT(ADDRESS(ROW() - (24 + TemplateStats!$B$2), 6)) = 4, 8.8704, IF(INDIRECT(ADDRESS(ROW() - (24 + TemplateStats!$B$2), 6)) = 5, 9.4026, IF(INDIRECT(ADDRESS(ROW() - (24 + TemplateStats!$B$2), 6)) = 6, 9.9348, IF(INDIRECT(ADDRESS(ROW() - (24 + TemplateStats!$B$2), 6)) = 7, 10.6444999999999, IF(INDIRECT(ADDRESS(ROW() - (24 + TemplateStats!$B$2), 6)) = 8, 11.3541, IF(INDIRECT(ADDRESS(ROW() - (24 + TemplateStats!$B$2), 6)) = 9, 12.0636999999999, IF(INDIRECT(ADDRESS(ROW() - (24 + TemplateStats!$B$2), 6)) = 10, 12.7733999999999, IF(INDIRECT(ADDRESS(ROW() - (24 + TemplateStats!$B$2), 6)) = 11, 13.483, IF(INDIRECT(ADDRESS(ROW() - (24 + TemplateStats!$B$2), 6)) = 12, 14.1925999999999, IF(INDIRECT(ADDRESS(ROW() - (24 + TemplateStats!$B$2), 6)) = 13, 15.0796999999999,0)))))))))))))</f>
        <v>#VALUE!</v>
      </c>
      <c r="PB13" s="59" t="str">
        <f>IFERROR(VLOOKUP(INDIRECT(ADDRESS(ROW() - 9, COLUMN())), INDIRECT(ADDRESS(ROW() - 83, 12)):INDIRECT(ADDRESS(ROW() - 79, 16)), 4, FALSE)) + 15% * (INDIRECT(ADDRESS(ROW() - 63, 10))) + IF(INDIRECT(ADDRESS(ROW() - (24 + TemplateStats!$B$2), 6)) = 1, 4.84, IF(INDIRECT(ADDRESS(ROW() - (24 + TemplateStats!$B$2), 6)) = 2, 5.203, IF(INDIRECT(ADDRESS(ROW() - (24 + TemplateStats!$B$2), 6)) = 3, 5.566, IF(INDIRECT(ADDRESS(ROW() - (24 + TemplateStats!$B$2), 6)) = 4, 6.05, IF(INDIRECT(ADDRESS(ROW() - (24 + TemplateStats!$B$2), 6)) = 5, 6.413, IF(INDIRECT(ADDRESS(ROW() - (24 + TemplateStats!$B$2), 6)) = 6, 6.776, IF(INDIRECT(ADDRESS(ROW() - (24 + TemplateStats!$B$2), 6)) = 7, 7.26, IF(INDIRECT(ADDRESS(ROW() - (24 + TemplateStats!$B$2), 6)) = 8, 7.744, IF(INDIRECT(ADDRESS(ROW() - (24 + TemplateStats!$B$2), 6)) = 9, 8.228, IF(INDIRECT(ADDRESS(ROW() - (24 + TemplateStats!$B$2), 6)) = 10, 8.712, IF(INDIRECT(ADDRESS(ROW() - (24 + TemplateStats!$B$2), 6)) = 11, 9.196, IF(INDIRECT(ADDRESS(ROW() - (24 + TemplateStats!$B$2), 6)) = 12, 9.68, IF(INDIRECT(ADDRESS(ROW() - (24 + TemplateStats!$B$2), 6)) = 13, 10.285,0)))))))))))))</f>
        <v>#VALUE!</v>
      </c>
      <c r="PC13" s="59" t="str">
        <f>IFERROR(VLOOKUP(INDIRECT(ADDRESS(ROW() - 9, COLUMN())), INDIRECT(ADDRESS(ROW() - 83, 12)):INDIRECT(ADDRESS(ROW() - 79, 16)), 4, FALSE)) + 15% * (INDIRECT(ADDRESS(ROW() - 63, 10))) + IF(INDIRECT(ADDRESS(ROW() - (24 + TemplateStats!$B$2), 6)) = 1, 4.84, IF(INDIRECT(ADDRESS(ROW() - (24 + TemplateStats!$B$2), 6)) = 2, 5.203, IF(INDIRECT(ADDRESS(ROW() - (24 + TemplateStats!$B$2), 6)) = 3, 5.566, IF(INDIRECT(ADDRESS(ROW() - (24 + TemplateStats!$B$2), 6)) = 4, 6.05, IF(INDIRECT(ADDRESS(ROW() - (24 + TemplateStats!$B$2), 6)) = 5, 6.413, IF(INDIRECT(ADDRESS(ROW() - (24 + TemplateStats!$B$2), 6)) = 6, 6.776, IF(INDIRECT(ADDRESS(ROW() - (24 + TemplateStats!$B$2), 6)) = 7, 7.26, IF(INDIRECT(ADDRESS(ROW() - (24 + TemplateStats!$B$2), 6)) = 8, 7.744, IF(INDIRECT(ADDRESS(ROW() - (24 + TemplateStats!$B$2), 6)) = 9, 8.228, IF(INDIRECT(ADDRESS(ROW() - (24 + TemplateStats!$B$2), 6)) = 10, 8.712, IF(INDIRECT(ADDRESS(ROW() - (24 + TemplateStats!$B$2), 6)) = 11, 9.196, IF(INDIRECT(ADDRESS(ROW() - (24 + TemplateStats!$B$2), 6)) = 12, 9.68, IF(INDIRECT(ADDRESS(ROW() - (24 + TemplateStats!$B$2), 6)) = 13, 10.285,0)))))))))))))</f>
        <v>#VALUE!</v>
      </c>
      <c r="PD13" s="59" t="str">
        <f>IFERROR(VLOOKUP(INDIRECT(ADDRESS(ROW() - 9, COLUMN())), INDIRECT(ADDRESS(ROW() - 83, 12)):INDIRECT(ADDRESS(ROW() - 79, 16)), 4, FALSE)) + 15% * (INDIRECT(ADDRESS(ROW() - 63, 10))) + IF(INDIRECT(ADDRESS(ROW() - (24 + TemplateStats!$B$2), 6)) = 1, 4.84, IF(INDIRECT(ADDRESS(ROW() - (24 + TemplateStats!$B$2), 6)) = 2, 5.203, IF(INDIRECT(ADDRESS(ROW() - (24 + TemplateStats!$B$2), 6)) = 3, 5.566, IF(INDIRECT(ADDRESS(ROW() - (24 + TemplateStats!$B$2), 6)) = 4, 6.05, IF(INDIRECT(ADDRESS(ROW() - (24 + TemplateStats!$B$2), 6)) = 5, 6.413, IF(INDIRECT(ADDRESS(ROW() - (24 + TemplateStats!$B$2), 6)) = 6, 6.776, IF(INDIRECT(ADDRESS(ROW() - (24 + TemplateStats!$B$2), 6)) = 7, 7.26, IF(INDIRECT(ADDRESS(ROW() - (24 + TemplateStats!$B$2), 6)) = 8, 7.744, IF(INDIRECT(ADDRESS(ROW() - (24 + TemplateStats!$B$2), 6)) = 9, 8.228, IF(INDIRECT(ADDRESS(ROW() - (24 + TemplateStats!$B$2), 6)) = 10, 8.712, IF(INDIRECT(ADDRESS(ROW() - (24 + TemplateStats!$B$2), 6)) = 11, 9.196, IF(INDIRECT(ADDRESS(ROW() - (24 + TemplateStats!$B$2), 6)) = 12, 9.68, IF(INDIRECT(ADDRESS(ROW() - (24 + TemplateStats!$B$2), 6)) = 13, 10.285,0)))))))))))))</f>
        <v>#VALUE!</v>
      </c>
      <c r="PE13" s="59" t="str">
        <f>IFERROR(VLOOKUP(INDIRECT(ADDRESS(ROW() - 9, COLUMN())), INDIRECT(ADDRESS(ROW() - 83, 12)):INDIRECT(ADDRESS(ROW() - 79, 16)), 4, FALSE)) + 15% * (INDIRECT(ADDRESS(ROW() - 63, 10))) + IF(INDIRECT(ADDRESS(ROW() - (24 + TemplateStats!$B$2), 6)) = 1, 6.776, IF(INDIRECT(ADDRESS(ROW() - (24 + TemplateStats!$B$2), 6)) = 2, 7.2842, IF(INDIRECT(ADDRESS(ROW() - (24 + TemplateStats!$B$2), 6)) = 3, 7.79239999999999, IF(INDIRECT(ADDRESS(ROW() - (24 + TemplateStats!$B$2), 6)) = 4, 8.46999999999999, IF(INDIRECT(ADDRESS(ROW() - (24 + TemplateStats!$B$2), 6)) = 5, 8.9782, IF(INDIRECT(ADDRESS(ROW() - (24 + TemplateStats!$B$2), 6)) = 6, 9.4864, IF(INDIRECT(ADDRESS(ROW() - (24 + TemplateStats!$B$2), 6)) = 7, 10.164, IF(INDIRECT(ADDRESS(ROW() - (24 + TemplateStats!$B$2), 6)) = 8, 10.8416, IF(INDIRECT(ADDRESS(ROW() - (24 + TemplateStats!$B$2), 6)) = 9, 11.5192, IF(INDIRECT(ADDRESS(ROW() - (24 + TemplateStats!$B$2), 6)) = 10, 12.1968, IF(INDIRECT(ADDRESS(ROW() - (24 + TemplateStats!$B$2), 6)) = 11, 12.8744, IF(INDIRECT(ADDRESS(ROW() - (24 + TemplateStats!$B$2), 6)) = 12, 13.552, IF(INDIRECT(ADDRESS(ROW() - (24 + TemplateStats!$B$2), 6)) = 13, 14.399,0)))))))))))))</f>
        <v>#VALUE!</v>
      </c>
      <c r="PF13" s="59" t="str">
        <f t="shared" ref="PF13:XK13" si="499">IFERROR(VLOOKUP(INDIRECT(ADDRESS(ROW() - 9, COLUMN())), INDIRECT(ADDRESS(ROW() - 83, 12)):INDIRECT(ADDRESS(ROW() - 79, 16)), 4, FALSE))</f>
        <v/>
      </c>
      <c r="PG13" s="59" t="str">
        <f t="shared" si="499"/>
        <v/>
      </c>
      <c r="PH13" s="59" t="str">
        <f t="shared" si="499"/>
        <v/>
      </c>
      <c r="PI13" s="59" t="str">
        <f t="shared" si="499"/>
        <v/>
      </c>
      <c r="PJ13" s="59" t="str">
        <f t="shared" si="499"/>
        <v/>
      </c>
      <c r="PK13" s="59" t="str">
        <f t="shared" si="499"/>
        <v/>
      </c>
      <c r="PL13" s="59" t="str">
        <f t="shared" si="499"/>
        <v/>
      </c>
      <c r="PM13" s="59" t="str">
        <f t="shared" si="499"/>
        <v/>
      </c>
      <c r="PN13" s="59" t="str">
        <f t="shared" si="499"/>
        <v/>
      </c>
      <c r="PO13" s="59" t="str">
        <f t="shared" si="499"/>
        <v/>
      </c>
      <c r="PP13" s="59" t="str">
        <f t="shared" si="499"/>
        <v/>
      </c>
      <c r="PQ13" s="59" t="str">
        <f t="shared" si="499"/>
        <v/>
      </c>
      <c r="PR13" s="59" t="str">
        <f t="shared" si="499"/>
        <v/>
      </c>
      <c r="PS13" s="59" t="str">
        <f t="shared" si="499"/>
        <v/>
      </c>
      <c r="PT13" s="59" t="str">
        <f t="shared" si="499"/>
        <v/>
      </c>
      <c r="PU13" s="59" t="str">
        <f t="shared" si="499"/>
        <v/>
      </c>
      <c r="PV13" s="59" t="str">
        <f t="shared" si="499"/>
        <v/>
      </c>
      <c r="PW13" s="59" t="str">
        <f t="shared" si="499"/>
        <v/>
      </c>
      <c r="PX13" s="59" t="str">
        <f t="shared" si="499"/>
        <v/>
      </c>
      <c r="PY13" s="59" t="str">
        <f t="shared" si="499"/>
        <v/>
      </c>
      <c r="PZ13" s="59" t="str">
        <f t="shared" si="499"/>
        <v/>
      </c>
      <c r="QA13" s="59" t="str">
        <f t="shared" si="499"/>
        <v/>
      </c>
      <c r="QB13" s="59" t="str">
        <f t="shared" si="499"/>
        <v/>
      </c>
      <c r="QC13" s="59" t="str">
        <f t="shared" si="499"/>
        <v/>
      </c>
      <c r="QD13" s="59" t="str">
        <f t="shared" si="499"/>
        <v/>
      </c>
      <c r="QE13" s="59" t="str">
        <f t="shared" si="499"/>
        <v/>
      </c>
      <c r="QF13" s="59" t="str">
        <f t="shared" si="499"/>
        <v/>
      </c>
      <c r="QG13" s="59" t="str">
        <f t="shared" si="499"/>
        <v/>
      </c>
      <c r="QH13" s="59" t="str">
        <f t="shared" si="499"/>
        <v/>
      </c>
      <c r="QI13" s="59" t="str">
        <f t="shared" si="499"/>
        <v/>
      </c>
      <c r="QJ13" s="59" t="str">
        <f t="shared" si="499"/>
        <v/>
      </c>
      <c r="QK13" s="59" t="str">
        <f t="shared" si="499"/>
        <v/>
      </c>
      <c r="QL13" s="59" t="str">
        <f t="shared" si="499"/>
        <v/>
      </c>
      <c r="QM13" s="59" t="str">
        <f t="shared" si="499"/>
        <v/>
      </c>
      <c r="QN13" s="59" t="str">
        <f t="shared" si="499"/>
        <v/>
      </c>
      <c r="QO13" s="59" t="str">
        <f t="shared" si="499"/>
        <v/>
      </c>
      <c r="QP13" s="59" t="str">
        <f t="shared" si="499"/>
        <v/>
      </c>
      <c r="QQ13" s="59" t="str">
        <f t="shared" si="499"/>
        <v/>
      </c>
      <c r="QR13" s="59" t="str">
        <f t="shared" si="499"/>
        <v/>
      </c>
      <c r="QS13" s="59" t="str">
        <f t="shared" si="499"/>
        <v/>
      </c>
      <c r="QT13" s="59" t="str">
        <f t="shared" si="499"/>
        <v/>
      </c>
      <c r="QU13" s="59" t="str">
        <f t="shared" si="499"/>
        <v/>
      </c>
      <c r="QV13" s="59" t="str">
        <f t="shared" si="499"/>
        <v/>
      </c>
      <c r="QW13" s="59" t="str">
        <f t="shared" si="499"/>
        <v/>
      </c>
      <c r="QX13" s="59" t="str">
        <f t="shared" si="499"/>
        <v/>
      </c>
      <c r="QY13" s="59" t="str">
        <f t="shared" si="499"/>
        <v/>
      </c>
      <c r="QZ13" s="59" t="str">
        <f t="shared" si="499"/>
        <v/>
      </c>
      <c r="RA13" s="59" t="str">
        <f t="shared" si="499"/>
        <v/>
      </c>
      <c r="RB13" s="59" t="str">
        <f t="shared" si="499"/>
        <v/>
      </c>
      <c r="RC13" s="59" t="str">
        <f t="shared" si="499"/>
        <v/>
      </c>
      <c r="RD13" s="59" t="str">
        <f t="shared" si="499"/>
        <v/>
      </c>
      <c r="RE13" s="59" t="str">
        <f t="shared" si="499"/>
        <v/>
      </c>
      <c r="RF13" s="59" t="str">
        <f t="shared" si="499"/>
        <v/>
      </c>
      <c r="RG13" s="59" t="str">
        <f t="shared" si="499"/>
        <v/>
      </c>
      <c r="RH13" s="59" t="str">
        <f t="shared" si="499"/>
        <v/>
      </c>
      <c r="RI13" s="59" t="str">
        <f t="shared" si="499"/>
        <v/>
      </c>
      <c r="RJ13" s="59" t="str">
        <f t="shared" si="499"/>
        <v/>
      </c>
      <c r="RK13" s="59" t="str">
        <f t="shared" si="499"/>
        <v/>
      </c>
      <c r="RL13" s="59" t="str">
        <f t="shared" si="499"/>
        <v/>
      </c>
      <c r="RM13" s="59" t="str">
        <f t="shared" si="499"/>
        <v/>
      </c>
      <c r="RN13" s="59" t="str">
        <f t="shared" si="499"/>
        <v/>
      </c>
      <c r="RO13" s="59" t="str">
        <f t="shared" si="499"/>
        <v/>
      </c>
      <c r="RP13" s="59" t="str">
        <f t="shared" si="499"/>
        <v/>
      </c>
      <c r="RQ13" s="59" t="str">
        <f t="shared" si="499"/>
        <v/>
      </c>
      <c r="RR13" s="59" t="str">
        <f t="shared" si="499"/>
        <v/>
      </c>
      <c r="RS13" s="59" t="str">
        <f t="shared" si="499"/>
        <v/>
      </c>
      <c r="RT13" s="59" t="str">
        <f t="shared" si="499"/>
        <v/>
      </c>
      <c r="RU13" s="59" t="str">
        <f t="shared" si="499"/>
        <v/>
      </c>
      <c r="RV13" s="59" t="str">
        <f t="shared" si="499"/>
        <v/>
      </c>
      <c r="RW13" s="59" t="str">
        <f t="shared" si="499"/>
        <v/>
      </c>
      <c r="RX13" s="59" t="str">
        <f t="shared" si="499"/>
        <v/>
      </c>
      <c r="RY13" s="59" t="str">
        <f t="shared" si="499"/>
        <v/>
      </c>
      <c r="RZ13" s="59" t="str">
        <f t="shared" si="499"/>
        <v/>
      </c>
      <c r="SA13" s="59" t="str">
        <f t="shared" si="499"/>
        <v/>
      </c>
      <c r="SB13" s="59" t="str">
        <f t="shared" si="499"/>
        <v/>
      </c>
      <c r="SC13" s="59" t="str">
        <f t="shared" si="499"/>
        <v/>
      </c>
      <c r="SD13" s="59" t="str">
        <f t="shared" si="499"/>
        <v/>
      </c>
      <c r="SE13" s="59" t="str">
        <f t="shared" si="499"/>
        <v/>
      </c>
      <c r="SF13" s="59" t="str">
        <f t="shared" si="499"/>
        <v/>
      </c>
      <c r="SG13" s="59" t="str">
        <f t="shared" si="499"/>
        <v/>
      </c>
      <c r="SH13" s="59" t="str">
        <f t="shared" si="499"/>
        <v/>
      </c>
      <c r="SI13" s="59" t="str">
        <f t="shared" si="499"/>
        <v/>
      </c>
      <c r="SJ13" s="59" t="str">
        <f t="shared" si="499"/>
        <v/>
      </c>
      <c r="SK13" s="59" t="str">
        <f t="shared" si="499"/>
        <v/>
      </c>
      <c r="SL13" s="59" t="str">
        <f t="shared" si="499"/>
        <v/>
      </c>
      <c r="SM13" s="59" t="str">
        <f t="shared" si="499"/>
        <v/>
      </c>
      <c r="SN13" s="59" t="str">
        <f t="shared" si="499"/>
        <v/>
      </c>
      <c r="SO13" s="59" t="str">
        <f t="shared" si="499"/>
        <v/>
      </c>
      <c r="SP13" s="59" t="str">
        <f t="shared" si="499"/>
        <v/>
      </c>
      <c r="SQ13" s="59" t="str">
        <f t="shared" si="499"/>
        <v/>
      </c>
      <c r="SR13" s="59" t="str">
        <f t="shared" si="499"/>
        <v/>
      </c>
      <c r="SS13" s="59" t="str">
        <f t="shared" si="499"/>
        <v/>
      </c>
      <c r="ST13" s="59" t="str">
        <f t="shared" si="499"/>
        <v/>
      </c>
      <c r="SU13" s="59" t="str">
        <f t="shared" si="499"/>
        <v/>
      </c>
      <c r="SV13" s="59" t="str">
        <f t="shared" si="499"/>
        <v/>
      </c>
      <c r="SW13" s="59" t="str">
        <f t="shared" si="499"/>
        <v/>
      </c>
      <c r="SX13" s="59" t="str">
        <f t="shared" si="499"/>
        <v/>
      </c>
      <c r="SY13" s="59" t="str">
        <f t="shared" si="499"/>
        <v/>
      </c>
      <c r="SZ13" s="59" t="str">
        <f t="shared" si="499"/>
        <v/>
      </c>
      <c r="TA13" s="59" t="str">
        <f t="shared" si="499"/>
        <v/>
      </c>
      <c r="TB13" s="59" t="str">
        <f t="shared" si="499"/>
        <v/>
      </c>
      <c r="TC13" s="59" t="str">
        <f t="shared" si="499"/>
        <v/>
      </c>
      <c r="TD13" s="59" t="str">
        <f t="shared" si="499"/>
        <v/>
      </c>
      <c r="TE13" s="59" t="str">
        <f t="shared" si="499"/>
        <v/>
      </c>
      <c r="TF13" s="59" t="str">
        <f t="shared" si="499"/>
        <v/>
      </c>
      <c r="TG13" s="59" t="str">
        <f t="shared" si="499"/>
        <v/>
      </c>
      <c r="TH13" s="59" t="str">
        <f t="shared" si="499"/>
        <v/>
      </c>
      <c r="TI13" s="59" t="str">
        <f t="shared" si="499"/>
        <v/>
      </c>
      <c r="TJ13" s="59" t="str">
        <f t="shared" si="499"/>
        <v/>
      </c>
      <c r="TK13" s="59" t="str">
        <f t="shared" si="499"/>
        <v/>
      </c>
      <c r="TL13" s="59" t="str">
        <f t="shared" si="499"/>
        <v/>
      </c>
      <c r="TM13" s="59" t="str">
        <f t="shared" si="499"/>
        <v/>
      </c>
      <c r="TN13" s="59" t="str">
        <f t="shared" si="499"/>
        <v/>
      </c>
      <c r="TO13" s="59" t="str">
        <f t="shared" si="499"/>
        <v/>
      </c>
      <c r="TP13" s="59" t="str">
        <f t="shared" si="499"/>
        <v/>
      </c>
      <c r="TQ13" s="59" t="str">
        <f t="shared" si="499"/>
        <v/>
      </c>
      <c r="TR13" s="59" t="str">
        <f t="shared" si="499"/>
        <v/>
      </c>
      <c r="TS13" s="59" t="str">
        <f t="shared" si="499"/>
        <v/>
      </c>
      <c r="TT13" s="59" t="str">
        <f t="shared" si="499"/>
        <v/>
      </c>
      <c r="TU13" s="59" t="str">
        <f t="shared" si="499"/>
        <v/>
      </c>
      <c r="TV13" s="59" t="str">
        <f t="shared" si="499"/>
        <v/>
      </c>
      <c r="TW13" s="59" t="str">
        <f t="shared" si="499"/>
        <v/>
      </c>
      <c r="TX13" s="59" t="str">
        <f t="shared" si="499"/>
        <v/>
      </c>
      <c r="TY13" s="59" t="str">
        <f t="shared" si="499"/>
        <v/>
      </c>
      <c r="TZ13" s="59" t="str">
        <f t="shared" si="499"/>
        <v/>
      </c>
      <c r="UA13" s="59" t="str">
        <f t="shared" si="499"/>
        <v/>
      </c>
      <c r="UB13" s="59" t="str">
        <f t="shared" si="499"/>
        <v/>
      </c>
      <c r="UC13" s="59" t="str">
        <f t="shared" si="499"/>
        <v/>
      </c>
      <c r="UD13" s="59" t="str">
        <f t="shared" si="499"/>
        <v/>
      </c>
      <c r="UE13" s="59" t="str">
        <f t="shared" si="499"/>
        <v/>
      </c>
      <c r="UF13" s="59" t="str">
        <f t="shared" si="499"/>
        <v/>
      </c>
      <c r="UG13" s="59" t="str">
        <f t="shared" si="499"/>
        <v/>
      </c>
      <c r="UH13" s="59" t="str">
        <f t="shared" si="499"/>
        <v/>
      </c>
      <c r="UI13" s="59" t="str">
        <f t="shared" si="499"/>
        <v/>
      </c>
      <c r="UJ13" s="59" t="str">
        <f t="shared" si="499"/>
        <v/>
      </c>
      <c r="UK13" s="59" t="str">
        <f t="shared" si="499"/>
        <v/>
      </c>
      <c r="UL13" s="59" t="str">
        <f t="shared" si="499"/>
        <v/>
      </c>
      <c r="UM13" s="59" t="str">
        <f t="shared" si="499"/>
        <v/>
      </c>
      <c r="UN13" s="59" t="str">
        <f t="shared" si="499"/>
        <v/>
      </c>
      <c r="UO13" s="59" t="str">
        <f t="shared" si="499"/>
        <v/>
      </c>
      <c r="UP13" s="59" t="str">
        <f t="shared" si="499"/>
        <v/>
      </c>
      <c r="UQ13" s="59" t="str">
        <f t="shared" si="499"/>
        <v/>
      </c>
      <c r="UR13" s="59" t="str">
        <f t="shared" si="499"/>
        <v/>
      </c>
      <c r="US13" s="59" t="str">
        <f t="shared" si="499"/>
        <v/>
      </c>
      <c r="UT13" s="59" t="str">
        <f t="shared" si="499"/>
        <v/>
      </c>
      <c r="UU13" s="59" t="str">
        <f t="shared" si="499"/>
        <v/>
      </c>
      <c r="UV13" s="59" t="str">
        <f t="shared" si="499"/>
        <v/>
      </c>
      <c r="UW13" s="59" t="str">
        <f t="shared" si="499"/>
        <v/>
      </c>
      <c r="UX13" s="59" t="str">
        <f t="shared" si="499"/>
        <v/>
      </c>
      <c r="UY13" s="59" t="str">
        <f t="shared" si="499"/>
        <v/>
      </c>
      <c r="UZ13" s="59" t="str">
        <f t="shared" si="499"/>
        <v/>
      </c>
      <c r="VA13" s="59" t="str">
        <f t="shared" si="499"/>
        <v/>
      </c>
      <c r="VB13" s="59" t="str">
        <f t="shared" si="499"/>
        <v/>
      </c>
      <c r="VC13" s="59" t="str">
        <f t="shared" si="499"/>
        <v/>
      </c>
      <c r="VD13" s="59" t="str">
        <f t="shared" si="499"/>
        <v/>
      </c>
      <c r="VE13" s="59" t="str">
        <f t="shared" si="499"/>
        <v/>
      </c>
      <c r="VF13" s="59" t="str">
        <f t="shared" si="499"/>
        <v/>
      </c>
      <c r="VG13" s="59" t="str">
        <f t="shared" si="499"/>
        <v/>
      </c>
      <c r="VH13" s="59" t="str">
        <f t="shared" si="499"/>
        <v/>
      </c>
      <c r="VI13" s="59" t="str">
        <f t="shared" si="499"/>
        <v/>
      </c>
      <c r="VJ13" s="59" t="str">
        <f t="shared" si="499"/>
        <v/>
      </c>
      <c r="VK13" s="59" t="str">
        <f t="shared" si="499"/>
        <v/>
      </c>
      <c r="VL13" s="59" t="str">
        <f t="shared" si="499"/>
        <v/>
      </c>
      <c r="VM13" s="59" t="str">
        <f t="shared" si="499"/>
        <v/>
      </c>
      <c r="VN13" s="59" t="str">
        <f t="shared" si="499"/>
        <v/>
      </c>
      <c r="VO13" s="59" t="str">
        <f t="shared" si="499"/>
        <v/>
      </c>
      <c r="VP13" s="59" t="str">
        <f t="shared" si="499"/>
        <v/>
      </c>
      <c r="VQ13" s="59" t="str">
        <f t="shared" si="499"/>
        <v/>
      </c>
      <c r="VR13" s="59" t="str">
        <f t="shared" si="499"/>
        <v/>
      </c>
      <c r="VS13" s="59" t="str">
        <f t="shared" si="499"/>
        <v/>
      </c>
      <c r="VT13" s="59" t="str">
        <f t="shared" si="499"/>
        <v/>
      </c>
      <c r="VU13" s="59" t="str">
        <f t="shared" si="499"/>
        <v/>
      </c>
      <c r="VV13" s="59" t="str">
        <f t="shared" si="499"/>
        <v/>
      </c>
      <c r="VW13" s="59" t="str">
        <f t="shared" si="499"/>
        <v/>
      </c>
      <c r="VX13" s="59" t="str">
        <f t="shared" si="499"/>
        <v/>
      </c>
      <c r="VY13" s="59" t="str">
        <f t="shared" si="499"/>
        <v/>
      </c>
      <c r="VZ13" s="59" t="str">
        <f t="shared" si="499"/>
        <v/>
      </c>
      <c r="WA13" s="59" t="str">
        <f t="shared" si="499"/>
        <v/>
      </c>
      <c r="WB13" s="59" t="str">
        <f t="shared" si="499"/>
        <v/>
      </c>
      <c r="WC13" s="59" t="str">
        <f t="shared" si="499"/>
        <v/>
      </c>
      <c r="WD13" s="59" t="str">
        <f t="shared" si="499"/>
        <v/>
      </c>
      <c r="WE13" s="59" t="str">
        <f t="shared" si="499"/>
        <v/>
      </c>
      <c r="WF13" s="59" t="str">
        <f t="shared" si="499"/>
        <v/>
      </c>
      <c r="WG13" s="59" t="str">
        <f t="shared" si="499"/>
        <v/>
      </c>
      <c r="WH13" s="59" t="str">
        <f t="shared" si="499"/>
        <v/>
      </c>
      <c r="WI13" s="59" t="str">
        <f t="shared" si="499"/>
        <v/>
      </c>
      <c r="WJ13" s="59" t="str">
        <f t="shared" si="499"/>
        <v/>
      </c>
      <c r="WK13" s="59" t="str">
        <f t="shared" si="499"/>
        <v/>
      </c>
      <c r="WL13" s="59" t="str">
        <f t="shared" si="499"/>
        <v/>
      </c>
      <c r="WM13" s="59" t="str">
        <f t="shared" si="499"/>
        <v/>
      </c>
      <c r="WN13" s="59" t="str">
        <f t="shared" si="499"/>
        <v/>
      </c>
      <c r="WO13" s="59" t="str">
        <f t="shared" si="499"/>
        <v/>
      </c>
      <c r="WP13" s="59" t="str">
        <f t="shared" si="499"/>
        <v/>
      </c>
      <c r="WQ13" s="59" t="str">
        <f t="shared" si="499"/>
        <v/>
      </c>
      <c r="WR13" s="59" t="str">
        <f t="shared" si="499"/>
        <v/>
      </c>
      <c r="WS13" s="59" t="str">
        <f t="shared" si="499"/>
        <v/>
      </c>
      <c r="WT13" s="59" t="str">
        <f t="shared" si="499"/>
        <v/>
      </c>
      <c r="WU13" s="59" t="str">
        <f t="shared" si="499"/>
        <v/>
      </c>
      <c r="WV13" s="59" t="str">
        <f t="shared" si="499"/>
        <v/>
      </c>
      <c r="WW13" s="59" t="str">
        <f t="shared" si="499"/>
        <v/>
      </c>
      <c r="WX13" s="59" t="str">
        <f t="shared" si="499"/>
        <v/>
      </c>
      <c r="WY13" s="59" t="str">
        <f t="shared" si="499"/>
        <v/>
      </c>
      <c r="WZ13" s="59" t="str">
        <f t="shared" si="499"/>
        <v/>
      </c>
      <c r="XA13" s="59" t="str">
        <f t="shared" si="499"/>
        <v/>
      </c>
      <c r="XB13" s="59" t="str">
        <f t="shared" si="499"/>
        <v/>
      </c>
      <c r="XC13" s="59" t="str">
        <f t="shared" si="499"/>
        <v/>
      </c>
      <c r="XD13" s="59" t="str">
        <f t="shared" si="499"/>
        <v/>
      </c>
      <c r="XE13" s="59" t="str">
        <f t="shared" si="499"/>
        <v/>
      </c>
      <c r="XF13" s="59" t="str">
        <f t="shared" si="499"/>
        <v/>
      </c>
      <c r="XG13" s="59" t="str">
        <f t="shared" si="499"/>
        <v/>
      </c>
      <c r="XH13" s="59" t="str">
        <f t="shared" si="499"/>
        <v/>
      </c>
      <c r="XI13" s="59" t="str">
        <f t="shared" si="499"/>
        <v/>
      </c>
      <c r="XJ13" s="59" t="str">
        <f t="shared" si="499"/>
        <v/>
      </c>
      <c r="XK13" s="59" t="str">
        <f t="shared" si="499"/>
        <v/>
      </c>
      <c r="XL13" s="59">
        <f>IFERROR(VLOOKUP(INDIRECT(ADDRESS(ROW() - 9, COLUMN())), INDIRECT(ADDRESS(ROW() - 83, 12)):INDIRECT(ADDRESS(ROW() - 79, 16)), 4, FALSE)) + 2.2</f>
        <v>2.2</v>
      </c>
      <c r="XM13" s="59" t="str">
        <f t="shared" ref="XM13:AFW13" si="500">IFERROR(VLOOKUP(INDIRECT(ADDRESS(ROW() - 9, COLUMN())), INDIRECT(ADDRESS(ROW() - 83, 12)):INDIRECT(ADDRESS(ROW() - 79, 16)), 4, FALSE))</f>
        <v/>
      </c>
      <c r="XN13" s="59" t="str">
        <f t="shared" si="500"/>
        <v/>
      </c>
      <c r="XO13" s="59" t="str">
        <f t="shared" si="500"/>
        <v/>
      </c>
      <c r="XP13" s="59" t="str">
        <f t="shared" si="500"/>
        <v/>
      </c>
      <c r="XQ13" s="59" t="str">
        <f t="shared" si="500"/>
        <v/>
      </c>
      <c r="XR13" s="59" t="str">
        <f t="shared" si="500"/>
        <v/>
      </c>
      <c r="XS13" s="59" t="str">
        <f t="shared" si="500"/>
        <v/>
      </c>
      <c r="XT13" s="59" t="str">
        <f t="shared" si="500"/>
        <v/>
      </c>
      <c r="XU13" s="59" t="str">
        <f t="shared" si="500"/>
        <v/>
      </c>
      <c r="XV13" s="59" t="str">
        <f t="shared" si="500"/>
        <v/>
      </c>
      <c r="XW13" s="59" t="str">
        <f t="shared" si="500"/>
        <v/>
      </c>
      <c r="XX13" s="59" t="str">
        <f t="shared" si="500"/>
        <v/>
      </c>
      <c r="XY13" s="59" t="str">
        <f t="shared" si="500"/>
        <v/>
      </c>
      <c r="XZ13" s="59" t="str">
        <f t="shared" si="500"/>
        <v/>
      </c>
      <c r="YA13" s="59" t="str">
        <f t="shared" si="500"/>
        <v/>
      </c>
      <c r="YB13" s="59" t="str">
        <f t="shared" si="500"/>
        <v/>
      </c>
      <c r="YC13" s="59" t="str">
        <f t="shared" si="500"/>
        <v/>
      </c>
      <c r="YD13" s="59" t="str">
        <f t="shared" si="500"/>
        <v/>
      </c>
      <c r="YE13" s="59" t="str">
        <f t="shared" si="500"/>
        <v/>
      </c>
      <c r="YF13" s="59" t="str">
        <f t="shared" si="500"/>
        <v/>
      </c>
      <c r="YG13" s="59" t="str">
        <f t="shared" si="500"/>
        <v/>
      </c>
      <c r="YH13" s="59" t="str">
        <f t="shared" si="500"/>
        <v/>
      </c>
      <c r="YI13" s="59" t="str">
        <f t="shared" si="500"/>
        <v/>
      </c>
      <c r="YJ13" s="59" t="str">
        <f t="shared" si="500"/>
        <v/>
      </c>
      <c r="YK13" s="59" t="str">
        <f t="shared" si="500"/>
        <v/>
      </c>
      <c r="YL13" s="59" t="str">
        <f t="shared" si="500"/>
        <v/>
      </c>
      <c r="YM13" s="59" t="str">
        <f t="shared" si="500"/>
        <v/>
      </c>
      <c r="YN13" s="59" t="str">
        <f t="shared" si="500"/>
        <v/>
      </c>
      <c r="YO13" s="59" t="str">
        <f t="shared" si="500"/>
        <v/>
      </c>
      <c r="YP13" s="59" t="str">
        <f t="shared" si="500"/>
        <v/>
      </c>
      <c r="YQ13" s="59" t="str">
        <f t="shared" si="500"/>
        <v/>
      </c>
      <c r="YR13" s="59" t="str">
        <f t="shared" si="500"/>
        <v/>
      </c>
      <c r="YS13" s="59" t="str">
        <f t="shared" si="500"/>
        <v/>
      </c>
      <c r="YT13" s="59" t="str">
        <f t="shared" si="500"/>
        <v/>
      </c>
      <c r="YU13" s="59" t="str">
        <f t="shared" si="500"/>
        <v/>
      </c>
      <c r="YV13" s="59" t="str">
        <f t="shared" si="500"/>
        <v/>
      </c>
      <c r="YW13" s="59" t="str">
        <f t="shared" si="500"/>
        <v/>
      </c>
      <c r="YX13" s="59" t="str">
        <f t="shared" si="500"/>
        <v/>
      </c>
      <c r="YY13" s="59" t="str">
        <f t="shared" si="500"/>
        <v/>
      </c>
      <c r="YZ13" s="59" t="str">
        <f t="shared" si="500"/>
        <v/>
      </c>
      <c r="ZA13" s="59" t="str">
        <f t="shared" si="500"/>
        <v/>
      </c>
      <c r="ZB13" s="59" t="str">
        <f t="shared" si="500"/>
        <v/>
      </c>
      <c r="ZC13" s="59" t="str">
        <f t="shared" si="500"/>
        <v/>
      </c>
      <c r="ZD13" s="59" t="str">
        <f t="shared" si="500"/>
        <v/>
      </c>
      <c r="ZE13" s="59" t="str">
        <f t="shared" si="500"/>
        <v/>
      </c>
      <c r="ZF13" s="59" t="str">
        <f t="shared" si="500"/>
        <v/>
      </c>
      <c r="ZG13" s="59" t="str">
        <f t="shared" si="500"/>
        <v/>
      </c>
      <c r="ZH13" s="59" t="str">
        <f t="shared" si="500"/>
        <v/>
      </c>
      <c r="ZI13" s="59" t="str">
        <f t="shared" si="500"/>
        <v/>
      </c>
      <c r="ZJ13" s="59" t="str">
        <f t="shared" si="500"/>
        <v/>
      </c>
      <c r="ZK13" s="59" t="str">
        <f t="shared" si="500"/>
        <v/>
      </c>
      <c r="ZL13" s="59" t="str">
        <f t="shared" si="500"/>
        <v/>
      </c>
      <c r="ZM13" s="59" t="str">
        <f t="shared" si="500"/>
        <v/>
      </c>
      <c r="ZN13" s="59" t="str">
        <f t="shared" si="500"/>
        <v/>
      </c>
      <c r="ZO13" s="59" t="str">
        <f t="shared" si="500"/>
        <v/>
      </c>
      <c r="ZP13" s="59" t="str">
        <f t="shared" si="500"/>
        <v/>
      </c>
      <c r="ZQ13" s="59" t="str">
        <f t="shared" si="500"/>
        <v/>
      </c>
      <c r="ZR13" s="59" t="str">
        <f t="shared" si="500"/>
        <v/>
      </c>
      <c r="ZS13" s="59" t="str">
        <f t="shared" si="500"/>
        <v/>
      </c>
      <c r="ZT13" s="59" t="str">
        <f t="shared" si="500"/>
        <v/>
      </c>
      <c r="ZU13" s="59" t="str">
        <f t="shared" si="500"/>
        <v/>
      </c>
      <c r="ZV13" s="59" t="str">
        <f t="shared" si="500"/>
        <v/>
      </c>
      <c r="ZW13" s="59" t="str">
        <f t="shared" si="500"/>
        <v/>
      </c>
      <c r="ZX13" s="59" t="str">
        <f t="shared" si="500"/>
        <v/>
      </c>
      <c r="ZY13" s="59" t="str">
        <f t="shared" si="500"/>
        <v/>
      </c>
      <c r="ZZ13" s="59" t="str">
        <f t="shared" si="500"/>
        <v/>
      </c>
      <c r="AAA13" s="59" t="str">
        <f t="shared" si="500"/>
        <v/>
      </c>
      <c r="AAB13" s="59" t="str">
        <f t="shared" si="500"/>
        <v/>
      </c>
      <c r="AAC13" s="59" t="str">
        <f t="shared" si="500"/>
        <v/>
      </c>
      <c r="AAD13" s="59" t="str">
        <f t="shared" si="500"/>
        <v/>
      </c>
      <c r="AAE13" s="59" t="str">
        <f t="shared" si="500"/>
        <v/>
      </c>
      <c r="AAF13" s="59" t="str">
        <f t="shared" si="500"/>
        <v/>
      </c>
      <c r="AAG13" s="59" t="str">
        <f t="shared" si="500"/>
        <v/>
      </c>
      <c r="AAH13" s="59" t="str">
        <f t="shared" si="500"/>
        <v/>
      </c>
      <c r="AAI13" s="59" t="str">
        <f t="shared" si="500"/>
        <v/>
      </c>
      <c r="AAJ13" s="59" t="str">
        <f t="shared" si="500"/>
        <v/>
      </c>
      <c r="AAK13" s="59" t="str">
        <f t="shared" si="500"/>
        <v/>
      </c>
      <c r="AAL13" s="59" t="str">
        <f t="shared" si="500"/>
        <v/>
      </c>
      <c r="AAM13" s="59" t="str">
        <f t="shared" si="500"/>
        <v/>
      </c>
      <c r="AAN13" s="59" t="str">
        <f t="shared" si="500"/>
        <v/>
      </c>
      <c r="AAO13" s="59" t="str">
        <f t="shared" si="500"/>
        <v/>
      </c>
      <c r="AAP13" s="59" t="str">
        <f t="shared" si="500"/>
        <v/>
      </c>
      <c r="AAQ13" s="59" t="str">
        <f t="shared" si="500"/>
        <v/>
      </c>
      <c r="AAR13" s="59" t="str">
        <f t="shared" si="500"/>
        <v/>
      </c>
      <c r="AAS13" s="59" t="str">
        <f t="shared" si="500"/>
        <v/>
      </c>
      <c r="AAT13" s="59" t="str">
        <f t="shared" si="500"/>
        <v/>
      </c>
      <c r="AAU13" s="59" t="str">
        <f t="shared" si="500"/>
        <v/>
      </c>
      <c r="AAV13" s="59" t="str">
        <f t="shared" si="500"/>
        <v/>
      </c>
      <c r="AAW13" s="59" t="str">
        <f t="shared" si="500"/>
        <v/>
      </c>
      <c r="AAX13" s="59" t="str">
        <f t="shared" si="500"/>
        <v/>
      </c>
      <c r="AAY13" s="59" t="str">
        <f t="shared" si="500"/>
        <v/>
      </c>
      <c r="AAZ13" s="59" t="str">
        <f t="shared" si="500"/>
        <v/>
      </c>
      <c r="ABA13" s="59" t="str">
        <f t="shared" si="500"/>
        <v/>
      </c>
      <c r="ABB13" s="59" t="str">
        <f t="shared" si="500"/>
        <v/>
      </c>
      <c r="ABC13" s="59" t="str">
        <f t="shared" si="500"/>
        <v/>
      </c>
      <c r="ABD13" s="59" t="str">
        <f t="shared" si="500"/>
        <v/>
      </c>
      <c r="ABE13" s="59" t="str">
        <f t="shared" si="500"/>
        <v/>
      </c>
      <c r="ABF13" s="59" t="str">
        <f t="shared" si="500"/>
        <v/>
      </c>
      <c r="ABG13" s="59" t="str">
        <f t="shared" si="500"/>
        <v/>
      </c>
      <c r="ABH13" s="59" t="str">
        <f t="shared" si="500"/>
        <v/>
      </c>
      <c r="ABI13" s="59" t="str">
        <f t="shared" si="500"/>
        <v/>
      </c>
      <c r="ABJ13" s="59" t="str">
        <f t="shared" si="500"/>
        <v/>
      </c>
      <c r="ABK13" s="59" t="str">
        <f t="shared" si="500"/>
        <v/>
      </c>
      <c r="ABL13" s="59" t="str">
        <f t="shared" si="500"/>
        <v/>
      </c>
      <c r="ABM13" s="59" t="str">
        <f t="shared" si="500"/>
        <v/>
      </c>
      <c r="ABN13" s="59" t="str">
        <f t="shared" si="500"/>
        <v/>
      </c>
      <c r="ABO13" s="59" t="str">
        <f t="shared" si="500"/>
        <v/>
      </c>
      <c r="ABP13" s="59" t="str">
        <f t="shared" si="500"/>
        <v/>
      </c>
      <c r="ABQ13" s="59" t="str">
        <f t="shared" si="500"/>
        <v/>
      </c>
      <c r="ABR13" s="59" t="str">
        <f t="shared" si="500"/>
        <v/>
      </c>
      <c r="ABS13" s="59" t="str">
        <f t="shared" si="500"/>
        <v/>
      </c>
      <c r="ABT13" s="59" t="str">
        <f t="shared" si="500"/>
        <v/>
      </c>
      <c r="ABU13" s="59" t="str">
        <f t="shared" si="500"/>
        <v/>
      </c>
      <c r="ABV13" s="59" t="str">
        <f t="shared" si="500"/>
        <v/>
      </c>
      <c r="ABW13" s="59" t="str">
        <f t="shared" si="500"/>
        <v/>
      </c>
      <c r="ABX13" s="59" t="str">
        <f t="shared" si="500"/>
        <v/>
      </c>
      <c r="ABY13" s="59" t="str">
        <f t="shared" si="500"/>
        <v/>
      </c>
      <c r="ABZ13" s="59" t="str">
        <f t="shared" si="500"/>
        <v/>
      </c>
      <c r="ACA13" s="59" t="str">
        <f t="shared" si="500"/>
        <v/>
      </c>
      <c r="ACB13" s="59" t="str">
        <f t="shared" si="500"/>
        <v/>
      </c>
      <c r="ACC13" s="59" t="str">
        <f t="shared" si="500"/>
        <v/>
      </c>
      <c r="ACD13" s="59" t="str">
        <f t="shared" si="500"/>
        <v/>
      </c>
      <c r="ACE13" s="59" t="str">
        <f t="shared" si="500"/>
        <v/>
      </c>
      <c r="ACF13" s="59" t="str">
        <f t="shared" si="500"/>
        <v/>
      </c>
      <c r="ACG13" s="59" t="str">
        <f t="shared" si="500"/>
        <v/>
      </c>
      <c r="ACH13" s="59" t="str">
        <f t="shared" si="500"/>
        <v/>
      </c>
      <c r="ACI13" s="59" t="str">
        <f t="shared" si="500"/>
        <v/>
      </c>
      <c r="ACJ13" s="59" t="str">
        <f t="shared" si="500"/>
        <v/>
      </c>
      <c r="ACK13" s="59" t="str">
        <f t="shared" si="500"/>
        <v/>
      </c>
      <c r="ACL13" s="59" t="str">
        <f t="shared" si="500"/>
        <v/>
      </c>
      <c r="ACM13" s="59" t="str">
        <f t="shared" si="500"/>
        <v/>
      </c>
      <c r="ACN13" s="59" t="str">
        <f t="shared" si="500"/>
        <v/>
      </c>
      <c r="ACO13" s="59" t="str">
        <f t="shared" si="500"/>
        <v/>
      </c>
      <c r="ACP13" s="59" t="str">
        <f t="shared" si="500"/>
        <v/>
      </c>
      <c r="ACQ13" s="59" t="str">
        <f t="shared" si="500"/>
        <v/>
      </c>
      <c r="ACR13" s="59" t="str">
        <f t="shared" si="500"/>
        <v/>
      </c>
      <c r="ACS13" s="59" t="str">
        <f t="shared" si="500"/>
        <v/>
      </c>
      <c r="ACT13" s="59" t="str">
        <f t="shared" si="500"/>
        <v/>
      </c>
      <c r="ACU13" s="59" t="str">
        <f t="shared" si="500"/>
        <v/>
      </c>
      <c r="ACV13" s="59" t="str">
        <f t="shared" si="500"/>
        <v/>
      </c>
      <c r="ACW13" s="59" t="str">
        <f t="shared" si="500"/>
        <v/>
      </c>
      <c r="ACX13" s="59" t="str">
        <f t="shared" si="500"/>
        <v/>
      </c>
      <c r="ACY13" s="59" t="str">
        <f t="shared" si="500"/>
        <v/>
      </c>
      <c r="ACZ13" s="59" t="str">
        <f t="shared" si="500"/>
        <v/>
      </c>
      <c r="ADA13" s="59" t="str">
        <f t="shared" si="500"/>
        <v/>
      </c>
      <c r="ADB13" s="59" t="str">
        <f t="shared" si="500"/>
        <v/>
      </c>
      <c r="ADC13" s="59" t="str">
        <f t="shared" si="500"/>
        <v/>
      </c>
      <c r="ADD13" s="59" t="str">
        <f t="shared" si="500"/>
        <v/>
      </c>
      <c r="ADE13" s="59" t="str">
        <f t="shared" si="500"/>
        <v/>
      </c>
      <c r="ADF13" s="59" t="str">
        <f t="shared" si="500"/>
        <v/>
      </c>
      <c r="ADG13" s="59" t="str">
        <f t="shared" si="500"/>
        <v/>
      </c>
      <c r="ADH13" s="59" t="str">
        <f t="shared" si="500"/>
        <v/>
      </c>
      <c r="ADI13" s="59" t="str">
        <f t="shared" si="500"/>
        <v/>
      </c>
      <c r="ADJ13" s="59" t="str">
        <f t="shared" si="500"/>
        <v/>
      </c>
      <c r="ADK13" s="59" t="str">
        <f t="shared" si="500"/>
        <v/>
      </c>
      <c r="ADL13" s="59" t="str">
        <f t="shared" si="500"/>
        <v/>
      </c>
      <c r="ADM13" s="59" t="str">
        <f t="shared" si="500"/>
        <v/>
      </c>
      <c r="ADN13" s="59" t="str">
        <f t="shared" si="500"/>
        <v/>
      </c>
      <c r="ADO13" s="59" t="str">
        <f t="shared" si="500"/>
        <v/>
      </c>
      <c r="ADP13" s="59" t="str">
        <f t="shared" si="500"/>
        <v/>
      </c>
      <c r="ADQ13" s="59" t="str">
        <f t="shared" si="500"/>
        <v/>
      </c>
      <c r="ADR13" s="59" t="str">
        <f t="shared" si="500"/>
        <v/>
      </c>
      <c r="ADS13" s="59" t="str">
        <f t="shared" si="500"/>
        <v/>
      </c>
      <c r="ADT13" s="59" t="str">
        <f t="shared" si="500"/>
        <v/>
      </c>
      <c r="ADU13" s="59" t="str">
        <f t="shared" si="500"/>
        <v/>
      </c>
      <c r="ADV13" s="59" t="str">
        <f t="shared" si="500"/>
        <v/>
      </c>
      <c r="ADW13" s="59" t="str">
        <f t="shared" si="500"/>
        <v/>
      </c>
      <c r="ADX13" s="59" t="str">
        <f t="shared" si="500"/>
        <v/>
      </c>
      <c r="ADY13" s="59" t="str">
        <f t="shared" si="500"/>
        <v/>
      </c>
      <c r="ADZ13" s="59" t="str">
        <f t="shared" si="500"/>
        <v/>
      </c>
      <c r="AEA13" s="59" t="str">
        <f t="shared" si="500"/>
        <v/>
      </c>
      <c r="AEB13" s="59" t="str">
        <f t="shared" si="500"/>
        <v/>
      </c>
      <c r="AEC13" s="59" t="str">
        <f t="shared" si="500"/>
        <v/>
      </c>
      <c r="AED13" s="59" t="str">
        <f t="shared" si="500"/>
        <v/>
      </c>
      <c r="AEE13" s="59" t="str">
        <f t="shared" si="500"/>
        <v/>
      </c>
      <c r="AEF13" s="59" t="str">
        <f t="shared" si="500"/>
        <v/>
      </c>
      <c r="AEG13" s="59" t="str">
        <f t="shared" si="500"/>
        <v/>
      </c>
      <c r="AEH13" s="59" t="str">
        <f t="shared" si="500"/>
        <v/>
      </c>
      <c r="AEI13" s="59" t="str">
        <f t="shared" si="500"/>
        <v/>
      </c>
      <c r="AEJ13" s="59" t="str">
        <f t="shared" si="500"/>
        <v/>
      </c>
      <c r="AEK13" s="59" t="str">
        <f t="shared" si="500"/>
        <v/>
      </c>
      <c r="AEL13" s="59" t="str">
        <f t="shared" si="500"/>
        <v/>
      </c>
      <c r="AEM13" s="59" t="str">
        <f t="shared" si="500"/>
        <v/>
      </c>
      <c r="AEN13" s="59" t="str">
        <f t="shared" si="500"/>
        <v/>
      </c>
      <c r="AEO13" s="59" t="str">
        <f t="shared" si="500"/>
        <v/>
      </c>
      <c r="AEP13" s="59" t="str">
        <f t="shared" si="500"/>
        <v/>
      </c>
      <c r="AEQ13" s="59" t="str">
        <f t="shared" si="500"/>
        <v/>
      </c>
      <c r="AER13" s="59" t="str">
        <f t="shared" si="500"/>
        <v/>
      </c>
      <c r="AES13" s="59" t="str">
        <f t="shared" si="500"/>
        <v/>
      </c>
      <c r="AET13" s="59" t="str">
        <f t="shared" si="500"/>
        <v/>
      </c>
      <c r="AEU13" s="59" t="str">
        <f t="shared" si="500"/>
        <v/>
      </c>
      <c r="AEV13" s="59" t="str">
        <f t="shared" si="500"/>
        <v/>
      </c>
      <c r="AEW13" s="59" t="str">
        <f t="shared" si="500"/>
        <v/>
      </c>
      <c r="AEX13" s="59" t="str">
        <f t="shared" si="500"/>
        <v/>
      </c>
      <c r="AEY13" s="59" t="str">
        <f t="shared" si="500"/>
        <v/>
      </c>
      <c r="AEZ13" s="59" t="str">
        <f t="shared" si="500"/>
        <v/>
      </c>
      <c r="AFA13" s="59" t="str">
        <f t="shared" si="500"/>
        <v/>
      </c>
      <c r="AFB13" s="59" t="str">
        <f t="shared" si="500"/>
        <v/>
      </c>
      <c r="AFC13" s="59" t="str">
        <f t="shared" si="500"/>
        <v/>
      </c>
      <c r="AFD13" s="59" t="str">
        <f t="shared" si="500"/>
        <v/>
      </c>
      <c r="AFE13" s="59" t="str">
        <f t="shared" si="500"/>
        <v/>
      </c>
      <c r="AFF13" s="59" t="str">
        <f t="shared" si="500"/>
        <v/>
      </c>
      <c r="AFG13" s="59" t="str">
        <f t="shared" si="500"/>
        <v/>
      </c>
      <c r="AFH13" s="59" t="str">
        <f t="shared" si="500"/>
        <v/>
      </c>
      <c r="AFI13" s="59" t="str">
        <f t="shared" si="500"/>
        <v/>
      </c>
      <c r="AFJ13" s="59" t="str">
        <f t="shared" si="500"/>
        <v/>
      </c>
      <c r="AFK13" s="59" t="str">
        <f t="shared" si="500"/>
        <v/>
      </c>
      <c r="AFL13" s="59" t="str">
        <f t="shared" si="500"/>
        <v/>
      </c>
      <c r="AFM13" s="59" t="str">
        <f t="shared" si="500"/>
        <v/>
      </c>
      <c r="AFN13" s="59" t="str">
        <f t="shared" si="500"/>
        <v/>
      </c>
      <c r="AFO13" s="59" t="str">
        <f t="shared" si="500"/>
        <v/>
      </c>
      <c r="AFP13" s="59" t="str">
        <f t="shared" si="500"/>
        <v/>
      </c>
      <c r="AFQ13" s="59" t="str">
        <f t="shared" si="500"/>
        <v/>
      </c>
      <c r="AFR13" s="59" t="str">
        <f t="shared" si="500"/>
        <v/>
      </c>
      <c r="AFS13" s="59" t="str">
        <f t="shared" si="500"/>
        <v/>
      </c>
      <c r="AFT13" s="59" t="str">
        <f t="shared" si="500"/>
        <v/>
      </c>
      <c r="AFU13" s="59" t="str">
        <f t="shared" si="500"/>
        <v/>
      </c>
      <c r="AFV13" s="59" t="str">
        <f t="shared" si="500"/>
        <v/>
      </c>
      <c r="AFW13" s="59" t="str">
        <f t="shared" si="500"/>
        <v/>
      </c>
      <c r="AFX13" s="59">
        <f>IFERROR(VLOOKUP(INDIRECT(ADDRESS(ROW() - 9, COLUMN())), INDIRECT(ADDRESS(ROW() - 83, 12)):INDIRECT(ADDRESS(ROW() - 79, 16)), 4, FALSE)) + 1.5</f>
        <v>1.5</v>
      </c>
      <c r="AFY13" s="59" t="str">
        <f t="shared" ref="AFY13:AJE13" si="501">IFERROR(VLOOKUP(INDIRECT(ADDRESS(ROW() - 9, COLUMN())), INDIRECT(ADDRESS(ROW() - 83, 12)):INDIRECT(ADDRESS(ROW() - 79, 16)), 4, FALSE))</f>
        <v/>
      </c>
      <c r="AFZ13" s="59" t="str">
        <f t="shared" si="501"/>
        <v/>
      </c>
      <c r="AGA13" s="59" t="str">
        <f t="shared" si="501"/>
        <v/>
      </c>
      <c r="AGB13" s="59" t="str">
        <f t="shared" si="501"/>
        <v/>
      </c>
      <c r="AGC13" s="59" t="str">
        <f t="shared" si="501"/>
        <v/>
      </c>
      <c r="AGD13" s="59" t="str">
        <f t="shared" si="501"/>
        <v/>
      </c>
      <c r="AGE13" s="59" t="str">
        <f t="shared" si="501"/>
        <v/>
      </c>
      <c r="AGF13" s="59" t="str">
        <f t="shared" si="501"/>
        <v/>
      </c>
      <c r="AGG13" s="59" t="str">
        <f t="shared" si="501"/>
        <v/>
      </c>
      <c r="AGH13" s="59" t="str">
        <f t="shared" si="501"/>
        <v/>
      </c>
      <c r="AGI13" s="59" t="str">
        <f t="shared" si="501"/>
        <v/>
      </c>
      <c r="AGJ13" s="59" t="str">
        <f t="shared" si="501"/>
        <v/>
      </c>
      <c r="AGK13" s="59" t="str">
        <f t="shared" si="501"/>
        <v/>
      </c>
      <c r="AGL13" s="59" t="str">
        <f t="shared" si="501"/>
        <v/>
      </c>
      <c r="AGM13" s="59" t="str">
        <f t="shared" si="501"/>
        <v/>
      </c>
      <c r="AGN13" s="59" t="str">
        <f t="shared" si="501"/>
        <v/>
      </c>
      <c r="AGO13" s="59" t="str">
        <f t="shared" si="501"/>
        <v/>
      </c>
      <c r="AGP13" s="59" t="str">
        <f t="shared" si="501"/>
        <v/>
      </c>
      <c r="AGQ13" s="59" t="str">
        <f t="shared" si="501"/>
        <v/>
      </c>
      <c r="AGR13" s="59" t="str">
        <f t="shared" si="501"/>
        <v/>
      </c>
      <c r="AGS13" s="59" t="str">
        <f t="shared" si="501"/>
        <v/>
      </c>
      <c r="AGT13" s="59" t="str">
        <f t="shared" si="501"/>
        <v/>
      </c>
      <c r="AGU13" s="59" t="str">
        <f t="shared" si="501"/>
        <v/>
      </c>
      <c r="AGV13" s="59" t="str">
        <f t="shared" si="501"/>
        <v/>
      </c>
      <c r="AGW13" s="59" t="str">
        <f t="shared" si="501"/>
        <v/>
      </c>
      <c r="AGX13" s="59" t="str">
        <f t="shared" si="501"/>
        <v/>
      </c>
      <c r="AGY13" s="59" t="str">
        <f t="shared" si="501"/>
        <v/>
      </c>
      <c r="AGZ13" s="59" t="str">
        <f t="shared" si="501"/>
        <v/>
      </c>
      <c r="AHA13" s="59" t="str">
        <f t="shared" si="501"/>
        <v/>
      </c>
      <c r="AHB13" s="59" t="str">
        <f t="shared" si="501"/>
        <v/>
      </c>
      <c r="AHC13" s="59" t="str">
        <f t="shared" si="501"/>
        <v/>
      </c>
      <c r="AHD13" s="59" t="str">
        <f t="shared" si="501"/>
        <v/>
      </c>
      <c r="AHE13" s="59" t="str">
        <f t="shared" si="501"/>
        <v/>
      </c>
      <c r="AHF13" s="59" t="str">
        <f t="shared" si="501"/>
        <v/>
      </c>
      <c r="AHG13" s="59" t="str">
        <f t="shared" si="501"/>
        <v/>
      </c>
      <c r="AHH13" s="59" t="str">
        <f t="shared" si="501"/>
        <v/>
      </c>
      <c r="AHI13" s="59" t="str">
        <f t="shared" si="501"/>
        <v/>
      </c>
      <c r="AHJ13" s="59" t="str">
        <f t="shared" si="501"/>
        <v/>
      </c>
      <c r="AHK13" s="59" t="str">
        <f t="shared" si="501"/>
        <v/>
      </c>
      <c r="AHL13" s="59" t="str">
        <f t="shared" si="501"/>
        <v/>
      </c>
      <c r="AHM13" s="59" t="str">
        <f t="shared" si="501"/>
        <v/>
      </c>
      <c r="AHN13" s="59" t="str">
        <f t="shared" si="501"/>
        <v/>
      </c>
      <c r="AHO13" s="59" t="str">
        <f t="shared" si="501"/>
        <v/>
      </c>
      <c r="AHP13" s="59" t="str">
        <f t="shared" si="501"/>
        <v/>
      </c>
      <c r="AHQ13" s="59" t="str">
        <f t="shared" si="501"/>
        <v/>
      </c>
      <c r="AHR13" s="59" t="str">
        <f t="shared" si="501"/>
        <v/>
      </c>
      <c r="AHS13" s="59" t="str">
        <f t="shared" si="501"/>
        <v/>
      </c>
      <c r="AHT13" s="59" t="str">
        <f t="shared" si="501"/>
        <v/>
      </c>
      <c r="AHU13" s="59" t="str">
        <f t="shared" si="501"/>
        <v/>
      </c>
      <c r="AHV13" s="59" t="str">
        <f t="shared" si="501"/>
        <v/>
      </c>
      <c r="AHW13" s="59" t="str">
        <f t="shared" si="501"/>
        <v/>
      </c>
      <c r="AHX13" s="59" t="str">
        <f t="shared" si="501"/>
        <v/>
      </c>
      <c r="AHY13" s="59" t="str">
        <f t="shared" si="501"/>
        <v/>
      </c>
      <c r="AHZ13" s="59" t="str">
        <f t="shared" si="501"/>
        <v/>
      </c>
      <c r="AIA13" s="59" t="str">
        <f t="shared" si="501"/>
        <v/>
      </c>
      <c r="AIB13" s="59" t="str">
        <f t="shared" si="501"/>
        <v/>
      </c>
      <c r="AIC13" s="59" t="str">
        <f t="shared" si="501"/>
        <v/>
      </c>
      <c r="AID13" s="59" t="str">
        <f t="shared" si="501"/>
        <v/>
      </c>
      <c r="AIE13" s="59" t="str">
        <f t="shared" si="501"/>
        <v/>
      </c>
      <c r="AIF13" s="59" t="str">
        <f t="shared" si="501"/>
        <v/>
      </c>
      <c r="AIG13" s="59" t="str">
        <f t="shared" si="501"/>
        <v/>
      </c>
      <c r="AIH13" s="59" t="str">
        <f t="shared" si="501"/>
        <v/>
      </c>
      <c r="AII13" s="59" t="str">
        <f t="shared" si="501"/>
        <v/>
      </c>
      <c r="AIJ13" s="59" t="str">
        <f t="shared" si="501"/>
        <v/>
      </c>
      <c r="AIK13" s="59" t="str">
        <f t="shared" si="501"/>
        <v/>
      </c>
      <c r="AIL13" s="59" t="str">
        <f t="shared" si="501"/>
        <v/>
      </c>
      <c r="AIM13" s="59" t="str">
        <f t="shared" si="501"/>
        <v/>
      </c>
      <c r="AIN13" s="59" t="str">
        <f t="shared" si="501"/>
        <v/>
      </c>
      <c r="AIO13" s="59" t="str">
        <f t="shared" si="501"/>
        <v/>
      </c>
      <c r="AIP13" s="59" t="str">
        <f t="shared" si="501"/>
        <v/>
      </c>
      <c r="AIQ13" s="59" t="str">
        <f t="shared" si="501"/>
        <v/>
      </c>
      <c r="AIR13" s="59" t="str">
        <f t="shared" si="501"/>
        <v/>
      </c>
      <c r="AIS13" s="59" t="str">
        <f t="shared" si="501"/>
        <v/>
      </c>
      <c r="AIT13" s="59" t="str">
        <f t="shared" si="501"/>
        <v/>
      </c>
      <c r="AIU13" s="59" t="str">
        <f t="shared" si="501"/>
        <v/>
      </c>
      <c r="AIV13" s="59" t="str">
        <f t="shared" si="501"/>
        <v/>
      </c>
      <c r="AIW13" s="59" t="str">
        <f t="shared" si="501"/>
        <v/>
      </c>
      <c r="AIX13" s="59" t="str">
        <f t="shared" si="501"/>
        <v/>
      </c>
      <c r="AIY13" s="59" t="str">
        <f t="shared" si="501"/>
        <v/>
      </c>
      <c r="AIZ13" s="59" t="str">
        <f t="shared" si="501"/>
        <v/>
      </c>
      <c r="AJA13" s="59" t="str">
        <f t="shared" si="501"/>
        <v/>
      </c>
      <c r="AJB13" s="59" t="str">
        <f t="shared" si="501"/>
        <v/>
      </c>
      <c r="AJC13" s="59" t="str">
        <f t="shared" si="501"/>
        <v/>
      </c>
      <c r="AJD13" s="59" t="str">
        <f t="shared" si="501"/>
        <v/>
      </c>
      <c r="AJE13" s="59" t="str">
        <f t="shared" si="501"/>
        <v/>
      </c>
      <c r="AJF13" s="59" t="str">
        <f>IFERROR(VLOOKUP(INDIRECT(ADDRESS(ROW() - 9, COLUMN())), INDIRECT(ADDRESS(ROW() - 83, 12)):INDIRECT(ADDRESS(ROW() - 79, 16)), 4, FALSE) + IF(INDIRECT(ADDRESS(ROW() - (12 + TemplateStats!$B$2), 3)) = "C0", 0, 3.6))</f>
        <v/>
      </c>
      <c r="AJG13" s="59" t="str">
        <f>IFERROR(VLOOKUP(INDIRECT(ADDRESS(ROW() - 9, COLUMN())), INDIRECT(ADDRESS(ROW() - 83, 12)):INDIRECT(ADDRESS(ROW() - 79, 16)), 4, FALSE) + IF(INDIRECT(ADDRESS(ROW() - (12 + TemplateStats!$B$2), 3)) = "C0", 0, 3.6))</f>
        <v/>
      </c>
      <c r="AJH13" s="59" t="str">
        <f>IFERROR(VLOOKUP(INDIRECT(ADDRESS(ROW() - 9, COLUMN())), INDIRECT(ADDRESS(ROW() - 83, 12)):INDIRECT(ADDRESS(ROW() - 79, 16)), 4, FALSE) + IF(INDIRECT(ADDRESS(ROW() - (12 + TemplateStats!$B$2), 3)) = "C0", 0, 3.6))</f>
        <v/>
      </c>
      <c r="AJI13" s="59" t="str">
        <f>IFERROR(VLOOKUP(INDIRECT(ADDRESS(ROW() - 9, COLUMN())), INDIRECT(ADDRESS(ROW() - 83, 12)):INDIRECT(ADDRESS(ROW() - 79, 16)), 4, FALSE) + IF(INDIRECT(ADDRESS(ROW() - (12 + TemplateStats!$B$2), 3)) = "C0", 0, 6))</f>
        <v/>
      </c>
      <c r="AJJ13" s="59" t="str">
        <f>IFERROR(VLOOKUP(INDIRECT(ADDRESS(ROW() - 9, COLUMN())), INDIRECT(ADDRESS(ROW() - 83, 12)):INDIRECT(ADDRESS(ROW() - 79, 16)), 4, FALSE) + IF(INDIRECT(ADDRESS(ROW() - (12 + TemplateStats!$B$2), 3)) = "C0", 0, 6))</f>
        <v/>
      </c>
      <c r="AJK13" s="59" t="str">
        <f t="shared" ref="AJK13:AJS13" si="502">IFERROR(VLOOKUP(INDIRECT(ADDRESS(ROW() - 9, COLUMN())), INDIRECT(ADDRESS(ROW() - 83, 12)):INDIRECT(ADDRESS(ROW() - 79, 16)), 4, FALSE))</f>
        <v/>
      </c>
      <c r="AJL13" s="59" t="str">
        <f t="shared" si="502"/>
        <v/>
      </c>
      <c r="AJM13" s="59" t="str">
        <f t="shared" si="502"/>
        <v/>
      </c>
      <c r="AJN13" s="59" t="str">
        <f t="shared" si="502"/>
        <v/>
      </c>
      <c r="AJO13" s="59" t="str">
        <f t="shared" si="502"/>
        <v/>
      </c>
      <c r="AJP13" s="59" t="str">
        <f t="shared" si="502"/>
        <v/>
      </c>
      <c r="AJQ13" s="59" t="str">
        <f t="shared" si="502"/>
        <v/>
      </c>
      <c r="AJR13" s="59" t="str">
        <f t="shared" si="502"/>
        <v/>
      </c>
      <c r="AJS13" s="59" t="str">
        <f t="shared" si="502"/>
        <v/>
      </c>
      <c r="AJT13" s="59" t="str">
        <f>IFERROR(VLOOKUP(INDIRECT(ADDRESS(ROW() - 9, COLUMN())), INDIRECT(ADDRESS(ROW() - 83, 12)):INDIRECT(ADDRESS(ROW() - 79, 16)), 4, FALSE)) + IF(INDIRECT(ADDRESS(ROW() - (12 + TemplateStats!$B$2), 3)) = "C6", 8, 0)</f>
        <v>#VALUE!</v>
      </c>
      <c r="AJU13" s="59" t="str">
        <f t="shared" ref="AJU13:ALF13" si="503">IFERROR(VLOOKUP(INDIRECT(ADDRESS(ROW() - 9, COLUMN())), INDIRECT(ADDRESS(ROW() - 83, 12)):INDIRECT(ADDRESS(ROW() - 79, 16)), 4, FALSE))</f>
        <v/>
      </c>
      <c r="AJV13" s="59" t="str">
        <f t="shared" si="503"/>
        <v/>
      </c>
      <c r="AJW13" s="59" t="str">
        <f t="shared" si="503"/>
        <v/>
      </c>
      <c r="AJX13" s="59" t="str">
        <f t="shared" si="503"/>
        <v/>
      </c>
      <c r="AJY13" s="59" t="str">
        <f t="shared" si="503"/>
        <v/>
      </c>
      <c r="AJZ13" s="59" t="str">
        <f t="shared" si="503"/>
        <v/>
      </c>
      <c r="AKA13" s="59" t="str">
        <f t="shared" si="503"/>
        <v/>
      </c>
      <c r="AKB13" s="59" t="str">
        <f t="shared" si="503"/>
        <v/>
      </c>
      <c r="AKC13" s="59" t="str">
        <f t="shared" si="503"/>
        <v/>
      </c>
      <c r="AKD13" s="59" t="str">
        <f t="shared" si="503"/>
        <v/>
      </c>
      <c r="AKE13" s="59" t="str">
        <f t="shared" si="503"/>
        <v/>
      </c>
      <c r="AKF13" s="59" t="str">
        <f t="shared" si="503"/>
        <v/>
      </c>
      <c r="AKG13" s="59" t="str">
        <f t="shared" si="503"/>
        <v/>
      </c>
      <c r="AKH13" s="59" t="str">
        <f t="shared" si="503"/>
        <v/>
      </c>
      <c r="AKI13" s="59" t="str">
        <f t="shared" si="503"/>
        <v/>
      </c>
      <c r="AKJ13" s="59" t="str">
        <f t="shared" si="503"/>
        <v/>
      </c>
      <c r="AKK13" s="59" t="str">
        <f t="shared" si="503"/>
        <v/>
      </c>
      <c r="AKL13" s="59" t="str">
        <f t="shared" si="503"/>
        <v/>
      </c>
      <c r="AKM13" s="59" t="str">
        <f t="shared" si="503"/>
        <v/>
      </c>
      <c r="AKN13" s="59" t="str">
        <f t="shared" si="503"/>
        <v/>
      </c>
      <c r="AKO13" s="59" t="str">
        <f t="shared" si="503"/>
        <v/>
      </c>
      <c r="AKP13" s="59" t="str">
        <f t="shared" si="503"/>
        <v/>
      </c>
      <c r="AKQ13" s="59" t="str">
        <f t="shared" si="503"/>
        <v/>
      </c>
      <c r="AKR13" s="59" t="str">
        <f t="shared" si="503"/>
        <v/>
      </c>
      <c r="AKS13" s="59" t="str">
        <f t="shared" si="503"/>
        <v/>
      </c>
      <c r="AKT13" s="59" t="str">
        <f t="shared" si="503"/>
        <v/>
      </c>
      <c r="AKU13" s="59" t="str">
        <f t="shared" si="503"/>
        <v/>
      </c>
      <c r="AKV13" s="59" t="str">
        <f t="shared" si="503"/>
        <v/>
      </c>
      <c r="AKW13" s="59" t="str">
        <f t="shared" si="503"/>
        <v/>
      </c>
      <c r="AKX13" s="59" t="str">
        <f t="shared" si="503"/>
        <v/>
      </c>
      <c r="AKY13" s="59" t="str">
        <f t="shared" si="503"/>
        <v/>
      </c>
      <c r="AKZ13" s="59" t="str">
        <f t="shared" si="503"/>
        <v/>
      </c>
      <c r="ALA13" s="59" t="str">
        <f t="shared" si="503"/>
        <v/>
      </c>
      <c r="ALB13" s="59" t="str">
        <f t="shared" si="503"/>
        <v/>
      </c>
      <c r="ALC13" s="59" t="str">
        <f t="shared" si="503"/>
        <v/>
      </c>
      <c r="ALD13" s="59" t="str">
        <f t="shared" si="503"/>
        <v/>
      </c>
      <c r="ALE13" s="59" t="str">
        <f t="shared" si="503"/>
        <v/>
      </c>
      <c r="ALF13" s="59" t="str">
        <f t="shared" si="503"/>
        <v/>
      </c>
      <c r="ALG13" s="59" t="str">
        <f>IFERROR(VLOOKUP(INDIRECT(ADDRESS(ROW() - 9, COLUMN())), INDIRECT(ADDRESS(ROW() - 83, 12)):INDIRECT(ADDRESS(ROW() - 79, 16)), 4, FALSE)) + IF(INDIRECT(ADDRESS(ROW() - 8, COLUMN())) = 1, 0.64, IF(INDIRECT(ADDRESS(ROW() - 8, COLUMN())) = 2, 0.688, IF(INDIRECT(ADDRESS(ROW() - 8, COLUMN())) = 3, 0.736, IF(INDIRECT(ADDRESS(ROW() - 8, COLUMN())) = 4, 0.8, IF(INDIRECT(ADDRESS(ROW() - 8, COLUMN())) = 5, 0.848, IF(INDIRECT(ADDRESS(ROW() - 8, COLUMN())) = 6, 0.895999999999999, IF(INDIRECT(ADDRESS(ROW() - 8, COLUMN())) = 7, 0.96, IF(INDIRECT(ADDRESS(ROW() - 8, COLUMN())) = 8, 1.024, IF(INDIRECT(ADDRESS(ROW() - 8, COLUMN())) = 9, 1.088, IF(INDIRECT(ADDRESS(ROW() - 8, COLUMN())) = 10, 1.152, IF(INDIRECT(ADDRESS(ROW() - 8, COLUMN())) = 11, 1.216, IF(INDIRECT(ADDRESS(ROW() - 8, COLUMN())) = 12, 1.28, IF(INDIRECT(ADDRESS(ROW() - 8, COLUMN())) = 13, 1.35999999999999,0)))))))))))))</f>
        <v>#VALUE!</v>
      </c>
      <c r="ALH13" s="59" t="str">
        <f t="shared" ref="ALH13:AQL13" si="504">IFERROR(VLOOKUP(INDIRECT(ADDRESS(ROW() - 9, COLUMN())), INDIRECT(ADDRESS(ROW() - 83, 12)):INDIRECT(ADDRESS(ROW() - 79, 16)), 4, FALSE))</f>
        <v/>
      </c>
      <c r="ALI13" s="59" t="str">
        <f t="shared" si="504"/>
        <v/>
      </c>
      <c r="ALJ13" s="59" t="str">
        <f t="shared" si="504"/>
        <v/>
      </c>
      <c r="ALK13" s="59" t="str">
        <f t="shared" si="504"/>
        <v/>
      </c>
      <c r="ALL13" s="59" t="str">
        <f t="shared" si="504"/>
        <v/>
      </c>
      <c r="ALM13" s="59" t="str">
        <f t="shared" si="504"/>
        <v/>
      </c>
      <c r="ALN13" s="59" t="str">
        <f t="shared" si="504"/>
        <v/>
      </c>
      <c r="ALO13" s="59" t="str">
        <f t="shared" si="504"/>
        <v/>
      </c>
      <c r="ALP13" s="59" t="str">
        <f t="shared" si="504"/>
        <v/>
      </c>
      <c r="ALQ13" s="59" t="str">
        <f t="shared" si="504"/>
        <v/>
      </c>
      <c r="ALR13" s="59" t="str">
        <f t="shared" si="504"/>
        <v/>
      </c>
      <c r="ALS13" s="59" t="str">
        <f t="shared" si="504"/>
        <v/>
      </c>
      <c r="ALT13" s="59" t="str">
        <f t="shared" si="504"/>
        <v/>
      </c>
      <c r="ALU13" s="59" t="str">
        <f t="shared" si="504"/>
        <v/>
      </c>
      <c r="ALV13" s="59" t="str">
        <f t="shared" si="504"/>
        <v/>
      </c>
      <c r="ALW13" s="59" t="str">
        <f t="shared" si="504"/>
        <v/>
      </c>
      <c r="ALX13" s="59" t="str">
        <f t="shared" si="504"/>
        <v/>
      </c>
      <c r="ALY13" s="59" t="str">
        <f t="shared" si="504"/>
        <v/>
      </c>
      <c r="ALZ13" s="59" t="str">
        <f t="shared" si="504"/>
        <v/>
      </c>
      <c r="AMA13" s="59" t="str">
        <f t="shared" si="504"/>
        <v/>
      </c>
      <c r="AMB13" s="59" t="str">
        <f t="shared" si="504"/>
        <v/>
      </c>
      <c r="AMC13" s="59" t="str">
        <f t="shared" si="504"/>
        <v/>
      </c>
      <c r="AMD13" s="59" t="str">
        <f t="shared" si="504"/>
        <v/>
      </c>
      <c r="AME13" s="59" t="str">
        <f t="shared" si="504"/>
        <v/>
      </c>
      <c r="AMF13" s="59" t="str">
        <f t="shared" si="504"/>
        <v/>
      </c>
      <c r="AMG13" s="59" t="str">
        <f t="shared" si="504"/>
        <v/>
      </c>
      <c r="AMH13" s="59" t="str">
        <f t="shared" si="504"/>
        <v/>
      </c>
      <c r="AMI13" s="59" t="str">
        <f t="shared" si="504"/>
        <v/>
      </c>
      <c r="AMJ13" s="59" t="str">
        <f t="shared" si="504"/>
        <v/>
      </c>
      <c r="AMK13" s="59" t="str">
        <f t="shared" si="504"/>
        <v/>
      </c>
      <c r="AML13" s="59" t="str">
        <f t="shared" si="504"/>
        <v/>
      </c>
      <c r="AMM13" s="59" t="str">
        <f t="shared" si="504"/>
        <v/>
      </c>
      <c r="AMN13" s="59" t="str">
        <f t="shared" si="504"/>
        <v/>
      </c>
      <c r="AMO13" s="59" t="str">
        <f t="shared" si="504"/>
        <v/>
      </c>
      <c r="AMP13" s="59" t="str">
        <f t="shared" si="504"/>
        <v/>
      </c>
      <c r="AMQ13" s="59" t="str">
        <f t="shared" si="504"/>
        <v/>
      </c>
      <c r="AMR13" s="59" t="str">
        <f t="shared" si="504"/>
        <v/>
      </c>
      <c r="AMS13" s="59" t="str">
        <f t="shared" si="504"/>
        <v/>
      </c>
      <c r="AMT13" s="59" t="str">
        <f t="shared" si="504"/>
        <v/>
      </c>
      <c r="AMU13" s="59" t="str">
        <f t="shared" si="504"/>
        <v/>
      </c>
      <c r="AMV13" s="59" t="str">
        <f t="shared" si="504"/>
        <v/>
      </c>
      <c r="AMW13" s="59" t="str">
        <f t="shared" si="504"/>
        <v/>
      </c>
      <c r="AMX13" s="59" t="str">
        <f t="shared" si="504"/>
        <v/>
      </c>
      <c r="AMY13" s="59" t="str">
        <f t="shared" si="504"/>
        <v/>
      </c>
      <c r="AMZ13" s="59" t="str">
        <f t="shared" si="504"/>
        <v/>
      </c>
      <c r="ANA13" s="59" t="str">
        <f t="shared" si="504"/>
        <v/>
      </c>
      <c r="ANB13" s="59" t="str">
        <f t="shared" si="504"/>
        <v/>
      </c>
      <c r="ANC13" s="59" t="str">
        <f t="shared" si="504"/>
        <v/>
      </c>
      <c r="AND13" s="59" t="str">
        <f t="shared" si="504"/>
        <v/>
      </c>
      <c r="ANE13" s="59" t="str">
        <f t="shared" si="504"/>
        <v/>
      </c>
      <c r="ANF13" s="59" t="str">
        <f t="shared" si="504"/>
        <v/>
      </c>
      <c r="ANG13" s="59" t="str">
        <f t="shared" si="504"/>
        <v/>
      </c>
      <c r="ANH13" s="59" t="str">
        <f t="shared" si="504"/>
        <v/>
      </c>
      <c r="ANI13" s="59" t="str">
        <f t="shared" si="504"/>
        <v/>
      </c>
      <c r="ANJ13" s="59" t="str">
        <f t="shared" si="504"/>
        <v/>
      </c>
      <c r="ANK13" s="59" t="str">
        <f t="shared" si="504"/>
        <v/>
      </c>
      <c r="ANL13" s="59" t="str">
        <f t="shared" si="504"/>
        <v/>
      </c>
      <c r="ANM13" s="59" t="str">
        <f t="shared" si="504"/>
        <v/>
      </c>
      <c r="ANN13" s="59" t="str">
        <f t="shared" si="504"/>
        <v/>
      </c>
      <c r="ANO13" s="59" t="str">
        <f t="shared" si="504"/>
        <v/>
      </c>
      <c r="ANP13" s="59" t="str">
        <f t="shared" si="504"/>
        <v/>
      </c>
      <c r="ANQ13" s="59" t="str">
        <f t="shared" si="504"/>
        <v/>
      </c>
      <c r="ANR13" s="59" t="str">
        <f t="shared" si="504"/>
        <v/>
      </c>
      <c r="ANS13" s="59" t="str">
        <f t="shared" si="504"/>
        <v/>
      </c>
      <c r="ANT13" s="59" t="str">
        <f t="shared" si="504"/>
        <v/>
      </c>
      <c r="ANU13" s="59" t="str">
        <f t="shared" si="504"/>
        <v/>
      </c>
      <c r="ANV13" s="59" t="str">
        <f t="shared" si="504"/>
        <v/>
      </c>
      <c r="ANW13" s="59" t="str">
        <f t="shared" si="504"/>
        <v/>
      </c>
      <c r="ANX13" s="59" t="str">
        <f t="shared" si="504"/>
        <v/>
      </c>
      <c r="ANY13" s="59" t="str">
        <f t="shared" si="504"/>
        <v/>
      </c>
      <c r="ANZ13" s="59" t="str">
        <f t="shared" si="504"/>
        <v/>
      </c>
      <c r="AOA13" s="59" t="str">
        <f t="shared" si="504"/>
        <v/>
      </c>
      <c r="AOB13" s="59" t="str">
        <f t="shared" si="504"/>
        <v/>
      </c>
      <c r="AOC13" s="59" t="str">
        <f t="shared" si="504"/>
        <v/>
      </c>
      <c r="AOD13" s="59" t="str">
        <f t="shared" si="504"/>
        <v/>
      </c>
      <c r="AOE13" s="59" t="str">
        <f t="shared" si="504"/>
        <v/>
      </c>
      <c r="AOF13" s="59" t="str">
        <f t="shared" si="504"/>
        <v/>
      </c>
      <c r="AOG13" s="59" t="str">
        <f t="shared" si="504"/>
        <v/>
      </c>
      <c r="AOH13" s="59" t="str">
        <f t="shared" si="504"/>
        <v/>
      </c>
      <c r="AOI13" s="59" t="str">
        <f t="shared" si="504"/>
        <v/>
      </c>
      <c r="AOJ13" s="59" t="str">
        <f t="shared" si="504"/>
        <v/>
      </c>
      <c r="AOK13" s="59" t="str">
        <f t="shared" si="504"/>
        <v/>
      </c>
      <c r="AOL13" s="59" t="str">
        <f t="shared" si="504"/>
        <v/>
      </c>
      <c r="AOM13" s="59" t="str">
        <f t="shared" si="504"/>
        <v/>
      </c>
      <c r="AON13" s="59" t="str">
        <f t="shared" si="504"/>
        <v/>
      </c>
      <c r="AOO13" s="59" t="str">
        <f t="shared" si="504"/>
        <v/>
      </c>
      <c r="AOP13" s="59" t="str">
        <f t="shared" si="504"/>
        <v/>
      </c>
      <c r="AOQ13" s="59" t="str">
        <f t="shared" si="504"/>
        <v/>
      </c>
      <c r="AOR13" s="59" t="str">
        <f t="shared" si="504"/>
        <v/>
      </c>
      <c r="AOS13" s="59" t="str">
        <f t="shared" si="504"/>
        <v/>
      </c>
      <c r="AOT13" s="59" t="str">
        <f t="shared" si="504"/>
        <v/>
      </c>
      <c r="AOU13" s="59" t="str">
        <f t="shared" si="504"/>
        <v/>
      </c>
      <c r="AOV13" s="59" t="str">
        <f t="shared" si="504"/>
        <v/>
      </c>
      <c r="AOW13" s="59" t="str">
        <f t="shared" si="504"/>
        <v/>
      </c>
      <c r="AOX13" s="59" t="str">
        <f t="shared" si="504"/>
        <v/>
      </c>
      <c r="AOY13" s="59" t="str">
        <f t="shared" si="504"/>
        <v/>
      </c>
      <c r="AOZ13" s="59" t="str">
        <f t="shared" si="504"/>
        <v/>
      </c>
      <c r="APA13" s="59" t="str">
        <f t="shared" si="504"/>
        <v/>
      </c>
      <c r="APB13" s="59" t="str">
        <f t="shared" si="504"/>
        <v/>
      </c>
      <c r="APC13" s="59" t="str">
        <f t="shared" si="504"/>
        <v/>
      </c>
      <c r="APD13" s="59" t="str">
        <f t="shared" si="504"/>
        <v/>
      </c>
      <c r="APE13" s="59" t="str">
        <f t="shared" si="504"/>
        <v/>
      </c>
      <c r="APF13" s="59" t="str">
        <f t="shared" si="504"/>
        <v/>
      </c>
      <c r="APG13" s="59" t="str">
        <f t="shared" si="504"/>
        <v/>
      </c>
      <c r="APH13" s="59" t="str">
        <f t="shared" si="504"/>
        <v/>
      </c>
      <c r="API13" s="59" t="str">
        <f t="shared" si="504"/>
        <v/>
      </c>
      <c r="APJ13" s="59" t="str">
        <f t="shared" si="504"/>
        <v/>
      </c>
      <c r="APK13" s="59" t="str">
        <f t="shared" si="504"/>
        <v/>
      </c>
      <c r="APL13" s="59" t="str">
        <f t="shared" si="504"/>
        <v/>
      </c>
      <c r="APM13" s="59" t="str">
        <f t="shared" si="504"/>
        <v/>
      </c>
      <c r="APN13" s="59" t="str">
        <f t="shared" si="504"/>
        <v/>
      </c>
      <c r="APO13" s="59" t="str">
        <f t="shared" si="504"/>
        <v/>
      </c>
      <c r="APP13" s="59" t="str">
        <f t="shared" si="504"/>
        <v/>
      </c>
      <c r="APQ13" s="59" t="str">
        <f t="shared" si="504"/>
        <v/>
      </c>
      <c r="APR13" s="59" t="str">
        <f t="shared" si="504"/>
        <v/>
      </c>
      <c r="APS13" s="59" t="str">
        <f t="shared" si="504"/>
        <v/>
      </c>
      <c r="APT13" s="59" t="str">
        <f t="shared" si="504"/>
        <v/>
      </c>
      <c r="APU13" s="59" t="str">
        <f t="shared" si="504"/>
        <v/>
      </c>
      <c r="APV13" s="59" t="str">
        <f t="shared" si="504"/>
        <v/>
      </c>
      <c r="APW13" s="59" t="str">
        <f t="shared" si="504"/>
        <v/>
      </c>
      <c r="APX13" s="59" t="str">
        <f t="shared" si="504"/>
        <v/>
      </c>
      <c r="APY13" s="59" t="str">
        <f t="shared" si="504"/>
        <v/>
      </c>
      <c r="APZ13" s="59" t="str">
        <f t="shared" si="504"/>
        <v/>
      </c>
      <c r="AQA13" s="59" t="str">
        <f t="shared" si="504"/>
        <v/>
      </c>
      <c r="AQB13" s="59" t="str">
        <f t="shared" si="504"/>
        <v/>
      </c>
      <c r="AQC13" s="59" t="str">
        <f t="shared" si="504"/>
        <v/>
      </c>
      <c r="AQD13" s="59" t="str">
        <f t="shared" si="504"/>
        <v/>
      </c>
      <c r="AQE13" s="59" t="str">
        <f t="shared" si="504"/>
        <v/>
      </c>
      <c r="AQF13" s="59" t="str">
        <f t="shared" si="504"/>
        <v/>
      </c>
      <c r="AQG13" s="59" t="str">
        <f t="shared" si="504"/>
        <v/>
      </c>
      <c r="AQH13" s="59" t="str">
        <f t="shared" si="504"/>
        <v/>
      </c>
      <c r="AQI13" s="59" t="str">
        <f t="shared" si="504"/>
        <v/>
      </c>
      <c r="AQJ13" s="59" t="str">
        <f t="shared" si="504"/>
        <v/>
      </c>
      <c r="AQK13" s="59" t="str">
        <f t="shared" si="504"/>
        <v/>
      </c>
      <c r="AQL13" s="59" t="str">
        <f t="shared" si="504"/>
        <v/>
      </c>
    </row>
    <row r="14">
      <c r="A14" s="4" t="s">
        <v>260</v>
      </c>
      <c r="B14" s="59" t="str">
        <f t="shared" ref="B14:VL14" si="505">IFERROR(VLOOKUP(INDIRECT(ADDRESS(ROW() - 10, COLUMN())), INDIRECT(ADDRESS(ROW() - 84, 12)):INDIRECT(ADDRESS(ROW() - 80, 16)), 5, FALSE))</f>
        <v/>
      </c>
      <c r="C14" s="59" t="str">
        <f t="shared" si="505"/>
        <v/>
      </c>
      <c r="D14" s="59" t="str">
        <f t="shared" si="505"/>
        <v/>
      </c>
      <c r="E14" s="59" t="str">
        <f t="shared" si="505"/>
        <v/>
      </c>
      <c r="F14" s="59" t="str">
        <f t="shared" si="505"/>
        <v/>
      </c>
      <c r="G14" s="59" t="str">
        <f t="shared" si="505"/>
        <v/>
      </c>
      <c r="H14" s="59" t="str">
        <f t="shared" si="505"/>
        <v/>
      </c>
      <c r="I14" s="59" t="str">
        <f t="shared" si="505"/>
        <v/>
      </c>
      <c r="J14" s="59" t="str">
        <f t="shared" si="505"/>
        <v/>
      </c>
      <c r="K14" s="59" t="str">
        <f t="shared" si="505"/>
        <v/>
      </c>
      <c r="L14" s="59" t="str">
        <f t="shared" si="505"/>
        <v/>
      </c>
      <c r="M14" s="59" t="str">
        <f t="shared" si="505"/>
        <v/>
      </c>
      <c r="N14" s="59" t="str">
        <f t="shared" si="505"/>
        <v/>
      </c>
      <c r="O14" s="59" t="str">
        <f t="shared" si="505"/>
        <v/>
      </c>
      <c r="P14" s="59" t="str">
        <f t="shared" si="505"/>
        <v/>
      </c>
      <c r="Q14" s="59" t="str">
        <f t="shared" si="505"/>
        <v/>
      </c>
      <c r="R14" s="59" t="str">
        <f t="shared" si="505"/>
        <v/>
      </c>
      <c r="S14" s="59" t="str">
        <f t="shared" si="505"/>
        <v/>
      </c>
      <c r="T14" s="59" t="str">
        <f t="shared" si="505"/>
        <v/>
      </c>
      <c r="U14" s="59" t="str">
        <f t="shared" si="505"/>
        <v/>
      </c>
      <c r="V14" s="59" t="str">
        <f t="shared" si="505"/>
        <v/>
      </c>
      <c r="W14" s="59" t="str">
        <f t="shared" si="505"/>
        <v/>
      </c>
      <c r="X14" s="59" t="str">
        <f t="shared" si="505"/>
        <v/>
      </c>
      <c r="Y14" s="59" t="str">
        <f t="shared" si="505"/>
        <v/>
      </c>
      <c r="Z14" s="59" t="str">
        <f t="shared" si="505"/>
        <v/>
      </c>
      <c r="AA14" s="59" t="str">
        <f t="shared" si="505"/>
        <v/>
      </c>
      <c r="AB14" s="59" t="str">
        <f t="shared" si="505"/>
        <v/>
      </c>
      <c r="AC14" s="59" t="str">
        <f t="shared" si="505"/>
        <v/>
      </c>
      <c r="AD14" s="59" t="str">
        <f t="shared" si="505"/>
        <v/>
      </c>
      <c r="AE14" s="59" t="str">
        <f t="shared" si="505"/>
        <v/>
      </c>
      <c r="AF14" s="59" t="str">
        <f t="shared" si="505"/>
        <v/>
      </c>
      <c r="AG14" s="59" t="str">
        <f t="shared" si="505"/>
        <v/>
      </c>
      <c r="AH14" s="59" t="str">
        <f t="shared" si="505"/>
        <v/>
      </c>
      <c r="AI14" s="59" t="str">
        <f t="shared" si="505"/>
        <v/>
      </c>
      <c r="AJ14" s="59" t="str">
        <f t="shared" si="505"/>
        <v/>
      </c>
      <c r="AK14" s="59" t="str">
        <f t="shared" si="505"/>
        <v/>
      </c>
      <c r="AL14" s="59" t="str">
        <f t="shared" si="505"/>
        <v/>
      </c>
      <c r="AM14" s="59" t="str">
        <f t="shared" si="505"/>
        <v/>
      </c>
      <c r="AN14" s="59" t="str">
        <f t="shared" si="505"/>
        <v/>
      </c>
      <c r="AO14" s="59" t="str">
        <f t="shared" si="505"/>
        <v/>
      </c>
      <c r="AP14" s="59" t="str">
        <f t="shared" si="505"/>
        <v/>
      </c>
      <c r="AQ14" s="59" t="str">
        <f t="shared" si="505"/>
        <v/>
      </c>
      <c r="AR14" s="59" t="str">
        <f t="shared" si="505"/>
        <v/>
      </c>
      <c r="AS14" s="59" t="str">
        <f t="shared" si="505"/>
        <v/>
      </c>
      <c r="AT14" s="59" t="str">
        <f t="shared" si="505"/>
        <v/>
      </c>
      <c r="AU14" s="59" t="str">
        <f t="shared" si="505"/>
        <v/>
      </c>
      <c r="AV14" s="59" t="str">
        <f t="shared" si="505"/>
        <v/>
      </c>
      <c r="AW14" s="59" t="str">
        <f t="shared" si="505"/>
        <v/>
      </c>
      <c r="AX14" s="59" t="str">
        <f t="shared" si="505"/>
        <v/>
      </c>
      <c r="AY14" s="59" t="str">
        <f t="shared" si="505"/>
        <v/>
      </c>
      <c r="AZ14" s="59" t="str">
        <f t="shared" si="505"/>
        <v/>
      </c>
      <c r="BA14" s="59" t="str">
        <f t="shared" si="505"/>
        <v/>
      </c>
      <c r="BB14" s="59" t="str">
        <f t="shared" si="505"/>
        <v/>
      </c>
      <c r="BC14" s="59" t="str">
        <f t="shared" si="505"/>
        <v/>
      </c>
      <c r="BD14" s="59" t="str">
        <f t="shared" si="505"/>
        <v/>
      </c>
      <c r="BE14" s="59" t="str">
        <f t="shared" si="505"/>
        <v/>
      </c>
      <c r="BF14" s="59" t="str">
        <f t="shared" si="505"/>
        <v/>
      </c>
      <c r="BG14" s="59" t="str">
        <f t="shared" si="505"/>
        <v/>
      </c>
      <c r="BH14" s="59" t="str">
        <f t="shared" si="505"/>
        <v/>
      </c>
      <c r="BI14" s="59" t="str">
        <f t="shared" si="505"/>
        <v/>
      </c>
      <c r="BJ14" s="59" t="str">
        <f t="shared" si="505"/>
        <v/>
      </c>
      <c r="BK14" s="59" t="str">
        <f t="shared" si="505"/>
        <v/>
      </c>
      <c r="BL14" s="59" t="str">
        <f t="shared" si="505"/>
        <v/>
      </c>
      <c r="BM14" s="59" t="str">
        <f t="shared" si="505"/>
        <v/>
      </c>
      <c r="BN14" s="59" t="str">
        <f t="shared" si="505"/>
        <v/>
      </c>
      <c r="BO14" s="59" t="str">
        <f t="shared" si="505"/>
        <v/>
      </c>
      <c r="BP14" s="59" t="str">
        <f t="shared" si="505"/>
        <v/>
      </c>
      <c r="BQ14" s="59" t="str">
        <f t="shared" si="505"/>
        <v/>
      </c>
      <c r="BR14" s="59" t="str">
        <f t="shared" si="505"/>
        <v/>
      </c>
      <c r="BS14" s="59" t="str">
        <f t="shared" si="505"/>
        <v/>
      </c>
      <c r="BT14" s="59" t="str">
        <f t="shared" si="505"/>
        <v/>
      </c>
      <c r="BU14" s="59" t="str">
        <f t="shared" si="505"/>
        <v/>
      </c>
      <c r="BV14" s="59" t="str">
        <f t="shared" si="505"/>
        <v/>
      </c>
      <c r="BW14" s="59" t="str">
        <f t="shared" si="505"/>
        <v/>
      </c>
      <c r="BX14" s="59" t="str">
        <f t="shared" si="505"/>
        <v/>
      </c>
      <c r="BY14" s="59" t="str">
        <f t="shared" si="505"/>
        <v/>
      </c>
      <c r="BZ14" s="59" t="str">
        <f t="shared" si="505"/>
        <v/>
      </c>
      <c r="CA14" s="59" t="str">
        <f t="shared" si="505"/>
        <v/>
      </c>
      <c r="CB14" s="59" t="str">
        <f t="shared" si="505"/>
        <v/>
      </c>
      <c r="CC14" s="59" t="str">
        <f t="shared" si="505"/>
        <v/>
      </c>
      <c r="CD14" s="59" t="str">
        <f t="shared" si="505"/>
        <v/>
      </c>
      <c r="CE14" s="59" t="str">
        <f t="shared" si="505"/>
        <v/>
      </c>
      <c r="CF14" s="59" t="str">
        <f t="shared" si="505"/>
        <v/>
      </c>
      <c r="CG14" s="59" t="str">
        <f t="shared" si="505"/>
        <v/>
      </c>
      <c r="CH14" s="59" t="str">
        <f t="shared" si="505"/>
        <v/>
      </c>
      <c r="CI14" s="59" t="str">
        <f t="shared" si="505"/>
        <v/>
      </c>
      <c r="CJ14" s="59" t="str">
        <f t="shared" si="505"/>
        <v/>
      </c>
      <c r="CK14" s="59" t="str">
        <f t="shared" si="505"/>
        <v/>
      </c>
      <c r="CL14" s="59" t="str">
        <f t="shared" si="505"/>
        <v/>
      </c>
      <c r="CM14" s="59" t="str">
        <f t="shared" si="505"/>
        <v/>
      </c>
      <c r="CN14" s="59" t="str">
        <f t="shared" si="505"/>
        <v/>
      </c>
      <c r="CO14" s="59" t="str">
        <f t="shared" si="505"/>
        <v/>
      </c>
      <c r="CP14" s="59" t="str">
        <f t="shared" si="505"/>
        <v/>
      </c>
      <c r="CQ14" s="59" t="str">
        <f t="shared" si="505"/>
        <v/>
      </c>
      <c r="CR14" s="59" t="str">
        <f t="shared" si="505"/>
        <v/>
      </c>
      <c r="CS14" s="59" t="str">
        <f t="shared" si="505"/>
        <v/>
      </c>
      <c r="CT14" s="59" t="str">
        <f t="shared" si="505"/>
        <v/>
      </c>
      <c r="CU14" s="59" t="str">
        <f t="shared" si="505"/>
        <v/>
      </c>
      <c r="CV14" s="59" t="str">
        <f t="shared" si="505"/>
        <v/>
      </c>
      <c r="CW14" s="59" t="str">
        <f t="shared" si="505"/>
        <v/>
      </c>
      <c r="CX14" s="59" t="str">
        <f t="shared" si="505"/>
        <v/>
      </c>
      <c r="CY14" s="59" t="str">
        <f t="shared" si="505"/>
        <v/>
      </c>
      <c r="CZ14" s="59" t="str">
        <f t="shared" si="505"/>
        <v/>
      </c>
      <c r="DA14" s="59" t="str">
        <f t="shared" si="505"/>
        <v/>
      </c>
      <c r="DB14" s="59" t="str">
        <f t="shared" si="505"/>
        <v/>
      </c>
      <c r="DC14" s="59" t="str">
        <f t="shared" si="505"/>
        <v/>
      </c>
      <c r="DD14" s="59" t="str">
        <f t="shared" si="505"/>
        <v/>
      </c>
      <c r="DE14" s="59" t="str">
        <f t="shared" si="505"/>
        <v/>
      </c>
      <c r="DF14" s="59" t="str">
        <f t="shared" si="505"/>
        <v/>
      </c>
      <c r="DG14" s="59" t="str">
        <f t="shared" si="505"/>
        <v/>
      </c>
      <c r="DH14" s="59" t="str">
        <f t="shared" si="505"/>
        <v/>
      </c>
      <c r="DI14" s="59" t="str">
        <f t="shared" si="505"/>
        <v/>
      </c>
      <c r="DJ14" s="59" t="str">
        <f t="shared" si="505"/>
        <v/>
      </c>
      <c r="DK14" s="59" t="str">
        <f t="shared" si="505"/>
        <v/>
      </c>
      <c r="DL14" s="59" t="str">
        <f t="shared" si="505"/>
        <v/>
      </c>
      <c r="DM14" s="59" t="str">
        <f t="shared" si="505"/>
        <v/>
      </c>
      <c r="DN14" s="59" t="str">
        <f t="shared" si="505"/>
        <v/>
      </c>
      <c r="DO14" s="59" t="str">
        <f t="shared" si="505"/>
        <v/>
      </c>
      <c r="DP14" s="59" t="str">
        <f t="shared" si="505"/>
        <v/>
      </c>
      <c r="DQ14" s="59" t="str">
        <f t="shared" si="505"/>
        <v/>
      </c>
      <c r="DR14" s="59" t="str">
        <f t="shared" si="505"/>
        <v/>
      </c>
      <c r="DS14" s="59" t="str">
        <f t="shared" si="505"/>
        <v/>
      </c>
      <c r="DT14" s="59" t="str">
        <f t="shared" si="505"/>
        <v/>
      </c>
      <c r="DU14" s="59" t="str">
        <f t="shared" si="505"/>
        <v/>
      </c>
      <c r="DV14" s="59" t="str">
        <f t="shared" si="505"/>
        <v/>
      </c>
      <c r="DW14" s="59" t="str">
        <f t="shared" si="505"/>
        <v/>
      </c>
      <c r="DX14" s="59" t="str">
        <f t="shared" si="505"/>
        <v/>
      </c>
      <c r="DY14" s="59" t="str">
        <f t="shared" si="505"/>
        <v/>
      </c>
      <c r="DZ14" s="59" t="str">
        <f t="shared" si="505"/>
        <v/>
      </c>
      <c r="EA14" s="59" t="str">
        <f t="shared" si="505"/>
        <v/>
      </c>
      <c r="EB14" s="59" t="str">
        <f t="shared" si="505"/>
        <v/>
      </c>
      <c r="EC14" s="59" t="str">
        <f t="shared" si="505"/>
        <v/>
      </c>
      <c r="ED14" s="59" t="str">
        <f t="shared" si="505"/>
        <v/>
      </c>
      <c r="EE14" s="59" t="str">
        <f t="shared" si="505"/>
        <v/>
      </c>
      <c r="EF14" s="59" t="str">
        <f t="shared" si="505"/>
        <v/>
      </c>
      <c r="EG14" s="59" t="str">
        <f t="shared" si="505"/>
        <v/>
      </c>
      <c r="EH14" s="59" t="str">
        <f t="shared" si="505"/>
        <v/>
      </c>
      <c r="EI14" s="59" t="str">
        <f t="shared" si="505"/>
        <v/>
      </c>
      <c r="EJ14" s="59" t="str">
        <f t="shared" si="505"/>
        <v/>
      </c>
      <c r="EK14" s="59" t="str">
        <f t="shared" si="505"/>
        <v/>
      </c>
      <c r="EL14" s="59" t="str">
        <f t="shared" si="505"/>
        <v/>
      </c>
      <c r="EM14" s="59" t="str">
        <f t="shared" si="505"/>
        <v/>
      </c>
      <c r="EN14" s="59" t="str">
        <f t="shared" si="505"/>
        <v/>
      </c>
      <c r="EO14" s="59" t="str">
        <f t="shared" si="505"/>
        <v/>
      </c>
      <c r="EP14" s="59" t="str">
        <f t="shared" si="505"/>
        <v/>
      </c>
      <c r="EQ14" s="59" t="str">
        <f t="shared" si="505"/>
        <v/>
      </c>
      <c r="ER14" s="59" t="str">
        <f t="shared" si="505"/>
        <v/>
      </c>
      <c r="ES14" s="59" t="str">
        <f t="shared" si="505"/>
        <v/>
      </c>
      <c r="ET14" s="59" t="str">
        <f t="shared" si="505"/>
        <v/>
      </c>
      <c r="EU14" s="59" t="str">
        <f t="shared" si="505"/>
        <v/>
      </c>
      <c r="EV14" s="59" t="str">
        <f t="shared" si="505"/>
        <v/>
      </c>
      <c r="EW14" s="59" t="str">
        <f t="shared" si="505"/>
        <v/>
      </c>
      <c r="EX14" s="59" t="str">
        <f t="shared" si="505"/>
        <v/>
      </c>
      <c r="EY14" s="59" t="str">
        <f t="shared" si="505"/>
        <v/>
      </c>
      <c r="EZ14" s="59" t="str">
        <f t="shared" si="505"/>
        <v/>
      </c>
      <c r="FA14" s="59" t="str">
        <f t="shared" si="505"/>
        <v/>
      </c>
      <c r="FB14" s="59" t="str">
        <f t="shared" si="505"/>
        <v/>
      </c>
      <c r="FC14" s="59" t="str">
        <f t="shared" si="505"/>
        <v/>
      </c>
      <c r="FD14" s="59" t="str">
        <f t="shared" si="505"/>
        <v/>
      </c>
      <c r="FE14" s="59" t="str">
        <f t="shared" si="505"/>
        <v/>
      </c>
      <c r="FF14" s="59" t="str">
        <f t="shared" si="505"/>
        <v/>
      </c>
      <c r="FG14" s="59" t="str">
        <f t="shared" si="505"/>
        <v/>
      </c>
      <c r="FH14" s="59" t="str">
        <f t="shared" si="505"/>
        <v/>
      </c>
      <c r="FI14" s="59" t="str">
        <f t="shared" si="505"/>
        <v/>
      </c>
      <c r="FJ14" s="59" t="str">
        <f t="shared" si="505"/>
        <v/>
      </c>
      <c r="FK14" s="59" t="str">
        <f t="shared" si="505"/>
        <v/>
      </c>
      <c r="FL14" s="59" t="str">
        <f t="shared" si="505"/>
        <v/>
      </c>
      <c r="FM14" s="59" t="str">
        <f t="shared" si="505"/>
        <v/>
      </c>
      <c r="FN14" s="59" t="str">
        <f t="shared" si="505"/>
        <v/>
      </c>
      <c r="FO14" s="59" t="str">
        <f t="shared" si="505"/>
        <v/>
      </c>
      <c r="FP14" s="59" t="str">
        <f t="shared" si="505"/>
        <v/>
      </c>
      <c r="FQ14" s="59" t="str">
        <f t="shared" si="505"/>
        <v/>
      </c>
      <c r="FR14" s="59" t="str">
        <f t="shared" si="505"/>
        <v/>
      </c>
      <c r="FS14" s="59" t="str">
        <f t="shared" si="505"/>
        <v/>
      </c>
      <c r="FT14" s="59" t="str">
        <f t="shared" si="505"/>
        <v/>
      </c>
      <c r="FU14" s="59" t="str">
        <f t="shared" si="505"/>
        <v/>
      </c>
      <c r="FV14" s="59" t="str">
        <f t="shared" si="505"/>
        <v/>
      </c>
      <c r="FW14" s="59" t="str">
        <f t="shared" si="505"/>
        <v/>
      </c>
      <c r="FX14" s="59" t="str">
        <f t="shared" si="505"/>
        <v/>
      </c>
      <c r="FY14" s="59" t="str">
        <f t="shared" si="505"/>
        <v/>
      </c>
      <c r="FZ14" s="59" t="str">
        <f t="shared" si="505"/>
        <v/>
      </c>
      <c r="GA14" s="59" t="str">
        <f t="shared" si="505"/>
        <v/>
      </c>
      <c r="GB14" s="59" t="str">
        <f t="shared" si="505"/>
        <v/>
      </c>
      <c r="GC14" s="59" t="str">
        <f t="shared" si="505"/>
        <v/>
      </c>
      <c r="GD14" s="59" t="str">
        <f t="shared" si="505"/>
        <v/>
      </c>
      <c r="GE14" s="59" t="str">
        <f t="shared" si="505"/>
        <v/>
      </c>
      <c r="GF14" s="59" t="str">
        <f t="shared" si="505"/>
        <v/>
      </c>
      <c r="GG14" s="59" t="str">
        <f t="shared" si="505"/>
        <v/>
      </c>
      <c r="GH14" s="59" t="str">
        <f t="shared" si="505"/>
        <v/>
      </c>
      <c r="GI14" s="59" t="str">
        <f t="shared" si="505"/>
        <v/>
      </c>
      <c r="GJ14" s="59" t="str">
        <f t="shared" si="505"/>
        <v/>
      </c>
      <c r="GK14" s="59" t="str">
        <f t="shared" si="505"/>
        <v/>
      </c>
      <c r="GL14" s="59" t="str">
        <f t="shared" si="505"/>
        <v/>
      </c>
      <c r="GM14" s="59" t="str">
        <f t="shared" si="505"/>
        <v/>
      </c>
      <c r="GN14" s="59" t="str">
        <f t="shared" si="505"/>
        <v/>
      </c>
      <c r="GO14" s="59" t="str">
        <f t="shared" si="505"/>
        <v/>
      </c>
      <c r="GP14" s="59" t="str">
        <f t="shared" si="505"/>
        <v/>
      </c>
      <c r="GQ14" s="59" t="str">
        <f t="shared" si="505"/>
        <v/>
      </c>
      <c r="GR14" s="59" t="str">
        <f t="shared" si="505"/>
        <v/>
      </c>
      <c r="GS14" s="59" t="str">
        <f t="shared" si="505"/>
        <v/>
      </c>
      <c r="GT14" s="59" t="str">
        <f t="shared" si="505"/>
        <v/>
      </c>
      <c r="GU14" s="59" t="str">
        <f t="shared" si="505"/>
        <v/>
      </c>
      <c r="GV14" s="59" t="str">
        <f t="shared" si="505"/>
        <v/>
      </c>
      <c r="GW14" s="59" t="str">
        <f t="shared" si="505"/>
        <v/>
      </c>
      <c r="GX14" s="59" t="str">
        <f t="shared" si="505"/>
        <v/>
      </c>
      <c r="GY14" s="59" t="str">
        <f t="shared" si="505"/>
        <v/>
      </c>
      <c r="GZ14" s="59" t="str">
        <f t="shared" si="505"/>
        <v/>
      </c>
      <c r="HA14" s="59" t="str">
        <f t="shared" si="505"/>
        <v/>
      </c>
      <c r="HB14" s="59" t="str">
        <f t="shared" si="505"/>
        <v/>
      </c>
      <c r="HC14" s="59" t="str">
        <f t="shared" si="505"/>
        <v/>
      </c>
      <c r="HD14" s="59" t="str">
        <f t="shared" si="505"/>
        <v/>
      </c>
      <c r="HE14" s="59" t="str">
        <f t="shared" si="505"/>
        <v/>
      </c>
      <c r="HF14" s="59" t="str">
        <f t="shared" si="505"/>
        <v/>
      </c>
      <c r="HG14" s="59" t="str">
        <f t="shared" si="505"/>
        <v/>
      </c>
      <c r="HH14" s="59" t="str">
        <f t="shared" si="505"/>
        <v/>
      </c>
      <c r="HI14" s="59" t="str">
        <f t="shared" si="505"/>
        <v/>
      </c>
      <c r="HJ14" s="59" t="str">
        <f t="shared" si="505"/>
        <v/>
      </c>
      <c r="HK14" s="59" t="str">
        <f t="shared" si="505"/>
        <v/>
      </c>
      <c r="HL14" s="59" t="str">
        <f t="shared" si="505"/>
        <v/>
      </c>
      <c r="HM14" s="59" t="str">
        <f t="shared" si="505"/>
        <v/>
      </c>
      <c r="HN14" s="59" t="str">
        <f t="shared" si="505"/>
        <v/>
      </c>
      <c r="HO14" s="59" t="str">
        <f t="shared" si="505"/>
        <v/>
      </c>
      <c r="HP14" s="59" t="str">
        <f t="shared" si="505"/>
        <v/>
      </c>
      <c r="HQ14" s="59" t="str">
        <f t="shared" si="505"/>
        <v/>
      </c>
      <c r="HR14" s="59" t="str">
        <f t="shared" si="505"/>
        <v/>
      </c>
      <c r="HS14" s="59" t="str">
        <f t="shared" si="505"/>
        <v/>
      </c>
      <c r="HT14" s="59" t="str">
        <f t="shared" si="505"/>
        <v/>
      </c>
      <c r="HU14" s="59" t="str">
        <f t="shared" si="505"/>
        <v/>
      </c>
      <c r="HV14" s="59" t="str">
        <f t="shared" si="505"/>
        <v/>
      </c>
      <c r="HW14" s="59" t="str">
        <f t="shared" si="505"/>
        <v/>
      </c>
      <c r="HX14" s="59" t="str">
        <f t="shared" si="505"/>
        <v/>
      </c>
      <c r="HY14" s="59" t="str">
        <f t="shared" si="505"/>
        <v/>
      </c>
      <c r="HZ14" s="59" t="str">
        <f t="shared" si="505"/>
        <v/>
      </c>
      <c r="IA14" s="59" t="str">
        <f t="shared" si="505"/>
        <v/>
      </c>
      <c r="IB14" s="59" t="str">
        <f t="shared" si="505"/>
        <v/>
      </c>
      <c r="IC14" s="59" t="str">
        <f t="shared" si="505"/>
        <v/>
      </c>
      <c r="ID14" s="59" t="str">
        <f t="shared" si="505"/>
        <v/>
      </c>
      <c r="IE14" s="59" t="str">
        <f t="shared" si="505"/>
        <v/>
      </c>
      <c r="IF14" s="59" t="str">
        <f t="shared" si="505"/>
        <v/>
      </c>
      <c r="IG14" s="59" t="str">
        <f t="shared" si="505"/>
        <v/>
      </c>
      <c r="IH14" s="59" t="str">
        <f t="shared" si="505"/>
        <v/>
      </c>
      <c r="II14" s="59" t="str">
        <f t="shared" si="505"/>
        <v/>
      </c>
      <c r="IJ14" s="59" t="str">
        <f t="shared" si="505"/>
        <v/>
      </c>
      <c r="IK14" s="59" t="str">
        <f t="shared" si="505"/>
        <v/>
      </c>
      <c r="IL14" s="59" t="str">
        <f t="shared" si="505"/>
        <v/>
      </c>
      <c r="IM14" s="59" t="str">
        <f t="shared" si="505"/>
        <v/>
      </c>
      <c r="IN14" s="59" t="str">
        <f t="shared" si="505"/>
        <v/>
      </c>
      <c r="IO14" s="59" t="str">
        <f t="shared" si="505"/>
        <v/>
      </c>
      <c r="IP14" s="59" t="str">
        <f t="shared" si="505"/>
        <v/>
      </c>
      <c r="IQ14" s="59" t="str">
        <f t="shared" si="505"/>
        <v/>
      </c>
      <c r="IR14" s="59" t="str">
        <f t="shared" si="505"/>
        <v/>
      </c>
      <c r="IS14" s="59" t="str">
        <f t="shared" si="505"/>
        <v/>
      </c>
      <c r="IT14" s="195" t="str">
        <f t="shared" si="505"/>
        <v/>
      </c>
      <c r="IU14" s="59" t="str">
        <f t="shared" si="505"/>
        <v/>
      </c>
      <c r="IV14" s="59" t="str">
        <f t="shared" si="505"/>
        <v/>
      </c>
      <c r="IW14" s="59" t="str">
        <f t="shared" si="505"/>
        <v/>
      </c>
      <c r="IX14" s="59" t="str">
        <f t="shared" si="505"/>
        <v/>
      </c>
      <c r="IY14" s="59" t="str">
        <f t="shared" si="505"/>
        <v/>
      </c>
      <c r="IZ14" s="59" t="str">
        <f t="shared" si="505"/>
        <v/>
      </c>
      <c r="JA14" s="59" t="str">
        <f t="shared" si="505"/>
        <v/>
      </c>
      <c r="JB14" s="59" t="str">
        <f t="shared" si="505"/>
        <v/>
      </c>
      <c r="JC14" s="59" t="str">
        <f t="shared" si="505"/>
        <v/>
      </c>
      <c r="JD14" s="59" t="str">
        <f t="shared" si="505"/>
        <v/>
      </c>
      <c r="JE14" s="59" t="str">
        <f t="shared" si="505"/>
        <v/>
      </c>
      <c r="JF14" s="59" t="str">
        <f t="shared" si="505"/>
        <v/>
      </c>
      <c r="JG14" s="59" t="str">
        <f t="shared" si="505"/>
        <v/>
      </c>
      <c r="JH14" s="59" t="str">
        <f t="shared" si="505"/>
        <v/>
      </c>
      <c r="JI14" s="59" t="str">
        <f t="shared" si="505"/>
        <v/>
      </c>
      <c r="JJ14" s="59" t="str">
        <f t="shared" si="505"/>
        <v/>
      </c>
      <c r="JK14" s="59" t="str">
        <f t="shared" si="505"/>
        <v/>
      </c>
      <c r="JL14" s="59" t="str">
        <f t="shared" si="505"/>
        <v/>
      </c>
      <c r="JM14" s="59" t="str">
        <f t="shared" si="505"/>
        <v/>
      </c>
      <c r="JN14" s="59" t="str">
        <f t="shared" si="505"/>
        <v/>
      </c>
      <c r="JO14" s="59" t="str">
        <f t="shared" si="505"/>
        <v/>
      </c>
      <c r="JP14" s="59" t="str">
        <f t="shared" si="505"/>
        <v/>
      </c>
      <c r="JQ14" s="59" t="str">
        <f t="shared" si="505"/>
        <v/>
      </c>
      <c r="JR14" s="59" t="str">
        <f t="shared" si="505"/>
        <v/>
      </c>
      <c r="JS14" s="59" t="str">
        <f t="shared" si="505"/>
        <v/>
      </c>
      <c r="JT14" s="59" t="str">
        <f t="shared" si="505"/>
        <v/>
      </c>
      <c r="JU14" s="59" t="str">
        <f t="shared" si="505"/>
        <v/>
      </c>
      <c r="JV14" s="59" t="str">
        <f t="shared" si="505"/>
        <v/>
      </c>
      <c r="JW14" s="59" t="str">
        <f t="shared" si="505"/>
        <v/>
      </c>
      <c r="JX14" s="59" t="str">
        <f t="shared" si="505"/>
        <v/>
      </c>
      <c r="JY14" s="59" t="str">
        <f t="shared" si="505"/>
        <v/>
      </c>
      <c r="JZ14" s="59" t="str">
        <f t="shared" si="505"/>
        <v/>
      </c>
      <c r="KA14" s="59" t="str">
        <f t="shared" si="505"/>
        <v/>
      </c>
      <c r="KB14" s="59" t="str">
        <f t="shared" si="505"/>
        <v/>
      </c>
      <c r="KC14" s="59" t="str">
        <f t="shared" si="505"/>
        <v/>
      </c>
      <c r="KD14" s="59" t="str">
        <f t="shared" si="505"/>
        <v/>
      </c>
      <c r="KE14" s="59" t="str">
        <f t="shared" si="505"/>
        <v/>
      </c>
      <c r="KF14" s="59" t="str">
        <f t="shared" si="505"/>
        <v/>
      </c>
      <c r="KG14" s="59" t="str">
        <f t="shared" si="505"/>
        <v/>
      </c>
      <c r="KH14" s="59" t="str">
        <f t="shared" si="505"/>
        <v/>
      </c>
      <c r="KI14" s="59" t="str">
        <f t="shared" si="505"/>
        <v/>
      </c>
      <c r="KJ14" s="59" t="str">
        <f t="shared" si="505"/>
        <v/>
      </c>
      <c r="KK14" s="59" t="str">
        <f t="shared" si="505"/>
        <v/>
      </c>
      <c r="KL14" s="59" t="str">
        <f t="shared" si="505"/>
        <v/>
      </c>
      <c r="KM14" s="59" t="str">
        <f t="shared" si="505"/>
        <v/>
      </c>
      <c r="KN14" s="59" t="str">
        <f t="shared" si="505"/>
        <v/>
      </c>
      <c r="KO14" s="59" t="str">
        <f t="shared" si="505"/>
        <v/>
      </c>
      <c r="KP14" s="59" t="str">
        <f t="shared" si="505"/>
        <v/>
      </c>
      <c r="KQ14" s="59" t="str">
        <f t="shared" si="505"/>
        <v/>
      </c>
      <c r="KR14" s="59" t="str">
        <f t="shared" si="505"/>
        <v/>
      </c>
      <c r="KS14" s="59" t="str">
        <f t="shared" si="505"/>
        <v/>
      </c>
      <c r="KT14" s="59" t="str">
        <f t="shared" si="505"/>
        <v/>
      </c>
      <c r="KU14" s="59" t="str">
        <f t="shared" si="505"/>
        <v/>
      </c>
      <c r="KV14" s="59" t="str">
        <f t="shared" si="505"/>
        <v/>
      </c>
      <c r="KW14" s="59" t="str">
        <f t="shared" si="505"/>
        <v/>
      </c>
      <c r="KX14" s="59" t="str">
        <f t="shared" si="505"/>
        <v/>
      </c>
      <c r="KY14" s="59" t="str">
        <f t="shared" si="505"/>
        <v/>
      </c>
      <c r="KZ14" s="59" t="str">
        <f t="shared" si="505"/>
        <v/>
      </c>
      <c r="LA14" s="59" t="str">
        <f t="shared" si="505"/>
        <v/>
      </c>
      <c r="LB14" s="59" t="str">
        <f t="shared" si="505"/>
        <v/>
      </c>
      <c r="LC14" s="59" t="str">
        <f t="shared" si="505"/>
        <v/>
      </c>
      <c r="LD14" s="59" t="str">
        <f t="shared" si="505"/>
        <v/>
      </c>
      <c r="LE14" s="59" t="str">
        <f t="shared" si="505"/>
        <v/>
      </c>
      <c r="LF14" s="59" t="str">
        <f t="shared" si="505"/>
        <v/>
      </c>
      <c r="LG14" s="59" t="str">
        <f t="shared" si="505"/>
        <v/>
      </c>
      <c r="LH14" s="59" t="str">
        <f t="shared" si="505"/>
        <v/>
      </c>
      <c r="LI14" s="59" t="str">
        <f t="shared" si="505"/>
        <v/>
      </c>
      <c r="LJ14" s="59" t="str">
        <f t="shared" si="505"/>
        <v/>
      </c>
      <c r="LK14" s="59" t="str">
        <f t="shared" si="505"/>
        <v/>
      </c>
      <c r="LL14" s="59" t="str">
        <f t="shared" si="505"/>
        <v/>
      </c>
      <c r="LM14" s="59" t="str">
        <f t="shared" si="505"/>
        <v/>
      </c>
      <c r="LN14" s="59" t="str">
        <f t="shared" si="505"/>
        <v/>
      </c>
      <c r="LO14" s="59" t="str">
        <f t="shared" si="505"/>
        <v/>
      </c>
      <c r="LP14" s="59" t="str">
        <f t="shared" si="505"/>
        <v/>
      </c>
      <c r="LQ14" s="59" t="str">
        <f t="shared" si="505"/>
        <v/>
      </c>
      <c r="LR14" s="59" t="str">
        <f t="shared" si="505"/>
        <v/>
      </c>
      <c r="LS14" s="59" t="str">
        <f t="shared" si="505"/>
        <v/>
      </c>
      <c r="LT14" s="59" t="str">
        <f t="shared" si="505"/>
        <v/>
      </c>
      <c r="LU14" s="59" t="str">
        <f t="shared" si="505"/>
        <v/>
      </c>
      <c r="LV14" s="59" t="str">
        <f t="shared" si="505"/>
        <v/>
      </c>
      <c r="LW14" s="59" t="str">
        <f t="shared" si="505"/>
        <v/>
      </c>
      <c r="LX14" s="59" t="str">
        <f t="shared" si="505"/>
        <v/>
      </c>
      <c r="LY14" s="59" t="str">
        <f t="shared" si="505"/>
        <v/>
      </c>
      <c r="LZ14" s="59" t="str">
        <f t="shared" si="505"/>
        <v/>
      </c>
      <c r="MA14" s="59" t="str">
        <f t="shared" si="505"/>
        <v/>
      </c>
      <c r="MB14" s="59" t="str">
        <f t="shared" si="505"/>
        <v/>
      </c>
      <c r="MC14" s="59" t="str">
        <f t="shared" si="505"/>
        <v/>
      </c>
      <c r="MD14" s="59" t="str">
        <f t="shared" si="505"/>
        <v/>
      </c>
      <c r="ME14" s="59" t="str">
        <f t="shared" si="505"/>
        <v/>
      </c>
      <c r="MF14" s="59" t="str">
        <f t="shared" si="505"/>
        <v/>
      </c>
      <c r="MG14" s="59" t="str">
        <f t="shared" si="505"/>
        <v/>
      </c>
      <c r="MH14" s="59" t="str">
        <f t="shared" si="505"/>
        <v/>
      </c>
      <c r="MI14" s="59" t="str">
        <f t="shared" si="505"/>
        <v/>
      </c>
      <c r="MJ14" s="59" t="str">
        <f t="shared" si="505"/>
        <v/>
      </c>
      <c r="MK14" s="59" t="str">
        <f t="shared" si="505"/>
        <v/>
      </c>
      <c r="ML14" s="59" t="str">
        <f t="shared" si="505"/>
        <v/>
      </c>
      <c r="MM14" s="59" t="str">
        <f t="shared" si="505"/>
        <v/>
      </c>
      <c r="MN14" s="59" t="str">
        <f t="shared" si="505"/>
        <v/>
      </c>
      <c r="MO14" s="59" t="str">
        <f t="shared" si="505"/>
        <v/>
      </c>
      <c r="MP14" s="59" t="str">
        <f t="shared" si="505"/>
        <v/>
      </c>
      <c r="MQ14" s="59" t="str">
        <f t="shared" si="505"/>
        <v/>
      </c>
      <c r="MR14" s="59" t="str">
        <f t="shared" si="505"/>
        <v/>
      </c>
      <c r="MS14" s="59" t="str">
        <f t="shared" si="505"/>
        <v/>
      </c>
      <c r="MT14" s="59" t="str">
        <f t="shared" si="505"/>
        <v/>
      </c>
      <c r="MU14" s="59" t="str">
        <f t="shared" si="505"/>
        <v/>
      </c>
      <c r="MV14" s="59" t="str">
        <f t="shared" si="505"/>
        <v/>
      </c>
      <c r="MW14" s="59" t="str">
        <f t="shared" si="505"/>
        <v/>
      </c>
      <c r="MX14" s="59" t="str">
        <f t="shared" si="505"/>
        <v/>
      </c>
      <c r="MY14" s="59" t="str">
        <f t="shared" si="505"/>
        <v/>
      </c>
      <c r="MZ14" s="59" t="str">
        <f t="shared" si="505"/>
        <v/>
      </c>
      <c r="NA14" s="59" t="str">
        <f t="shared" si="505"/>
        <v/>
      </c>
      <c r="NB14" s="59" t="str">
        <f t="shared" si="505"/>
        <v/>
      </c>
      <c r="NC14" s="59" t="str">
        <f t="shared" si="505"/>
        <v/>
      </c>
      <c r="ND14" s="59" t="str">
        <f t="shared" si="505"/>
        <v/>
      </c>
      <c r="NE14" s="59" t="str">
        <f t="shared" si="505"/>
        <v/>
      </c>
      <c r="NF14" s="59" t="str">
        <f t="shared" si="505"/>
        <v/>
      </c>
      <c r="NG14" s="59" t="str">
        <f t="shared" si="505"/>
        <v/>
      </c>
      <c r="NH14" s="59" t="str">
        <f t="shared" si="505"/>
        <v/>
      </c>
      <c r="NI14" s="59" t="str">
        <f t="shared" si="505"/>
        <v/>
      </c>
      <c r="NJ14" s="59" t="str">
        <f t="shared" si="505"/>
        <v/>
      </c>
      <c r="NK14" s="59" t="str">
        <f t="shared" si="505"/>
        <v/>
      </c>
      <c r="NL14" s="59" t="str">
        <f t="shared" si="505"/>
        <v/>
      </c>
      <c r="NM14" s="59" t="str">
        <f t="shared" si="505"/>
        <v/>
      </c>
      <c r="NN14" s="59" t="str">
        <f t="shared" si="505"/>
        <v/>
      </c>
      <c r="NO14" s="59" t="str">
        <f t="shared" si="505"/>
        <v/>
      </c>
      <c r="NP14" s="59" t="str">
        <f t="shared" si="505"/>
        <v/>
      </c>
      <c r="NQ14" s="59" t="str">
        <f t="shared" si="505"/>
        <v/>
      </c>
      <c r="NR14" s="59" t="str">
        <f t="shared" si="505"/>
        <v/>
      </c>
      <c r="NS14" s="59" t="str">
        <f t="shared" si="505"/>
        <v/>
      </c>
      <c r="NT14" s="59" t="str">
        <f t="shared" si="505"/>
        <v/>
      </c>
      <c r="NU14" s="59" t="str">
        <f t="shared" si="505"/>
        <v/>
      </c>
      <c r="NV14" s="59" t="str">
        <f t="shared" si="505"/>
        <v/>
      </c>
      <c r="NW14" s="59" t="str">
        <f t="shared" si="505"/>
        <v/>
      </c>
      <c r="NX14" s="59" t="str">
        <f t="shared" si="505"/>
        <v/>
      </c>
      <c r="NY14" s="59" t="str">
        <f t="shared" si="505"/>
        <v/>
      </c>
      <c r="NZ14" s="59" t="str">
        <f t="shared" si="505"/>
        <v/>
      </c>
      <c r="OA14" s="59" t="str">
        <f t="shared" si="505"/>
        <v/>
      </c>
      <c r="OB14" s="59" t="str">
        <f t="shared" si="505"/>
        <v/>
      </c>
      <c r="OC14" s="59" t="str">
        <f t="shared" si="505"/>
        <v/>
      </c>
      <c r="OD14" s="59" t="str">
        <f t="shared" si="505"/>
        <v/>
      </c>
      <c r="OE14" s="59" t="str">
        <f t="shared" si="505"/>
        <v/>
      </c>
      <c r="OF14" s="59" t="str">
        <f t="shared" si="505"/>
        <v/>
      </c>
      <c r="OG14" s="59" t="str">
        <f t="shared" si="505"/>
        <v/>
      </c>
      <c r="OH14" s="59" t="str">
        <f t="shared" si="505"/>
        <v/>
      </c>
      <c r="OI14" s="59" t="str">
        <f t="shared" si="505"/>
        <v/>
      </c>
      <c r="OJ14" s="59" t="str">
        <f t="shared" si="505"/>
        <v/>
      </c>
      <c r="OK14" s="59" t="str">
        <f t="shared" si="505"/>
        <v/>
      </c>
      <c r="OL14" s="59" t="str">
        <f t="shared" si="505"/>
        <v/>
      </c>
      <c r="OM14" s="59" t="str">
        <f t="shared" si="505"/>
        <v/>
      </c>
      <c r="ON14" s="59" t="str">
        <f t="shared" si="505"/>
        <v/>
      </c>
      <c r="OO14" s="59" t="str">
        <f t="shared" si="505"/>
        <v/>
      </c>
      <c r="OP14" s="59" t="str">
        <f t="shared" si="505"/>
        <v/>
      </c>
      <c r="OQ14" s="59" t="str">
        <f t="shared" si="505"/>
        <v/>
      </c>
      <c r="OR14" s="59" t="str">
        <f t="shared" si="505"/>
        <v/>
      </c>
      <c r="OS14" s="59" t="str">
        <f t="shared" si="505"/>
        <v/>
      </c>
      <c r="OT14" s="59" t="str">
        <f t="shared" si="505"/>
        <v/>
      </c>
      <c r="OU14" s="59" t="str">
        <f t="shared" si="505"/>
        <v/>
      </c>
      <c r="OV14" s="59" t="str">
        <f t="shared" si="505"/>
        <v/>
      </c>
      <c r="OW14" s="59" t="str">
        <f t="shared" si="505"/>
        <v/>
      </c>
      <c r="OX14" s="59" t="str">
        <f t="shared" si="505"/>
        <v/>
      </c>
      <c r="OY14" s="59" t="str">
        <f t="shared" si="505"/>
        <v/>
      </c>
      <c r="OZ14" s="59" t="str">
        <f t="shared" si="505"/>
        <v/>
      </c>
      <c r="PA14" s="59" t="str">
        <f t="shared" si="505"/>
        <v/>
      </c>
      <c r="PB14" s="59" t="str">
        <f t="shared" si="505"/>
        <v/>
      </c>
      <c r="PC14" s="59" t="str">
        <f t="shared" si="505"/>
        <v/>
      </c>
      <c r="PD14" s="59" t="str">
        <f t="shared" si="505"/>
        <v/>
      </c>
      <c r="PE14" s="59" t="str">
        <f t="shared" si="505"/>
        <v/>
      </c>
      <c r="PF14" s="59" t="str">
        <f t="shared" si="505"/>
        <v/>
      </c>
      <c r="PG14" s="59" t="str">
        <f t="shared" si="505"/>
        <v/>
      </c>
      <c r="PH14" s="59" t="str">
        <f t="shared" si="505"/>
        <v/>
      </c>
      <c r="PI14" s="59" t="str">
        <f t="shared" si="505"/>
        <v/>
      </c>
      <c r="PJ14" s="59" t="str">
        <f t="shared" si="505"/>
        <v/>
      </c>
      <c r="PK14" s="59" t="str">
        <f t="shared" si="505"/>
        <v/>
      </c>
      <c r="PL14" s="59" t="str">
        <f t="shared" si="505"/>
        <v/>
      </c>
      <c r="PM14" s="59" t="str">
        <f t="shared" si="505"/>
        <v/>
      </c>
      <c r="PN14" s="59" t="str">
        <f t="shared" si="505"/>
        <v/>
      </c>
      <c r="PO14" s="59" t="str">
        <f t="shared" si="505"/>
        <v/>
      </c>
      <c r="PP14" s="59" t="str">
        <f t="shared" si="505"/>
        <v/>
      </c>
      <c r="PQ14" s="59" t="str">
        <f t="shared" si="505"/>
        <v/>
      </c>
      <c r="PR14" s="59" t="str">
        <f t="shared" si="505"/>
        <v/>
      </c>
      <c r="PS14" s="59" t="str">
        <f t="shared" si="505"/>
        <v/>
      </c>
      <c r="PT14" s="59" t="str">
        <f t="shared" si="505"/>
        <v/>
      </c>
      <c r="PU14" s="59" t="str">
        <f t="shared" si="505"/>
        <v/>
      </c>
      <c r="PV14" s="59" t="str">
        <f t="shared" si="505"/>
        <v/>
      </c>
      <c r="PW14" s="59" t="str">
        <f t="shared" si="505"/>
        <v/>
      </c>
      <c r="PX14" s="59" t="str">
        <f t="shared" si="505"/>
        <v/>
      </c>
      <c r="PY14" s="59" t="str">
        <f t="shared" si="505"/>
        <v/>
      </c>
      <c r="PZ14" s="59" t="str">
        <f t="shared" si="505"/>
        <v/>
      </c>
      <c r="QA14" s="59" t="str">
        <f t="shared" si="505"/>
        <v/>
      </c>
      <c r="QB14" s="59" t="str">
        <f t="shared" si="505"/>
        <v/>
      </c>
      <c r="QC14" s="59" t="str">
        <f t="shared" si="505"/>
        <v/>
      </c>
      <c r="QD14" s="59" t="str">
        <f t="shared" si="505"/>
        <v/>
      </c>
      <c r="QE14" s="59" t="str">
        <f t="shared" si="505"/>
        <v/>
      </c>
      <c r="QF14" s="59" t="str">
        <f t="shared" si="505"/>
        <v/>
      </c>
      <c r="QG14" s="59" t="str">
        <f t="shared" si="505"/>
        <v/>
      </c>
      <c r="QH14" s="59" t="str">
        <f t="shared" si="505"/>
        <v/>
      </c>
      <c r="QI14" s="59" t="str">
        <f t="shared" si="505"/>
        <v/>
      </c>
      <c r="QJ14" s="59" t="str">
        <f t="shared" si="505"/>
        <v/>
      </c>
      <c r="QK14" s="59" t="str">
        <f t="shared" si="505"/>
        <v/>
      </c>
      <c r="QL14" s="59" t="str">
        <f t="shared" si="505"/>
        <v/>
      </c>
      <c r="QM14" s="59" t="str">
        <f t="shared" si="505"/>
        <v/>
      </c>
      <c r="QN14" s="59" t="str">
        <f t="shared" si="505"/>
        <v/>
      </c>
      <c r="QO14" s="59" t="str">
        <f t="shared" si="505"/>
        <v/>
      </c>
      <c r="QP14" s="59" t="str">
        <f t="shared" si="505"/>
        <v/>
      </c>
      <c r="QQ14" s="59" t="str">
        <f t="shared" si="505"/>
        <v/>
      </c>
      <c r="QR14" s="59" t="str">
        <f t="shared" si="505"/>
        <v/>
      </c>
      <c r="QS14" s="59" t="str">
        <f t="shared" si="505"/>
        <v/>
      </c>
      <c r="QT14" s="59" t="str">
        <f t="shared" si="505"/>
        <v/>
      </c>
      <c r="QU14" s="59" t="str">
        <f t="shared" si="505"/>
        <v/>
      </c>
      <c r="QV14" s="59" t="str">
        <f t="shared" si="505"/>
        <v/>
      </c>
      <c r="QW14" s="59" t="str">
        <f t="shared" si="505"/>
        <v/>
      </c>
      <c r="QX14" s="59" t="str">
        <f t="shared" si="505"/>
        <v/>
      </c>
      <c r="QY14" s="59" t="str">
        <f t="shared" si="505"/>
        <v/>
      </c>
      <c r="QZ14" s="59" t="str">
        <f t="shared" si="505"/>
        <v/>
      </c>
      <c r="RA14" s="59" t="str">
        <f t="shared" si="505"/>
        <v/>
      </c>
      <c r="RB14" s="59" t="str">
        <f t="shared" si="505"/>
        <v/>
      </c>
      <c r="RC14" s="59" t="str">
        <f t="shared" si="505"/>
        <v/>
      </c>
      <c r="RD14" s="59" t="str">
        <f t="shared" si="505"/>
        <v/>
      </c>
      <c r="RE14" s="59" t="str">
        <f t="shared" si="505"/>
        <v/>
      </c>
      <c r="RF14" s="59" t="str">
        <f t="shared" si="505"/>
        <v/>
      </c>
      <c r="RG14" s="59" t="str">
        <f t="shared" si="505"/>
        <v/>
      </c>
      <c r="RH14" s="59" t="str">
        <f t="shared" si="505"/>
        <v/>
      </c>
      <c r="RI14" s="59" t="str">
        <f t="shared" si="505"/>
        <v/>
      </c>
      <c r="RJ14" s="59" t="str">
        <f t="shared" si="505"/>
        <v/>
      </c>
      <c r="RK14" s="59" t="str">
        <f t="shared" si="505"/>
        <v/>
      </c>
      <c r="RL14" s="59" t="str">
        <f t="shared" si="505"/>
        <v/>
      </c>
      <c r="RM14" s="59" t="str">
        <f t="shared" si="505"/>
        <v/>
      </c>
      <c r="RN14" s="59" t="str">
        <f t="shared" si="505"/>
        <v/>
      </c>
      <c r="RO14" s="59" t="str">
        <f t="shared" si="505"/>
        <v/>
      </c>
      <c r="RP14" s="59" t="str">
        <f t="shared" si="505"/>
        <v/>
      </c>
      <c r="RQ14" s="59" t="str">
        <f t="shared" si="505"/>
        <v/>
      </c>
      <c r="RR14" s="59" t="str">
        <f t="shared" si="505"/>
        <v/>
      </c>
      <c r="RS14" s="59" t="str">
        <f t="shared" si="505"/>
        <v/>
      </c>
      <c r="RT14" s="59" t="str">
        <f t="shared" si="505"/>
        <v/>
      </c>
      <c r="RU14" s="59" t="str">
        <f t="shared" si="505"/>
        <v/>
      </c>
      <c r="RV14" s="59" t="str">
        <f t="shared" si="505"/>
        <v/>
      </c>
      <c r="RW14" s="59" t="str">
        <f t="shared" si="505"/>
        <v/>
      </c>
      <c r="RX14" s="59" t="str">
        <f t="shared" si="505"/>
        <v/>
      </c>
      <c r="RY14" s="59" t="str">
        <f t="shared" si="505"/>
        <v/>
      </c>
      <c r="RZ14" s="59" t="str">
        <f t="shared" si="505"/>
        <v/>
      </c>
      <c r="SA14" s="59" t="str">
        <f t="shared" si="505"/>
        <v/>
      </c>
      <c r="SB14" s="59" t="str">
        <f t="shared" si="505"/>
        <v/>
      </c>
      <c r="SC14" s="59" t="str">
        <f t="shared" si="505"/>
        <v/>
      </c>
      <c r="SD14" s="59" t="str">
        <f t="shared" si="505"/>
        <v/>
      </c>
      <c r="SE14" s="59" t="str">
        <f t="shared" si="505"/>
        <v/>
      </c>
      <c r="SF14" s="59" t="str">
        <f t="shared" si="505"/>
        <v/>
      </c>
      <c r="SG14" s="59" t="str">
        <f t="shared" si="505"/>
        <v/>
      </c>
      <c r="SH14" s="59" t="str">
        <f t="shared" si="505"/>
        <v/>
      </c>
      <c r="SI14" s="59" t="str">
        <f t="shared" si="505"/>
        <v/>
      </c>
      <c r="SJ14" s="59" t="str">
        <f t="shared" si="505"/>
        <v/>
      </c>
      <c r="SK14" s="59" t="str">
        <f t="shared" si="505"/>
        <v/>
      </c>
      <c r="SL14" s="59" t="str">
        <f t="shared" si="505"/>
        <v/>
      </c>
      <c r="SM14" s="59" t="str">
        <f t="shared" si="505"/>
        <v/>
      </c>
      <c r="SN14" s="59" t="str">
        <f t="shared" si="505"/>
        <v/>
      </c>
      <c r="SO14" s="59" t="str">
        <f t="shared" si="505"/>
        <v/>
      </c>
      <c r="SP14" s="59" t="str">
        <f t="shared" si="505"/>
        <v/>
      </c>
      <c r="SQ14" s="59" t="str">
        <f t="shared" si="505"/>
        <v/>
      </c>
      <c r="SR14" s="59" t="str">
        <f t="shared" si="505"/>
        <v/>
      </c>
      <c r="SS14" s="59" t="str">
        <f t="shared" si="505"/>
        <v/>
      </c>
      <c r="ST14" s="59" t="str">
        <f t="shared" si="505"/>
        <v/>
      </c>
      <c r="SU14" s="59" t="str">
        <f t="shared" si="505"/>
        <v/>
      </c>
      <c r="SV14" s="59" t="str">
        <f t="shared" si="505"/>
        <v/>
      </c>
      <c r="SW14" s="59" t="str">
        <f t="shared" si="505"/>
        <v/>
      </c>
      <c r="SX14" s="59" t="str">
        <f t="shared" si="505"/>
        <v/>
      </c>
      <c r="SY14" s="59" t="str">
        <f t="shared" si="505"/>
        <v/>
      </c>
      <c r="SZ14" s="59" t="str">
        <f t="shared" si="505"/>
        <v/>
      </c>
      <c r="TA14" s="59" t="str">
        <f t="shared" si="505"/>
        <v/>
      </c>
      <c r="TB14" s="59" t="str">
        <f t="shared" si="505"/>
        <v/>
      </c>
      <c r="TC14" s="59" t="str">
        <f t="shared" si="505"/>
        <v/>
      </c>
      <c r="TD14" s="59" t="str">
        <f t="shared" si="505"/>
        <v/>
      </c>
      <c r="TE14" s="59" t="str">
        <f t="shared" si="505"/>
        <v/>
      </c>
      <c r="TF14" s="59" t="str">
        <f t="shared" si="505"/>
        <v/>
      </c>
      <c r="TG14" s="59" t="str">
        <f t="shared" si="505"/>
        <v/>
      </c>
      <c r="TH14" s="59" t="str">
        <f t="shared" si="505"/>
        <v/>
      </c>
      <c r="TI14" s="59" t="str">
        <f t="shared" si="505"/>
        <v/>
      </c>
      <c r="TJ14" s="59" t="str">
        <f t="shared" si="505"/>
        <v/>
      </c>
      <c r="TK14" s="59" t="str">
        <f t="shared" si="505"/>
        <v/>
      </c>
      <c r="TL14" s="59" t="str">
        <f t="shared" si="505"/>
        <v/>
      </c>
      <c r="TM14" s="59" t="str">
        <f t="shared" si="505"/>
        <v/>
      </c>
      <c r="TN14" s="59" t="str">
        <f t="shared" si="505"/>
        <v/>
      </c>
      <c r="TO14" s="59" t="str">
        <f t="shared" si="505"/>
        <v/>
      </c>
      <c r="TP14" s="59" t="str">
        <f t="shared" si="505"/>
        <v/>
      </c>
      <c r="TQ14" s="59" t="str">
        <f t="shared" si="505"/>
        <v/>
      </c>
      <c r="TR14" s="59" t="str">
        <f t="shared" si="505"/>
        <v/>
      </c>
      <c r="TS14" s="59" t="str">
        <f t="shared" si="505"/>
        <v/>
      </c>
      <c r="TT14" s="59" t="str">
        <f t="shared" si="505"/>
        <v/>
      </c>
      <c r="TU14" s="59" t="str">
        <f t="shared" si="505"/>
        <v/>
      </c>
      <c r="TV14" s="59" t="str">
        <f t="shared" si="505"/>
        <v/>
      </c>
      <c r="TW14" s="59" t="str">
        <f t="shared" si="505"/>
        <v/>
      </c>
      <c r="TX14" s="59" t="str">
        <f t="shared" si="505"/>
        <v/>
      </c>
      <c r="TY14" s="59" t="str">
        <f t="shared" si="505"/>
        <v/>
      </c>
      <c r="TZ14" s="59" t="str">
        <f t="shared" si="505"/>
        <v/>
      </c>
      <c r="UA14" s="59" t="str">
        <f t="shared" si="505"/>
        <v/>
      </c>
      <c r="UB14" s="59" t="str">
        <f t="shared" si="505"/>
        <v/>
      </c>
      <c r="UC14" s="59" t="str">
        <f t="shared" si="505"/>
        <v/>
      </c>
      <c r="UD14" s="59" t="str">
        <f t="shared" si="505"/>
        <v/>
      </c>
      <c r="UE14" s="59" t="str">
        <f t="shared" si="505"/>
        <v/>
      </c>
      <c r="UF14" s="59" t="str">
        <f t="shared" si="505"/>
        <v/>
      </c>
      <c r="UG14" s="59" t="str">
        <f t="shared" si="505"/>
        <v/>
      </c>
      <c r="UH14" s="59" t="str">
        <f t="shared" si="505"/>
        <v/>
      </c>
      <c r="UI14" s="59" t="str">
        <f t="shared" si="505"/>
        <v/>
      </c>
      <c r="UJ14" s="59" t="str">
        <f t="shared" si="505"/>
        <v/>
      </c>
      <c r="UK14" s="59" t="str">
        <f t="shared" si="505"/>
        <v/>
      </c>
      <c r="UL14" s="59" t="str">
        <f t="shared" si="505"/>
        <v/>
      </c>
      <c r="UM14" s="59" t="str">
        <f t="shared" si="505"/>
        <v/>
      </c>
      <c r="UN14" s="59" t="str">
        <f t="shared" si="505"/>
        <v/>
      </c>
      <c r="UO14" s="59" t="str">
        <f t="shared" si="505"/>
        <v/>
      </c>
      <c r="UP14" s="59" t="str">
        <f t="shared" si="505"/>
        <v/>
      </c>
      <c r="UQ14" s="59" t="str">
        <f t="shared" si="505"/>
        <v/>
      </c>
      <c r="UR14" s="59" t="str">
        <f t="shared" si="505"/>
        <v/>
      </c>
      <c r="US14" s="59" t="str">
        <f t="shared" si="505"/>
        <v/>
      </c>
      <c r="UT14" s="59" t="str">
        <f t="shared" si="505"/>
        <v/>
      </c>
      <c r="UU14" s="59" t="str">
        <f t="shared" si="505"/>
        <v/>
      </c>
      <c r="UV14" s="59" t="str">
        <f t="shared" si="505"/>
        <v/>
      </c>
      <c r="UW14" s="59" t="str">
        <f t="shared" si="505"/>
        <v/>
      </c>
      <c r="UX14" s="59" t="str">
        <f t="shared" si="505"/>
        <v/>
      </c>
      <c r="UY14" s="59" t="str">
        <f t="shared" si="505"/>
        <v/>
      </c>
      <c r="UZ14" s="59" t="str">
        <f t="shared" si="505"/>
        <v/>
      </c>
      <c r="VA14" s="59" t="str">
        <f t="shared" si="505"/>
        <v/>
      </c>
      <c r="VB14" s="59" t="str">
        <f t="shared" si="505"/>
        <v/>
      </c>
      <c r="VC14" s="59" t="str">
        <f t="shared" si="505"/>
        <v/>
      </c>
      <c r="VD14" s="59" t="str">
        <f t="shared" si="505"/>
        <v/>
      </c>
      <c r="VE14" s="59" t="str">
        <f t="shared" si="505"/>
        <v/>
      </c>
      <c r="VF14" s="59" t="str">
        <f t="shared" si="505"/>
        <v/>
      </c>
      <c r="VG14" s="59" t="str">
        <f t="shared" si="505"/>
        <v/>
      </c>
      <c r="VH14" s="59" t="str">
        <f t="shared" si="505"/>
        <v/>
      </c>
      <c r="VI14" s="59" t="str">
        <f t="shared" si="505"/>
        <v/>
      </c>
      <c r="VJ14" s="59" t="str">
        <f t="shared" si="505"/>
        <v/>
      </c>
      <c r="VK14" s="59" t="str">
        <f t="shared" si="505"/>
        <v/>
      </c>
      <c r="VL14" s="59" t="str">
        <f t="shared" si="505"/>
        <v/>
      </c>
      <c r="VM14" s="59">
        <f t="shared" ref="VM14:VN14" si="506">IFERROR(VLOOKUP(INDIRECT(ADDRESS(ROW() - 10, COLUMN())), INDIRECT(ADDRESS(ROW() - 84, 12)):INDIRECT(ADDRESS(ROW() - 80, 16)), 5, FALSE)) + 25</f>
        <v>25</v>
      </c>
      <c r="VN14" s="59">
        <f t="shared" si="506"/>
        <v>25</v>
      </c>
      <c r="VO14" s="59" t="str">
        <f t="shared" ref="VO14:ADZ14" si="507">IFERROR(VLOOKUP(INDIRECT(ADDRESS(ROW() - 10, COLUMN())), INDIRECT(ADDRESS(ROW() - 84, 12)):INDIRECT(ADDRESS(ROW() - 80, 16)), 5, FALSE))</f>
        <v/>
      </c>
      <c r="VP14" s="59" t="str">
        <f t="shared" si="507"/>
        <v/>
      </c>
      <c r="VQ14" s="59" t="str">
        <f t="shared" si="507"/>
        <v/>
      </c>
      <c r="VR14" s="59" t="str">
        <f t="shared" si="507"/>
        <v/>
      </c>
      <c r="VS14" s="59" t="str">
        <f t="shared" si="507"/>
        <v/>
      </c>
      <c r="VT14" s="59" t="str">
        <f t="shared" si="507"/>
        <v/>
      </c>
      <c r="VU14" s="59" t="str">
        <f t="shared" si="507"/>
        <v/>
      </c>
      <c r="VV14" s="59" t="str">
        <f t="shared" si="507"/>
        <v/>
      </c>
      <c r="VW14" s="59" t="str">
        <f t="shared" si="507"/>
        <v/>
      </c>
      <c r="VX14" s="59" t="str">
        <f t="shared" si="507"/>
        <v/>
      </c>
      <c r="VY14" s="59" t="str">
        <f t="shared" si="507"/>
        <v/>
      </c>
      <c r="VZ14" s="59" t="str">
        <f t="shared" si="507"/>
        <v/>
      </c>
      <c r="WA14" s="59" t="str">
        <f t="shared" si="507"/>
        <v/>
      </c>
      <c r="WB14" s="59" t="str">
        <f t="shared" si="507"/>
        <v/>
      </c>
      <c r="WC14" s="59" t="str">
        <f t="shared" si="507"/>
        <v/>
      </c>
      <c r="WD14" s="59" t="str">
        <f t="shared" si="507"/>
        <v/>
      </c>
      <c r="WE14" s="59" t="str">
        <f t="shared" si="507"/>
        <v/>
      </c>
      <c r="WF14" s="59" t="str">
        <f t="shared" si="507"/>
        <v/>
      </c>
      <c r="WG14" s="59" t="str">
        <f t="shared" si="507"/>
        <v/>
      </c>
      <c r="WH14" s="59" t="str">
        <f t="shared" si="507"/>
        <v/>
      </c>
      <c r="WI14" s="59" t="str">
        <f t="shared" si="507"/>
        <v/>
      </c>
      <c r="WJ14" s="59" t="str">
        <f t="shared" si="507"/>
        <v/>
      </c>
      <c r="WK14" s="59" t="str">
        <f t="shared" si="507"/>
        <v/>
      </c>
      <c r="WL14" s="59" t="str">
        <f t="shared" si="507"/>
        <v/>
      </c>
      <c r="WM14" s="59" t="str">
        <f t="shared" si="507"/>
        <v/>
      </c>
      <c r="WN14" s="59" t="str">
        <f t="shared" si="507"/>
        <v/>
      </c>
      <c r="WO14" s="59" t="str">
        <f t="shared" si="507"/>
        <v/>
      </c>
      <c r="WP14" s="59" t="str">
        <f t="shared" si="507"/>
        <v/>
      </c>
      <c r="WQ14" s="59" t="str">
        <f t="shared" si="507"/>
        <v/>
      </c>
      <c r="WR14" s="59" t="str">
        <f t="shared" si="507"/>
        <v/>
      </c>
      <c r="WS14" s="59" t="str">
        <f t="shared" si="507"/>
        <v/>
      </c>
      <c r="WT14" s="59" t="str">
        <f t="shared" si="507"/>
        <v/>
      </c>
      <c r="WU14" s="59" t="str">
        <f t="shared" si="507"/>
        <v/>
      </c>
      <c r="WV14" s="59" t="str">
        <f t="shared" si="507"/>
        <v/>
      </c>
      <c r="WW14" s="59" t="str">
        <f t="shared" si="507"/>
        <v/>
      </c>
      <c r="WX14" s="59" t="str">
        <f t="shared" si="507"/>
        <v/>
      </c>
      <c r="WY14" s="59" t="str">
        <f t="shared" si="507"/>
        <v/>
      </c>
      <c r="WZ14" s="59" t="str">
        <f t="shared" si="507"/>
        <v/>
      </c>
      <c r="XA14" s="59" t="str">
        <f t="shared" si="507"/>
        <v/>
      </c>
      <c r="XB14" s="59" t="str">
        <f t="shared" si="507"/>
        <v/>
      </c>
      <c r="XC14" s="59" t="str">
        <f t="shared" si="507"/>
        <v/>
      </c>
      <c r="XD14" s="59" t="str">
        <f t="shared" si="507"/>
        <v/>
      </c>
      <c r="XE14" s="59" t="str">
        <f t="shared" si="507"/>
        <v/>
      </c>
      <c r="XF14" s="59" t="str">
        <f t="shared" si="507"/>
        <v/>
      </c>
      <c r="XG14" s="59" t="str">
        <f t="shared" si="507"/>
        <v/>
      </c>
      <c r="XH14" s="59" t="str">
        <f t="shared" si="507"/>
        <v/>
      </c>
      <c r="XI14" s="59" t="str">
        <f t="shared" si="507"/>
        <v/>
      </c>
      <c r="XJ14" s="59" t="str">
        <f t="shared" si="507"/>
        <v/>
      </c>
      <c r="XK14" s="59" t="str">
        <f t="shared" si="507"/>
        <v/>
      </c>
      <c r="XL14" s="59" t="str">
        <f t="shared" si="507"/>
        <v/>
      </c>
      <c r="XM14" s="59" t="str">
        <f t="shared" si="507"/>
        <v/>
      </c>
      <c r="XN14" s="59" t="str">
        <f t="shared" si="507"/>
        <v/>
      </c>
      <c r="XO14" s="59" t="str">
        <f t="shared" si="507"/>
        <v/>
      </c>
      <c r="XP14" s="59" t="str">
        <f t="shared" si="507"/>
        <v/>
      </c>
      <c r="XQ14" s="59" t="str">
        <f t="shared" si="507"/>
        <v/>
      </c>
      <c r="XR14" s="59" t="str">
        <f t="shared" si="507"/>
        <v/>
      </c>
      <c r="XS14" s="59" t="str">
        <f t="shared" si="507"/>
        <v/>
      </c>
      <c r="XT14" s="59" t="str">
        <f t="shared" si="507"/>
        <v/>
      </c>
      <c r="XU14" s="59" t="str">
        <f t="shared" si="507"/>
        <v/>
      </c>
      <c r="XV14" s="59" t="str">
        <f t="shared" si="507"/>
        <v/>
      </c>
      <c r="XW14" s="59" t="str">
        <f t="shared" si="507"/>
        <v/>
      </c>
      <c r="XX14" s="59" t="str">
        <f t="shared" si="507"/>
        <v/>
      </c>
      <c r="XY14" s="59" t="str">
        <f t="shared" si="507"/>
        <v/>
      </c>
      <c r="XZ14" s="59" t="str">
        <f t="shared" si="507"/>
        <v/>
      </c>
      <c r="YA14" s="59" t="str">
        <f t="shared" si="507"/>
        <v/>
      </c>
      <c r="YB14" s="59" t="str">
        <f t="shared" si="507"/>
        <v/>
      </c>
      <c r="YC14" s="59" t="str">
        <f t="shared" si="507"/>
        <v/>
      </c>
      <c r="YD14" s="59" t="str">
        <f t="shared" si="507"/>
        <v/>
      </c>
      <c r="YE14" s="59" t="str">
        <f t="shared" si="507"/>
        <v/>
      </c>
      <c r="YF14" s="59" t="str">
        <f t="shared" si="507"/>
        <v/>
      </c>
      <c r="YG14" s="59" t="str">
        <f t="shared" si="507"/>
        <v/>
      </c>
      <c r="YH14" s="59" t="str">
        <f t="shared" si="507"/>
        <v/>
      </c>
      <c r="YI14" s="59" t="str">
        <f t="shared" si="507"/>
        <v/>
      </c>
      <c r="YJ14" s="59" t="str">
        <f t="shared" si="507"/>
        <v/>
      </c>
      <c r="YK14" s="59" t="str">
        <f t="shared" si="507"/>
        <v/>
      </c>
      <c r="YL14" s="59" t="str">
        <f t="shared" si="507"/>
        <v/>
      </c>
      <c r="YM14" s="59" t="str">
        <f t="shared" si="507"/>
        <v/>
      </c>
      <c r="YN14" s="59" t="str">
        <f t="shared" si="507"/>
        <v/>
      </c>
      <c r="YO14" s="59" t="str">
        <f t="shared" si="507"/>
        <v/>
      </c>
      <c r="YP14" s="59" t="str">
        <f t="shared" si="507"/>
        <v/>
      </c>
      <c r="YQ14" s="59" t="str">
        <f t="shared" si="507"/>
        <v/>
      </c>
      <c r="YR14" s="59" t="str">
        <f t="shared" si="507"/>
        <v/>
      </c>
      <c r="YS14" s="59" t="str">
        <f t="shared" si="507"/>
        <v/>
      </c>
      <c r="YT14" s="59" t="str">
        <f t="shared" si="507"/>
        <v/>
      </c>
      <c r="YU14" s="59" t="str">
        <f t="shared" si="507"/>
        <v/>
      </c>
      <c r="YV14" s="59" t="str">
        <f t="shared" si="507"/>
        <v/>
      </c>
      <c r="YW14" s="59" t="str">
        <f t="shared" si="507"/>
        <v/>
      </c>
      <c r="YX14" s="59" t="str">
        <f t="shared" si="507"/>
        <v/>
      </c>
      <c r="YY14" s="59" t="str">
        <f t="shared" si="507"/>
        <v/>
      </c>
      <c r="YZ14" s="59" t="str">
        <f t="shared" si="507"/>
        <v/>
      </c>
      <c r="ZA14" s="59" t="str">
        <f t="shared" si="507"/>
        <v/>
      </c>
      <c r="ZB14" s="59" t="str">
        <f t="shared" si="507"/>
        <v/>
      </c>
      <c r="ZC14" s="59" t="str">
        <f t="shared" si="507"/>
        <v/>
      </c>
      <c r="ZD14" s="59" t="str">
        <f t="shared" si="507"/>
        <v/>
      </c>
      <c r="ZE14" s="59" t="str">
        <f t="shared" si="507"/>
        <v/>
      </c>
      <c r="ZF14" s="59" t="str">
        <f t="shared" si="507"/>
        <v/>
      </c>
      <c r="ZG14" s="59" t="str">
        <f t="shared" si="507"/>
        <v/>
      </c>
      <c r="ZH14" s="59" t="str">
        <f t="shared" si="507"/>
        <v/>
      </c>
      <c r="ZI14" s="59" t="str">
        <f t="shared" si="507"/>
        <v/>
      </c>
      <c r="ZJ14" s="59" t="str">
        <f t="shared" si="507"/>
        <v/>
      </c>
      <c r="ZK14" s="59" t="str">
        <f t="shared" si="507"/>
        <v/>
      </c>
      <c r="ZL14" s="59" t="str">
        <f t="shared" si="507"/>
        <v/>
      </c>
      <c r="ZM14" s="59" t="str">
        <f t="shared" si="507"/>
        <v/>
      </c>
      <c r="ZN14" s="59" t="str">
        <f t="shared" si="507"/>
        <v/>
      </c>
      <c r="ZO14" s="59" t="str">
        <f t="shared" si="507"/>
        <v/>
      </c>
      <c r="ZP14" s="59" t="str">
        <f t="shared" si="507"/>
        <v/>
      </c>
      <c r="ZQ14" s="59" t="str">
        <f t="shared" si="507"/>
        <v/>
      </c>
      <c r="ZR14" s="59" t="str">
        <f t="shared" si="507"/>
        <v/>
      </c>
      <c r="ZS14" s="59" t="str">
        <f t="shared" si="507"/>
        <v/>
      </c>
      <c r="ZT14" s="59" t="str">
        <f t="shared" si="507"/>
        <v/>
      </c>
      <c r="ZU14" s="59" t="str">
        <f t="shared" si="507"/>
        <v/>
      </c>
      <c r="ZV14" s="59" t="str">
        <f t="shared" si="507"/>
        <v/>
      </c>
      <c r="ZW14" s="59" t="str">
        <f t="shared" si="507"/>
        <v/>
      </c>
      <c r="ZX14" s="59" t="str">
        <f t="shared" si="507"/>
        <v/>
      </c>
      <c r="ZY14" s="59" t="str">
        <f t="shared" si="507"/>
        <v/>
      </c>
      <c r="ZZ14" s="59" t="str">
        <f t="shared" si="507"/>
        <v/>
      </c>
      <c r="AAA14" s="59" t="str">
        <f t="shared" si="507"/>
        <v/>
      </c>
      <c r="AAB14" s="59" t="str">
        <f t="shared" si="507"/>
        <v/>
      </c>
      <c r="AAC14" s="59" t="str">
        <f t="shared" si="507"/>
        <v/>
      </c>
      <c r="AAD14" s="59" t="str">
        <f t="shared" si="507"/>
        <v/>
      </c>
      <c r="AAE14" s="59" t="str">
        <f t="shared" si="507"/>
        <v/>
      </c>
      <c r="AAF14" s="59" t="str">
        <f t="shared" si="507"/>
        <v/>
      </c>
      <c r="AAG14" s="59" t="str">
        <f t="shared" si="507"/>
        <v/>
      </c>
      <c r="AAH14" s="59" t="str">
        <f t="shared" si="507"/>
        <v/>
      </c>
      <c r="AAI14" s="59" t="str">
        <f t="shared" si="507"/>
        <v/>
      </c>
      <c r="AAJ14" s="59" t="str">
        <f t="shared" si="507"/>
        <v/>
      </c>
      <c r="AAK14" s="59" t="str">
        <f t="shared" si="507"/>
        <v/>
      </c>
      <c r="AAL14" s="59" t="str">
        <f t="shared" si="507"/>
        <v/>
      </c>
      <c r="AAM14" s="59" t="str">
        <f t="shared" si="507"/>
        <v/>
      </c>
      <c r="AAN14" s="59" t="str">
        <f t="shared" si="507"/>
        <v/>
      </c>
      <c r="AAO14" s="59" t="str">
        <f t="shared" si="507"/>
        <v/>
      </c>
      <c r="AAP14" s="59" t="str">
        <f t="shared" si="507"/>
        <v/>
      </c>
      <c r="AAQ14" s="59" t="str">
        <f t="shared" si="507"/>
        <v/>
      </c>
      <c r="AAR14" s="59" t="str">
        <f t="shared" si="507"/>
        <v/>
      </c>
      <c r="AAS14" s="59" t="str">
        <f t="shared" si="507"/>
        <v/>
      </c>
      <c r="AAT14" s="59" t="str">
        <f t="shared" si="507"/>
        <v/>
      </c>
      <c r="AAU14" s="59" t="str">
        <f t="shared" si="507"/>
        <v/>
      </c>
      <c r="AAV14" s="59" t="str">
        <f t="shared" si="507"/>
        <v/>
      </c>
      <c r="AAW14" s="59" t="str">
        <f t="shared" si="507"/>
        <v/>
      </c>
      <c r="AAX14" s="59" t="str">
        <f t="shared" si="507"/>
        <v/>
      </c>
      <c r="AAY14" s="59" t="str">
        <f t="shared" si="507"/>
        <v/>
      </c>
      <c r="AAZ14" s="59" t="str">
        <f t="shared" si="507"/>
        <v/>
      </c>
      <c r="ABA14" s="59" t="str">
        <f t="shared" si="507"/>
        <v/>
      </c>
      <c r="ABB14" s="59" t="str">
        <f t="shared" si="507"/>
        <v/>
      </c>
      <c r="ABC14" s="59" t="str">
        <f t="shared" si="507"/>
        <v/>
      </c>
      <c r="ABD14" s="59" t="str">
        <f t="shared" si="507"/>
        <v/>
      </c>
      <c r="ABE14" s="59" t="str">
        <f t="shared" si="507"/>
        <v/>
      </c>
      <c r="ABF14" s="59" t="str">
        <f t="shared" si="507"/>
        <v/>
      </c>
      <c r="ABG14" s="59" t="str">
        <f t="shared" si="507"/>
        <v/>
      </c>
      <c r="ABH14" s="59" t="str">
        <f t="shared" si="507"/>
        <v/>
      </c>
      <c r="ABI14" s="59" t="str">
        <f t="shared" si="507"/>
        <v/>
      </c>
      <c r="ABJ14" s="59" t="str">
        <f t="shared" si="507"/>
        <v/>
      </c>
      <c r="ABK14" s="59" t="str">
        <f t="shared" si="507"/>
        <v/>
      </c>
      <c r="ABL14" s="59" t="str">
        <f t="shared" si="507"/>
        <v/>
      </c>
      <c r="ABM14" s="59" t="str">
        <f t="shared" si="507"/>
        <v/>
      </c>
      <c r="ABN14" s="59" t="str">
        <f t="shared" si="507"/>
        <v/>
      </c>
      <c r="ABO14" s="59" t="str">
        <f t="shared" si="507"/>
        <v/>
      </c>
      <c r="ABP14" s="59" t="str">
        <f t="shared" si="507"/>
        <v/>
      </c>
      <c r="ABQ14" s="59" t="str">
        <f t="shared" si="507"/>
        <v/>
      </c>
      <c r="ABR14" s="59" t="str">
        <f t="shared" si="507"/>
        <v/>
      </c>
      <c r="ABS14" s="59" t="str">
        <f t="shared" si="507"/>
        <v/>
      </c>
      <c r="ABT14" s="59" t="str">
        <f t="shared" si="507"/>
        <v/>
      </c>
      <c r="ABU14" s="59" t="str">
        <f t="shared" si="507"/>
        <v/>
      </c>
      <c r="ABV14" s="59" t="str">
        <f t="shared" si="507"/>
        <v/>
      </c>
      <c r="ABW14" s="59" t="str">
        <f t="shared" si="507"/>
        <v/>
      </c>
      <c r="ABX14" s="59" t="str">
        <f t="shared" si="507"/>
        <v/>
      </c>
      <c r="ABY14" s="59" t="str">
        <f t="shared" si="507"/>
        <v/>
      </c>
      <c r="ABZ14" s="59" t="str">
        <f t="shared" si="507"/>
        <v/>
      </c>
      <c r="ACA14" s="59" t="str">
        <f t="shared" si="507"/>
        <v/>
      </c>
      <c r="ACB14" s="59" t="str">
        <f t="shared" si="507"/>
        <v/>
      </c>
      <c r="ACC14" s="59" t="str">
        <f t="shared" si="507"/>
        <v/>
      </c>
      <c r="ACD14" s="59" t="str">
        <f t="shared" si="507"/>
        <v/>
      </c>
      <c r="ACE14" s="59" t="str">
        <f t="shared" si="507"/>
        <v/>
      </c>
      <c r="ACF14" s="59" t="str">
        <f t="shared" si="507"/>
        <v/>
      </c>
      <c r="ACG14" s="59" t="str">
        <f t="shared" si="507"/>
        <v/>
      </c>
      <c r="ACH14" s="59" t="str">
        <f t="shared" si="507"/>
        <v/>
      </c>
      <c r="ACI14" s="59" t="str">
        <f t="shared" si="507"/>
        <v/>
      </c>
      <c r="ACJ14" s="59" t="str">
        <f t="shared" si="507"/>
        <v/>
      </c>
      <c r="ACK14" s="59" t="str">
        <f t="shared" si="507"/>
        <v/>
      </c>
      <c r="ACL14" s="59" t="str">
        <f t="shared" si="507"/>
        <v/>
      </c>
      <c r="ACM14" s="59" t="str">
        <f t="shared" si="507"/>
        <v/>
      </c>
      <c r="ACN14" s="59" t="str">
        <f t="shared" si="507"/>
        <v/>
      </c>
      <c r="ACO14" s="59" t="str">
        <f t="shared" si="507"/>
        <v/>
      </c>
      <c r="ACP14" s="59" t="str">
        <f t="shared" si="507"/>
        <v/>
      </c>
      <c r="ACQ14" s="59" t="str">
        <f t="shared" si="507"/>
        <v/>
      </c>
      <c r="ACR14" s="59" t="str">
        <f t="shared" si="507"/>
        <v/>
      </c>
      <c r="ACS14" s="59" t="str">
        <f t="shared" si="507"/>
        <v/>
      </c>
      <c r="ACT14" s="59" t="str">
        <f t="shared" si="507"/>
        <v/>
      </c>
      <c r="ACU14" s="59" t="str">
        <f t="shared" si="507"/>
        <v/>
      </c>
      <c r="ACV14" s="59" t="str">
        <f t="shared" si="507"/>
        <v/>
      </c>
      <c r="ACW14" s="59" t="str">
        <f t="shared" si="507"/>
        <v/>
      </c>
      <c r="ACX14" s="59" t="str">
        <f t="shared" si="507"/>
        <v/>
      </c>
      <c r="ACY14" s="59" t="str">
        <f t="shared" si="507"/>
        <v/>
      </c>
      <c r="ACZ14" s="59" t="str">
        <f t="shared" si="507"/>
        <v/>
      </c>
      <c r="ADA14" s="59" t="str">
        <f t="shared" si="507"/>
        <v/>
      </c>
      <c r="ADB14" s="59" t="str">
        <f t="shared" si="507"/>
        <v/>
      </c>
      <c r="ADC14" s="59" t="str">
        <f t="shared" si="507"/>
        <v/>
      </c>
      <c r="ADD14" s="59" t="str">
        <f t="shared" si="507"/>
        <v/>
      </c>
      <c r="ADE14" s="59" t="str">
        <f t="shared" si="507"/>
        <v/>
      </c>
      <c r="ADF14" s="59" t="str">
        <f t="shared" si="507"/>
        <v/>
      </c>
      <c r="ADG14" s="59" t="str">
        <f t="shared" si="507"/>
        <v/>
      </c>
      <c r="ADH14" s="59" t="str">
        <f t="shared" si="507"/>
        <v/>
      </c>
      <c r="ADI14" s="59" t="str">
        <f t="shared" si="507"/>
        <v/>
      </c>
      <c r="ADJ14" s="59" t="str">
        <f t="shared" si="507"/>
        <v/>
      </c>
      <c r="ADK14" s="59" t="str">
        <f t="shared" si="507"/>
        <v/>
      </c>
      <c r="ADL14" s="59" t="str">
        <f t="shared" si="507"/>
        <v/>
      </c>
      <c r="ADM14" s="59" t="str">
        <f t="shared" si="507"/>
        <v/>
      </c>
      <c r="ADN14" s="59" t="str">
        <f t="shared" si="507"/>
        <v/>
      </c>
      <c r="ADO14" s="59" t="str">
        <f t="shared" si="507"/>
        <v/>
      </c>
      <c r="ADP14" s="59" t="str">
        <f t="shared" si="507"/>
        <v/>
      </c>
      <c r="ADQ14" s="59" t="str">
        <f t="shared" si="507"/>
        <v/>
      </c>
      <c r="ADR14" s="59" t="str">
        <f t="shared" si="507"/>
        <v/>
      </c>
      <c r="ADS14" s="59" t="str">
        <f t="shared" si="507"/>
        <v/>
      </c>
      <c r="ADT14" s="59" t="str">
        <f t="shared" si="507"/>
        <v/>
      </c>
      <c r="ADU14" s="59" t="str">
        <f t="shared" si="507"/>
        <v/>
      </c>
      <c r="ADV14" s="59" t="str">
        <f t="shared" si="507"/>
        <v/>
      </c>
      <c r="ADW14" s="59" t="str">
        <f t="shared" si="507"/>
        <v/>
      </c>
      <c r="ADX14" s="59" t="str">
        <f t="shared" si="507"/>
        <v/>
      </c>
      <c r="ADY14" s="59" t="str">
        <f t="shared" si="507"/>
        <v/>
      </c>
      <c r="ADZ14" s="59" t="str">
        <f t="shared" si="507"/>
        <v/>
      </c>
      <c r="AEA14" s="59">
        <f>IFERROR(VLOOKUP(INDIRECT(ADDRESS(ROW() - 10, COLUMN())), INDIRECT(ADDRESS(ROW() - 84, 12)):INDIRECT(ADDRESS(ROW() - 80, 16)), 5, FALSE)) + 250</f>
        <v>250</v>
      </c>
      <c r="AEB14" s="59">
        <f t="shared" ref="AEB14:AEF14" si="508">IFERROR(VLOOKUP(INDIRECT(ADDRESS(ROW() - 10, COLUMN())), INDIRECT(ADDRESS(ROW() - 84, 12)):INDIRECT(ADDRESS(ROW() - 80, 16)), 5, FALSE)) + 150</f>
        <v>150</v>
      </c>
      <c r="AEC14" s="59">
        <f t="shared" si="508"/>
        <v>150</v>
      </c>
      <c r="AED14" s="59">
        <f t="shared" si="508"/>
        <v>150</v>
      </c>
      <c r="AEE14" s="59">
        <f t="shared" si="508"/>
        <v>150</v>
      </c>
      <c r="AEF14" s="59">
        <f t="shared" si="508"/>
        <v>150</v>
      </c>
      <c r="AEG14" s="59" t="str">
        <f t="shared" ref="AEG14:AQL14" si="509">IFERROR(VLOOKUP(INDIRECT(ADDRESS(ROW() - 10, COLUMN())), INDIRECT(ADDRESS(ROW() - 84, 12)):INDIRECT(ADDRESS(ROW() - 80, 16)), 5, FALSE))</f>
        <v/>
      </c>
      <c r="AEH14" s="59" t="str">
        <f t="shared" si="509"/>
        <v/>
      </c>
      <c r="AEI14" s="59" t="str">
        <f t="shared" si="509"/>
        <v/>
      </c>
      <c r="AEJ14" s="59" t="str">
        <f t="shared" si="509"/>
        <v/>
      </c>
      <c r="AEK14" s="59" t="str">
        <f t="shared" si="509"/>
        <v/>
      </c>
      <c r="AEL14" s="59" t="str">
        <f t="shared" si="509"/>
        <v/>
      </c>
      <c r="AEM14" s="59" t="str">
        <f t="shared" si="509"/>
        <v/>
      </c>
      <c r="AEN14" s="59" t="str">
        <f t="shared" si="509"/>
        <v/>
      </c>
      <c r="AEO14" s="59" t="str">
        <f t="shared" si="509"/>
        <v/>
      </c>
      <c r="AEP14" s="59" t="str">
        <f t="shared" si="509"/>
        <v/>
      </c>
      <c r="AEQ14" s="59" t="str">
        <f t="shared" si="509"/>
        <v/>
      </c>
      <c r="AER14" s="59" t="str">
        <f t="shared" si="509"/>
        <v/>
      </c>
      <c r="AES14" s="59" t="str">
        <f t="shared" si="509"/>
        <v/>
      </c>
      <c r="AET14" s="59" t="str">
        <f t="shared" si="509"/>
        <v/>
      </c>
      <c r="AEU14" s="59" t="str">
        <f t="shared" si="509"/>
        <v/>
      </c>
      <c r="AEV14" s="59" t="str">
        <f t="shared" si="509"/>
        <v/>
      </c>
      <c r="AEW14" s="59" t="str">
        <f t="shared" si="509"/>
        <v/>
      </c>
      <c r="AEX14" s="59" t="str">
        <f t="shared" si="509"/>
        <v/>
      </c>
      <c r="AEY14" s="59" t="str">
        <f t="shared" si="509"/>
        <v/>
      </c>
      <c r="AEZ14" s="59" t="str">
        <f t="shared" si="509"/>
        <v/>
      </c>
      <c r="AFA14" s="59" t="str">
        <f t="shared" si="509"/>
        <v/>
      </c>
      <c r="AFB14" s="59" t="str">
        <f t="shared" si="509"/>
        <v/>
      </c>
      <c r="AFC14" s="59" t="str">
        <f t="shared" si="509"/>
        <v/>
      </c>
      <c r="AFD14" s="59" t="str">
        <f t="shared" si="509"/>
        <v/>
      </c>
      <c r="AFE14" s="59" t="str">
        <f t="shared" si="509"/>
        <v/>
      </c>
      <c r="AFF14" s="59" t="str">
        <f t="shared" si="509"/>
        <v/>
      </c>
      <c r="AFG14" s="59" t="str">
        <f t="shared" si="509"/>
        <v/>
      </c>
      <c r="AFH14" s="59" t="str">
        <f t="shared" si="509"/>
        <v/>
      </c>
      <c r="AFI14" s="59" t="str">
        <f t="shared" si="509"/>
        <v/>
      </c>
      <c r="AFJ14" s="59" t="str">
        <f t="shared" si="509"/>
        <v/>
      </c>
      <c r="AFK14" s="59" t="str">
        <f t="shared" si="509"/>
        <v/>
      </c>
      <c r="AFL14" s="59" t="str">
        <f t="shared" si="509"/>
        <v/>
      </c>
      <c r="AFM14" s="59" t="str">
        <f t="shared" si="509"/>
        <v/>
      </c>
      <c r="AFN14" s="59" t="str">
        <f t="shared" si="509"/>
        <v/>
      </c>
      <c r="AFO14" s="59" t="str">
        <f t="shared" si="509"/>
        <v/>
      </c>
      <c r="AFP14" s="59" t="str">
        <f t="shared" si="509"/>
        <v/>
      </c>
      <c r="AFQ14" s="59" t="str">
        <f t="shared" si="509"/>
        <v/>
      </c>
      <c r="AFR14" s="59" t="str">
        <f t="shared" si="509"/>
        <v/>
      </c>
      <c r="AFS14" s="59" t="str">
        <f t="shared" si="509"/>
        <v/>
      </c>
      <c r="AFT14" s="59" t="str">
        <f t="shared" si="509"/>
        <v/>
      </c>
      <c r="AFU14" s="59" t="str">
        <f t="shared" si="509"/>
        <v/>
      </c>
      <c r="AFV14" s="59" t="str">
        <f t="shared" si="509"/>
        <v/>
      </c>
      <c r="AFW14" s="59" t="str">
        <f t="shared" si="509"/>
        <v/>
      </c>
      <c r="AFX14" s="59" t="str">
        <f t="shared" si="509"/>
        <v/>
      </c>
      <c r="AFY14" s="59" t="str">
        <f t="shared" si="509"/>
        <v/>
      </c>
      <c r="AFZ14" s="59" t="str">
        <f t="shared" si="509"/>
        <v/>
      </c>
      <c r="AGA14" s="59" t="str">
        <f t="shared" si="509"/>
        <v/>
      </c>
      <c r="AGB14" s="59" t="str">
        <f t="shared" si="509"/>
        <v/>
      </c>
      <c r="AGC14" s="59" t="str">
        <f t="shared" si="509"/>
        <v/>
      </c>
      <c r="AGD14" s="59" t="str">
        <f t="shared" si="509"/>
        <v/>
      </c>
      <c r="AGE14" s="59" t="str">
        <f t="shared" si="509"/>
        <v/>
      </c>
      <c r="AGF14" s="59" t="str">
        <f t="shared" si="509"/>
        <v/>
      </c>
      <c r="AGG14" s="59" t="str">
        <f t="shared" si="509"/>
        <v/>
      </c>
      <c r="AGH14" s="59" t="str">
        <f t="shared" si="509"/>
        <v/>
      </c>
      <c r="AGI14" s="59" t="str">
        <f t="shared" si="509"/>
        <v/>
      </c>
      <c r="AGJ14" s="59" t="str">
        <f t="shared" si="509"/>
        <v/>
      </c>
      <c r="AGK14" s="59" t="str">
        <f t="shared" si="509"/>
        <v/>
      </c>
      <c r="AGL14" s="59" t="str">
        <f t="shared" si="509"/>
        <v/>
      </c>
      <c r="AGM14" s="59" t="str">
        <f t="shared" si="509"/>
        <v/>
      </c>
      <c r="AGN14" s="59" t="str">
        <f t="shared" si="509"/>
        <v/>
      </c>
      <c r="AGO14" s="59" t="str">
        <f t="shared" si="509"/>
        <v/>
      </c>
      <c r="AGP14" s="59" t="str">
        <f t="shared" si="509"/>
        <v/>
      </c>
      <c r="AGQ14" s="59" t="str">
        <f t="shared" si="509"/>
        <v/>
      </c>
      <c r="AGR14" s="59" t="str">
        <f t="shared" si="509"/>
        <v/>
      </c>
      <c r="AGS14" s="59" t="str">
        <f t="shared" si="509"/>
        <v/>
      </c>
      <c r="AGT14" s="59" t="str">
        <f t="shared" si="509"/>
        <v/>
      </c>
      <c r="AGU14" s="59" t="str">
        <f t="shared" si="509"/>
        <v/>
      </c>
      <c r="AGV14" s="59" t="str">
        <f t="shared" si="509"/>
        <v/>
      </c>
      <c r="AGW14" s="195" t="str">
        <f t="shared" si="509"/>
        <v/>
      </c>
      <c r="AGX14" s="195" t="str">
        <f t="shared" si="509"/>
        <v/>
      </c>
      <c r="AGY14" s="195" t="str">
        <f t="shared" si="509"/>
        <v/>
      </c>
      <c r="AGZ14" s="195" t="str">
        <f t="shared" si="509"/>
        <v/>
      </c>
      <c r="AHA14" s="59" t="str">
        <f t="shared" si="509"/>
        <v/>
      </c>
      <c r="AHB14" s="59" t="str">
        <f t="shared" si="509"/>
        <v/>
      </c>
      <c r="AHC14" s="59" t="str">
        <f t="shared" si="509"/>
        <v/>
      </c>
      <c r="AHD14" s="59" t="str">
        <f t="shared" si="509"/>
        <v/>
      </c>
      <c r="AHE14" s="59" t="str">
        <f t="shared" si="509"/>
        <v/>
      </c>
      <c r="AHF14" s="59" t="str">
        <f t="shared" si="509"/>
        <v/>
      </c>
      <c r="AHG14" s="59" t="str">
        <f t="shared" si="509"/>
        <v/>
      </c>
      <c r="AHH14" s="59" t="str">
        <f t="shared" si="509"/>
        <v/>
      </c>
      <c r="AHI14" s="59" t="str">
        <f t="shared" si="509"/>
        <v/>
      </c>
      <c r="AHJ14" s="59" t="str">
        <f t="shared" si="509"/>
        <v/>
      </c>
      <c r="AHK14" s="59" t="str">
        <f t="shared" si="509"/>
        <v/>
      </c>
      <c r="AHL14" s="59" t="str">
        <f t="shared" si="509"/>
        <v/>
      </c>
      <c r="AHM14" s="59" t="str">
        <f t="shared" si="509"/>
        <v/>
      </c>
      <c r="AHN14" s="59" t="str">
        <f t="shared" si="509"/>
        <v/>
      </c>
      <c r="AHO14" s="59" t="str">
        <f t="shared" si="509"/>
        <v/>
      </c>
      <c r="AHP14" s="59" t="str">
        <f t="shared" si="509"/>
        <v/>
      </c>
      <c r="AHQ14" s="59" t="str">
        <f t="shared" si="509"/>
        <v/>
      </c>
      <c r="AHR14" s="59" t="str">
        <f t="shared" si="509"/>
        <v/>
      </c>
      <c r="AHS14" s="59" t="str">
        <f t="shared" si="509"/>
        <v/>
      </c>
      <c r="AHT14" s="59" t="str">
        <f t="shared" si="509"/>
        <v/>
      </c>
      <c r="AHU14" s="59" t="str">
        <f t="shared" si="509"/>
        <v/>
      </c>
      <c r="AHV14" s="59" t="str">
        <f t="shared" si="509"/>
        <v/>
      </c>
      <c r="AHW14" s="59" t="str">
        <f t="shared" si="509"/>
        <v/>
      </c>
      <c r="AHX14" s="59" t="str">
        <f t="shared" si="509"/>
        <v/>
      </c>
      <c r="AHY14" s="59" t="str">
        <f t="shared" si="509"/>
        <v/>
      </c>
      <c r="AHZ14" s="59" t="str">
        <f t="shared" si="509"/>
        <v/>
      </c>
      <c r="AIA14" s="59" t="str">
        <f t="shared" si="509"/>
        <v/>
      </c>
      <c r="AIB14" s="59" t="str">
        <f t="shared" si="509"/>
        <v/>
      </c>
      <c r="AIC14" s="59" t="str">
        <f t="shared" si="509"/>
        <v/>
      </c>
      <c r="AID14" s="59" t="str">
        <f t="shared" si="509"/>
        <v/>
      </c>
      <c r="AIE14" s="59" t="str">
        <f t="shared" si="509"/>
        <v/>
      </c>
      <c r="AIF14" s="59" t="str">
        <f t="shared" si="509"/>
        <v/>
      </c>
      <c r="AIG14" s="59" t="str">
        <f t="shared" si="509"/>
        <v/>
      </c>
      <c r="AIH14" s="59" t="str">
        <f t="shared" si="509"/>
        <v/>
      </c>
      <c r="AII14" s="59" t="str">
        <f t="shared" si="509"/>
        <v/>
      </c>
      <c r="AIJ14" s="59" t="str">
        <f t="shared" si="509"/>
        <v/>
      </c>
      <c r="AIK14" s="59" t="str">
        <f t="shared" si="509"/>
        <v/>
      </c>
      <c r="AIL14" s="59" t="str">
        <f t="shared" si="509"/>
        <v/>
      </c>
      <c r="AIM14" s="59" t="str">
        <f t="shared" si="509"/>
        <v/>
      </c>
      <c r="AIN14" s="59" t="str">
        <f t="shared" si="509"/>
        <v/>
      </c>
      <c r="AIO14" s="59" t="str">
        <f t="shared" si="509"/>
        <v/>
      </c>
      <c r="AIP14" s="59" t="str">
        <f t="shared" si="509"/>
        <v/>
      </c>
      <c r="AIQ14" s="59" t="str">
        <f t="shared" si="509"/>
        <v/>
      </c>
      <c r="AIR14" s="59" t="str">
        <f t="shared" si="509"/>
        <v/>
      </c>
      <c r="AIS14" s="59" t="str">
        <f t="shared" si="509"/>
        <v/>
      </c>
      <c r="AIT14" s="59" t="str">
        <f t="shared" si="509"/>
        <v/>
      </c>
      <c r="AIU14" s="59" t="str">
        <f t="shared" si="509"/>
        <v/>
      </c>
      <c r="AIV14" s="59" t="str">
        <f t="shared" si="509"/>
        <v/>
      </c>
      <c r="AIW14" s="59" t="str">
        <f t="shared" si="509"/>
        <v/>
      </c>
      <c r="AIX14" s="59" t="str">
        <f t="shared" si="509"/>
        <v/>
      </c>
      <c r="AIY14" s="59" t="str">
        <f t="shared" si="509"/>
        <v/>
      </c>
      <c r="AIZ14" s="59" t="str">
        <f t="shared" si="509"/>
        <v/>
      </c>
      <c r="AJA14" s="59" t="str">
        <f t="shared" si="509"/>
        <v/>
      </c>
      <c r="AJB14" s="59" t="str">
        <f t="shared" si="509"/>
        <v/>
      </c>
      <c r="AJC14" s="59" t="str">
        <f t="shared" si="509"/>
        <v/>
      </c>
      <c r="AJD14" s="59" t="str">
        <f t="shared" si="509"/>
        <v/>
      </c>
      <c r="AJE14" s="59" t="str">
        <f t="shared" si="509"/>
        <v/>
      </c>
      <c r="AJF14" s="59" t="str">
        <f t="shared" si="509"/>
        <v/>
      </c>
      <c r="AJG14" s="59" t="str">
        <f t="shared" si="509"/>
        <v/>
      </c>
      <c r="AJH14" s="59" t="str">
        <f t="shared" si="509"/>
        <v/>
      </c>
      <c r="AJI14" s="59" t="str">
        <f t="shared" si="509"/>
        <v/>
      </c>
      <c r="AJJ14" s="59" t="str">
        <f t="shared" si="509"/>
        <v/>
      </c>
      <c r="AJK14" s="59" t="str">
        <f t="shared" si="509"/>
        <v/>
      </c>
      <c r="AJL14" s="59" t="str">
        <f t="shared" si="509"/>
        <v/>
      </c>
      <c r="AJM14" s="59" t="str">
        <f t="shared" si="509"/>
        <v/>
      </c>
      <c r="AJN14" s="59" t="str">
        <f t="shared" si="509"/>
        <v/>
      </c>
      <c r="AJO14" s="59" t="str">
        <f t="shared" si="509"/>
        <v/>
      </c>
      <c r="AJP14" s="59" t="str">
        <f t="shared" si="509"/>
        <v/>
      </c>
      <c r="AJQ14" s="59" t="str">
        <f t="shared" si="509"/>
        <v/>
      </c>
      <c r="AJR14" s="59" t="str">
        <f t="shared" si="509"/>
        <v/>
      </c>
      <c r="AJS14" s="59" t="str">
        <f t="shared" si="509"/>
        <v/>
      </c>
      <c r="AJT14" s="59" t="str">
        <f t="shared" si="509"/>
        <v/>
      </c>
      <c r="AJU14" s="59" t="str">
        <f t="shared" si="509"/>
        <v/>
      </c>
      <c r="AJV14" s="59" t="str">
        <f t="shared" si="509"/>
        <v/>
      </c>
      <c r="AJW14" s="59" t="str">
        <f t="shared" si="509"/>
        <v/>
      </c>
      <c r="AJX14" s="59" t="str">
        <f t="shared" si="509"/>
        <v/>
      </c>
      <c r="AJY14" s="59" t="str">
        <f t="shared" si="509"/>
        <v/>
      </c>
      <c r="AJZ14" s="59" t="str">
        <f t="shared" si="509"/>
        <v/>
      </c>
      <c r="AKA14" s="59" t="str">
        <f t="shared" si="509"/>
        <v/>
      </c>
      <c r="AKB14" s="59" t="str">
        <f t="shared" si="509"/>
        <v/>
      </c>
      <c r="AKC14" s="59" t="str">
        <f t="shared" si="509"/>
        <v/>
      </c>
      <c r="AKD14" s="59" t="str">
        <f t="shared" si="509"/>
        <v/>
      </c>
      <c r="AKE14" s="59" t="str">
        <f t="shared" si="509"/>
        <v/>
      </c>
      <c r="AKF14" s="59" t="str">
        <f t="shared" si="509"/>
        <v/>
      </c>
      <c r="AKG14" s="59" t="str">
        <f t="shared" si="509"/>
        <v/>
      </c>
      <c r="AKH14" s="59" t="str">
        <f t="shared" si="509"/>
        <v/>
      </c>
      <c r="AKI14" s="59" t="str">
        <f t="shared" si="509"/>
        <v/>
      </c>
      <c r="AKJ14" s="59" t="str">
        <f t="shared" si="509"/>
        <v/>
      </c>
      <c r="AKK14" s="59" t="str">
        <f t="shared" si="509"/>
        <v/>
      </c>
      <c r="AKL14" s="59" t="str">
        <f t="shared" si="509"/>
        <v/>
      </c>
      <c r="AKM14" s="59" t="str">
        <f t="shared" si="509"/>
        <v/>
      </c>
      <c r="AKN14" s="59" t="str">
        <f t="shared" si="509"/>
        <v/>
      </c>
      <c r="AKO14" s="59" t="str">
        <f t="shared" si="509"/>
        <v/>
      </c>
      <c r="AKP14" s="59" t="str">
        <f t="shared" si="509"/>
        <v/>
      </c>
      <c r="AKQ14" s="59" t="str">
        <f t="shared" si="509"/>
        <v/>
      </c>
      <c r="AKR14" s="59" t="str">
        <f t="shared" si="509"/>
        <v/>
      </c>
      <c r="AKS14" s="59" t="str">
        <f t="shared" si="509"/>
        <v/>
      </c>
      <c r="AKT14" s="59" t="str">
        <f t="shared" si="509"/>
        <v/>
      </c>
      <c r="AKU14" s="59" t="str">
        <f t="shared" si="509"/>
        <v/>
      </c>
      <c r="AKV14" s="59" t="str">
        <f t="shared" si="509"/>
        <v/>
      </c>
      <c r="AKW14" s="59" t="str">
        <f t="shared" si="509"/>
        <v/>
      </c>
      <c r="AKX14" s="59" t="str">
        <f t="shared" si="509"/>
        <v/>
      </c>
      <c r="AKY14" s="59" t="str">
        <f t="shared" si="509"/>
        <v/>
      </c>
      <c r="AKZ14" s="59" t="str">
        <f t="shared" si="509"/>
        <v/>
      </c>
      <c r="ALA14" s="59" t="str">
        <f t="shared" si="509"/>
        <v/>
      </c>
      <c r="ALB14" s="59" t="str">
        <f t="shared" si="509"/>
        <v/>
      </c>
      <c r="ALC14" s="59" t="str">
        <f t="shared" si="509"/>
        <v/>
      </c>
      <c r="ALD14" s="59" t="str">
        <f t="shared" si="509"/>
        <v/>
      </c>
      <c r="ALE14" s="59" t="str">
        <f t="shared" si="509"/>
        <v/>
      </c>
      <c r="ALF14" s="59" t="str">
        <f t="shared" si="509"/>
        <v/>
      </c>
      <c r="ALG14" s="59" t="str">
        <f t="shared" si="509"/>
        <v/>
      </c>
      <c r="ALH14" s="59" t="str">
        <f t="shared" si="509"/>
        <v/>
      </c>
      <c r="ALI14" s="59" t="str">
        <f t="shared" si="509"/>
        <v/>
      </c>
      <c r="ALJ14" s="59" t="str">
        <f t="shared" si="509"/>
        <v/>
      </c>
      <c r="ALK14" s="59" t="str">
        <f t="shared" si="509"/>
        <v/>
      </c>
      <c r="ALL14" s="59" t="str">
        <f t="shared" si="509"/>
        <v/>
      </c>
      <c r="ALM14" s="59" t="str">
        <f t="shared" si="509"/>
        <v/>
      </c>
      <c r="ALN14" s="59" t="str">
        <f t="shared" si="509"/>
        <v/>
      </c>
      <c r="ALO14" s="59" t="str">
        <f t="shared" si="509"/>
        <v/>
      </c>
      <c r="ALP14" s="59" t="str">
        <f t="shared" si="509"/>
        <v/>
      </c>
      <c r="ALQ14" s="59" t="str">
        <f t="shared" si="509"/>
        <v/>
      </c>
      <c r="ALR14" s="59" t="str">
        <f t="shared" si="509"/>
        <v/>
      </c>
      <c r="ALS14" s="59" t="str">
        <f t="shared" si="509"/>
        <v/>
      </c>
      <c r="ALT14" s="59" t="str">
        <f t="shared" si="509"/>
        <v/>
      </c>
      <c r="ALU14" s="59" t="str">
        <f t="shared" si="509"/>
        <v/>
      </c>
      <c r="ALV14" s="59" t="str">
        <f t="shared" si="509"/>
        <v/>
      </c>
      <c r="ALW14" s="59" t="str">
        <f t="shared" si="509"/>
        <v/>
      </c>
      <c r="ALX14" s="59" t="str">
        <f t="shared" si="509"/>
        <v/>
      </c>
      <c r="ALY14" s="59" t="str">
        <f t="shared" si="509"/>
        <v/>
      </c>
      <c r="ALZ14" s="59" t="str">
        <f t="shared" si="509"/>
        <v/>
      </c>
      <c r="AMA14" s="59" t="str">
        <f t="shared" si="509"/>
        <v/>
      </c>
      <c r="AMB14" s="59" t="str">
        <f t="shared" si="509"/>
        <v/>
      </c>
      <c r="AMC14" s="59" t="str">
        <f t="shared" si="509"/>
        <v/>
      </c>
      <c r="AMD14" s="59" t="str">
        <f t="shared" si="509"/>
        <v/>
      </c>
      <c r="AME14" s="59" t="str">
        <f t="shared" si="509"/>
        <v/>
      </c>
      <c r="AMF14" s="59" t="str">
        <f t="shared" si="509"/>
        <v/>
      </c>
      <c r="AMG14" s="59" t="str">
        <f t="shared" si="509"/>
        <v/>
      </c>
      <c r="AMH14" s="59" t="str">
        <f t="shared" si="509"/>
        <v/>
      </c>
      <c r="AMI14" s="59" t="str">
        <f t="shared" si="509"/>
        <v/>
      </c>
      <c r="AMJ14" s="59" t="str">
        <f t="shared" si="509"/>
        <v/>
      </c>
      <c r="AMK14" s="59" t="str">
        <f t="shared" si="509"/>
        <v/>
      </c>
      <c r="AML14" s="59" t="str">
        <f t="shared" si="509"/>
        <v/>
      </c>
      <c r="AMM14" s="59" t="str">
        <f t="shared" si="509"/>
        <v/>
      </c>
      <c r="AMN14" s="59" t="str">
        <f t="shared" si="509"/>
        <v/>
      </c>
      <c r="AMO14" s="59" t="str">
        <f t="shared" si="509"/>
        <v/>
      </c>
      <c r="AMP14" s="59" t="str">
        <f t="shared" si="509"/>
        <v/>
      </c>
      <c r="AMQ14" s="59" t="str">
        <f t="shared" si="509"/>
        <v/>
      </c>
      <c r="AMR14" s="59" t="str">
        <f t="shared" si="509"/>
        <v/>
      </c>
      <c r="AMS14" s="59" t="str">
        <f t="shared" si="509"/>
        <v/>
      </c>
      <c r="AMT14" s="59" t="str">
        <f t="shared" si="509"/>
        <v/>
      </c>
      <c r="AMU14" s="59" t="str">
        <f t="shared" si="509"/>
        <v/>
      </c>
      <c r="AMV14" s="59" t="str">
        <f t="shared" si="509"/>
        <v/>
      </c>
      <c r="AMW14" s="59" t="str">
        <f t="shared" si="509"/>
        <v/>
      </c>
      <c r="AMX14" s="59" t="str">
        <f t="shared" si="509"/>
        <v/>
      </c>
      <c r="AMY14" s="59" t="str">
        <f t="shared" si="509"/>
        <v/>
      </c>
      <c r="AMZ14" s="59" t="str">
        <f t="shared" si="509"/>
        <v/>
      </c>
      <c r="ANA14" s="59" t="str">
        <f t="shared" si="509"/>
        <v/>
      </c>
      <c r="ANB14" s="59" t="str">
        <f t="shared" si="509"/>
        <v/>
      </c>
      <c r="ANC14" s="59" t="str">
        <f t="shared" si="509"/>
        <v/>
      </c>
      <c r="AND14" s="59" t="str">
        <f t="shared" si="509"/>
        <v/>
      </c>
      <c r="ANE14" s="59" t="str">
        <f t="shared" si="509"/>
        <v/>
      </c>
      <c r="ANF14" s="59" t="str">
        <f t="shared" si="509"/>
        <v/>
      </c>
      <c r="ANG14" s="59" t="str">
        <f t="shared" si="509"/>
        <v/>
      </c>
      <c r="ANH14" s="59" t="str">
        <f t="shared" si="509"/>
        <v/>
      </c>
      <c r="ANI14" s="59" t="str">
        <f t="shared" si="509"/>
        <v/>
      </c>
      <c r="ANJ14" s="59" t="str">
        <f t="shared" si="509"/>
        <v/>
      </c>
      <c r="ANK14" s="59" t="str">
        <f t="shared" si="509"/>
        <v/>
      </c>
      <c r="ANL14" s="59" t="str">
        <f t="shared" si="509"/>
        <v/>
      </c>
      <c r="ANM14" s="59" t="str">
        <f t="shared" si="509"/>
        <v/>
      </c>
      <c r="ANN14" s="59" t="str">
        <f t="shared" si="509"/>
        <v/>
      </c>
      <c r="ANO14" s="59" t="str">
        <f t="shared" si="509"/>
        <v/>
      </c>
      <c r="ANP14" s="59" t="str">
        <f t="shared" si="509"/>
        <v/>
      </c>
      <c r="ANQ14" s="59" t="str">
        <f t="shared" si="509"/>
        <v/>
      </c>
      <c r="ANR14" s="59" t="str">
        <f t="shared" si="509"/>
        <v/>
      </c>
      <c r="ANS14" s="59" t="str">
        <f t="shared" si="509"/>
        <v/>
      </c>
      <c r="ANT14" s="59" t="str">
        <f t="shared" si="509"/>
        <v/>
      </c>
      <c r="ANU14" s="59" t="str">
        <f t="shared" si="509"/>
        <v/>
      </c>
      <c r="ANV14" s="59" t="str">
        <f t="shared" si="509"/>
        <v/>
      </c>
      <c r="ANW14" s="59" t="str">
        <f t="shared" si="509"/>
        <v/>
      </c>
      <c r="ANX14" s="59" t="str">
        <f t="shared" si="509"/>
        <v/>
      </c>
      <c r="ANY14" s="59" t="str">
        <f t="shared" si="509"/>
        <v/>
      </c>
      <c r="ANZ14" s="59" t="str">
        <f t="shared" si="509"/>
        <v/>
      </c>
      <c r="AOA14" s="59" t="str">
        <f t="shared" si="509"/>
        <v/>
      </c>
      <c r="AOB14" s="59" t="str">
        <f t="shared" si="509"/>
        <v/>
      </c>
      <c r="AOC14" s="59" t="str">
        <f t="shared" si="509"/>
        <v/>
      </c>
      <c r="AOD14" s="59" t="str">
        <f t="shared" si="509"/>
        <v/>
      </c>
      <c r="AOE14" s="59" t="str">
        <f t="shared" si="509"/>
        <v/>
      </c>
      <c r="AOF14" s="59" t="str">
        <f t="shared" si="509"/>
        <v/>
      </c>
      <c r="AOG14" s="59" t="str">
        <f t="shared" si="509"/>
        <v/>
      </c>
      <c r="AOH14" s="59" t="str">
        <f t="shared" si="509"/>
        <v/>
      </c>
      <c r="AOI14" s="59" t="str">
        <f t="shared" si="509"/>
        <v/>
      </c>
      <c r="AOJ14" s="59" t="str">
        <f t="shared" si="509"/>
        <v/>
      </c>
      <c r="AOK14" s="59" t="str">
        <f t="shared" si="509"/>
        <v/>
      </c>
      <c r="AOL14" s="59" t="str">
        <f t="shared" si="509"/>
        <v/>
      </c>
      <c r="AOM14" s="59" t="str">
        <f t="shared" si="509"/>
        <v/>
      </c>
      <c r="AON14" s="59" t="str">
        <f t="shared" si="509"/>
        <v/>
      </c>
      <c r="AOO14" s="59" t="str">
        <f t="shared" si="509"/>
        <v/>
      </c>
      <c r="AOP14" s="59" t="str">
        <f t="shared" si="509"/>
        <v/>
      </c>
      <c r="AOQ14" s="59" t="str">
        <f t="shared" si="509"/>
        <v/>
      </c>
      <c r="AOR14" s="59" t="str">
        <f t="shared" si="509"/>
        <v/>
      </c>
      <c r="AOS14" s="59" t="str">
        <f t="shared" si="509"/>
        <v/>
      </c>
      <c r="AOT14" s="59" t="str">
        <f t="shared" si="509"/>
        <v/>
      </c>
      <c r="AOU14" s="59" t="str">
        <f t="shared" si="509"/>
        <v/>
      </c>
      <c r="AOV14" s="59" t="str">
        <f t="shared" si="509"/>
        <v/>
      </c>
      <c r="AOW14" s="59" t="str">
        <f t="shared" si="509"/>
        <v/>
      </c>
      <c r="AOX14" s="59" t="str">
        <f t="shared" si="509"/>
        <v/>
      </c>
      <c r="AOY14" s="59" t="str">
        <f t="shared" si="509"/>
        <v/>
      </c>
      <c r="AOZ14" s="59" t="str">
        <f t="shared" si="509"/>
        <v/>
      </c>
      <c r="APA14" s="59" t="str">
        <f t="shared" si="509"/>
        <v/>
      </c>
      <c r="APB14" s="59" t="str">
        <f t="shared" si="509"/>
        <v/>
      </c>
      <c r="APC14" s="59" t="str">
        <f t="shared" si="509"/>
        <v/>
      </c>
      <c r="APD14" s="59" t="str">
        <f t="shared" si="509"/>
        <v/>
      </c>
      <c r="APE14" s="59" t="str">
        <f t="shared" si="509"/>
        <v/>
      </c>
      <c r="APF14" s="59" t="str">
        <f t="shared" si="509"/>
        <v/>
      </c>
      <c r="APG14" s="59" t="str">
        <f t="shared" si="509"/>
        <v/>
      </c>
      <c r="APH14" s="59" t="str">
        <f t="shared" si="509"/>
        <v/>
      </c>
      <c r="API14" s="59" t="str">
        <f t="shared" si="509"/>
        <v/>
      </c>
      <c r="APJ14" s="59" t="str">
        <f t="shared" si="509"/>
        <v/>
      </c>
      <c r="APK14" s="59" t="str">
        <f t="shared" si="509"/>
        <v/>
      </c>
      <c r="APL14" s="59" t="str">
        <f t="shared" si="509"/>
        <v/>
      </c>
      <c r="APM14" s="59" t="str">
        <f t="shared" si="509"/>
        <v/>
      </c>
      <c r="APN14" s="59" t="str">
        <f t="shared" si="509"/>
        <v/>
      </c>
      <c r="APO14" s="59" t="str">
        <f t="shared" si="509"/>
        <v/>
      </c>
      <c r="APP14" s="59" t="str">
        <f t="shared" si="509"/>
        <v/>
      </c>
      <c r="APQ14" s="59" t="str">
        <f t="shared" si="509"/>
        <v/>
      </c>
      <c r="APR14" s="59" t="str">
        <f t="shared" si="509"/>
        <v/>
      </c>
      <c r="APS14" s="59" t="str">
        <f t="shared" si="509"/>
        <v/>
      </c>
      <c r="APT14" s="59" t="str">
        <f t="shared" si="509"/>
        <v/>
      </c>
      <c r="APU14" s="59" t="str">
        <f t="shared" si="509"/>
        <v/>
      </c>
      <c r="APV14" s="59" t="str">
        <f t="shared" si="509"/>
        <v/>
      </c>
      <c r="APW14" s="59" t="str">
        <f t="shared" si="509"/>
        <v/>
      </c>
      <c r="APX14" s="59" t="str">
        <f t="shared" si="509"/>
        <v/>
      </c>
      <c r="APY14" s="59" t="str">
        <f t="shared" si="509"/>
        <v/>
      </c>
      <c r="APZ14" s="59" t="str">
        <f t="shared" si="509"/>
        <v/>
      </c>
      <c r="AQA14" s="59" t="str">
        <f t="shared" si="509"/>
        <v/>
      </c>
      <c r="AQB14" s="59" t="str">
        <f t="shared" si="509"/>
        <v/>
      </c>
      <c r="AQC14" s="59" t="str">
        <f t="shared" si="509"/>
        <v/>
      </c>
      <c r="AQD14" s="59" t="str">
        <f t="shared" si="509"/>
        <v/>
      </c>
      <c r="AQE14" s="59" t="str">
        <f t="shared" si="509"/>
        <v/>
      </c>
      <c r="AQF14" s="59" t="str">
        <f t="shared" si="509"/>
        <v/>
      </c>
      <c r="AQG14" s="59" t="str">
        <f t="shared" si="509"/>
        <v/>
      </c>
      <c r="AQH14" s="59" t="str">
        <f t="shared" si="509"/>
        <v/>
      </c>
      <c r="AQI14" s="59" t="str">
        <f t="shared" si="509"/>
        <v/>
      </c>
      <c r="AQJ14" s="59" t="str">
        <f t="shared" si="509"/>
        <v/>
      </c>
      <c r="AQK14" s="59" t="str">
        <f t="shared" si="509"/>
        <v/>
      </c>
      <c r="AQL14" s="59" t="str">
        <f t="shared" si="509"/>
        <v/>
      </c>
    </row>
    <row r="15">
      <c r="A15" s="4" t="s">
        <v>261</v>
      </c>
      <c r="B15" s="197"/>
      <c r="C15" s="10"/>
      <c r="D15" s="197"/>
      <c r="E15" s="197"/>
      <c r="F15" s="10"/>
      <c r="G15" s="10"/>
      <c r="H15" s="10"/>
      <c r="I15" s="10"/>
      <c r="J15" s="10"/>
      <c r="K15" s="10"/>
      <c r="L15" s="197"/>
      <c r="M15" s="10"/>
      <c r="N15" s="10"/>
      <c r="O15" s="10"/>
      <c r="P15" s="10"/>
      <c r="Q15" s="10"/>
      <c r="R15" s="10"/>
      <c r="S15" s="10"/>
      <c r="T15" s="10"/>
      <c r="U15" s="10"/>
      <c r="V15" s="10"/>
      <c r="W15" s="10"/>
      <c r="X15" s="10"/>
      <c r="Y15" s="10"/>
      <c r="Z15" s="197"/>
      <c r="AA15" s="10"/>
      <c r="AB15" s="10"/>
      <c r="AC15" s="10"/>
      <c r="AD15" s="10"/>
      <c r="AE15" s="10"/>
      <c r="AF15" s="197"/>
      <c r="AG15" s="197"/>
      <c r="AH15" s="10"/>
      <c r="AI15" s="10"/>
      <c r="AJ15" s="10"/>
      <c r="AK15" s="10"/>
      <c r="AL15" s="10"/>
      <c r="AM15" s="197"/>
      <c r="AN15" s="197"/>
      <c r="AO15" s="10"/>
      <c r="AP15" s="10"/>
      <c r="AQ15" s="10"/>
      <c r="AR15" s="10"/>
      <c r="AS15" s="10"/>
      <c r="AT15" s="197"/>
      <c r="AU15" s="197"/>
      <c r="AV15" s="10"/>
      <c r="AW15" s="10"/>
      <c r="AX15" s="10"/>
      <c r="AY15" s="10"/>
      <c r="AZ15" s="10"/>
      <c r="BA15" s="197"/>
      <c r="BB15" s="197"/>
      <c r="BC15" s="10"/>
      <c r="BD15" s="10"/>
      <c r="BE15" s="10"/>
      <c r="BF15" s="10"/>
      <c r="BG15" s="197"/>
      <c r="BH15" s="197"/>
      <c r="BI15" s="10"/>
      <c r="BJ15" s="10"/>
      <c r="BK15" s="10"/>
      <c r="BL15" s="10"/>
      <c r="BM15" s="10"/>
      <c r="BN15" s="197"/>
      <c r="BO15" s="197"/>
      <c r="BP15" s="10"/>
      <c r="BQ15" s="10"/>
      <c r="BR15" s="10"/>
      <c r="BS15" s="10"/>
      <c r="BT15" s="10"/>
      <c r="BU15" s="10"/>
      <c r="BV15" s="10"/>
      <c r="BW15" s="10"/>
      <c r="BX15" s="10"/>
      <c r="BY15" s="197"/>
      <c r="BZ15" s="197"/>
      <c r="CA15" s="10"/>
      <c r="CB15" s="10"/>
      <c r="CC15" s="10"/>
      <c r="CD15" s="10"/>
      <c r="CE15" s="10"/>
      <c r="CF15" s="197"/>
      <c r="CG15" s="197"/>
      <c r="CH15" s="10"/>
      <c r="CI15" s="10"/>
      <c r="CJ15" s="10"/>
      <c r="CK15" s="10"/>
      <c r="CL15" s="10"/>
      <c r="CM15" s="197"/>
      <c r="CN15" s="197"/>
      <c r="CO15" s="10"/>
      <c r="CP15" s="10"/>
      <c r="CQ15" s="10"/>
      <c r="CR15" s="10"/>
      <c r="CS15" s="10"/>
      <c r="CT15" s="197"/>
      <c r="CU15" s="197"/>
      <c r="CV15" s="10"/>
      <c r="CW15" s="10"/>
      <c r="CX15" s="10"/>
      <c r="CY15" s="10"/>
      <c r="CZ15" s="197"/>
      <c r="DA15" s="197"/>
      <c r="DB15" s="10"/>
      <c r="DC15" s="10"/>
      <c r="DD15" s="10"/>
      <c r="DE15" s="10"/>
      <c r="DF15" s="10"/>
      <c r="DG15" s="197"/>
      <c r="DH15" s="197"/>
      <c r="DI15" s="10"/>
      <c r="DJ15" s="10"/>
      <c r="DK15" s="10"/>
      <c r="DL15" s="10"/>
      <c r="DM15" s="10"/>
      <c r="DN15" s="197"/>
      <c r="DO15" s="197"/>
      <c r="DP15" s="10"/>
      <c r="DQ15" s="10"/>
      <c r="DR15" s="10"/>
      <c r="DS15" s="10"/>
      <c r="DT15" s="10"/>
      <c r="DU15" s="197"/>
      <c r="DV15" s="197"/>
      <c r="DW15" s="10"/>
      <c r="DX15" s="10"/>
      <c r="DY15" s="10"/>
      <c r="DZ15" s="10"/>
      <c r="EA15" s="10"/>
      <c r="EB15" s="197"/>
      <c r="EC15" s="197"/>
      <c r="ED15" s="10"/>
      <c r="EE15" s="10"/>
      <c r="EF15" s="10"/>
      <c r="EG15" s="10"/>
      <c r="EH15" s="10"/>
      <c r="EI15" s="197"/>
      <c r="EJ15" s="197"/>
      <c r="EK15" s="10"/>
      <c r="EL15" s="10"/>
      <c r="EM15" s="10"/>
      <c r="EN15" s="10"/>
      <c r="EO15" s="10"/>
      <c r="EP15" s="197"/>
      <c r="EQ15" s="197"/>
      <c r="ER15" s="10"/>
      <c r="ES15" s="10"/>
      <c r="ET15" s="10"/>
      <c r="EU15" s="10"/>
      <c r="EV15" s="10"/>
      <c r="EW15" s="197"/>
      <c r="EX15" s="197"/>
      <c r="EY15" s="10"/>
      <c r="EZ15" s="10"/>
      <c r="FA15" s="10"/>
      <c r="FB15" s="10"/>
      <c r="FC15" s="10"/>
      <c r="FD15" s="197"/>
      <c r="FE15" s="197"/>
      <c r="FF15" s="10"/>
      <c r="FG15" s="10"/>
      <c r="FH15" s="10"/>
      <c r="FI15" s="10"/>
      <c r="FJ15" s="10"/>
      <c r="FK15" s="197"/>
      <c r="FL15" s="197"/>
      <c r="FM15" s="10"/>
      <c r="FN15" s="10"/>
      <c r="FO15" s="10"/>
      <c r="FP15" s="10"/>
      <c r="FQ15" s="10"/>
      <c r="FR15" s="197"/>
      <c r="FS15" s="197"/>
      <c r="FT15" s="10"/>
      <c r="FU15" s="10"/>
      <c r="FV15" s="10"/>
      <c r="FW15" s="10"/>
      <c r="FX15" s="10"/>
      <c r="FY15" s="197"/>
      <c r="FZ15" s="197"/>
      <c r="GA15" s="10"/>
      <c r="GB15" s="10"/>
      <c r="GC15" s="10"/>
      <c r="GD15" s="10"/>
      <c r="GE15" s="10"/>
      <c r="GF15" s="197"/>
      <c r="GG15" s="197"/>
      <c r="GH15" s="10"/>
      <c r="GI15" s="10"/>
      <c r="GJ15" s="10"/>
      <c r="GK15" s="10"/>
      <c r="GL15" s="10"/>
      <c r="GM15" s="197"/>
      <c r="GN15" s="197"/>
      <c r="GO15" s="10"/>
      <c r="GP15" s="10"/>
      <c r="GQ15" s="10"/>
      <c r="GR15" s="10"/>
      <c r="GS15" s="10"/>
      <c r="GT15" s="197"/>
      <c r="GU15" s="197"/>
      <c r="GV15" s="10"/>
      <c r="GW15" s="10"/>
      <c r="GX15" s="10"/>
      <c r="GY15" s="10"/>
      <c r="GZ15" s="10"/>
      <c r="HA15" s="197"/>
      <c r="HB15" s="197"/>
      <c r="HC15" s="10"/>
      <c r="HD15" s="10"/>
      <c r="HE15" s="10"/>
      <c r="HF15" s="10"/>
      <c r="HG15" s="10"/>
      <c r="HH15" s="197"/>
      <c r="HI15" s="197"/>
      <c r="HJ15" s="10"/>
      <c r="HK15" s="10"/>
      <c r="HL15" s="10"/>
      <c r="HM15" s="10"/>
      <c r="HN15" s="10"/>
      <c r="HO15" s="197"/>
      <c r="HP15" s="197"/>
      <c r="HQ15" s="10"/>
      <c r="HR15" s="10"/>
      <c r="HS15" s="10"/>
      <c r="HT15" s="10"/>
      <c r="HU15" s="10"/>
      <c r="HV15" s="197"/>
      <c r="HW15" s="197"/>
      <c r="HX15" s="10"/>
      <c r="HY15" s="10"/>
      <c r="HZ15" s="10"/>
      <c r="IA15" s="10"/>
      <c r="IB15" s="10"/>
      <c r="IC15" s="197"/>
      <c r="ID15" s="197"/>
      <c r="IE15" s="10"/>
      <c r="IF15" s="10"/>
      <c r="IG15" s="10"/>
      <c r="IH15" s="10"/>
      <c r="II15" s="10"/>
      <c r="IJ15" s="197"/>
      <c r="IK15" s="197"/>
      <c r="IL15" s="10"/>
      <c r="IM15" s="10"/>
      <c r="IN15" s="10"/>
      <c r="IO15" s="10"/>
      <c r="IP15" s="10"/>
      <c r="IQ15" s="197"/>
      <c r="IR15" s="197"/>
      <c r="IS15" s="10"/>
      <c r="IT15" s="179"/>
      <c r="IU15" s="10"/>
      <c r="IV15" s="10"/>
      <c r="IW15" s="10"/>
      <c r="IX15" s="10"/>
      <c r="IY15" s="197"/>
      <c r="IZ15" s="197"/>
      <c r="JA15" s="10"/>
      <c r="JB15" s="10"/>
      <c r="JC15" s="10"/>
      <c r="JD15" s="10"/>
      <c r="JE15" s="10"/>
      <c r="JF15" s="197"/>
      <c r="JG15" s="197"/>
      <c r="JH15" s="10"/>
      <c r="JI15" s="10"/>
      <c r="JJ15" s="10"/>
      <c r="JK15" s="10"/>
      <c r="JL15" s="10"/>
      <c r="JM15" s="197"/>
      <c r="JN15" s="197"/>
      <c r="JO15" s="10"/>
      <c r="JP15" s="10"/>
      <c r="JQ15" s="10"/>
      <c r="JR15" s="10"/>
      <c r="JS15" s="10"/>
      <c r="JT15" s="197"/>
      <c r="JU15" s="197"/>
      <c r="JV15" s="10"/>
      <c r="JW15" s="10"/>
      <c r="JX15" s="10"/>
      <c r="JY15" s="10"/>
      <c r="JZ15" s="10"/>
      <c r="KA15" s="197"/>
      <c r="KB15" s="197"/>
      <c r="KC15" s="10"/>
      <c r="KD15" s="10"/>
      <c r="KE15" s="10"/>
      <c r="KF15" s="10"/>
      <c r="KG15" s="10"/>
      <c r="KH15" s="197"/>
      <c r="KI15" s="197"/>
      <c r="KJ15" s="10"/>
      <c r="KK15" s="10"/>
      <c r="KL15" s="10"/>
      <c r="KM15" s="10"/>
      <c r="KN15" s="10"/>
      <c r="KO15" s="197"/>
      <c r="KP15" s="197"/>
      <c r="KQ15" s="10"/>
      <c r="KR15" s="10"/>
      <c r="KS15" s="10"/>
      <c r="KT15" s="10"/>
      <c r="KU15" s="10"/>
      <c r="KV15" s="197"/>
      <c r="KW15" s="197"/>
      <c r="KX15" s="10"/>
      <c r="KY15" s="10"/>
      <c r="KZ15" s="10"/>
      <c r="LA15" s="10"/>
      <c r="LB15" s="10"/>
      <c r="LC15" s="197"/>
      <c r="LD15" s="197"/>
      <c r="LE15" s="10"/>
      <c r="LF15" s="10"/>
      <c r="LG15" s="10"/>
      <c r="LH15" s="10"/>
      <c r="LI15" s="10"/>
      <c r="LJ15" s="197"/>
      <c r="LK15" s="197"/>
      <c r="LL15" s="10"/>
      <c r="LM15" s="10"/>
      <c r="LN15" s="10"/>
      <c r="LO15" s="10"/>
      <c r="LP15" s="10"/>
      <c r="LQ15" s="197"/>
      <c r="LR15" s="197"/>
      <c r="LS15" s="10"/>
      <c r="LT15" s="10"/>
      <c r="LU15" s="10"/>
      <c r="LV15" s="10"/>
      <c r="LW15" s="10"/>
      <c r="LX15" s="197"/>
      <c r="LY15" s="197"/>
      <c r="LZ15" s="10"/>
      <c r="MA15" s="10"/>
      <c r="MB15" s="10"/>
      <c r="MC15" s="10"/>
      <c r="MD15" s="10"/>
      <c r="ME15" s="197"/>
      <c r="MF15" s="197"/>
      <c r="MG15" s="10"/>
      <c r="MH15" s="10"/>
      <c r="MI15" s="10"/>
      <c r="MJ15" s="10"/>
      <c r="MK15" s="10"/>
      <c r="ML15" s="197"/>
      <c r="MM15" s="197"/>
      <c r="MN15" s="10"/>
      <c r="MO15" s="10"/>
      <c r="MP15" s="10"/>
      <c r="MQ15" s="10"/>
      <c r="MR15" s="10"/>
      <c r="MS15" s="197"/>
      <c r="MT15" s="197"/>
      <c r="MU15" s="10"/>
      <c r="MV15" s="10"/>
      <c r="MW15" s="10"/>
      <c r="MX15" s="10"/>
      <c r="MY15" s="10"/>
      <c r="MZ15" s="197"/>
      <c r="NA15" s="197"/>
      <c r="NB15" s="197"/>
      <c r="NC15" s="197"/>
      <c r="ND15" s="197"/>
      <c r="NE15" s="197"/>
      <c r="NF15" s="197"/>
      <c r="NG15" s="197"/>
      <c r="NH15" s="197"/>
      <c r="NI15" s="197"/>
      <c r="NJ15" s="197"/>
      <c r="NK15" s="197"/>
      <c r="NL15" s="197"/>
      <c r="NM15" s="197"/>
      <c r="NN15" s="197"/>
      <c r="NO15" s="197"/>
      <c r="NP15" s="197"/>
      <c r="NQ15" s="197"/>
      <c r="NR15" s="197"/>
      <c r="NS15" s="197"/>
      <c r="NT15" s="197"/>
      <c r="NU15" s="197"/>
      <c r="NV15" s="197"/>
      <c r="NW15" s="197"/>
      <c r="NX15" s="197"/>
      <c r="NY15" s="197"/>
      <c r="NZ15" s="197"/>
      <c r="OA15" s="197"/>
      <c r="OB15" s="197"/>
      <c r="OC15" s="197"/>
      <c r="OD15" s="197"/>
      <c r="OE15" s="197"/>
      <c r="OF15" s="197"/>
      <c r="OG15" s="197"/>
      <c r="OH15" s="197"/>
      <c r="OI15" s="197"/>
      <c r="OJ15" s="197"/>
      <c r="OK15" s="197"/>
      <c r="OL15" s="197"/>
      <c r="OM15" s="197"/>
      <c r="ON15" s="197"/>
      <c r="OO15" s="197"/>
      <c r="OP15" s="197"/>
      <c r="OQ15" s="197"/>
      <c r="OR15" s="197"/>
      <c r="OS15" s="197"/>
      <c r="OT15" s="197"/>
      <c r="OU15" s="197"/>
      <c r="OV15" s="197"/>
      <c r="OW15" s="197"/>
      <c r="OX15" s="197"/>
      <c r="OY15" s="197"/>
      <c r="OZ15" s="197"/>
      <c r="PA15" s="197"/>
      <c r="PB15" s="197"/>
      <c r="PC15" s="197"/>
      <c r="PD15" s="197"/>
      <c r="PE15" s="197"/>
      <c r="PF15" s="197"/>
      <c r="PG15" s="197"/>
      <c r="PH15" s="197"/>
      <c r="PI15" s="197"/>
      <c r="PJ15" s="197"/>
      <c r="PK15" s="197"/>
      <c r="PL15" s="197"/>
      <c r="PM15" s="197"/>
      <c r="PN15" s="197"/>
      <c r="PO15" s="197"/>
      <c r="PP15" s="197"/>
      <c r="PQ15" s="197"/>
      <c r="PR15" s="197"/>
      <c r="PS15" s="197"/>
      <c r="PT15" s="197"/>
      <c r="PU15" s="197"/>
      <c r="PV15" s="197"/>
      <c r="PW15" s="197"/>
      <c r="PX15" s="197"/>
      <c r="PY15" s="197"/>
      <c r="PZ15" s="197"/>
      <c r="QA15" s="197"/>
      <c r="QB15" s="197"/>
      <c r="QC15" s="197"/>
      <c r="QD15" s="197"/>
      <c r="QE15" s="197"/>
      <c r="QF15" s="197"/>
      <c r="QG15" s="197"/>
      <c r="QH15" s="197"/>
      <c r="QI15" s="197"/>
      <c r="QJ15" s="197"/>
      <c r="QK15" s="197"/>
      <c r="QL15" s="197"/>
      <c r="QM15" s="197"/>
      <c r="QN15" s="197"/>
      <c r="QO15" s="197"/>
      <c r="QP15" s="197"/>
      <c r="QQ15" s="197"/>
      <c r="QR15" s="197"/>
      <c r="QS15" s="197"/>
      <c r="QT15" s="197"/>
      <c r="QU15" s="197"/>
      <c r="QV15" s="197"/>
      <c r="QW15" s="197"/>
      <c r="QX15" s="197"/>
      <c r="QY15" s="197"/>
      <c r="QZ15" s="197"/>
      <c r="RA15" s="197"/>
      <c r="RB15" s="197"/>
      <c r="RC15" s="197"/>
      <c r="RD15" s="197"/>
      <c r="RE15" s="197"/>
      <c r="RF15" s="197"/>
      <c r="RG15" s="197"/>
      <c r="RH15" s="197"/>
      <c r="RI15" s="197"/>
      <c r="RJ15" s="197"/>
      <c r="RK15" s="197"/>
      <c r="RL15" s="197"/>
      <c r="RM15" s="197"/>
      <c r="RN15" s="197"/>
      <c r="RO15" s="197"/>
      <c r="RP15" s="197"/>
      <c r="RQ15" s="197"/>
      <c r="RR15" s="197"/>
      <c r="RS15" s="197"/>
      <c r="RT15" s="197"/>
      <c r="RU15" s="197"/>
      <c r="RV15" s="197"/>
      <c r="RW15" s="197"/>
      <c r="RX15" s="197"/>
      <c r="RY15" s="197"/>
      <c r="RZ15" s="197"/>
      <c r="SA15" s="197"/>
      <c r="SB15" s="197"/>
      <c r="SC15" s="197"/>
      <c r="SD15" s="197"/>
      <c r="SE15" s="197"/>
      <c r="SF15" s="197"/>
      <c r="SG15" s="197"/>
      <c r="SH15" s="197"/>
      <c r="SI15" s="197"/>
      <c r="SJ15" s="197"/>
      <c r="SK15" s="197"/>
      <c r="SL15" s="197"/>
      <c r="SM15" s="197"/>
      <c r="SN15" s="197"/>
      <c r="SO15" s="197"/>
      <c r="SP15" s="197"/>
      <c r="SQ15" s="197"/>
      <c r="SR15" s="197"/>
      <c r="SS15" s="197"/>
      <c r="ST15" s="197"/>
      <c r="SU15" s="197"/>
      <c r="SV15" s="197"/>
      <c r="SW15" s="197"/>
      <c r="SX15" s="197"/>
      <c r="SY15" s="197"/>
      <c r="SZ15" s="197"/>
      <c r="TA15" s="197"/>
      <c r="TB15" s="197"/>
      <c r="TC15" s="197"/>
      <c r="TD15" s="197"/>
      <c r="TE15" s="197"/>
      <c r="TF15" s="197"/>
      <c r="TG15" s="197"/>
      <c r="TH15" s="197"/>
      <c r="TI15" s="197"/>
      <c r="TJ15" s="197"/>
      <c r="TK15" s="197"/>
      <c r="TL15" s="197"/>
      <c r="TM15" s="197"/>
      <c r="TN15" s="197"/>
      <c r="TO15" s="197"/>
      <c r="TP15" s="197"/>
      <c r="TQ15" s="197"/>
      <c r="TR15" s="197"/>
      <c r="TS15" s="197"/>
      <c r="TT15" s="197"/>
      <c r="TU15" s="197"/>
      <c r="TV15" s="197"/>
      <c r="TW15" s="197"/>
      <c r="TX15" s="197"/>
      <c r="TY15" s="197"/>
      <c r="TZ15" s="197"/>
      <c r="UA15" s="197"/>
      <c r="UB15" s="197"/>
      <c r="UC15" s="197"/>
      <c r="UD15" s="197"/>
      <c r="UE15" s="197"/>
      <c r="UF15" s="197"/>
      <c r="UG15" s="197"/>
      <c r="UH15" s="197"/>
      <c r="UI15" s="197"/>
      <c r="UJ15" s="197"/>
      <c r="UK15" s="197"/>
      <c r="UL15" s="197"/>
      <c r="UM15" s="197"/>
      <c r="UN15" s="197"/>
      <c r="UO15" s="197"/>
      <c r="UP15" s="197"/>
      <c r="UQ15" s="197"/>
      <c r="UR15" s="197"/>
      <c r="US15" s="197"/>
      <c r="UT15" s="197"/>
      <c r="UU15" s="197"/>
      <c r="UV15" s="197"/>
      <c r="UW15" s="197"/>
      <c r="UX15" s="197"/>
      <c r="UY15" s="197"/>
      <c r="UZ15" s="197"/>
      <c r="VA15" s="197"/>
      <c r="VB15" s="197"/>
      <c r="VC15" s="197"/>
      <c r="VD15" s="197"/>
      <c r="VE15" s="197"/>
      <c r="VF15" s="197"/>
      <c r="VG15" s="197"/>
      <c r="VH15" s="197"/>
      <c r="VI15" s="197"/>
      <c r="VJ15" s="197"/>
      <c r="VK15" s="197"/>
      <c r="VL15" s="197"/>
      <c r="VM15" s="197"/>
      <c r="VN15" s="197"/>
      <c r="VO15" s="197"/>
      <c r="VP15" s="197"/>
      <c r="VQ15" s="197"/>
      <c r="VR15" s="197"/>
      <c r="VS15" s="197"/>
      <c r="VT15" s="197"/>
      <c r="VU15" s="197"/>
      <c r="VV15" s="197"/>
      <c r="VW15" s="197"/>
      <c r="VX15" s="197"/>
      <c r="VY15" s="197"/>
      <c r="VZ15" s="197"/>
      <c r="WA15" s="197"/>
      <c r="WB15" s="197"/>
      <c r="WC15" s="197"/>
      <c r="WD15" s="197"/>
      <c r="WE15" s="197"/>
      <c r="WF15" s="197"/>
      <c r="WG15" s="197"/>
      <c r="WH15" s="197"/>
      <c r="WI15" s="197"/>
      <c r="WJ15" s="197"/>
      <c r="WK15" s="197"/>
      <c r="WL15" s="197"/>
      <c r="WM15" s="197"/>
      <c r="WN15" s="197"/>
      <c r="WO15" s="197"/>
      <c r="WP15" s="197"/>
      <c r="WQ15" s="197"/>
      <c r="WR15" s="197"/>
      <c r="WS15" s="197"/>
      <c r="WT15" s="197"/>
      <c r="WU15" s="197"/>
      <c r="WV15" s="197"/>
      <c r="WW15" s="197"/>
      <c r="WX15" s="197"/>
      <c r="WY15" s="197"/>
      <c r="WZ15" s="197"/>
      <c r="XA15" s="197"/>
      <c r="XB15" s="197"/>
      <c r="XC15" s="197"/>
      <c r="XD15" s="197"/>
      <c r="XE15" s="197"/>
      <c r="XF15" s="197"/>
      <c r="XG15" s="197"/>
      <c r="XH15" s="197"/>
      <c r="XI15" s="197"/>
      <c r="XJ15" s="197"/>
      <c r="XK15" s="197"/>
      <c r="XL15" s="197"/>
      <c r="XM15" s="197"/>
      <c r="XN15" s="197"/>
      <c r="XO15" s="197"/>
      <c r="XP15" s="197"/>
      <c r="XQ15" s="197"/>
      <c r="XR15" s="197"/>
      <c r="XS15" s="197"/>
      <c r="XT15" s="197"/>
      <c r="XU15" s="197"/>
      <c r="XV15" s="197"/>
      <c r="XW15" s="197"/>
      <c r="XX15" s="197"/>
      <c r="XY15" s="197"/>
      <c r="XZ15" s="197"/>
      <c r="YA15" s="197"/>
      <c r="YB15" s="197"/>
      <c r="YC15" s="197"/>
      <c r="YD15" s="197"/>
      <c r="YE15" s="197"/>
      <c r="YF15" s="197"/>
      <c r="YG15" s="197"/>
      <c r="YH15" s="197"/>
      <c r="YI15" s="197"/>
      <c r="YJ15" s="197"/>
      <c r="YK15" s="197"/>
      <c r="YL15" s="197"/>
      <c r="YM15" s="197"/>
      <c r="YN15" s="197"/>
      <c r="YO15" s="197"/>
      <c r="YP15" s="197"/>
      <c r="YQ15" s="197"/>
      <c r="YR15" s="197"/>
      <c r="YS15" s="197"/>
      <c r="YT15" s="197"/>
      <c r="YU15" s="197"/>
      <c r="YV15" s="197"/>
      <c r="YW15" s="197"/>
      <c r="YX15" s="197"/>
      <c r="YY15" s="197"/>
      <c r="YZ15" s="197"/>
      <c r="ZA15" s="197"/>
      <c r="ZB15" s="197"/>
      <c r="ZC15" s="197"/>
      <c r="ZD15" s="197"/>
      <c r="ZE15" s="197"/>
      <c r="ZF15" s="197"/>
      <c r="ZG15" s="197"/>
      <c r="ZH15" s="197"/>
      <c r="ZI15" s="197"/>
      <c r="ZJ15" s="197"/>
      <c r="ZK15" s="197"/>
      <c r="ZL15" s="197"/>
      <c r="ZM15" s="197"/>
      <c r="ZN15" s="197"/>
      <c r="ZO15" s="197"/>
      <c r="ZP15" s="197"/>
      <c r="ZQ15" s="197"/>
      <c r="ZR15" s="197"/>
      <c r="ZS15" s="197"/>
      <c r="ZT15" s="197"/>
      <c r="ZU15" s="197"/>
      <c r="ZV15" s="197"/>
      <c r="ZW15" s="197"/>
      <c r="ZX15" s="197"/>
      <c r="ZY15" s="197"/>
      <c r="ZZ15" s="197"/>
      <c r="AAA15" s="197"/>
      <c r="AAB15" s="197"/>
      <c r="AAC15" s="197"/>
      <c r="AAD15" s="197"/>
      <c r="AAE15" s="197"/>
      <c r="AAF15" s="197"/>
      <c r="AAG15" s="197"/>
      <c r="AAH15" s="197"/>
      <c r="AAI15" s="197"/>
      <c r="AAJ15" s="197"/>
      <c r="AAK15" s="197"/>
      <c r="AAL15" s="197"/>
      <c r="AAM15" s="197"/>
      <c r="AAN15" s="197"/>
      <c r="AAO15" s="197"/>
      <c r="AAP15" s="197"/>
      <c r="AAQ15" s="197"/>
      <c r="AAR15" s="197"/>
      <c r="AAS15" s="197"/>
      <c r="AAT15" s="197"/>
      <c r="AAU15" s="197"/>
      <c r="AAV15" s="197"/>
      <c r="AAW15" s="197"/>
      <c r="AAX15" s="197"/>
      <c r="AAY15" s="197"/>
      <c r="AAZ15" s="197"/>
      <c r="ABA15" s="197"/>
      <c r="ABB15" s="197"/>
      <c r="ABC15" s="197"/>
      <c r="ABD15" s="197"/>
      <c r="ABE15" s="197"/>
      <c r="ABF15" s="197"/>
      <c r="ABG15" s="197"/>
      <c r="ABH15" s="197"/>
      <c r="ABI15" s="197"/>
      <c r="ABJ15" s="197"/>
      <c r="ABK15" s="197"/>
      <c r="ABL15" s="197"/>
      <c r="ABM15" s="197"/>
      <c r="ABN15" s="197"/>
      <c r="ABO15" s="197"/>
      <c r="ABP15" s="197"/>
      <c r="ABQ15" s="197"/>
      <c r="ABR15" s="197"/>
      <c r="ABS15" s="197"/>
      <c r="ABT15" s="197"/>
      <c r="ABU15" s="197"/>
      <c r="ABV15" s="197"/>
      <c r="ABW15" s="197"/>
      <c r="ABX15" s="197"/>
      <c r="ABY15" s="197"/>
      <c r="ABZ15" s="197"/>
      <c r="ACA15" s="197"/>
      <c r="ACB15" s="197"/>
      <c r="ACC15" s="197"/>
      <c r="ACD15" s="197"/>
      <c r="ACE15" s="197"/>
      <c r="ACF15" s="197"/>
      <c r="ACG15" s="197"/>
      <c r="ACH15" s="197"/>
      <c r="ACI15" s="197"/>
      <c r="ACJ15" s="197"/>
      <c r="ACK15" s="197"/>
      <c r="ACL15" s="197"/>
      <c r="ACM15" s="197"/>
      <c r="ACN15" s="197"/>
      <c r="ACO15" s="197"/>
      <c r="ACP15" s="197"/>
      <c r="ACQ15" s="197"/>
      <c r="ACR15" s="197"/>
      <c r="ACS15" s="197"/>
      <c r="ACT15" s="197"/>
      <c r="ACU15" s="197"/>
      <c r="ACV15" s="197"/>
      <c r="ACW15" s="197"/>
      <c r="ACX15" s="197"/>
      <c r="ACY15" s="197"/>
      <c r="ACZ15" s="197"/>
      <c r="ADA15" s="197"/>
      <c r="ADB15" s="197"/>
      <c r="ADC15" s="197"/>
      <c r="ADD15" s="197"/>
      <c r="ADE15" s="197"/>
      <c r="ADF15" s="197"/>
      <c r="ADG15" s="197"/>
      <c r="ADH15" s="197"/>
      <c r="ADI15" s="197"/>
      <c r="ADJ15" s="197"/>
      <c r="ADK15" s="197"/>
      <c r="ADL15" s="197"/>
      <c r="ADM15" s="197"/>
      <c r="ADN15" s="197"/>
      <c r="ADO15" s="197"/>
      <c r="ADP15" s="197"/>
      <c r="ADQ15" s="197"/>
      <c r="ADR15" s="197"/>
      <c r="ADS15" s="197"/>
      <c r="ADT15" s="197"/>
      <c r="ADU15" s="197"/>
      <c r="ADV15" s="197"/>
      <c r="ADW15" s="197"/>
      <c r="ADX15" s="197"/>
      <c r="ADY15" s="197"/>
      <c r="ADZ15" s="197"/>
      <c r="AEA15" s="197"/>
      <c r="AEB15" s="197"/>
      <c r="AEC15" s="197"/>
      <c r="AED15" s="197"/>
      <c r="AEE15" s="197"/>
      <c r="AEF15" s="197"/>
      <c r="AEG15" s="197"/>
      <c r="AEH15" s="197"/>
      <c r="AEI15" s="197"/>
      <c r="AEJ15" s="197"/>
      <c r="AEK15" s="197"/>
      <c r="AEL15" s="197"/>
      <c r="AEM15" s="197"/>
      <c r="AEN15" s="197"/>
      <c r="AEO15" s="197"/>
      <c r="AEP15" s="197"/>
      <c r="AEQ15" s="197"/>
      <c r="AER15" s="197"/>
      <c r="AES15" s="197"/>
      <c r="AET15" s="197"/>
      <c r="AEU15" s="197"/>
      <c r="AEV15" s="197"/>
      <c r="AEW15" s="197"/>
      <c r="AEX15" s="197"/>
      <c r="AEY15" s="197"/>
      <c r="AEZ15" s="197"/>
      <c r="AFA15" s="197"/>
      <c r="AFB15" s="197"/>
      <c r="AFC15" s="197"/>
      <c r="AFD15" s="197"/>
      <c r="AFE15" s="197"/>
      <c r="AFF15" s="197"/>
      <c r="AFG15" s="197"/>
      <c r="AFH15" s="197"/>
      <c r="AFI15" s="197"/>
      <c r="AFJ15" s="197"/>
      <c r="AFK15" s="197"/>
      <c r="AFL15" s="197"/>
      <c r="AFM15" s="197"/>
      <c r="AFN15" s="197"/>
      <c r="AFO15" s="197"/>
      <c r="AFP15" s="197"/>
      <c r="AFQ15" s="197"/>
      <c r="AFR15" s="197"/>
      <c r="AFS15" s="197"/>
      <c r="AFT15" s="197"/>
      <c r="AFU15" s="197"/>
      <c r="AFV15" s="197"/>
      <c r="AFW15" s="197"/>
      <c r="AFX15" s="197"/>
      <c r="AFY15" s="197"/>
      <c r="AFZ15" s="197"/>
      <c r="AGA15" s="197"/>
      <c r="AGB15" s="197"/>
      <c r="AGC15" s="197"/>
      <c r="AGD15" s="197"/>
      <c r="AGE15" s="197"/>
      <c r="AGF15" s="197"/>
      <c r="AGG15" s="197"/>
      <c r="AGH15" s="197"/>
      <c r="AGI15" s="197"/>
      <c r="AGJ15" s="197"/>
      <c r="AGK15" s="197"/>
      <c r="AGL15" s="197"/>
      <c r="AGM15" s="197"/>
      <c r="AGN15" s="197"/>
      <c r="AGO15" s="197"/>
      <c r="AGP15" s="197"/>
      <c r="AGQ15" s="197"/>
      <c r="AGR15" s="197"/>
      <c r="AGS15" s="197"/>
      <c r="AGT15" s="197"/>
      <c r="AGU15" s="197"/>
      <c r="AGV15" s="197"/>
      <c r="AGW15" s="179"/>
      <c r="AGX15" s="179"/>
      <c r="AGY15" s="179"/>
      <c r="AGZ15" s="179"/>
      <c r="AHA15" s="197"/>
      <c r="AHB15" s="197"/>
      <c r="AHC15" s="197"/>
      <c r="AHD15" s="197"/>
      <c r="AHE15" s="197"/>
      <c r="AHF15" s="197"/>
      <c r="AHG15" s="197"/>
      <c r="AHH15" s="197"/>
      <c r="AHI15" s="197"/>
      <c r="AHJ15" s="197"/>
      <c r="AHK15" s="197"/>
      <c r="AHL15" s="197"/>
      <c r="AHM15" s="197"/>
      <c r="AHN15" s="197"/>
      <c r="AHO15" s="197"/>
      <c r="AHP15" s="197"/>
      <c r="AHQ15" s="197"/>
      <c r="AHR15" s="197"/>
      <c r="AHS15" s="197"/>
      <c r="AHT15" s="197"/>
      <c r="AHU15" s="197"/>
      <c r="AHV15" s="197"/>
      <c r="AHW15" s="197"/>
      <c r="AHX15" s="197"/>
      <c r="AHY15" s="197"/>
      <c r="AHZ15" s="197"/>
      <c r="AIA15" s="197"/>
      <c r="AIB15" s="197"/>
      <c r="AIC15" s="197"/>
      <c r="AID15" s="197"/>
      <c r="AIE15" s="197"/>
      <c r="AIF15" s="197"/>
      <c r="AIG15" s="197"/>
      <c r="AIH15" s="197"/>
      <c r="AII15" s="197"/>
      <c r="AIJ15" s="197"/>
      <c r="AIK15" s="197"/>
      <c r="AIL15" s="197"/>
      <c r="AIM15" s="197"/>
      <c r="AIN15" s="197"/>
      <c r="AIO15" s="197"/>
      <c r="AIP15" s="197"/>
      <c r="AIQ15" s="197"/>
      <c r="AIR15" s="197"/>
      <c r="AIS15" s="197"/>
      <c r="AIT15" s="197"/>
      <c r="AIU15" s="197"/>
      <c r="AIV15" s="197"/>
      <c r="AIW15" s="197"/>
      <c r="AIX15" s="197"/>
      <c r="AIY15" s="197"/>
      <c r="AIZ15" s="197"/>
      <c r="AJA15" s="197"/>
      <c r="AJB15" s="197"/>
      <c r="AJC15" s="197"/>
      <c r="AJD15" s="197"/>
      <c r="AJE15" s="197"/>
      <c r="AJF15" s="197"/>
      <c r="AJG15" s="197"/>
      <c r="AJH15" s="197"/>
      <c r="AJI15" s="197"/>
      <c r="AJJ15" s="197"/>
      <c r="AJK15" s="197"/>
      <c r="AJL15" s="197"/>
      <c r="AJM15" s="197"/>
      <c r="AJN15" s="197"/>
      <c r="AJO15" s="197"/>
      <c r="AJP15" s="197"/>
      <c r="AJQ15" s="197"/>
      <c r="AJR15" s="197"/>
      <c r="AJS15" s="197"/>
      <c r="AJT15" s="197"/>
      <c r="AJU15" s="197"/>
      <c r="AJV15" s="197"/>
      <c r="AJW15" s="197"/>
      <c r="AJX15" s="197"/>
      <c r="AJY15" s="197"/>
      <c r="AJZ15" s="197"/>
      <c r="AKA15" s="197"/>
      <c r="AKB15" s="197"/>
      <c r="AKC15" s="197"/>
      <c r="AKD15" s="197"/>
      <c r="AKE15" s="197"/>
      <c r="AKF15" s="197"/>
      <c r="AKG15" s="197"/>
      <c r="AKH15" s="197"/>
      <c r="AKI15" s="197"/>
      <c r="AKJ15" s="197"/>
      <c r="AKK15" s="197"/>
      <c r="AKL15" s="197"/>
      <c r="AKM15" s="197"/>
      <c r="AKN15" s="197"/>
      <c r="AKO15" s="197"/>
      <c r="AKP15" s="197"/>
      <c r="AKQ15" s="197"/>
      <c r="AKR15" s="197"/>
      <c r="AKS15" s="197"/>
      <c r="AKT15" s="197"/>
      <c r="AKU15" s="10"/>
      <c r="AKV15" s="10"/>
      <c r="AKW15" s="10"/>
      <c r="AKX15" s="10"/>
      <c r="AKY15" s="10"/>
      <c r="AKZ15" s="197"/>
      <c r="ALA15" s="197"/>
      <c r="ALB15" s="10"/>
      <c r="ALC15" s="10"/>
      <c r="ALD15" s="10"/>
      <c r="ALE15" s="10"/>
      <c r="ALF15" s="10"/>
      <c r="ALG15" s="10"/>
      <c r="ALH15" s="10"/>
      <c r="ALI15" s="10">
        <f>5000</f>
        <v>5000</v>
      </c>
      <c r="ALJ15" s="10"/>
      <c r="ALK15" s="10"/>
      <c r="ALL15" s="10"/>
      <c r="ALM15" s="10"/>
      <c r="ALN15" s="10"/>
      <c r="ALO15" s="10"/>
      <c r="ALP15" s="10"/>
      <c r="ALQ15" s="10"/>
      <c r="ALR15" s="10"/>
      <c r="ALS15" s="10"/>
      <c r="ALT15" s="10"/>
      <c r="ALU15" s="10"/>
      <c r="ALV15" s="10"/>
      <c r="ALW15" s="10"/>
      <c r="ALX15" s="10"/>
      <c r="ALY15" s="10"/>
      <c r="ALZ15" s="10"/>
      <c r="AMA15" s="10"/>
      <c r="AMB15" s="10"/>
      <c r="AMC15" s="10"/>
      <c r="AMD15" s="10"/>
      <c r="AME15" s="10"/>
      <c r="AMF15" s="10"/>
      <c r="AMG15" s="10"/>
      <c r="AMH15" s="10"/>
      <c r="AMI15" s="10"/>
      <c r="AMJ15" s="10"/>
      <c r="AMK15" s="10"/>
      <c r="AML15" s="10"/>
      <c r="AMM15" s="10"/>
      <c r="AMN15" s="10"/>
      <c r="AMO15" s="10"/>
      <c r="AMP15" s="10"/>
      <c r="AMQ15" s="10"/>
      <c r="AMR15" s="10"/>
      <c r="AMS15" s="10"/>
      <c r="AMT15" s="10"/>
      <c r="AMU15" s="10"/>
      <c r="AMV15" s="10"/>
      <c r="AMW15" s="10"/>
      <c r="AMX15" s="10"/>
      <c r="AMY15" s="10"/>
      <c r="AMZ15" s="10"/>
      <c r="ANA15" s="10"/>
      <c r="ANB15" s="10"/>
      <c r="ANC15" s="10"/>
      <c r="AND15" s="10"/>
      <c r="ANE15" s="10"/>
      <c r="ANF15" s="10"/>
      <c r="ANG15" s="10"/>
      <c r="ANH15" s="10"/>
      <c r="ANI15" s="10"/>
      <c r="ANJ15" s="10"/>
      <c r="ANK15" s="10"/>
      <c r="ANL15" s="10"/>
      <c r="ANM15" s="10"/>
      <c r="ANN15" s="10"/>
      <c r="ANO15" s="10"/>
      <c r="ANP15" s="10"/>
      <c r="ANQ15" s="10"/>
      <c r="ANR15" s="10"/>
      <c r="ANS15" s="10"/>
      <c r="ANT15" s="10"/>
      <c r="ANU15" s="10"/>
      <c r="ANV15" s="10"/>
      <c r="ANW15" s="10"/>
      <c r="ANX15" s="10"/>
      <c r="ANY15" s="10"/>
      <c r="ANZ15" s="10"/>
      <c r="AOA15" s="10"/>
      <c r="AOB15" s="10"/>
      <c r="AOC15" s="10"/>
      <c r="AOD15" s="10"/>
      <c r="AOE15" s="10"/>
      <c r="AOF15" s="10"/>
      <c r="AOG15" s="10"/>
      <c r="AOH15" s="10"/>
      <c r="AOI15" s="10"/>
      <c r="AOJ15" s="10"/>
      <c r="AOK15" s="10"/>
      <c r="AOL15" s="10"/>
      <c r="AOM15" s="10"/>
      <c r="AON15" s="10"/>
      <c r="AOO15" s="10"/>
      <c r="AOP15" s="10"/>
      <c r="AOQ15" s="10"/>
      <c r="AOR15" s="10"/>
      <c r="AOS15" s="10"/>
      <c r="AOT15" s="10"/>
      <c r="AOU15" s="10"/>
      <c r="AOV15" s="10"/>
      <c r="AOW15" s="10"/>
      <c r="AOX15" s="10"/>
      <c r="AOY15" s="10"/>
      <c r="AOZ15" s="10"/>
      <c r="APA15" s="10"/>
      <c r="APB15" s="10"/>
      <c r="APC15" s="10"/>
      <c r="APD15" s="10"/>
      <c r="APE15" s="10"/>
      <c r="APF15" s="10"/>
      <c r="APG15" s="10"/>
      <c r="APH15" s="10"/>
      <c r="API15" s="10"/>
      <c r="APJ15" s="10"/>
      <c r="APK15" s="10"/>
      <c r="APL15" s="10"/>
      <c r="APM15" s="10"/>
      <c r="APN15" s="10"/>
      <c r="APO15" s="10"/>
      <c r="APP15" s="10"/>
      <c r="APQ15" s="10"/>
      <c r="APR15" s="10"/>
      <c r="APS15" s="10"/>
      <c r="APT15" s="10"/>
      <c r="APU15" s="10"/>
      <c r="APV15" s="10"/>
      <c r="APW15" s="10"/>
      <c r="APX15" s="10"/>
      <c r="APY15" s="10"/>
      <c r="APZ15" s="10"/>
      <c r="AQA15" s="10"/>
      <c r="AQB15" s="10"/>
      <c r="AQC15" s="10"/>
      <c r="AQD15" s="10"/>
      <c r="AQE15" s="10"/>
      <c r="AQF15" s="10"/>
      <c r="AQG15" s="10"/>
      <c r="AQH15" s="10"/>
      <c r="AQI15" s="10"/>
      <c r="AQJ15" s="10"/>
      <c r="AQK15" s="10"/>
      <c r="AQL15" s="10"/>
    </row>
    <row r="16">
      <c r="A16" s="4" t="s">
        <v>262</v>
      </c>
      <c r="B16" s="10">
        <f t="shared" ref="B16:AC16" si="510">1</f>
        <v>1</v>
      </c>
      <c r="C16" s="10">
        <f t="shared" si="510"/>
        <v>1</v>
      </c>
      <c r="D16" s="10">
        <f t="shared" si="510"/>
        <v>1</v>
      </c>
      <c r="E16" s="10">
        <f t="shared" si="510"/>
        <v>1</v>
      </c>
      <c r="F16" s="10">
        <f t="shared" si="510"/>
        <v>1</v>
      </c>
      <c r="G16" s="10">
        <f t="shared" si="510"/>
        <v>1</v>
      </c>
      <c r="H16" s="10">
        <f t="shared" si="510"/>
        <v>1</v>
      </c>
      <c r="I16" s="10">
        <f t="shared" si="510"/>
        <v>1</v>
      </c>
      <c r="J16" s="10">
        <f t="shared" si="510"/>
        <v>1</v>
      </c>
      <c r="K16" s="10">
        <f t="shared" si="510"/>
        <v>1</v>
      </c>
      <c r="L16" s="10">
        <f t="shared" si="510"/>
        <v>1</v>
      </c>
      <c r="M16" s="10">
        <f t="shared" si="510"/>
        <v>1</v>
      </c>
      <c r="N16" s="10">
        <f t="shared" si="510"/>
        <v>1</v>
      </c>
      <c r="O16" s="10">
        <f t="shared" si="510"/>
        <v>1</v>
      </c>
      <c r="P16" s="10">
        <f t="shared" si="510"/>
        <v>1</v>
      </c>
      <c r="Q16" s="10">
        <f t="shared" si="510"/>
        <v>1</v>
      </c>
      <c r="R16" s="10">
        <f t="shared" si="510"/>
        <v>1</v>
      </c>
      <c r="S16" s="10">
        <f t="shared" si="510"/>
        <v>1</v>
      </c>
      <c r="T16" s="10">
        <f t="shared" si="510"/>
        <v>1</v>
      </c>
      <c r="U16" s="10">
        <f t="shared" si="510"/>
        <v>1</v>
      </c>
      <c r="V16" s="10">
        <f t="shared" si="510"/>
        <v>1</v>
      </c>
      <c r="W16" s="10">
        <f t="shared" si="510"/>
        <v>1</v>
      </c>
      <c r="X16" s="10">
        <f t="shared" si="510"/>
        <v>1</v>
      </c>
      <c r="Y16" s="10">
        <f t="shared" si="510"/>
        <v>1</v>
      </c>
      <c r="Z16" s="10">
        <f t="shared" si="510"/>
        <v>1</v>
      </c>
      <c r="AA16" s="10">
        <f t="shared" si="510"/>
        <v>1</v>
      </c>
      <c r="AB16" s="10">
        <f t="shared" si="510"/>
        <v>1</v>
      </c>
      <c r="AC16" s="10">
        <f t="shared" si="510"/>
        <v>1</v>
      </c>
      <c r="AD16" s="10">
        <f t="shared" ref="AD16:AH16" si="511">1 + IF(INDIRECT(ADDRESS(ROW() - 10, COLUMN())) = 1, 29.225, IF(INDIRECT(ADDRESS(ROW() - 10, COLUMN())) = 2, 30.975, IF(INDIRECT(ADDRESS(ROW() - 10, COLUMN())) = 3, 32.725, IF(INDIRECT(ADDRESS(ROW() - 10, COLUMN())) = 4, 35, IF(INDIRECT(ADDRESS(ROW() - 10, COLUMN())) = 5, 36.75, IF(INDIRECT(ADDRESS(ROW() - 10, COLUMN())) = 6, 38.5, IF(INDIRECT(ADDRESS(ROW() - 10, COLUMN())) = 7, 40.775, IF(INDIRECT(ADDRESS(ROW() - 10, COLUMN())) = 8, 43.05, IF(INDIRECT(ADDRESS(ROW() - 10, COLUMN())) = 9, 45.3249999999999, IF(INDIRECT(ADDRESS(ROW() - 10, COLUMN())) = 10, 47.5999999999999, IF(INDIRECT(ADDRESS(ROW() - 10, COLUMN())) = 11, 49.875, IF(INDIRECT(ADDRESS(ROW() - 10, COLUMN())) = 12, 52.15, IF(INDIRECT(ADDRESS(ROW() - 10, COLUMN())) = 13, 54.425,0)))))))))))))%</f>
        <v>1</v>
      </c>
      <c r="AE16" s="10">
        <f t="shared" si="511"/>
        <v>1</v>
      </c>
      <c r="AF16" s="10">
        <f t="shared" si="511"/>
        <v>1</v>
      </c>
      <c r="AG16" s="10">
        <f t="shared" si="511"/>
        <v>1</v>
      </c>
      <c r="AH16" s="10">
        <f t="shared" si="511"/>
        <v>1</v>
      </c>
      <c r="AI16" s="10">
        <f t="shared" ref="AI16:BP16" si="512">1</f>
        <v>1</v>
      </c>
      <c r="AJ16" s="10">
        <f t="shared" si="512"/>
        <v>1</v>
      </c>
      <c r="AK16" s="10">
        <f t="shared" si="512"/>
        <v>1</v>
      </c>
      <c r="AL16" s="10">
        <f t="shared" si="512"/>
        <v>1</v>
      </c>
      <c r="AM16" s="10">
        <f t="shared" si="512"/>
        <v>1</v>
      </c>
      <c r="AN16" s="10">
        <f t="shared" si="512"/>
        <v>1</v>
      </c>
      <c r="AO16" s="10">
        <f t="shared" si="512"/>
        <v>1</v>
      </c>
      <c r="AP16" s="10">
        <f t="shared" si="512"/>
        <v>1</v>
      </c>
      <c r="AQ16" s="10">
        <f t="shared" si="512"/>
        <v>1</v>
      </c>
      <c r="AR16" s="10">
        <f t="shared" si="512"/>
        <v>1</v>
      </c>
      <c r="AS16" s="10">
        <f t="shared" si="512"/>
        <v>1</v>
      </c>
      <c r="AT16" s="10">
        <f t="shared" si="512"/>
        <v>1</v>
      </c>
      <c r="AU16" s="10">
        <f t="shared" si="512"/>
        <v>1</v>
      </c>
      <c r="AV16" s="10">
        <f t="shared" si="512"/>
        <v>1</v>
      </c>
      <c r="AW16" s="10">
        <f t="shared" si="512"/>
        <v>1</v>
      </c>
      <c r="AX16" s="10">
        <f t="shared" si="512"/>
        <v>1</v>
      </c>
      <c r="AY16" s="10">
        <f t="shared" si="512"/>
        <v>1</v>
      </c>
      <c r="AZ16" s="10">
        <f t="shared" si="512"/>
        <v>1</v>
      </c>
      <c r="BA16" s="10">
        <f t="shared" si="512"/>
        <v>1</v>
      </c>
      <c r="BB16" s="10">
        <f t="shared" si="512"/>
        <v>1</v>
      </c>
      <c r="BC16" s="10">
        <f t="shared" si="512"/>
        <v>1</v>
      </c>
      <c r="BD16" s="10">
        <f t="shared" si="512"/>
        <v>1</v>
      </c>
      <c r="BE16" s="10">
        <f t="shared" si="512"/>
        <v>1</v>
      </c>
      <c r="BF16" s="10">
        <f t="shared" si="512"/>
        <v>1</v>
      </c>
      <c r="BG16" s="10">
        <f t="shared" si="512"/>
        <v>1</v>
      </c>
      <c r="BH16" s="10">
        <f t="shared" si="512"/>
        <v>1</v>
      </c>
      <c r="BI16" s="10">
        <f t="shared" si="512"/>
        <v>1</v>
      </c>
      <c r="BJ16" s="10">
        <f t="shared" si="512"/>
        <v>1</v>
      </c>
      <c r="BK16" s="10">
        <f t="shared" si="512"/>
        <v>1</v>
      </c>
      <c r="BL16" s="10">
        <f t="shared" si="512"/>
        <v>1</v>
      </c>
      <c r="BM16" s="10">
        <f t="shared" si="512"/>
        <v>1</v>
      </c>
      <c r="BN16" s="10">
        <f t="shared" si="512"/>
        <v>1</v>
      </c>
      <c r="BO16" s="10">
        <f t="shared" si="512"/>
        <v>1</v>
      </c>
      <c r="BP16" s="10">
        <f t="shared" si="512"/>
        <v>1</v>
      </c>
      <c r="BQ16" s="10">
        <v>0.25</v>
      </c>
      <c r="BR16" s="10">
        <f>1</f>
        <v>1</v>
      </c>
      <c r="BS16" s="10">
        <v>0.25</v>
      </c>
      <c r="BT16" s="10">
        <f>1</f>
        <v>1</v>
      </c>
      <c r="BU16" s="10">
        <v>0.25</v>
      </c>
      <c r="BV16" s="10">
        <f>1</f>
        <v>1</v>
      </c>
      <c r="BW16" s="10">
        <v>0.25</v>
      </c>
      <c r="BX16" s="10">
        <f t="shared" ref="BX16:IS16" si="513">1</f>
        <v>1</v>
      </c>
      <c r="BY16" s="10">
        <f t="shared" si="513"/>
        <v>1</v>
      </c>
      <c r="BZ16" s="10">
        <f t="shared" si="513"/>
        <v>1</v>
      </c>
      <c r="CA16" s="10">
        <f t="shared" si="513"/>
        <v>1</v>
      </c>
      <c r="CB16" s="10">
        <f t="shared" si="513"/>
        <v>1</v>
      </c>
      <c r="CC16" s="10">
        <f t="shared" si="513"/>
        <v>1</v>
      </c>
      <c r="CD16" s="10">
        <f t="shared" si="513"/>
        <v>1</v>
      </c>
      <c r="CE16" s="10">
        <f t="shared" si="513"/>
        <v>1</v>
      </c>
      <c r="CF16" s="10">
        <f t="shared" si="513"/>
        <v>1</v>
      </c>
      <c r="CG16" s="10">
        <f t="shared" si="513"/>
        <v>1</v>
      </c>
      <c r="CH16" s="10">
        <f t="shared" si="513"/>
        <v>1</v>
      </c>
      <c r="CI16" s="10">
        <f t="shared" si="513"/>
        <v>1</v>
      </c>
      <c r="CJ16" s="10">
        <f t="shared" si="513"/>
        <v>1</v>
      </c>
      <c r="CK16" s="10">
        <f t="shared" si="513"/>
        <v>1</v>
      </c>
      <c r="CL16" s="10">
        <f t="shared" si="513"/>
        <v>1</v>
      </c>
      <c r="CM16" s="10">
        <f t="shared" si="513"/>
        <v>1</v>
      </c>
      <c r="CN16" s="10">
        <f t="shared" si="513"/>
        <v>1</v>
      </c>
      <c r="CO16" s="10">
        <f t="shared" si="513"/>
        <v>1</v>
      </c>
      <c r="CP16" s="10">
        <f t="shared" si="513"/>
        <v>1</v>
      </c>
      <c r="CQ16" s="10">
        <f t="shared" si="513"/>
        <v>1</v>
      </c>
      <c r="CR16" s="10">
        <f t="shared" si="513"/>
        <v>1</v>
      </c>
      <c r="CS16" s="10">
        <f t="shared" si="513"/>
        <v>1</v>
      </c>
      <c r="CT16" s="10">
        <f t="shared" si="513"/>
        <v>1</v>
      </c>
      <c r="CU16" s="10">
        <f t="shared" si="513"/>
        <v>1</v>
      </c>
      <c r="CV16" s="10">
        <f t="shared" si="513"/>
        <v>1</v>
      </c>
      <c r="CW16" s="10">
        <f t="shared" si="513"/>
        <v>1</v>
      </c>
      <c r="CX16" s="10">
        <f t="shared" si="513"/>
        <v>1</v>
      </c>
      <c r="CY16" s="10">
        <f t="shared" si="513"/>
        <v>1</v>
      </c>
      <c r="CZ16" s="10">
        <f t="shared" si="513"/>
        <v>1</v>
      </c>
      <c r="DA16" s="10">
        <f t="shared" si="513"/>
        <v>1</v>
      </c>
      <c r="DB16" s="10">
        <f t="shared" si="513"/>
        <v>1</v>
      </c>
      <c r="DC16" s="10">
        <f t="shared" si="513"/>
        <v>1</v>
      </c>
      <c r="DD16" s="10">
        <f t="shared" si="513"/>
        <v>1</v>
      </c>
      <c r="DE16" s="10">
        <f t="shared" si="513"/>
        <v>1</v>
      </c>
      <c r="DF16" s="10">
        <f t="shared" si="513"/>
        <v>1</v>
      </c>
      <c r="DG16" s="10">
        <f t="shared" si="513"/>
        <v>1</v>
      </c>
      <c r="DH16" s="10">
        <f t="shared" si="513"/>
        <v>1</v>
      </c>
      <c r="DI16" s="10">
        <f t="shared" si="513"/>
        <v>1</v>
      </c>
      <c r="DJ16" s="10">
        <f t="shared" si="513"/>
        <v>1</v>
      </c>
      <c r="DK16" s="10">
        <f t="shared" si="513"/>
        <v>1</v>
      </c>
      <c r="DL16" s="10">
        <f t="shared" si="513"/>
        <v>1</v>
      </c>
      <c r="DM16" s="10">
        <f t="shared" si="513"/>
        <v>1</v>
      </c>
      <c r="DN16" s="10">
        <f t="shared" si="513"/>
        <v>1</v>
      </c>
      <c r="DO16" s="10">
        <f t="shared" si="513"/>
        <v>1</v>
      </c>
      <c r="DP16" s="10">
        <f t="shared" si="513"/>
        <v>1</v>
      </c>
      <c r="DQ16" s="10">
        <f t="shared" si="513"/>
        <v>1</v>
      </c>
      <c r="DR16" s="10">
        <f t="shared" si="513"/>
        <v>1</v>
      </c>
      <c r="DS16" s="10">
        <f t="shared" si="513"/>
        <v>1</v>
      </c>
      <c r="DT16" s="10">
        <f t="shared" si="513"/>
        <v>1</v>
      </c>
      <c r="DU16" s="10">
        <f t="shared" si="513"/>
        <v>1</v>
      </c>
      <c r="DV16" s="10">
        <f t="shared" si="513"/>
        <v>1</v>
      </c>
      <c r="DW16" s="10">
        <f t="shared" si="513"/>
        <v>1</v>
      </c>
      <c r="DX16" s="10">
        <f t="shared" si="513"/>
        <v>1</v>
      </c>
      <c r="DY16" s="10">
        <f t="shared" si="513"/>
        <v>1</v>
      </c>
      <c r="DZ16" s="10">
        <f t="shared" si="513"/>
        <v>1</v>
      </c>
      <c r="EA16" s="10">
        <f t="shared" si="513"/>
        <v>1</v>
      </c>
      <c r="EB16" s="10">
        <f t="shared" si="513"/>
        <v>1</v>
      </c>
      <c r="EC16" s="10">
        <f t="shared" si="513"/>
        <v>1</v>
      </c>
      <c r="ED16" s="10">
        <f t="shared" si="513"/>
        <v>1</v>
      </c>
      <c r="EE16" s="10">
        <f t="shared" si="513"/>
        <v>1</v>
      </c>
      <c r="EF16" s="10">
        <f t="shared" si="513"/>
        <v>1</v>
      </c>
      <c r="EG16" s="10">
        <f t="shared" si="513"/>
        <v>1</v>
      </c>
      <c r="EH16" s="10">
        <f t="shared" si="513"/>
        <v>1</v>
      </c>
      <c r="EI16" s="10">
        <f t="shared" si="513"/>
        <v>1</v>
      </c>
      <c r="EJ16" s="10">
        <f t="shared" si="513"/>
        <v>1</v>
      </c>
      <c r="EK16" s="10">
        <f t="shared" si="513"/>
        <v>1</v>
      </c>
      <c r="EL16" s="10">
        <f t="shared" si="513"/>
        <v>1</v>
      </c>
      <c r="EM16" s="10">
        <f t="shared" si="513"/>
        <v>1</v>
      </c>
      <c r="EN16" s="10">
        <f t="shared" si="513"/>
        <v>1</v>
      </c>
      <c r="EO16" s="10">
        <f t="shared" si="513"/>
        <v>1</v>
      </c>
      <c r="EP16" s="10">
        <f t="shared" si="513"/>
        <v>1</v>
      </c>
      <c r="EQ16" s="10">
        <f t="shared" si="513"/>
        <v>1</v>
      </c>
      <c r="ER16" s="10">
        <f t="shared" si="513"/>
        <v>1</v>
      </c>
      <c r="ES16" s="10">
        <f t="shared" si="513"/>
        <v>1</v>
      </c>
      <c r="ET16" s="10">
        <f t="shared" si="513"/>
        <v>1</v>
      </c>
      <c r="EU16" s="10">
        <f t="shared" si="513"/>
        <v>1</v>
      </c>
      <c r="EV16" s="10">
        <f t="shared" si="513"/>
        <v>1</v>
      </c>
      <c r="EW16" s="10">
        <f t="shared" si="513"/>
        <v>1</v>
      </c>
      <c r="EX16" s="10">
        <f t="shared" si="513"/>
        <v>1</v>
      </c>
      <c r="EY16" s="10">
        <f t="shared" si="513"/>
        <v>1</v>
      </c>
      <c r="EZ16" s="10">
        <f t="shared" si="513"/>
        <v>1</v>
      </c>
      <c r="FA16" s="10">
        <f t="shared" si="513"/>
        <v>1</v>
      </c>
      <c r="FB16" s="10">
        <f t="shared" si="513"/>
        <v>1</v>
      </c>
      <c r="FC16" s="10">
        <f t="shared" si="513"/>
        <v>1</v>
      </c>
      <c r="FD16" s="10">
        <f t="shared" si="513"/>
        <v>1</v>
      </c>
      <c r="FE16" s="10">
        <f t="shared" si="513"/>
        <v>1</v>
      </c>
      <c r="FF16" s="10">
        <f t="shared" si="513"/>
        <v>1</v>
      </c>
      <c r="FG16" s="10">
        <f t="shared" si="513"/>
        <v>1</v>
      </c>
      <c r="FH16" s="10">
        <f t="shared" si="513"/>
        <v>1</v>
      </c>
      <c r="FI16" s="10">
        <f t="shared" si="513"/>
        <v>1</v>
      </c>
      <c r="FJ16" s="10">
        <f t="shared" si="513"/>
        <v>1</v>
      </c>
      <c r="FK16" s="10">
        <f t="shared" si="513"/>
        <v>1</v>
      </c>
      <c r="FL16" s="10">
        <f t="shared" si="513"/>
        <v>1</v>
      </c>
      <c r="FM16" s="10">
        <f t="shared" si="513"/>
        <v>1</v>
      </c>
      <c r="FN16" s="10">
        <f t="shared" si="513"/>
        <v>1</v>
      </c>
      <c r="FO16" s="10">
        <f t="shared" si="513"/>
        <v>1</v>
      </c>
      <c r="FP16" s="10">
        <f t="shared" si="513"/>
        <v>1</v>
      </c>
      <c r="FQ16" s="10">
        <f t="shared" si="513"/>
        <v>1</v>
      </c>
      <c r="FR16" s="10">
        <f t="shared" si="513"/>
        <v>1</v>
      </c>
      <c r="FS16" s="10">
        <f t="shared" si="513"/>
        <v>1</v>
      </c>
      <c r="FT16" s="10">
        <f t="shared" si="513"/>
        <v>1</v>
      </c>
      <c r="FU16" s="10">
        <f t="shared" si="513"/>
        <v>1</v>
      </c>
      <c r="FV16" s="10">
        <f t="shared" si="513"/>
        <v>1</v>
      </c>
      <c r="FW16" s="10">
        <f t="shared" si="513"/>
        <v>1</v>
      </c>
      <c r="FX16" s="10">
        <f t="shared" si="513"/>
        <v>1</v>
      </c>
      <c r="FY16" s="10">
        <f t="shared" si="513"/>
        <v>1</v>
      </c>
      <c r="FZ16" s="10">
        <f t="shared" si="513"/>
        <v>1</v>
      </c>
      <c r="GA16" s="10">
        <f t="shared" si="513"/>
        <v>1</v>
      </c>
      <c r="GB16" s="10">
        <f t="shared" si="513"/>
        <v>1</v>
      </c>
      <c r="GC16" s="10">
        <f t="shared" si="513"/>
        <v>1</v>
      </c>
      <c r="GD16" s="10">
        <f t="shared" si="513"/>
        <v>1</v>
      </c>
      <c r="GE16" s="10">
        <f t="shared" si="513"/>
        <v>1</v>
      </c>
      <c r="GF16" s="10">
        <f t="shared" si="513"/>
        <v>1</v>
      </c>
      <c r="GG16" s="10">
        <f t="shared" si="513"/>
        <v>1</v>
      </c>
      <c r="GH16" s="10">
        <f t="shared" si="513"/>
        <v>1</v>
      </c>
      <c r="GI16" s="10">
        <f t="shared" si="513"/>
        <v>1</v>
      </c>
      <c r="GJ16" s="10">
        <f t="shared" si="513"/>
        <v>1</v>
      </c>
      <c r="GK16" s="10">
        <f t="shared" si="513"/>
        <v>1</v>
      </c>
      <c r="GL16" s="10">
        <f t="shared" si="513"/>
        <v>1</v>
      </c>
      <c r="GM16" s="10">
        <f t="shared" si="513"/>
        <v>1</v>
      </c>
      <c r="GN16" s="10">
        <f t="shared" si="513"/>
        <v>1</v>
      </c>
      <c r="GO16" s="10">
        <f t="shared" si="513"/>
        <v>1</v>
      </c>
      <c r="GP16" s="10">
        <f t="shared" si="513"/>
        <v>1</v>
      </c>
      <c r="GQ16" s="10">
        <f t="shared" si="513"/>
        <v>1</v>
      </c>
      <c r="GR16" s="10">
        <f t="shared" si="513"/>
        <v>1</v>
      </c>
      <c r="GS16" s="10">
        <f t="shared" si="513"/>
        <v>1</v>
      </c>
      <c r="GT16" s="10">
        <f t="shared" si="513"/>
        <v>1</v>
      </c>
      <c r="GU16" s="10">
        <f t="shared" si="513"/>
        <v>1</v>
      </c>
      <c r="GV16" s="10">
        <f t="shared" si="513"/>
        <v>1</v>
      </c>
      <c r="GW16" s="10">
        <f t="shared" si="513"/>
        <v>1</v>
      </c>
      <c r="GX16" s="10">
        <f t="shared" si="513"/>
        <v>1</v>
      </c>
      <c r="GY16" s="10">
        <f t="shared" si="513"/>
        <v>1</v>
      </c>
      <c r="GZ16" s="10">
        <f t="shared" si="513"/>
        <v>1</v>
      </c>
      <c r="HA16" s="10">
        <f t="shared" si="513"/>
        <v>1</v>
      </c>
      <c r="HB16" s="10">
        <f t="shared" si="513"/>
        <v>1</v>
      </c>
      <c r="HC16" s="10">
        <f t="shared" si="513"/>
        <v>1</v>
      </c>
      <c r="HD16" s="10">
        <f t="shared" si="513"/>
        <v>1</v>
      </c>
      <c r="HE16" s="10">
        <f t="shared" si="513"/>
        <v>1</v>
      </c>
      <c r="HF16" s="10">
        <f t="shared" si="513"/>
        <v>1</v>
      </c>
      <c r="HG16" s="10">
        <f t="shared" si="513"/>
        <v>1</v>
      </c>
      <c r="HH16" s="10">
        <f t="shared" si="513"/>
        <v>1</v>
      </c>
      <c r="HI16" s="10">
        <f t="shared" si="513"/>
        <v>1</v>
      </c>
      <c r="HJ16" s="10">
        <f t="shared" si="513"/>
        <v>1</v>
      </c>
      <c r="HK16" s="10">
        <f t="shared" si="513"/>
        <v>1</v>
      </c>
      <c r="HL16" s="10">
        <f t="shared" si="513"/>
        <v>1</v>
      </c>
      <c r="HM16" s="10">
        <f t="shared" si="513"/>
        <v>1</v>
      </c>
      <c r="HN16" s="10">
        <f t="shared" si="513"/>
        <v>1</v>
      </c>
      <c r="HO16" s="10">
        <f t="shared" si="513"/>
        <v>1</v>
      </c>
      <c r="HP16" s="10">
        <f t="shared" si="513"/>
        <v>1</v>
      </c>
      <c r="HQ16" s="10">
        <f t="shared" si="513"/>
        <v>1</v>
      </c>
      <c r="HR16" s="10">
        <f t="shared" si="513"/>
        <v>1</v>
      </c>
      <c r="HS16" s="10">
        <f t="shared" si="513"/>
        <v>1</v>
      </c>
      <c r="HT16" s="10">
        <f t="shared" si="513"/>
        <v>1</v>
      </c>
      <c r="HU16" s="10">
        <f t="shared" si="513"/>
        <v>1</v>
      </c>
      <c r="HV16" s="10">
        <f t="shared" si="513"/>
        <v>1</v>
      </c>
      <c r="HW16" s="10">
        <f t="shared" si="513"/>
        <v>1</v>
      </c>
      <c r="HX16" s="10">
        <f t="shared" si="513"/>
        <v>1</v>
      </c>
      <c r="HY16" s="10">
        <f t="shared" si="513"/>
        <v>1</v>
      </c>
      <c r="HZ16" s="10">
        <f t="shared" si="513"/>
        <v>1</v>
      </c>
      <c r="IA16" s="10">
        <f t="shared" si="513"/>
        <v>1</v>
      </c>
      <c r="IB16" s="10">
        <f t="shared" si="513"/>
        <v>1</v>
      </c>
      <c r="IC16" s="10">
        <f t="shared" si="513"/>
        <v>1</v>
      </c>
      <c r="ID16" s="10">
        <f t="shared" si="513"/>
        <v>1</v>
      </c>
      <c r="IE16" s="10">
        <f t="shared" si="513"/>
        <v>1</v>
      </c>
      <c r="IF16" s="10">
        <f t="shared" si="513"/>
        <v>1</v>
      </c>
      <c r="IG16" s="10">
        <f t="shared" si="513"/>
        <v>1</v>
      </c>
      <c r="IH16" s="10">
        <f t="shared" si="513"/>
        <v>1</v>
      </c>
      <c r="II16" s="10">
        <f t="shared" si="513"/>
        <v>1</v>
      </c>
      <c r="IJ16" s="10">
        <f t="shared" si="513"/>
        <v>1</v>
      </c>
      <c r="IK16" s="10">
        <f t="shared" si="513"/>
        <v>1</v>
      </c>
      <c r="IL16" s="10">
        <f t="shared" si="513"/>
        <v>1</v>
      </c>
      <c r="IM16" s="10">
        <f t="shared" si="513"/>
        <v>1</v>
      </c>
      <c r="IN16" s="10">
        <f t="shared" si="513"/>
        <v>1</v>
      </c>
      <c r="IO16" s="10">
        <f t="shared" si="513"/>
        <v>1</v>
      </c>
      <c r="IP16" s="10">
        <f t="shared" si="513"/>
        <v>1</v>
      </c>
      <c r="IQ16" s="10">
        <f t="shared" si="513"/>
        <v>1</v>
      </c>
      <c r="IR16" s="10">
        <f t="shared" si="513"/>
        <v>1</v>
      </c>
      <c r="IS16" s="10">
        <f t="shared" si="513"/>
        <v>1</v>
      </c>
      <c r="IT16" s="198">
        <v>0.5</v>
      </c>
      <c r="IU16" s="10">
        <f t="shared" ref="IU16:ST16" si="514">1</f>
        <v>1</v>
      </c>
      <c r="IV16" s="10">
        <f t="shared" si="514"/>
        <v>1</v>
      </c>
      <c r="IW16" s="10">
        <f t="shared" si="514"/>
        <v>1</v>
      </c>
      <c r="IX16" s="10">
        <f t="shared" si="514"/>
        <v>1</v>
      </c>
      <c r="IY16" s="10">
        <f t="shared" si="514"/>
        <v>1</v>
      </c>
      <c r="IZ16" s="10">
        <f t="shared" si="514"/>
        <v>1</v>
      </c>
      <c r="JA16" s="10">
        <f t="shared" si="514"/>
        <v>1</v>
      </c>
      <c r="JB16" s="10">
        <f t="shared" si="514"/>
        <v>1</v>
      </c>
      <c r="JC16" s="10">
        <f t="shared" si="514"/>
        <v>1</v>
      </c>
      <c r="JD16" s="10">
        <f t="shared" si="514"/>
        <v>1</v>
      </c>
      <c r="JE16" s="10">
        <f t="shared" si="514"/>
        <v>1</v>
      </c>
      <c r="JF16" s="10">
        <f t="shared" si="514"/>
        <v>1</v>
      </c>
      <c r="JG16" s="10">
        <f t="shared" si="514"/>
        <v>1</v>
      </c>
      <c r="JH16" s="10">
        <f t="shared" si="514"/>
        <v>1</v>
      </c>
      <c r="JI16" s="10">
        <f t="shared" si="514"/>
        <v>1</v>
      </c>
      <c r="JJ16" s="10">
        <f t="shared" si="514"/>
        <v>1</v>
      </c>
      <c r="JK16" s="10">
        <f t="shared" si="514"/>
        <v>1</v>
      </c>
      <c r="JL16" s="10">
        <f t="shared" si="514"/>
        <v>1</v>
      </c>
      <c r="JM16" s="10">
        <f t="shared" si="514"/>
        <v>1</v>
      </c>
      <c r="JN16" s="10">
        <f t="shared" si="514"/>
        <v>1</v>
      </c>
      <c r="JO16" s="10">
        <f t="shared" si="514"/>
        <v>1</v>
      </c>
      <c r="JP16" s="10">
        <f t="shared" si="514"/>
        <v>1</v>
      </c>
      <c r="JQ16" s="10">
        <f t="shared" si="514"/>
        <v>1</v>
      </c>
      <c r="JR16" s="10">
        <f t="shared" si="514"/>
        <v>1</v>
      </c>
      <c r="JS16" s="10">
        <f t="shared" si="514"/>
        <v>1</v>
      </c>
      <c r="JT16" s="10">
        <f t="shared" si="514"/>
        <v>1</v>
      </c>
      <c r="JU16" s="10">
        <f t="shared" si="514"/>
        <v>1</v>
      </c>
      <c r="JV16" s="10">
        <f t="shared" si="514"/>
        <v>1</v>
      </c>
      <c r="JW16" s="10">
        <f t="shared" si="514"/>
        <v>1</v>
      </c>
      <c r="JX16" s="10">
        <f t="shared" si="514"/>
        <v>1</v>
      </c>
      <c r="JY16" s="10">
        <f t="shared" si="514"/>
        <v>1</v>
      </c>
      <c r="JZ16" s="10">
        <f t="shared" si="514"/>
        <v>1</v>
      </c>
      <c r="KA16" s="10">
        <f t="shared" si="514"/>
        <v>1</v>
      </c>
      <c r="KB16" s="10">
        <f t="shared" si="514"/>
        <v>1</v>
      </c>
      <c r="KC16" s="10">
        <f t="shared" si="514"/>
        <v>1</v>
      </c>
      <c r="KD16" s="10">
        <f t="shared" si="514"/>
        <v>1</v>
      </c>
      <c r="KE16" s="10">
        <f t="shared" si="514"/>
        <v>1</v>
      </c>
      <c r="KF16" s="10">
        <f t="shared" si="514"/>
        <v>1</v>
      </c>
      <c r="KG16" s="10">
        <f t="shared" si="514"/>
        <v>1</v>
      </c>
      <c r="KH16" s="10">
        <f t="shared" si="514"/>
        <v>1</v>
      </c>
      <c r="KI16" s="10">
        <f t="shared" si="514"/>
        <v>1</v>
      </c>
      <c r="KJ16" s="10">
        <f t="shared" si="514"/>
        <v>1</v>
      </c>
      <c r="KK16" s="10">
        <f t="shared" si="514"/>
        <v>1</v>
      </c>
      <c r="KL16" s="10">
        <f t="shared" si="514"/>
        <v>1</v>
      </c>
      <c r="KM16" s="10">
        <f t="shared" si="514"/>
        <v>1</v>
      </c>
      <c r="KN16" s="10">
        <f t="shared" si="514"/>
        <v>1</v>
      </c>
      <c r="KO16" s="10">
        <f t="shared" si="514"/>
        <v>1</v>
      </c>
      <c r="KP16" s="10">
        <f t="shared" si="514"/>
        <v>1</v>
      </c>
      <c r="KQ16" s="10">
        <f t="shared" si="514"/>
        <v>1</v>
      </c>
      <c r="KR16" s="10">
        <f t="shared" si="514"/>
        <v>1</v>
      </c>
      <c r="KS16" s="10">
        <f t="shared" si="514"/>
        <v>1</v>
      </c>
      <c r="KT16" s="10">
        <f t="shared" si="514"/>
        <v>1</v>
      </c>
      <c r="KU16" s="10">
        <f t="shared" si="514"/>
        <v>1</v>
      </c>
      <c r="KV16" s="10">
        <f t="shared" si="514"/>
        <v>1</v>
      </c>
      <c r="KW16" s="10">
        <f t="shared" si="514"/>
        <v>1</v>
      </c>
      <c r="KX16" s="10">
        <f t="shared" si="514"/>
        <v>1</v>
      </c>
      <c r="KY16" s="10">
        <f t="shared" si="514"/>
        <v>1</v>
      </c>
      <c r="KZ16" s="10">
        <f t="shared" si="514"/>
        <v>1</v>
      </c>
      <c r="LA16" s="10">
        <f t="shared" si="514"/>
        <v>1</v>
      </c>
      <c r="LB16" s="10">
        <f t="shared" si="514"/>
        <v>1</v>
      </c>
      <c r="LC16" s="10">
        <f t="shared" si="514"/>
        <v>1</v>
      </c>
      <c r="LD16" s="10">
        <f t="shared" si="514"/>
        <v>1</v>
      </c>
      <c r="LE16" s="10">
        <f t="shared" si="514"/>
        <v>1</v>
      </c>
      <c r="LF16" s="10">
        <f t="shared" si="514"/>
        <v>1</v>
      </c>
      <c r="LG16" s="10">
        <f t="shared" si="514"/>
        <v>1</v>
      </c>
      <c r="LH16" s="10">
        <f t="shared" si="514"/>
        <v>1</v>
      </c>
      <c r="LI16" s="10">
        <f t="shared" si="514"/>
        <v>1</v>
      </c>
      <c r="LJ16" s="10">
        <f t="shared" si="514"/>
        <v>1</v>
      </c>
      <c r="LK16" s="10">
        <f t="shared" si="514"/>
        <v>1</v>
      </c>
      <c r="LL16" s="10">
        <f t="shared" si="514"/>
        <v>1</v>
      </c>
      <c r="LM16" s="10">
        <f t="shared" si="514"/>
        <v>1</v>
      </c>
      <c r="LN16" s="10">
        <f t="shared" si="514"/>
        <v>1</v>
      </c>
      <c r="LO16" s="10">
        <f t="shared" si="514"/>
        <v>1</v>
      </c>
      <c r="LP16" s="10">
        <f t="shared" si="514"/>
        <v>1</v>
      </c>
      <c r="LQ16" s="10">
        <f t="shared" si="514"/>
        <v>1</v>
      </c>
      <c r="LR16" s="10">
        <f t="shared" si="514"/>
        <v>1</v>
      </c>
      <c r="LS16" s="10">
        <f t="shared" si="514"/>
        <v>1</v>
      </c>
      <c r="LT16" s="10">
        <f t="shared" si="514"/>
        <v>1</v>
      </c>
      <c r="LU16" s="10">
        <f t="shared" si="514"/>
        <v>1</v>
      </c>
      <c r="LV16" s="10">
        <f t="shared" si="514"/>
        <v>1</v>
      </c>
      <c r="LW16" s="10">
        <f t="shared" si="514"/>
        <v>1</v>
      </c>
      <c r="LX16" s="10">
        <f t="shared" si="514"/>
        <v>1</v>
      </c>
      <c r="LY16" s="10">
        <f t="shared" si="514"/>
        <v>1</v>
      </c>
      <c r="LZ16" s="10">
        <f t="shared" si="514"/>
        <v>1</v>
      </c>
      <c r="MA16" s="10">
        <f t="shared" si="514"/>
        <v>1</v>
      </c>
      <c r="MB16" s="10">
        <f t="shared" si="514"/>
        <v>1</v>
      </c>
      <c r="MC16" s="10">
        <f t="shared" si="514"/>
        <v>1</v>
      </c>
      <c r="MD16" s="10">
        <f t="shared" si="514"/>
        <v>1</v>
      </c>
      <c r="ME16" s="10">
        <f t="shared" si="514"/>
        <v>1</v>
      </c>
      <c r="MF16" s="10">
        <f t="shared" si="514"/>
        <v>1</v>
      </c>
      <c r="MG16" s="10">
        <f t="shared" si="514"/>
        <v>1</v>
      </c>
      <c r="MH16" s="10">
        <f t="shared" si="514"/>
        <v>1</v>
      </c>
      <c r="MI16" s="10">
        <f t="shared" si="514"/>
        <v>1</v>
      </c>
      <c r="MJ16" s="10">
        <f t="shared" si="514"/>
        <v>1</v>
      </c>
      <c r="MK16" s="10">
        <f t="shared" si="514"/>
        <v>1</v>
      </c>
      <c r="ML16" s="10">
        <f t="shared" si="514"/>
        <v>1</v>
      </c>
      <c r="MM16" s="10">
        <f t="shared" si="514"/>
        <v>1</v>
      </c>
      <c r="MN16" s="10">
        <f t="shared" si="514"/>
        <v>1</v>
      </c>
      <c r="MO16" s="10">
        <f t="shared" si="514"/>
        <v>1</v>
      </c>
      <c r="MP16" s="10">
        <f t="shared" si="514"/>
        <v>1</v>
      </c>
      <c r="MQ16" s="10">
        <f t="shared" si="514"/>
        <v>1</v>
      </c>
      <c r="MR16" s="10">
        <f t="shared" si="514"/>
        <v>1</v>
      </c>
      <c r="MS16" s="10">
        <f t="shared" si="514"/>
        <v>1</v>
      </c>
      <c r="MT16" s="10">
        <f t="shared" si="514"/>
        <v>1</v>
      </c>
      <c r="MU16" s="10">
        <f t="shared" si="514"/>
        <v>1</v>
      </c>
      <c r="MV16" s="10">
        <f t="shared" si="514"/>
        <v>1</v>
      </c>
      <c r="MW16" s="10">
        <f t="shared" si="514"/>
        <v>1</v>
      </c>
      <c r="MX16" s="10">
        <f t="shared" si="514"/>
        <v>1</v>
      </c>
      <c r="MY16" s="10">
        <f t="shared" si="514"/>
        <v>1</v>
      </c>
      <c r="MZ16" s="10">
        <f t="shared" si="514"/>
        <v>1</v>
      </c>
      <c r="NA16" s="10">
        <f t="shared" si="514"/>
        <v>1</v>
      </c>
      <c r="NB16" s="10">
        <f t="shared" si="514"/>
        <v>1</v>
      </c>
      <c r="NC16" s="10">
        <f t="shared" si="514"/>
        <v>1</v>
      </c>
      <c r="ND16" s="10">
        <f t="shared" si="514"/>
        <v>1</v>
      </c>
      <c r="NE16" s="10">
        <f t="shared" si="514"/>
        <v>1</v>
      </c>
      <c r="NF16" s="10">
        <f t="shared" si="514"/>
        <v>1</v>
      </c>
      <c r="NG16" s="10">
        <f t="shared" si="514"/>
        <v>1</v>
      </c>
      <c r="NH16" s="10">
        <f t="shared" si="514"/>
        <v>1</v>
      </c>
      <c r="NI16" s="10">
        <f t="shared" si="514"/>
        <v>1</v>
      </c>
      <c r="NJ16" s="10">
        <f t="shared" si="514"/>
        <v>1</v>
      </c>
      <c r="NK16" s="10">
        <f t="shared" si="514"/>
        <v>1</v>
      </c>
      <c r="NL16" s="10">
        <f t="shared" si="514"/>
        <v>1</v>
      </c>
      <c r="NM16" s="10">
        <f t="shared" si="514"/>
        <v>1</v>
      </c>
      <c r="NN16" s="10">
        <f t="shared" si="514"/>
        <v>1</v>
      </c>
      <c r="NO16" s="10">
        <f t="shared" si="514"/>
        <v>1</v>
      </c>
      <c r="NP16" s="10">
        <f t="shared" si="514"/>
        <v>1</v>
      </c>
      <c r="NQ16" s="10">
        <f t="shared" si="514"/>
        <v>1</v>
      </c>
      <c r="NR16" s="10">
        <f t="shared" si="514"/>
        <v>1</v>
      </c>
      <c r="NS16" s="10">
        <f t="shared" si="514"/>
        <v>1</v>
      </c>
      <c r="NT16" s="10">
        <f t="shared" si="514"/>
        <v>1</v>
      </c>
      <c r="NU16" s="10">
        <f t="shared" si="514"/>
        <v>1</v>
      </c>
      <c r="NV16" s="10">
        <f t="shared" si="514"/>
        <v>1</v>
      </c>
      <c r="NW16" s="10">
        <f t="shared" si="514"/>
        <v>1</v>
      </c>
      <c r="NX16" s="10">
        <f t="shared" si="514"/>
        <v>1</v>
      </c>
      <c r="NY16" s="10">
        <f t="shared" si="514"/>
        <v>1</v>
      </c>
      <c r="NZ16" s="10">
        <f t="shared" si="514"/>
        <v>1</v>
      </c>
      <c r="OA16" s="10">
        <f t="shared" si="514"/>
        <v>1</v>
      </c>
      <c r="OB16" s="10">
        <f t="shared" si="514"/>
        <v>1</v>
      </c>
      <c r="OC16" s="10">
        <f t="shared" si="514"/>
        <v>1</v>
      </c>
      <c r="OD16" s="10">
        <f t="shared" si="514"/>
        <v>1</v>
      </c>
      <c r="OE16" s="10">
        <f t="shared" si="514"/>
        <v>1</v>
      </c>
      <c r="OF16" s="10">
        <f t="shared" si="514"/>
        <v>1</v>
      </c>
      <c r="OG16" s="10">
        <f t="shared" si="514"/>
        <v>1</v>
      </c>
      <c r="OH16" s="10">
        <f t="shared" si="514"/>
        <v>1</v>
      </c>
      <c r="OI16" s="10">
        <f t="shared" si="514"/>
        <v>1</v>
      </c>
      <c r="OJ16" s="10">
        <f t="shared" si="514"/>
        <v>1</v>
      </c>
      <c r="OK16" s="10">
        <f t="shared" si="514"/>
        <v>1</v>
      </c>
      <c r="OL16" s="10">
        <f t="shared" si="514"/>
        <v>1</v>
      </c>
      <c r="OM16" s="10">
        <f t="shared" si="514"/>
        <v>1</v>
      </c>
      <c r="ON16" s="10">
        <f t="shared" si="514"/>
        <v>1</v>
      </c>
      <c r="OO16" s="10">
        <f t="shared" si="514"/>
        <v>1</v>
      </c>
      <c r="OP16" s="10">
        <f t="shared" si="514"/>
        <v>1</v>
      </c>
      <c r="OQ16" s="10">
        <f t="shared" si="514"/>
        <v>1</v>
      </c>
      <c r="OR16" s="10">
        <f t="shared" si="514"/>
        <v>1</v>
      </c>
      <c r="OS16" s="10">
        <f t="shared" si="514"/>
        <v>1</v>
      </c>
      <c r="OT16" s="10">
        <f t="shared" si="514"/>
        <v>1</v>
      </c>
      <c r="OU16" s="10">
        <f t="shared" si="514"/>
        <v>1</v>
      </c>
      <c r="OV16" s="10">
        <f t="shared" si="514"/>
        <v>1</v>
      </c>
      <c r="OW16" s="10">
        <f t="shared" si="514"/>
        <v>1</v>
      </c>
      <c r="OX16" s="10">
        <f t="shared" si="514"/>
        <v>1</v>
      </c>
      <c r="OY16" s="10">
        <f t="shared" si="514"/>
        <v>1</v>
      </c>
      <c r="OZ16" s="10">
        <f t="shared" si="514"/>
        <v>1</v>
      </c>
      <c r="PA16" s="10">
        <f t="shared" si="514"/>
        <v>1</v>
      </c>
      <c r="PB16" s="10">
        <f t="shared" si="514"/>
        <v>1</v>
      </c>
      <c r="PC16" s="10">
        <f t="shared" si="514"/>
        <v>1</v>
      </c>
      <c r="PD16" s="10">
        <f t="shared" si="514"/>
        <v>1</v>
      </c>
      <c r="PE16" s="10">
        <f t="shared" si="514"/>
        <v>1</v>
      </c>
      <c r="PF16" s="10">
        <f t="shared" si="514"/>
        <v>1</v>
      </c>
      <c r="PG16" s="10">
        <f t="shared" si="514"/>
        <v>1</v>
      </c>
      <c r="PH16" s="10">
        <f t="shared" si="514"/>
        <v>1</v>
      </c>
      <c r="PI16" s="10">
        <f t="shared" si="514"/>
        <v>1</v>
      </c>
      <c r="PJ16" s="10">
        <f t="shared" si="514"/>
        <v>1</v>
      </c>
      <c r="PK16" s="10">
        <f t="shared" si="514"/>
        <v>1</v>
      </c>
      <c r="PL16" s="10">
        <f t="shared" si="514"/>
        <v>1</v>
      </c>
      <c r="PM16" s="10">
        <f t="shared" si="514"/>
        <v>1</v>
      </c>
      <c r="PN16" s="10">
        <f t="shared" si="514"/>
        <v>1</v>
      </c>
      <c r="PO16" s="10">
        <f t="shared" si="514"/>
        <v>1</v>
      </c>
      <c r="PP16" s="10">
        <f t="shared" si="514"/>
        <v>1</v>
      </c>
      <c r="PQ16" s="10">
        <f t="shared" si="514"/>
        <v>1</v>
      </c>
      <c r="PR16" s="10">
        <f t="shared" si="514"/>
        <v>1</v>
      </c>
      <c r="PS16" s="10">
        <f t="shared" si="514"/>
        <v>1</v>
      </c>
      <c r="PT16" s="10">
        <f t="shared" si="514"/>
        <v>1</v>
      </c>
      <c r="PU16" s="10">
        <f t="shared" si="514"/>
        <v>1</v>
      </c>
      <c r="PV16" s="10">
        <f t="shared" si="514"/>
        <v>1</v>
      </c>
      <c r="PW16" s="10">
        <f t="shared" si="514"/>
        <v>1</v>
      </c>
      <c r="PX16" s="10">
        <f t="shared" si="514"/>
        <v>1</v>
      </c>
      <c r="PY16" s="10">
        <f t="shared" si="514"/>
        <v>1</v>
      </c>
      <c r="PZ16" s="10">
        <f t="shared" si="514"/>
        <v>1</v>
      </c>
      <c r="QA16" s="10">
        <f t="shared" si="514"/>
        <v>1</v>
      </c>
      <c r="QB16" s="10">
        <f t="shared" si="514"/>
        <v>1</v>
      </c>
      <c r="QC16" s="10">
        <f t="shared" si="514"/>
        <v>1</v>
      </c>
      <c r="QD16" s="10">
        <f t="shared" si="514"/>
        <v>1</v>
      </c>
      <c r="QE16" s="10">
        <f t="shared" si="514"/>
        <v>1</v>
      </c>
      <c r="QF16" s="10">
        <f t="shared" si="514"/>
        <v>1</v>
      </c>
      <c r="QG16" s="10">
        <f t="shared" si="514"/>
        <v>1</v>
      </c>
      <c r="QH16" s="10">
        <f t="shared" si="514"/>
        <v>1</v>
      </c>
      <c r="QI16" s="10">
        <f t="shared" si="514"/>
        <v>1</v>
      </c>
      <c r="QJ16" s="10">
        <f t="shared" si="514"/>
        <v>1</v>
      </c>
      <c r="QK16" s="10">
        <f t="shared" si="514"/>
        <v>1</v>
      </c>
      <c r="QL16" s="10">
        <f t="shared" si="514"/>
        <v>1</v>
      </c>
      <c r="QM16" s="10">
        <f t="shared" si="514"/>
        <v>1</v>
      </c>
      <c r="QN16" s="10">
        <f t="shared" si="514"/>
        <v>1</v>
      </c>
      <c r="QO16" s="10">
        <f t="shared" si="514"/>
        <v>1</v>
      </c>
      <c r="QP16" s="10">
        <f t="shared" si="514"/>
        <v>1</v>
      </c>
      <c r="QQ16" s="10">
        <f t="shared" si="514"/>
        <v>1</v>
      </c>
      <c r="QR16" s="10">
        <f t="shared" si="514"/>
        <v>1</v>
      </c>
      <c r="QS16" s="10">
        <f t="shared" si="514"/>
        <v>1</v>
      </c>
      <c r="QT16" s="10">
        <f t="shared" si="514"/>
        <v>1</v>
      </c>
      <c r="QU16" s="10">
        <f t="shared" si="514"/>
        <v>1</v>
      </c>
      <c r="QV16" s="10">
        <f t="shared" si="514"/>
        <v>1</v>
      </c>
      <c r="QW16" s="10">
        <f t="shared" si="514"/>
        <v>1</v>
      </c>
      <c r="QX16" s="10">
        <f t="shared" si="514"/>
        <v>1</v>
      </c>
      <c r="QY16" s="10">
        <f t="shared" si="514"/>
        <v>1</v>
      </c>
      <c r="QZ16" s="10">
        <f t="shared" si="514"/>
        <v>1</v>
      </c>
      <c r="RA16" s="10">
        <f t="shared" si="514"/>
        <v>1</v>
      </c>
      <c r="RB16" s="10">
        <f t="shared" si="514"/>
        <v>1</v>
      </c>
      <c r="RC16" s="10">
        <f t="shared" si="514"/>
        <v>1</v>
      </c>
      <c r="RD16" s="10">
        <f t="shared" si="514"/>
        <v>1</v>
      </c>
      <c r="RE16" s="10">
        <f t="shared" si="514"/>
        <v>1</v>
      </c>
      <c r="RF16" s="10">
        <f t="shared" si="514"/>
        <v>1</v>
      </c>
      <c r="RG16" s="10">
        <f t="shared" si="514"/>
        <v>1</v>
      </c>
      <c r="RH16" s="10">
        <f t="shared" si="514"/>
        <v>1</v>
      </c>
      <c r="RI16" s="10">
        <f t="shared" si="514"/>
        <v>1</v>
      </c>
      <c r="RJ16" s="10">
        <f t="shared" si="514"/>
        <v>1</v>
      </c>
      <c r="RK16" s="10">
        <f t="shared" si="514"/>
        <v>1</v>
      </c>
      <c r="RL16" s="10">
        <f t="shared" si="514"/>
        <v>1</v>
      </c>
      <c r="RM16" s="10">
        <f t="shared" si="514"/>
        <v>1</v>
      </c>
      <c r="RN16" s="10">
        <f t="shared" si="514"/>
        <v>1</v>
      </c>
      <c r="RO16" s="10">
        <f t="shared" si="514"/>
        <v>1</v>
      </c>
      <c r="RP16" s="10">
        <f t="shared" si="514"/>
        <v>1</v>
      </c>
      <c r="RQ16" s="10">
        <f t="shared" si="514"/>
        <v>1</v>
      </c>
      <c r="RR16" s="10">
        <f t="shared" si="514"/>
        <v>1</v>
      </c>
      <c r="RS16" s="10">
        <f t="shared" si="514"/>
        <v>1</v>
      </c>
      <c r="RT16" s="10">
        <f t="shared" si="514"/>
        <v>1</v>
      </c>
      <c r="RU16" s="10">
        <f t="shared" si="514"/>
        <v>1</v>
      </c>
      <c r="RV16" s="10">
        <f t="shared" si="514"/>
        <v>1</v>
      </c>
      <c r="RW16" s="10">
        <f t="shared" si="514"/>
        <v>1</v>
      </c>
      <c r="RX16" s="10">
        <f t="shared" si="514"/>
        <v>1</v>
      </c>
      <c r="RY16" s="10">
        <f t="shared" si="514"/>
        <v>1</v>
      </c>
      <c r="RZ16" s="10">
        <f t="shared" si="514"/>
        <v>1</v>
      </c>
      <c r="SA16" s="10">
        <f t="shared" si="514"/>
        <v>1</v>
      </c>
      <c r="SB16" s="10">
        <f t="shared" si="514"/>
        <v>1</v>
      </c>
      <c r="SC16" s="10">
        <f t="shared" si="514"/>
        <v>1</v>
      </c>
      <c r="SD16" s="10">
        <f t="shared" si="514"/>
        <v>1</v>
      </c>
      <c r="SE16" s="10">
        <f t="shared" si="514"/>
        <v>1</v>
      </c>
      <c r="SF16" s="10">
        <f t="shared" si="514"/>
        <v>1</v>
      </c>
      <c r="SG16" s="10">
        <f t="shared" si="514"/>
        <v>1</v>
      </c>
      <c r="SH16" s="10">
        <f t="shared" si="514"/>
        <v>1</v>
      </c>
      <c r="SI16" s="10">
        <f t="shared" si="514"/>
        <v>1</v>
      </c>
      <c r="SJ16" s="10">
        <f t="shared" si="514"/>
        <v>1</v>
      </c>
      <c r="SK16" s="10">
        <f t="shared" si="514"/>
        <v>1</v>
      </c>
      <c r="SL16" s="10">
        <f t="shared" si="514"/>
        <v>1</v>
      </c>
      <c r="SM16" s="10">
        <f t="shared" si="514"/>
        <v>1</v>
      </c>
      <c r="SN16" s="10">
        <f t="shared" si="514"/>
        <v>1</v>
      </c>
      <c r="SO16" s="10">
        <f t="shared" si="514"/>
        <v>1</v>
      </c>
      <c r="SP16" s="10">
        <f t="shared" si="514"/>
        <v>1</v>
      </c>
      <c r="SQ16" s="10">
        <f t="shared" si="514"/>
        <v>1</v>
      </c>
      <c r="SR16" s="10">
        <f t="shared" si="514"/>
        <v>1</v>
      </c>
      <c r="SS16" s="10">
        <f t="shared" si="514"/>
        <v>1</v>
      </c>
      <c r="ST16" s="10">
        <f t="shared" si="514"/>
        <v>1</v>
      </c>
      <c r="SU16" s="10" t="str">
        <f> IF(INDIRECT(ADDRESS(ROW() - (27 + TemplateStats!$B$2), 6)) = 1, 24, IF(INDIRECT(ADDRESS(ROW() - (27 + TemplateStats!$B$2), 6)) = 2, 25.8, IF(INDIRECT(ADDRESS(ROW() - (27 + TemplateStats!$B$2), 6)) = 3, 27.6, IF(INDIRECT(ADDRESS(ROW() - (27 + TemplateStats!$B$2), 6)) = 4, 30, IF(INDIRECT(ADDRESS(ROW() - (27 + TemplateStats!$B$2), 6)) = 5, 31.8, IF(INDIRECT(ADDRESS(ROW() - (27 + TemplateStats!$B$2), 6)) = 6, 33.6, IF(INDIRECT(ADDRESS(ROW() - (27 + TemplateStats!$B$2), 6)) = 7, 36, IF(INDIRECT(ADDRESS(ROW() - (27 + TemplateStats!$B$2), 6)) = 8, 38.4, IF(INDIRECT(ADDRESS(ROW() - (27 + TemplateStats!$B$2), 6)) = 9, 40.8, IF(INDIRECT(ADDRESS(ROW() - (27 + TemplateStats!$B$2), 6)) = 10, 43.2, IF(INDIRECT(ADDRESS(ROW() - (27 + TemplateStats!$B$2), 6)) = 11, 45.6, IF(INDIRECT(ADDRESS(ROW() - (27 + TemplateStats!$B$2), 6)) = 12, 48, IF(INDIRECT(ADDRESS(ROW() - (27 + TemplateStats!$B$2), 6)) = 13, 51,0)))))))))))))%</f>
        <v>#VALUE!</v>
      </c>
      <c r="SV16" s="10" t="str">
        <f> IF(INDIRECT(ADDRESS(ROW() - (27 + TemplateStats!$B$2), 6)) = 1, 24, IF(INDIRECT(ADDRESS(ROW() - (27 + TemplateStats!$B$2), 6)) = 2, 25.8, IF(INDIRECT(ADDRESS(ROW() - (27 + TemplateStats!$B$2), 6)) = 3, 27.6, IF(INDIRECT(ADDRESS(ROW() - (27 + TemplateStats!$B$2), 6)) = 4, 30, IF(INDIRECT(ADDRESS(ROW() - (27 + TemplateStats!$B$2), 6)) = 5, 31.8, IF(INDIRECT(ADDRESS(ROW() - (27 + TemplateStats!$B$2), 6)) = 6, 33.6, IF(INDIRECT(ADDRESS(ROW() - (27 + TemplateStats!$B$2), 6)) = 7, 36, IF(INDIRECT(ADDRESS(ROW() - (27 + TemplateStats!$B$2), 6)) = 8, 38.4, IF(INDIRECT(ADDRESS(ROW() - (27 + TemplateStats!$B$2), 6)) = 9, 40.8, IF(INDIRECT(ADDRESS(ROW() - (27 + TemplateStats!$B$2), 6)) = 10, 43.2, IF(INDIRECT(ADDRESS(ROW() - (27 + TemplateStats!$B$2), 6)) = 11, 45.6, IF(INDIRECT(ADDRESS(ROW() - (27 + TemplateStats!$B$2), 6)) = 12, 48, IF(INDIRECT(ADDRESS(ROW() - (27 + TemplateStats!$B$2), 6)) = 13, 51,0)))))))))))))%</f>
        <v>#VALUE!</v>
      </c>
      <c r="SW16" s="10" t="str">
        <f> IF(INDIRECT(ADDRESS(ROW() - (27 + TemplateStats!$B$2), 6)) = 1, 24, IF(INDIRECT(ADDRESS(ROW() - (27 + TemplateStats!$B$2), 6)) = 2, 25.8, IF(INDIRECT(ADDRESS(ROW() - (27 + TemplateStats!$B$2), 6)) = 3, 27.6, IF(INDIRECT(ADDRESS(ROW() - (27 + TemplateStats!$B$2), 6)) = 4, 30, IF(INDIRECT(ADDRESS(ROW() - (27 + TemplateStats!$B$2), 6)) = 5, 31.8, IF(INDIRECT(ADDRESS(ROW() - (27 + TemplateStats!$B$2), 6)) = 6, 33.6, IF(INDIRECT(ADDRESS(ROW() - (27 + TemplateStats!$B$2), 6)) = 7, 36, IF(INDIRECT(ADDRESS(ROW() - (27 + TemplateStats!$B$2), 6)) = 8, 38.4, IF(INDIRECT(ADDRESS(ROW() - (27 + TemplateStats!$B$2), 6)) = 9, 40.8, IF(INDIRECT(ADDRESS(ROW() - (27 + TemplateStats!$B$2), 6)) = 10, 43.2, IF(INDIRECT(ADDRESS(ROW() - (27 + TemplateStats!$B$2), 6)) = 11, 45.6, IF(INDIRECT(ADDRESS(ROW() - (27 + TemplateStats!$B$2), 6)) = 12, 48, IF(INDIRECT(ADDRESS(ROW() - (27 + TemplateStats!$B$2), 6)) = 13, 51,0)))))))))))))%</f>
        <v>#VALUE!</v>
      </c>
      <c r="SX16" s="10" t="str">
        <f> IF(INDIRECT(ADDRESS(ROW() - (27 + TemplateStats!$B$2), 6)) = 1, 24, IF(INDIRECT(ADDRESS(ROW() - (27 + TemplateStats!$B$2), 6)) = 2, 25.8, IF(INDIRECT(ADDRESS(ROW() - (27 + TemplateStats!$B$2), 6)) = 3, 27.6, IF(INDIRECT(ADDRESS(ROW() - (27 + TemplateStats!$B$2), 6)) = 4, 30, IF(INDIRECT(ADDRESS(ROW() - (27 + TemplateStats!$B$2), 6)) = 5, 31.8, IF(INDIRECT(ADDRESS(ROW() - (27 + TemplateStats!$B$2), 6)) = 6, 33.6, IF(INDIRECT(ADDRESS(ROW() - (27 + TemplateStats!$B$2), 6)) = 7, 36, IF(INDIRECT(ADDRESS(ROW() - (27 + TemplateStats!$B$2), 6)) = 8, 38.4, IF(INDIRECT(ADDRESS(ROW() - (27 + TemplateStats!$B$2), 6)) = 9, 40.8, IF(INDIRECT(ADDRESS(ROW() - (27 + TemplateStats!$B$2), 6)) = 10, 43.2, IF(INDIRECT(ADDRESS(ROW() - (27 + TemplateStats!$B$2), 6)) = 11, 45.6, IF(INDIRECT(ADDRESS(ROW() - (27 + TemplateStats!$B$2), 6)) = 12, 48, IF(INDIRECT(ADDRESS(ROW() - (27 + TemplateStats!$B$2), 6)) = 13, 51,0)))))))))))))%</f>
        <v>#VALUE!</v>
      </c>
      <c r="SY16" s="10">
        <f t="shared" ref="SY16:ZX16" si="515">1</f>
        <v>1</v>
      </c>
      <c r="SZ16" s="10">
        <f t="shared" si="515"/>
        <v>1</v>
      </c>
      <c r="TA16" s="10">
        <f t="shared" si="515"/>
        <v>1</v>
      </c>
      <c r="TB16" s="10">
        <f t="shared" si="515"/>
        <v>1</v>
      </c>
      <c r="TC16" s="10">
        <f t="shared" si="515"/>
        <v>1</v>
      </c>
      <c r="TD16" s="10">
        <f t="shared" si="515"/>
        <v>1</v>
      </c>
      <c r="TE16" s="10">
        <f t="shared" si="515"/>
        <v>1</v>
      </c>
      <c r="TF16" s="10">
        <f t="shared" si="515"/>
        <v>1</v>
      </c>
      <c r="TG16" s="10">
        <f t="shared" si="515"/>
        <v>1</v>
      </c>
      <c r="TH16" s="10">
        <f t="shared" si="515"/>
        <v>1</v>
      </c>
      <c r="TI16" s="10">
        <f t="shared" si="515"/>
        <v>1</v>
      </c>
      <c r="TJ16" s="10">
        <f t="shared" si="515"/>
        <v>1</v>
      </c>
      <c r="TK16" s="10">
        <f t="shared" si="515"/>
        <v>1</v>
      </c>
      <c r="TL16" s="10">
        <f t="shared" si="515"/>
        <v>1</v>
      </c>
      <c r="TM16" s="10">
        <f t="shared" si="515"/>
        <v>1</v>
      </c>
      <c r="TN16" s="10">
        <f t="shared" si="515"/>
        <v>1</v>
      </c>
      <c r="TO16" s="10">
        <f t="shared" si="515"/>
        <v>1</v>
      </c>
      <c r="TP16" s="10">
        <f t="shared" si="515"/>
        <v>1</v>
      </c>
      <c r="TQ16" s="10">
        <f t="shared" si="515"/>
        <v>1</v>
      </c>
      <c r="TR16" s="10">
        <f t="shared" si="515"/>
        <v>1</v>
      </c>
      <c r="TS16" s="10">
        <f t="shared" si="515"/>
        <v>1</v>
      </c>
      <c r="TT16" s="10">
        <f t="shared" si="515"/>
        <v>1</v>
      </c>
      <c r="TU16" s="10">
        <f t="shared" si="515"/>
        <v>1</v>
      </c>
      <c r="TV16" s="10">
        <f t="shared" si="515"/>
        <v>1</v>
      </c>
      <c r="TW16" s="10">
        <f t="shared" si="515"/>
        <v>1</v>
      </c>
      <c r="TX16" s="10">
        <f t="shared" si="515"/>
        <v>1</v>
      </c>
      <c r="TY16" s="10">
        <f t="shared" si="515"/>
        <v>1</v>
      </c>
      <c r="TZ16" s="10">
        <f t="shared" si="515"/>
        <v>1</v>
      </c>
      <c r="UA16" s="10">
        <f t="shared" si="515"/>
        <v>1</v>
      </c>
      <c r="UB16" s="10">
        <f t="shared" si="515"/>
        <v>1</v>
      </c>
      <c r="UC16" s="10">
        <f t="shared" si="515"/>
        <v>1</v>
      </c>
      <c r="UD16" s="10">
        <f t="shared" si="515"/>
        <v>1</v>
      </c>
      <c r="UE16" s="10">
        <f t="shared" si="515"/>
        <v>1</v>
      </c>
      <c r="UF16" s="10">
        <f t="shared" si="515"/>
        <v>1</v>
      </c>
      <c r="UG16" s="10">
        <f t="shared" si="515"/>
        <v>1</v>
      </c>
      <c r="UH16" s="10">
        <f t="shared" si="515"/>
        <v>1</v>
      </c>
      <c r="UI16" s="10">
        <f t="shared" si="515"/>
        <v>1</v>
      </c>
      <c r="UJ16" s="10">
        <f t="shared" si="515"/>
        <v>1</v>
      </c>
      <c r="UK16" s="10">
        <f t="shared" si="515"/>
        <v>1</v>
      </c>
      <c r="UL16" s="10">
        <f t="shared" si="515"/>
        <v>1</v>
      </c>
      <c r="UM16" s="10">
        <f t="shared" si="515"/>
        <v>1</v>
      </c>
      <c r="UN16" s="10">
        <f t="shared" si="515"/>
        <v>1</v>
      </c>
      <c r="UO16" s="10">
        <f t="shared" si="515"/>
        <v>1</v>
      </c>
      <c r="UP16" s="10">
        <f t="shared" si="515"/>
        <v>1</v>
      </c>
      <c r="UQ16" s="10">
        <f t="shared" si="515"/>
        <v>1</v>
      </c>
      <c r="UR16" s="10">
        <f t="shared" si="515"/>
        <v>1</v>
      </c>
      <c r="US16" s="10">
        <f t="shared" si="515"/>
        <v>1</v>
      </c>
      <c r="UT16" s="10">
        <f t="shared" si="515"/>
        <v>1</v>
      </c>
      <c r="UU16" s="10">
        <f t="shared" si="515"/>
        <v>1</v>
      </c>
      <c r="UV16" s="10">
        <f t="shared" si="515"/>
        <v>1</v>
      </c>
      <c r="UW16" s="10">
        <f t="shared" si="515"/>
        <v>1</v>
      </c>
      <c r="UX16" s="10">
        <f t="shared" si="515"/>
        <v>1</v>
      </c>
      <c r="UY16" s="10">
        <f t="shared" si="515"/>
        <v>1</v>
      </c>
      <c r="UZ16" s="10">
        <f t="shared" si="515"/>
        <v>1</v>
      </c>
      <c r="VA16" s="10">
        <f t="shared" si="515"/>
        <v>1</v>
      </c>
      <c r="VB16" s="10">
        <f t="shared" si="515"/>
        <v>1</v>
      </c>
      <c r="VC16" s="10">
        <f t="shared" si="515"/>
        <v>1</v>
      </c>
      <c r="VD16" s="10">
        <f t="shared" si="515"/>
        <v>1</v>
      </c>
      <c r="VE16" s="10">
        <f t="shared" si="515"/>
        <v>1</v>
      </c>
      <c r="VF16" s="10">
        <f t="shared" si="515"/>
        <v>1</v>
      </c>
      <c r="VG16" s="10">
        <f t="shared" si="515"/>
        <v>1</v>
      </c>
      <c r="VH16" s="10">
        <f t="shared" si="515"/>
        <v>1</v>
      </c>
      <c r="VI16" s="10">
        <f t="shared" si="515"/>
        <v>1</v>
      </c>
      <c r="VJ16" s="10">
        <f t="shared" si="515"/>
        <v>1</v>
      </c>
      <c r="VK16" s="10">
        <f t="shared" si="515"/>
        <v>1</v>
      </c>
      <c r="VL16" s="10">
        <f t="shared" si="515"/>
        <v>1</v>
      </c>
      <c r="VM16" s="10">
        <f t="shared" si="515"/>
        <v>1</v>
      </c>
      <c r="VN16" s="10">
        <f t="shared" si="515"/>
        <v>1</v>
      </c>
      <c r="VO16" s="10">
        <f t="shared" si="515"/>
        <v>1</v>
      </c>
      <c r="VP16" s="10">
        <f t="shared" si="515"/>
        <v>1</v>
      </c>
      <c r="VQ16" s="10">
        <f t="shared" si="515"/>
        <v>1</v>
      </c>
      <c r="VR16" s="10">
        <f t="shared" si="515"/>
        <v>1</v>
      </c>
      <c r="VS16" s="10">
        <f t="shared" si="515"/>
        <v>1</v>
      </c>
      <c r="VT16" s="10">
        <f t="shared" si="515"/>
        <v>1</v>
      </c>
      <c r="VU16" s="10">
        <f t="shared" si="515"/>
        <v>1</v>
      </c>
      <c r="VV16" s="10">
        <f t="shared" si="515"/>
        <v>1</v>
      </c>
      <c r="VW16" s="10">
        <f t="shared" si="515"/>
        <v>1</v>
      </c>
      <c r="VX16" s="10">
        <f t="shared" si="515"/>
        <v>1</v>
      </c>
      <c r="VY16" s="10">
        <f t="shared" si="515"/>
        <v>1</v>
      </c>
      <c r="VZ16" s="10">
        <f t="shared" si="515"/>
        <v>1</v>
      </c>
      <c r="WA16" s="10">
        <f t="shared" si="515"/>
        <v>1</v>
      </c>
      <c r="WB16" s="10">
        <f t="shared" si="515"/>
        <v>1</v>
      </c>
      <c r="WC16" s="10">
        <f t="shared" si="515"/>
        <v>1</v>
      </c>
      <c r="WD16" s="10">
        <f t="shared" si="515"/>
        <v>1</v>
      </c>
      <c r="WE16" s="10">
        <f t="shared" si="515"/>
        <v>1</v>
      </c>
      <c r="WF16" s="10">
        <f t="shared" si="515"/>
        <v>1</v>
      </c>
      <c r="WG16" s="10">
        <f t="shared" si="515"/>
        <v>1</v>
      </c>
      <c r="WH16" s="10">
        <f t="shared" si="515"/>
        <v>1</v>
      </c>
      <c r="WI16" s="10">
        <f t="shared" si="515"/>
        <v>1</v>
      </c>
      <c r="WJ16" s="10">
        <f t="shared" si="515"/>
        <v>1</v>
      </c>
      <c r="WK16" s="10">
        <f t="shared" si="515"/>
        <v>1</v>
      </c>
      <c r="WL16" s="10">
        <f t="shared" si="515"/>
        <v>1</v>
      </c>
      <c r="WM16" s="10">
        <f t="shared" si="515"/>
        <v>1</v>
      </c>
      <c r="WN16" s="10">
        <f t="shared" si="515"/>
        <v>1</v>
      </c>
      <c r="WO16" s="10">
        <f t="shared" si="515"/>
        <v>1</v>
      </c>
      <c r="WP16" s="10">
        <f t="shared" si="515"/>
        <v>1</v>
      </c>
      <c r="WQ16" s="10">
        <f t="shared" si="515"/>
        <v>1</v>
      </c>
      <c r="WR16" s="10">
        <f t="shared" si="515"/>
        <v>1</v>
      </c>
      <c r="WS16" s="10">
        <f t="shared" si="515"/>
        <v>1</v>
      </c>
      <c r="WT16" s="10">
        <f t="shared" si="515"/>
        <v>1</v>
      </c>
      <c r="WU16" s="10">
        <f t="shared" si="515"/>
        <v>1</v>
      </c>
      <c r="WV16" s="10">
        <f t="shared" si="515"/>
        <v>1</v>
      </c>
      <c r="WW16" s="10">
        <f t="shared" si="515"/>
        <v>1</v>
      </c>
      <c r="WX16" s="10">
        <f t="shared" si="515"/>
        <v>1</v>
      </c>
      <c r="WY16" s="10">
        <f t="shared" si="515"/>
        <v>1</v>
      </c>
      <c r="WZ16" s="10">
        <f t="shared" si="515"/>
        <v>1</v>
      </c>
      <c r="XA16" s="10">
        <f t="shared" si="515"/>
        <v>1</v>
      </c>
      <c r="XB16" s="10">
        <f t="shared" si="515"/>
        <v>1</v>
      </c>
      <c r="XC16" s="10">
        <f t="shared" si="515"/>
        <v>1</v>
      </c>
      <c r="XD16" s="10">
        <f t="shared" si="515"/>
        <v>1</v>
      </c>
      <c r="XE16" s="10">
        <f t="shared" si="515"/>
        <v>1</v>
      </c>
      <c r="XF16" s="10">
        <f t="shared" si="515"/>
        <v>1</v>
      </c>
      <c r="XG16" s="10">
        <f t="shared" si="515"/>
        <v>1</v>
      </c>
      <c r="XH16" s="10">
        <f t="shared" si="515"/>
        <v>1</v>
      </c>
      <c r="XI16" s="10">
        <f t="shared" si="515"/>
        <v>1</v>
      </c>
      <c r="XJ16" s="10">
        <f t="shared" si="515"/>
        <v>1</v>
      </c>
      <c r="XK16" s="10">
        <f t="shared" si="515"/>
        <v>1</v>
      </c>
      <c r="XL16" s="10">
        <f t="shared" si="515"/>
        <v>1</v>
      </c>
      <c r="XM16" s="10">
        <f t="shared" si="515"/>
        <v>1</v>
      </c>
      <c r="XN16" s="10">
        <f t="shared" si="515"/>
        <v>1</v>
      </c>
      <c r="XO16" s="10">
        <f t="shared" si="515"/>
        <v>1</v>
      </c>
      <c r="XP16" s="10">
        <f t="shared" si="515"/>
        <v>1</v>
      </c>
      <c r="XQ16" s="10">
        <f t="shared" si="515"/>
        <v>1</v>
      </c>
      <c r="XR16" s="10">
        <f t="shared" si="515"/>
        <v>1</v>
      </c>
      <c r="XS16" s="10">
        <f t="shared" si="515"/>
        <v>1</v>
      </c>
      <c r="XT16" s="10">
        <f t="shared" si="515"/>
        <v>1</v>
      </c>
      <c r="XU16" s="10">
        <f t="shared" si="515"/>
        <v>1</v>
      </c>
      <c r="XV16" s="10">
        <f t="shared" si="515"/>
        <v>1</v>
      </c>
      <c r="XW16" s="10">
        <f t="shared" si="515"/>
        <v>1</v>
      </c>
      <c r="XX16" s="10">
        <f t="shared" si="515"/>
        <v>1</v>
      </c>
      <c r="XY16" s="10">
        <f t="shared" si="515"/>
        <v>1</v>
      </c>
      <c r="XZ16" s="10">
        <f t="shared" si="515"/>
        <v>1</v>
      </c>
      <c r="YA16" s="10">
        <f t="shared" si="515"/>
        <v>1</v>
      </c>
      <c r="YB16" s="10">
        <f t="shared" si="515"/>
        <v>1</v>
      </c>
      <c r="YC16" s="10">
        <f t="shared" si="515"/>
        <v>1</v>
      </c>
      <c r="YD16" s="10">
        <f t="shared" si="515"/>
        <v>1</v>
      </c>
      <c r="YE16" s="10">
        <f t="shared" si="515"/>
        <v>1</v>
      </c>
      <c r="YF16" s="10">
        <f t="shared" si="515"/>
        <v>1</v>
      </c>
      <c r="YG16" s="10">
        <f t="shared" si="515"/>
        <v>1</v>
      </c>
      <c r="YH16" s="10">
        <f t="shared" si="515"/>
        <v>1</v>
      </c>
      <c r="YI16" s="10">
        <f t="shared" si="515"/>
        <v>1</v>
      </c>
      <c r="YJ16" s="10">
        <f t="shared" si="515"/>
        <v>1</v>
      </c>
      <c r="YK16" s="10">
        <f t="shared" si="515"/>
        <v>1</v>
      </c>
      <c r="YL16" s="10">
        <f t="shared" si="515"/>
        <v>1</v>
      </c>
      <c r="YM16" s="10">
        <f t="shared" si="515"/>
        <v>1</v>
      </c>
      <c r="YN16" s="10">
        <f t="shared" si="515"/>
        <v>1</v>
      </c>
      <c r="YO16" s="10">
        <f t="shared" si="515"/>
        <v>1</v>
      </c>
      <c r="YP16" s="10">
        <f t="shared" si="515"/>
        <v>1</v>
      </c>
      <c r="YQ16" s="10">
        <f t="shared" si="515"/>
        <v>1</v>
      </c>
      <c r="YR16" s="10">
        <f t="shared" si="515"/>
        <v>1</v>
      </c>
      <c r="YS16" s="10">
        <f t="shared" si="515"/>
        <v>1</v>
      </c>
      <c r="YT16" s="10">
        <f t="shared" si="515"/>
        <v>1</v>
      </c>
      <c r="YU16" s="10">
        <f t="shared" si="515"/>
        <v>1</v>
      </c>
      <c r="YV16" s="10">
        <f t="shared" si="515"/>
        <v>1</v>
      </c>
      <c r="YW16" s="10">
        <f t="shared" si="515"/>
        <v>1</v>
      </c>
      <c r="YX16" s="10">
        <f t="shared" si="515"/>
        <v>1</v>
      </c>
      <c r="YY16" s="10">
        <f t="shared" si="515"/>
        <v>1</v>
      </c>
      <c r="YZ16" s="10">
        <f t="shared" si="515"/>
        <v>1</v>
      </c>
      <c r="ZA16" s="10">
        <f t="shared" si="515"/>
        <v>1</v>
      </c>
      <c r="ZB16" s="10">
        <f t="shared" si="515"/>
        <v>1</v>
      </c>
      <c r="ZC16" s="10">
        <f t="shared" si="515"/>
        <v>1</v>
      </c>
      <c r="ZD16" s="10">
        <f t="shared" si="515"/>
        <v>1</v>
      </c>
      <c r="ZE16" s="10">
        <f t="shared" si="515"/>
        <v>1</v>
      </c>
      <c r="ZF16" s="10">
        <f t="shared" si="515"/>
        <v>1</v>
      </c>
      <c r="ZG16" s="10">
        <f t="shared" si="515"/>
        <v>1</v>
      </c>
      <c r="ZH16" s="10">
        <f t="shared" si="515"/>
        <v>1</v>
      </c>
      <c r="ZI16" s="10">
        <f t="shared" si="515"/>
        <v>1</v>
      </c>
      <c r="ZJ16" s="10">
        <f t="shared" si="515"/>
        <v>1</v>
      </c>
      <c r="ZK16" s="10">
        <f t="shared" si="515"/>
        <v>1</v>
      </c>
      <c r="ZL16" s="10">
        <f t="shared" si="515"/>
        <v>1</v>
      </c>
      <c r="ZM16" s="10">
        <f t="shared" si="515"/>
        <v>1</v>
      </c>
      <c r="ZN16" s="10">
        <f t="shared" si="515"/>
        <v>1</v>
      </c>
      <c r="ZO16" s="10">
        <f t="shared" si="515"/>
        <v>1</v>
      </c>
      <c r="ZP16" s="10">
        <f t="shared" si="515"/>
        <v>1</v>
      </c>
      <c r="ZQ16" s="10">
        <f t="shared" si="515"/>
        <v>1</v>
      </c>
      <c r="ZR16" s="10">
        <f t="shared" si="515"/>
        <v>1</v>
      </c>
      <c r="ZS16" s="10">
        <f t="shared" si="515"/>
        <v>1</v>
      </c>
      <c r="ZT16" s="10">
        <f t="shared" si="515"/>
        <v>1</v>
      </c>
      <c r="ZU16" s="10">
        <f t="shared" si="515"/>
        <v>1</v>
      </c>
      <c r="ZV16" s="10">
        <f t="shared" si="515"/>
        <v>1</v>
      </c>
      <c r="ZW16" s="10">
        <f t="shared" si="515"/>
        <v>1</v>
      </c>
      <c r="ZX16" s="10">
        <f t="shared" si="515"/>
        <v>1</v>
      </c>
      <c r="ZY16" s="10" t="str">
        <f>1 + IF(OR(INDIRECT(ADDRESS(ROW() - (TemplateStats!$B$2 + 15), 3)) = "C4", INDIRECT(ADDRESS(ROW() - (TemplateStats!$B$2 + 15), 3)) = "C5", INDIRECT(ADDRESS(ROW() - (TemplateStats!$B$2 + 15), 3)) = "C6"), 0.5)</f>
        <v>#VALUE!</v>
      </c>
      <c r="ZZ16" s="10" t="str">
        <f>1 + IF(OR(INDIRECT(ADDRESS(ROW() - (TemplateStats!$B$2 + 15), 3)) = "C4", INDIRECT(ADDRESS(ROW() - (TemplateStats!$B$2 + 15), 3)) = "C5", INDIRECT(ADDRESS(ROW() - (TemplateStats!$B$2 + 15), 3)) = "C6"), 0.5)</f>
        <v>#VALUE!</v>
      </c>
      <c r="AAA16" s="10">
        <f t="shared" ref="AAA16:ABZ16" si="516">1</f>
        <v>1</v>
      </c>
      <c r="AAB16" s="10">
        <f t="shared" si="516"/>
        <v>1</v>
      </c>
      <c r="AAC16" s="10">
        <f t="shared" si="516"/>
        <v>1</v>
      </c>
      <c r="AAD16" s="10">
        <f t="shared" si="516"/>
        <v>1</v>
      </c>
      <c r="AAE16" s="10">
        <f t="shared" si="516"/>
        <v>1</v>
      </c>
      <c r="AAF16" s="10">
        <f t="shared" si="516"/>
        <v>1</v>
      </c>
      <c r="AAG16" s="10">
        <f t="shared" si="516"/>
        <v>1</v>
      </c>
      <c r="AAH16" s="10">
        <f t="shared" si="516"/>
        <v>1</v>
      </c>
      <c r="AAI16" s="10">
        <f t="shared" si="516"/>
        <v>1</v>
      </c>
      <c r="AAJ16" s="10">
        <f t="shared" si="516"/>
        <v>1</v>
      </c>
      <c r="AAK16" s="10">
        <f t="shared" si="516"/>
        <v>1</v>
      </c>
      <c r="AAL16" s="10">
        <f t="shared" si="516"/>
        <v>1</v>
      </c>
      <c r="AAM16" s="10">
        <f t="shared" si="516"/>
        <v>1</v>
      </c>
      <c r="AAN16" s="10">
        <f t="shared" si="516"/>
        <v>1</v>
      </c>
      <c r="AAO16" s="10">
        <f t="shared" si="516"/>
        <v>1</v>
      </c>
      <c r="AAP16" s="10">
        <f t="shared" si="516"/>
        <v>1</v>
      </c>
      <c r="AAQ16" s="10">
        <f t="shared" si="516"/>
        <v>1</v>
      </c>
      <c r="AAR16" s="10">
        <f t="shared" si="516"/>
        <v>1</v>
      </c>
      <c r="AAS16" s="10">
        <f t="shared" si="516"/>
        <v>1</v>
      </c>
      <c r="AAT16" s="10">
        <f t="shared" si="516"/>
        <v>1</v>
      </c>
      <c r="AAU16" s="10">
        <f t="shared" si="516"/>
        <v>1</v>
      </c>
      <c r="AAV16" s="10">
        <f t="shared" si="516"/>
        <v>1</v>
      </c>
      <c r="AAW16" s="10">
        <f t="shared" si="516"/>
        <v>1</v>
      </c>
      <c r="AAX16" s="10">
        <f t="shared" si="516"/>
        <v>1</v>
      </c>
      <c r="AAY16" s="10">
        <f t="shared" si="516"/>
        <v>1</v>
      </c>
      <c r="AAZ16" s="10">
        <f t="shared" si="516"/>
        <v>1</v>
      </c>
      <c r="ABA16" s="10">
        <f t="shared" si="516"/>
        <v>1</v>
      </c>
      <c r="ABB16" s="10">
        <f t="shared" si="516"/>
        <v>1</v>
      </c>
      <c r="ABC16" s="10">
        <f t="shared" si="516"/>
        <v>1</v>
      </c>
      <c r="ABD16" s="10">
        <f t="shared" si="516"/>
        <v>1</v>
      </c>
      <c r="ABE16" s="10">
        <f t="shared" si="516"/>
        <v>1</v>
      </c>
      <c r="ABF16" s="10">
        <f t="shared" si="516"/>
        <v>1</v>
      </c>
      <c r="ABG16" s="10">
        <f t="shared" si="516"/>
        <v>1</v>
      </c>
      <c r="ABH16" s="10">
        <f t="shared" si="516"/>
        <v>1</v>
      </c>
      <c r="ABI16" s="10">
        <f t="shared" si="516"/>
        <v>1</v>
      </c>
      <c r="ABJ16" s="10">
        <f t="shared" si="516"/>
        <v>1</v>
      </c>
      <c r="ABK16" s="10">
        <f t="shared" si="516"/>
        <v>1</v>
      </c>
      <c r="ABL16" s="10">
        <f t="shared" si="516"/>
        <v>1</v>
      </c>
      <c r="ABM16" s="10">
        <f t="shared" si="516"/>
        <v>1</v>
      </c>
      <c r="ABN16" s="10">
        <f t="shared" si="516"/>
        <v>1</v>
      </c>
      <c r="ABO16" s="10">
        <f t="shared" si="516"/>
        <v>1</v>
      </c>
      <c r="ABP16" s="10">
        <f t="shared" si="516"/>
        <v>1</v>
      </c>
      <c r="ABQ16" s="10">
        <f t="shared" si="516"/>
        <v>1</v>
      </c>
      <c r="ABR16" s="10">
        <f t="shared" si="516"/>
        <v>1</v>
      </c>
      <c r="ABS16" s="10">
        <f t="shared" si="516"/>
        <v>1</v>
      </c>
      <c r="ABT16" s="10">
        <f t="shared" si="516"/>
        <v>1</v>
      </c>
      <c r="ABU16" s="10">
        <f t="shared" si="516"/>
        <v>1</v>
      </c>
      <c r="ABV16" s="10">
        <f t="shared" si="516"/>
        <v>1</v>
      </c>
      <c r="ABW16" s="10">
        <f t="shared" si="516"/>
        <v>1</v>
      </c>
      <c r="ABX16" s="10">
        <f t="shared" si="516"/>
        <v>1</v>
      </c>
      <c r="ABY16" s="10">
        <f t="shared" si="516"/>
        <v>1</v>
      </c>
      <c r="ABZ16" s="10">
        <f t="shared" si="516"/>
        <v>1</v>
      </c>
      <c r="ACA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f>
        <v>#VALUE!</v>
      </c>
      <c r="ACB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f>
        <v>#VALUE!</v>
      </c>
      <c r="ACC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f>
        <v>#VALUE!</v>
      </c>
      <c r="ACD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f>
        <v>#VALUE!</v>
      </c>
      <c r="ACE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f>
        <v>#VALUE!</v>
      </c>
      <c r="ACF16" s="10">
        <f t="shared" ref="ACF16:AGZ16" si="517">1</f>
        <v>1</v>
      </c>
      <c r="ACG16" s="10">
        <f t="shared" si="517"/>
        <v>1</v>
      </c>
      <c r="ACH16" s="10">
        <f t="shared" si="517"/>
        <v>1</v>
      </c>
      <c r="ACI16" s="10">
        <f t="shared" si="517"/>
        <v>1</v>
      </c>
      <c r="ACJ16" s="10">
        <f t="shared" si="517"/>
        <v>1</v>
      </c>
      <c r="ACK16" s="10">
        <f t="shared" si="517"/>
        <v>1</v>
      </c>
      <c r="ACL16" s="10">
        <f t="shared" si="517"/>
        <v>1</v>
      </c>
      <c r="ACM16" s="10">
        <f t="shared" si="517"/>
        <v>1</v>
      </c>
      <c r="ACN16" s="10">
        <f t="shared" si="517"/>
        <v>1</v>
      </c>
      <c r="ACO16" s="10">
        <f t="shared" si="517"/>
        <v>1</v>
      </c>
      <c r="ACP16" s="10">
        <f t="shared" si="517"/>
        <v>1</v>
      </c>
      <c r="ACQ16" s="10">
        <f t="shared" si="517"/>
        <v>1</v>
      </c>
      <c r="ACR16" s="10">
        <f t="shared" si="517"/>
        <v>1</v>
      </c>
      <c r="ACS16" s="10">
        <f t="shared" si="517"/>
        <v>1</v>
      </c>
      <c r="ACT16" s="10">
        <f t="shared" si="517"/>
        <v>1</v>
      </c>
      <c r="ACU16" s="10">
        <f t="shared" si="517"/>
        <v>1</v>
      </c>
      <c r="ACV16" s="10">
        <f t="shared" si="517"/>
        <v>1</v>
      </c>
      <c r="ACW16" s="10">
        <f t="shared" si="517"/>
        <v>1</v>
      </c>
      <c r="ACX16" s="10">
        <f t="shared" si="517"/>
        <v>1</v>
      </c>
      <c r="ACY16" s="10">
        <f t="shared" si="517"/>
        <v>1</v>
      </c>
      <c r="ACZ16" s="10">
        <f t="shared" si="517"/>
        <v>1</v>
      </c>
      <c r="ADA16" s="10">
        <f t="shared" si="517"/>
        <v>1</v>
      </c>
      <c r="ADB16" s="10">
        <f t="shared" si="517"/>
        <v>1</v>
      </c>
      <c r="ADC16" s="10">
        <f t="shared" si="517"/>
        <v>1</v>
      </c>
      <c r="ADD16" s="10">
        <f t="shared" si="517"/>
        <v>1</v>
      </c>
      <c r="ADE16" s="10">
        <f t="shared" si="517"/>
        <v>1</v>
      </c>
      <c r="ADF16" s="10">
        <f t="shared" si="517"/>
        <v>1</v>
      </c>
      <c r="ADG16" s="10">
        <f t="shared" si="517"/>
        <v>1</v>
      </c>
      <c r="ADH16" s="10">
        <f t="shared" si="517"/>
        <v>1</v>
      </c>
      <c r="ADI16" s="10">
        <f t="shared" si="517"/>
        <v>1</v>
      </c>
      <c r="ADJ16" s="10">
        <f t="shared" si="517"/>
        <v>1</v>
      </c>
      <c r="ADK16" s="10">
        <f t="shared" si="517"/>
        <v>1</v>
      </c>
      <c r="ADL16" s="10">
        <f t="shared" si="517"/>
        <v>1</v>
      </c>
      <c r="ADM16" s="10">
        <f t="shared" si="517"/>
        <v>1</v>
      </c>
      <c r="ADN16" s="10">
        <f t="shared" si="517"/>
        <v>1</v>
      </c>
      <c r="ADO16" s="10">
        <f t="shared" si="517"/>
        <v>1</v>
      </c>
      <c r="ADP16" s="10">
        <f t="shared" si="517"/>
        <v>1</v>
      </c>
      <c r="ADQ16" s="10">
        <f t="shared" si="517"/>
        <v>1</v>
      </c>
      <c r="ADR16" s="10">
        <f t="shared" si="517"/>
        <v>1</v>
      </c>
      <c r="ADS16" s="10">
        <f t="shared" si="517"/>
        <v>1</v>
      </c>
      <c r="ADT16" s="10">
        <f t="shared" si="517"/>
        <v>1</v>
      </c>
      <c r="ADU16" s="10">
        <f t="shared" si="517"/>
        <v>1</v>
      </c>
      <c r="ADV16" s="10">
        <f t="shared" si="517"/>
        <v>1</v>
      </c>
      <c r="ADW16" s="10">
        <f t="shared" si="517"/>
        <v>1</v>
      </c>
      <c r="ADX16" s="10">
        <f t="shared" si="517"/>
        <v>1</v>
      </c>
      <c r="ADY16" s="10">
        <f t="shared" si="517"/>
        <v>1</v>
      </c>
      <c r="ADZ16" s="10">
        <f t="shared" si="517"/>
        <v>1</v>
      </c>
      <c r="AEA16" s="10">
        <f t="shared" si="517"/>
        <v>1</v>
      </c>
      <c r="AEB16" s="10">
        <f t="shared" si="517"/>
        <v>1</v>
      </c>
      <c r="AEC16" s="10">
        <f t="shared" si="517"/>
        <v>1</v>
      </c>
      <c r="AED16" s="10">
        <f t="shared" si="517"/>
        <v>1</v>
      </c>
      <c r="AEE16" s="10">
        <f t="shared" si="517"/>
        <v>1</v>
      </c>
      <c r="AEF16" s="10">
        <f t="shared" si="517"/>
        <v>1</v>
      </c>
      <c r="AEG16" s="10">
        <f t="shared" si="517"/>
        <v>1</v>
      </c>
      <c r="AEH16" s="10">
        <f t="shared" si="517"/>
        <v>1</v>
      </c>
      <c r="AEI16" s="10">
        <f t="shared" si="517"/>
        <v>1</v>
      </c>
      <c r="AEJ16" s="10">
        <f t="shared" si="517"/>
        <v>1</v>
      </c>
      <c r="AEK16" s="10">
        <f t="shared" si="517"/>
        <v>1</v>
      </c>
      <c r="AEL16" s="10">
        <f t="shared" si="517"/>
        <v>1</v>
      </c>
      <c r="AEM16" s="10">
        <f t="shared" si="517"/>
        <v>1</v>
      </c>
      <c r="AEN16" s="10">
        <f t="shared" si="517"/>
        <v>1</v>
      </c>
      <c r="AEO16" s="10">
        <f t="shared" si="517"/>
        <v>1</v>
      </c>
      <c r="AEP16" s="10">
        <f t="shared" si="517"/>
        <v>1</v>
      </c>
      <c r="AEQ16" s="10">
        <f t="shared" si="517"/>
        <v>1</v>
      </c>
      <c r="AER16" s="10">
        <f t="shared" si="517"/>
        <v>1</v>
      </c>
      <c r="AES16" s="10">
        <f t="shared" si="517"/>
        <v>1</v>
      </c>
      <c r="AET16" s="10">
        <f t="shared" si="517"/>
        <v>1</v>
      </c>
      <c r="AEU16" s="10">
        <f t="shared" si="517"/>
        <v>1</v>
      </c>
      <c r="AEV16" s="10">
        <f t="shared" si="517"/>
        <v>1</v>
      </c>
      <c r="AEW16" s="10">
        <f t="shared" si="517"/>
        <v>1</v>
      </c>
      <c r="AEX16" s="10">
        <f t="shared" si="517"/>
        <v>1</v>
      </c>
      <c r="AEY16" s="10">
        <f t="shared" si="517"/>
        <v>1</v>
      </c>
      <c r="AEZ16" s="10">
        <f t="shared" si="517"/>
        <v>1</v>
      </c>
      <c r="AFA16" s="10">
        <f t="shared" si="517"/>
        <v>1</v>
      </c>
      <c r="AFB16" s="10">
        <f t="shared" si="517"/>
        <v>1</v>
      </c>
      <c r="AFC16" s="10">
        <f t="shared" si="517"/>
        <v>1</v>
      </c>
      <c r="AFD16" s="10">
        <f t="shared" si="517"/>
        <v>1</v>
      </c>
      <c r="AFE16" s="10">
        <f t="shared" si="517"/>
        <v>1</v>
      </c>
      <c r="AFF16" s="10">
        <f t="shared" si="517"/>
        <v>1</v>
      </c>
      <c r="AFG16" s="10">
        <f t="shared" si="517"/>
        <v>1</v>
      </c>
      <c r="AFH16" s="10">
        <f t="shared" si="517"/>
        <v>1</v>
      </c>
      <c r="AFI16" s="10">
        <f t="shared" si="517"/>
        <v>1</v>
      </c>
      <c r="AFJ16" s="10">
        <f t="shared" si="517"/>
        <v>1</v>
      </c>
      <c r="AFK16" s="10">
        <f t="shared" si="517"/>
        <v>1</v>
      </c>
      <c r="AFL16" s="10">
        <f t="shared" si="517"/>
        <v>1</v>
      </c>
      <c r="AFM16" s="10">
        <f t="shared" si="517"/>
        <v>1</v>
      </c>
      <c r="AFN16" s="10">
        <f t="shared" si="517"/>
        <v>1</v>
      </c>
      <c r="AFO16" s="10">
        <f t="shared" si="517"/>
        <v>1</v>
      </c>
      <c r="AFP16" s="10">
        <f t="shared" si="517"/>
        <v>1</v>
      </c>
      <c r="AFQ16" s="10">
        <f t="shared" si="517"/>
        <v>1</v>
      </c>
      <c r="AFR16" s="10">
        <f t="shared" si="517"/>
        <v>1</v>
      </c>
      <c r="AFS16" s="10">
        <f t="shared" si="517"/>
        <v>1</v>
      </c>
      <c r="AFT16" s="10">
        <f t="shared" si="517"/>
        <v>1</v>
      </c>
      <c r="AFU16" s="10">
        <f t="shared" si="517"/>
        <v>1</v>
      </c>
      <c r="AFV16" s="10">
        <f t="shared" si="517"/>
        <v>1</v>
      </c>
      <c r="AFW16" s="10">
        <f t="shared" si="517"/>
        <v>1</v>
      </c>
      <c r="AFX16" s="10">
        <f t="shared" si="517"/>
        <v>1</v>
      </c>
      <c r="AFY16" s="10">
        <f t="shared" si="517"/>
        <v>1</v>
      </c>
      <c r="AFZ16" s="10">
        <f t="shared" si="517"/>
        <v>1</v>
      </c>
      <c r="AGA16" s="10">
        <f t="shared" si="517"/>
        <v>1</v>
      </c>
      <c r="AGB16" s="10">
        <f t="shared" si="517"/>
        <v>1</v>
      </c>
      <c r="AGC16" s="10">
        <f t="shared" si="517"/>
        <v>1</v>
      </c>
      <c r="AGD16" s="10">
        <f t="shared" si="517"/>
        <v>1</v>
      </c>
      <c r="AGE16" s="10">
        <f t="shared" si="517"/>
        <v>1</v>
      </c>
      <c r="AGF16" s="10">
        <f t="shared" si="517"/>
        <v>1</v>
      </c>
      <c r="AGG16" s="10">
        <f t="shared" si="517"/>
        <v>1</v>
      </c>
      <c r="AGH16" s="10">
        <f t="shared" si="517"/>
        <v>1</v>
      </c>
      <c r="AGI16" s="10">
        <f t="shared" si="517"/>
        <v>1</v>
      </c>
      <c r="AGJ16" s="10">
        <f t="shared" si="517"/>
        <v>1</v>
      </c>
      <c r="AGK16" s="10">
        <f t="shared" si="517"/>
        <v>1</v>
      </c>
      <c r="AGL16" s="10">
        <f t="shared" si="517"/>
        <v>1</v>
      </c>
      <c r="AGM16" s="10">
        <f t="shared" si="517"/>
        <v>1</v>
      </c>
      <c r="AGN16" s="10">
        <f t="shared" si="517"/>
        <v>1</v>
      </c>
      <c r="AGO16" s="10">
        <f t="shared" si="517"/>
        <v>1</v>
      </c>
      <c r="AGP16" s="10">
        <f t="shared" si="517"/>
        <v>1</v>
      </c>
      <c r="AGQ16" s="10">
        <f t="shared" si="517"/>
        <v>1</v>
      </c>
      <c r="AGR16" s="10">
        <f t="shared" si="517"/>
        <v>1</v>
      </c>
      <c r="AGS16" s="10">
        <f t="shared" si="517"/>
        <v>1</v>
      </c>
      <c r="AGT16" s="10">
        <f t="shared" si="517"/>
        <v>1</v>
      </c>
      <c r="AGU16" s="10">
        <f t="shared" si="517"/>
        <v>1</v>
      </c>
      <c r="AGV16" s="10">
        <f t="shared" si="517"/>
        <v>1</v>
      </c>
      <c r="AGW16" s="199">
        <f t="shared" si="517"/>
        <v>1</v>
      </c>
      <c r="AGX16" s="199">
        <f t="shared" si="517"/>
        <v>1</v>
      </c>
      <c r="AGY16" s="199">
        <f t="shared" si="517"/>
        <v>1</v>
      </c>
      <c r="AGZ16" s="199">
        <f t="shared" si="517"/>
        <v>1</v>
      </c>
      <c r="AHA16" s="10" t="str">
        <f> IF(INDIRECT(ADDRESS(ROW() - (28 + TemplateStats!$B2), 6)) = 1, 1.32983, IF(INDIRECT(ADDRESS(ROW() - (28 + TemplateStats!$B2), 6)) = 2, 1.34958, IF(INDIRECT(ADDRESS(ROW() - (28 + TemplateStats!$B2), 6)) = 3, 1.36933, IF(INDIRECT(ADDRESS(ROW() - (28 + TemplateStats!$B2), 6)) = 4, 1.395, IF(INDIRECT(ADDRESS(ROW() - (28 + TemplateStats!$B2), 6)) = 5, 1.41475, IF(INDIRECT(ADDRESS(ROW() - (28 + TemplateStats!$B2), 6)) = 6, 1.4345, IF(INDIRECT(ADDRESS(ROW() - (28 + TemplateStats!$B2), 6)) = 7, 1.46018, IF(INDIRECT(ADDRESS(ROW() - (28 + TemplateStats!$B2), 6)) = 8, 1.48584999999999, IF(INDIRECT(ADDRESS(ROW() - (28 + TemplateStats!$B2), 6)) = 9, 1.51153, IF(INDIRECT(ADDRESS(ROW() - (28 + TemplateStats!$B2), 6)) = 10, 1.5372, IF(INDIRECT(ADDRESS(ROW() - (28 + TemplateStats!$B2), 6)) = 11, 1.56288, IF(INDIRECT(ADDRESS(ROW() - (28 + TemplateStats!$B2), 6)) = 12, 1.58855, IF(INDIRECT(ADDRESS(ROW() - (28 + TemplateStats!$B2), 6)) = 13, 1.61423,0)))))))))))))</f>
        <v>#VALUE!</v>
      </c>
      <c r="AHB16" s="10" t="str">
        <f> IF(INDIRECT(ADDRESS(ROW() - (28 + TemplateStats!$B2), 6)) = 1, 1.32983, IF(INDIRECT(ADDRESS(ROW() - (28 + TemplateStats!$B2), 6)) = 2, 1.34958, IF(INDIRECT(ADDRESS(ROW() - (28 + TemplateStats!$B2), 6)) = 3, 1.36933, IF(INDIRECT(ADDRESS(ROW() - (28 + TemplateStats!$B2), 6)) = 4, 1.395, IF(INDIRECT(ADDRESS(ROW() - (28 + TemplateStats!$B2), 6)) = 5, 1.41475, IF(INDIRECT(ADDRESS(ROW() - (28 + TemplateStats!$B2), 6)) = 6, 1.4345, IF(INDIRECT(ADDRESS(ROW() - (28 + TemplateStats!$B2), 6)) = 7, 1.46018, IF(INDIRECT(ADDRESS(ROW() - (28 + TemplateStats!$B2), 6)) = 8, 1.48584999999999, IF(INDIRECT(ADDRESS(ROW() - (28 + TemplateStats!$B2), 6)) = 9, 1.51153, IF(INDIRECT(ADDRESS(ROW() - (28 + TemplateStats!$B2), 6)) = 10, 1.5372, IF(INDIRECT(ADDRESS(ROW() - (28 + TemplateStats!$B2), 6)) = 11, 1.56288, IF(INDIRECT(ADDRESS(ROW() - (28 + TemplateStats!$B2), 6)) = 12, 1.58855, IF(INDIRECT(ADDRESS(ROW() - (28 + TemplateStats!$B2), 6)) = 13, 1.61423,0)))))))))))))</f>
        <v>#VALUE!</v>
      </c>
      <c r="AHC16" s="10" t="str">
        <f> IF(INDIRECT(ADDRESS(ROW() - (28 + TemplateStats!$B2), 6)) = 1, 1.32983, IF(INDIRECT(ADDRESS(ROW() - (28 + TemplateStats!$B2), 6)) = 2, 1.34958, IF(INDIRECT(ADDRESS(ROW() - (28 + TemplateStats!$B2), 6)) = 3, 1.36933, IF(INDIRECT(ADDRESS(ROW() - (28 + TemplateStats!$B2), 6)) = 4, 1.395, IF(INDIRECT(ADDRESS(ROW() - (28 + TemplateStats!$B2), 6)) = 5, 1.41475, IF(INDIRECT(ADDRESS(ROW() - (28 + TemplateStats!$B2), 6)) = 6, 1.4345, IF(INDIRECT(ADDRESS(ROW() - (28 + TemplateStats!$B2), 6)) = 7, 1.46018, IF(INDIRECT(ADDRESS(ROW() - (28 + TemplateStats!$B2), 6)) = 8, 1.48584999999999, IF(INDIRECT(ADDRESS(ROW() - (28 + TemplateStats!$B2), 6)) = 9, 1.51153, IF(INDIRECT(ADDRESS(ROW() - (28 + TemplateStats!$B2), 6)) = 10, 1.5372, IF(INDIRECT(ADDRESS(ROW() - (28 + TemplateStats!$B2), 6)) = 11, 1.56288, IF(INDIRECT(ADDRESS(ROW() - (28 + TemplateStats!$B2), 6)) = 12, 1.58855, IF(INDIRECT(ADDRESS(ROW() - (28 + TemplateStats!$B2), 6)) = 13, 1.61423,0)))))))))))))</f>
        <v>#VALUE!</v>
      </c>
      <c r="AHD16" s="10" t="str">
        <f> IF(INDIRECT(ADDRESS(ROW() - (28 + TemplateStats!$B2), 6)) = 1, 1.26386, IF(INDIRECT(ADDRESS(ROW() - (28 + TemplateStats!$B2), 6)) = 2, 1.27966, IF(INDIRECT(ADDRESS(ROW() - (28 + TemplateStats!$B2), 6)) = 3, 1.29546, IF(INDIRECT(ADDRESS(ROW() - (28 + TemplateStats!$B2), 6)) = 4, 1.316, IF(INDIRECT(ADDRESS(ROW() - (28 + TemplateStats!$B2), 6)) = 5, 1.3318, IF(INDIRECT(ADDRESS(ROW() - (28 + TemplateStats!$B2), 6)) = 6, 1.3476, IF(INDIRECT(ADDRESS(ROW() - (28 + TemplateStats!$B2), 6)) = 7, 1.36814, IF(INDIRECT(ADDRESS(ROW() - (28 + TemplateStats!$B2), 6)) = 8, 1.38868, IF(INDIRECT(ADDRESS(ROW() - (28 + TemplateStats!$B2), 6)) = 9, 1.40922, IF(INDIRECT(ADDRESS(ROW() - (28 + TemplateStats!$B2), 6)) = 10, 1.42976, IF(INDIRECT(ADDRESS(ROW() - (28 + TemplateStats!$B2), 6)) = 11, 1.4503, IF(INDIRECT(ADDRESS(ROW() - (28 + TemplateStats!$B2), 6)) = 12, 1.47084, IF(INDIRECT(ADDRESS(ROW() - (28 + TemplateStats!$B2), 6)) = 13, 1.49138,0)))))))))))))</f>
        <v>#VALUE!</v>
      </c>
      <c r="AHE16" s="10">
        <f t="shared" ref="AHE16:ANH16" si="518">1</f>
        <v>1</v>
      </c>
      <c r="AHF16" s="10">
        <f t="shared" si="518"/>
        <v>1</v>
      </c>
      <c r="AHG16" s="10">
        <f t="shared" si="518"/>
        <v>1</v>
      </c>
      <c r="AHH16" s="10">
        <f t="shared" si="518"/>
        <v>1</v>
      </c>
      <c r="AHI16" s="10">
        <f t="shared" si="518"/>
        <v>1</v>
      </c>
      <c r="AHJ16" s="10">
        <f t="shared" si="518"/>
        <v>1</v>
      </c>
      <c r="AHK16" s="10">
        <f t="shared" si="518"/>
        <v>1</v>
      </c>
      <c r="AHL16" s="10">
        <f t="shared" si="518"/>
        <v>1</v>
      </c>
      <c r="AHM16" s="10">
        <f t="shared" si="518"/>
        <v>1</v>
      </c>
      <c r="AHN16" s="10">
        <f t="shared" si="518"/>
        <v>1</v>
      </c>
      <c r="AHO16" s="10">
        <f t="shared" si="518"/>
        <v>1</v>
      </c>
      <c r="AHP16" s="10">
        <f t="shared" si="518"/>
        <v>1</v>
      </c>
      <c r="AHQ16" s="10">
        <f t="shared" si="518"/>
        <v>1</v>
      </c>
      <c r="AHR16" s="10">
        <f t="shared" si="518"/>
        <v>1</v>
      </c>
      <c r="AHS16" s="10">
        <f t="shared" si="518"/>
        <v>1</v>
      </c>
      <c r="AHT16" s="10">
        <f t="shared" si="518"/>
        <v>1</v>
      </c>
      <c r="AHU16" s="10">
        <f t="shared" si="518"/>
        <v>1</v>
      </c>
      <c r="AHV16" s="10">
        <f t="shared" si="518"/>
        <v>1</v>
      </c>
      <c r="AHW16" s="10">
        <f t="shared" si="518"/>
        <v>1</v>
      </c>
      <c r="AHX16" s="10">
        <f t="shared" si="518"/>
        <v>1</v>
      </c>
      <c r="AHY16" s="10">
        <f t="shared" si="518"/>
        <v>1</v>
      </c>
      <c r="AHZ16" s="10">
        <f t="shared" si="518"/>
        <v>1</v>
      </c>
      <c r="AIA16" s="10">
        <f t="shared" si="518"/>
        <v>1</v>
      </c>
      <c r="AIB16" s="10">
        <f t="shared" si="518"/>
        <v>1</v>
      </c>
      <c r="AIC16" s="10">
        <f t="shared" si="518"/>
        <v>1</v>
      </c>
      <c r="AID16" s="10">
        <f t="shared" si="518"/>
        <v>1</v>
      </c>
      <c r="AIE16" s="10">
        <f t="shared" si="518"/>
        <v>1</v>
      </c>
      <c r="AIF16" s="10">
        <f t="shared" si="518"/>
        <v>1</v>
      </c>
      <c r="AIG16" s="10">
        <f t="shared" si="518"/>
        <v>1</v>
      </c>
      <c r="AIH16" s="10">
        <f t="shared" si="518"/>
        <v>1</v>
      </c>
      <c r="AII16" s="10">
        <f t="shared" si="518"/>
        <v>1</v>
      </c>
      <c r="AIJ16" s="10">
        <f t="shared" si="518"/>
        <v>1</v>
      </c>
      <c r="AIK16" s="10">
        <f t="shared" si="518"/>
        <v>1</v>
      </c>
      <c r="AIL16" s="10">
        <f t="shared" si="518"/>
        <v>1</v>
      </c>
      <c r="AIM16" s="10">
        <f t="shared" si="518"/>
        <v>1</v>
      </c>
      <c r="AIN16" s="10">
        <f t="shared" si="518"/>
        <v>1</v>
      </c>
      <c r="AIO16" s="10">
        <f t="shared" si="518"/>
        <v>1</v>
      </c>
      <c r="AIP16" s="10">
        <f t="shared" si="518"/>
        <v>1</v>
      </c>
      <c r="AIQ16" s="10">
        <f t="shared" si="518"/>
        <v>1</v>
      </c>
      <c r="AIR16" s="10">
        <f t="shared" si="518"/>
        <v>1</v>
      </c>
      <c r="AIS16" s="10">
        <f t="shared" si="518"/>
        <v>1</v>
      </c>
      <c r="AIT16" s="10">
        <f t="shared" si="518"/>
        <v>1</v>
      </c>
      <c r="AIU16" s="10">
        <f t="shared" si="518"/>
        <v>1</v>
      </c>
      <c r="AIV16" s="10">
        <f t="shared" si="518"/>
        <v>1</v>
      </c>
      <c r="AIW16" s="10">
        <f t="shared" si="518"/>
        <v>1</v>
      </c>
      <c r="AIX16" s="10">
        <f t="shared" si="518"/>
        <v>1</v>
      </c>
      <c r="AIY16" s="10">
        <f t="shared" si="518"/>
        <v>1</v>
      </c>
      <c r="AIZ16" s="10">
        <f t="shared" si="518"/>
        <v>1</v>
      </c>
      <c r="AJA16" s="10">
        <f t="shared" si="518"/>
        <v>1</v>
      </c>
      <c r="AJB16" s="10">
        <f t="shared" si="518"/>
        <v>1</v>
      </c>
      <c r="AJC16" s="10">
        <f t="shared" si="518"/>
        <v>1</v>
      </c>
      <c r="AJD16" s="10">
        <f t="shared" si="518"/>
        <v>1</v>
      </c>
      <c r="AJE16" s="10">
        <f t="shared" si="518"/>
        <v>1</v>
      </c>
      <c r="AJF16" s="10">
        <f t="shared" si="518"/>
        <v>1</v>
      </c>
      <c r="AJG16" s="10">
        <f t="shared" si="518"/>
        <v>1</v>
      </c>
      <c r="AJH16" s="10">
        <f t="shared" si="518"/>
        <v>1</v>
      </c>
      <c r="AJI16" s="10">
        <f t="shared" si="518"/>
        <v>1</v>
      </c>
      <c r="AJJ16" s="10">
        <f t="shared" si="518"/>
        <v>1</v>
      </c>
      <c r="AJK16" s="10">
        <f t="shared" si="518"/>
        <v>1</v>
      </c>
      <c r="AJL16" s="10">
        <f t="shared" si="518"/>
        <v>1</v>
      </c>
      <c r="AJM16" s="10">
        <f t="shared" si="518"/>
        <v>1</v>
      </c>
      <c r="AJN16" s="10">
        <f t="shared" si="518"/>
        <v>1</v>
      </c>
      <c r="AJO16" s="10">
        <f t="shared" si="518"/>
        <v>1</v>
      </c>
      <c r="AJP16" s="10">
        <f t="shared" si="518"/>
        <v>1</v>
      </c>
      <c r="AJQ16" s="10">
        <f t="shared" si="518"/>
        <v>1</v>
      </c>
      <c r="AJR16" s="10">
        <f t="shared" si="518"/>
        <v>1</v>
      </c>
      <c r="AJS16" s="10">
        <f t="shared" si="518"/>
        <v>1</v>
      </c>
      <c r="AJT16" s="10">
        <f t="shared" si="518"/>
        <v>1</v>
      </c>
      <c r="AJU16" s="10">
        <f t="shared" si="518"/>
        <v>1</v>
      </c>
      <c r="AJV16" s="10">
        <f t="shared" si="518"/>
        <v>1</v>
      </c>
      <c r="AJW16" s="10">
        <f t="shared" si="518"/>
        <v>1</v>
      </c>
      <c r="AJX16" s="10">
        <f t="shared" si="518"/>
        <v>1</v>
      </c>
      <c r="AJY16" s="10">
        <f t="shared" si="518"/>
        <v>1</v>
      </c>
      <c r="AJZ16" s="10">
        <f t="shared" si="518"/>
        <v>1</v>
      </c>
      <c r="AKA16" s="10">
        <f t="shared" si="518"/>
        <v>1</v>
      </c>
      <c r="AKB16" s="10">
        <f t="shared" si="518"/>
        <v>1</v>
      </c>
      <c r="AKC16" s="10">
        <f t="shared" si="518"/>
        <v>1</v>
      </c>
      <c r="AKD16" s="10">
        <f t="shared" si="518"/>
        <v>1</v>
      </c>
      <c r="AKE16" s="10">
        <f t="shared" si="518"/>
        <v>1</v>
      </c>
      <c r="AKF16" s="10">
        <f t="shared" si="518"/>
        <v>1</v>
      </c>
      <c r="AKG16" s="10">
        <f t="shared" si="518"/>
        <v>1</v>
      </c>
      <c r="AKH16" s="10">
        <f t="shared" si="518"/>
        <v>1</v>
      </c>
      <c r="AKI16" s="10">
        <f t="shared" si="518"/>
        <v>1</v>
      </c>
      <c r="AKJ16" s="10">
        <f t="shared" si="518"/>
        <v>1</v>
      </c>
      <c r="AKK16" s="10">
        <f t="shared" si="518"/>
        <v>1</v>
      </c>
      <c r="AKL16" s="10">
        <f t="shared" si="518"/>
        <v>1</v>
      </c>
      <c r="AKM16" s="10">
        <f t="shared" si="518"/>
        <v>1</v>
      </c>
      <c r="AKN16" s="10">
        <f t="shared" si="518"/>
        <v>1</v>
      </c>
      <c r="AKO16" s="10">
        <f t="shared" si="518"/>
        <v>1</v>
      </c>
      <c r="AKP16" s="10">
        <f t="shared" si="518"/>
        <v>1</v>
      </c>
      <c r="AKQ16" s="10">
        <f t="shared" si="518"/>
        <v>1</v>
      </c>
      <c r="AKR16" s="10">
        <f t="shared" si="518"/>
        <v>1</v>
      </c>
      <c r="AKS16" s="10">
        <f t="shared" si="518"/>
        <v>1</v>
      </c>
      <c r="AKT16" s="10">
        <f t="shared" si="518"/>
        <v>1</v>
      </c>
      <c r="AKU16" s="10">
        <f t="shared" si="518"/>
        <v>1</v>
      </c>
      <c r="AKV16" s="10">
        <f t="shared" si="518"/>
        <v>1</v>
      </c>
      <c r="AKW16" s="10">
        <f t="shared" si="518"/>
        <v>1</v>
      </c>
      <c r="AKX16" s="10">
        <f t="shared" si="518"/>
        <v>1</v>
      </c>
      <c r="AKY16" s="10">
        <f t="shared" si="518"/>
        <v>1</v>
      </c>
      <c r="AKZ16" s="10">
        <f t="shared" si="518"/>
        <v>1</v>
      </c>
      <c r="ALA16" s="10">
        <f t="shared" si="518"/>
        <v>1</v>
      </c>
      <c r="ALB16" s="10">
        <f t="shared" si="518"/>
        <v>1</v>
      </c>
      <c r="ALC16" s="10">
        <f t="shared" si="518"/>
        <v>1</v>
      </c>
      <c r="ALD16" s="10">
        <f t="shared" si="518"/>
        <v>1</v>
      </c>
      <c r="ALE16" s="10">
        <f t="shared" si="518"/>
        <v>1</v>
      </c>
      <c r="ALF16" s="10">
        <f t="shared" si="518"/>
        <v>1</v>
      </c>
      <c r="ALG16" s="10">
        <f t="shared" si="518"/>
        <v>1</v>
      </c>
      <c r="ALH16" s="10">
        <f t="shared" si="518"/>
        <v>1</v>
      </c>
      <c r="ALI16" s="10">
        <f t="shared" si="518"/>
        <v>1</v>
      </c>
      <c r="ALJ16" s="10">
        <f t="shared" si="518"/>
        <v>1</v>
      </c>
      <c r="ALK16" s="10">
        <f t="shared" si="518"/>
        <v>1</v>
      </c>
      <c r="ALL16" s="10">
        <f t="shared" si="518"/>
        <v>1</v>
      </c>
      <c r="ALM16" s="10">
        <f t="shared" si="518"/>
        <v>1</v>
      </c>
      <c r="ALN16" s="10">
        <f t="shared" si="518"/>
        <v>1</v>
      </c>
      <c r="ALO16" s="10">
        <f t="shared" si="518"/>
        <v>1</v>
      </c>
      <c r="ALP16" s="10">
        <f t="shared" si="518"/>
        <v>1</v>
      </c>
      <c r="ALQ16" s="10">
        <f t="shared" si="518"/>
        <v>1</v>
      </c>
      <c r="ALR16" s="10">
        <f t="shared" si="518"/>
        <v>1</v>
      </c>
      <c r="ALS16" s="10">
        <f t="shared" si="518"/>
        <v>1</v>
      </c>
      <c r="ALT16" s="10">
        <f t="shared" si="518"/>
        <v>1</v>
      </c>
      <c r="ALU16" s="10">
        <f t="shared" si="518"/>
        <v>1</v>
      </c>
      <c r="ALV16" s="10">
        <f t="shared" si="518"/>
        <v>1</v>
      </c>
      <c r="ALW16" s="10">
        <f t="shared" si="518"/>
        <v>1</v>
      </c>
      <c r="ALX16" s="10">
        <f t="shared" si="518"/>
        <v>1</v>
      </c>
      <c r="ALY16" s="10">
        <f t="shared" si="518"/>
        <v>1</v>
      </c>
      <c r="ALZ16" s="10">
        <f t="shared" si="518"/>
        <v>1</v>
      </c>
      <c r="AMA16" s="10">
        <f t="shared" si="518"/>
        <v>1</v>
      </c>
      <c r="AMB16" s="10">
        <f t="shared" si="518"/>
        <v>1</v>
      </c>
      <c r="AMC16" s="10">
        <f t="shared" si="518"/>
        <v>1</v>
      </c>
      <c r="AMD16" s="10">
        <f t="shared" si="518"/>
        <v>1</v>
      </c>
      <c r="AME16" s="10">
        <f t="shared" si="518"/>
        <v>1</v>
      </c>
      <c r="AMF16" s="10">
        <f t="shared" si="518"/>
        <v>1</v>
      </c>
      <c r="AMG16" s="10">
        <f t="shared" si="518"/>
        <v>1</v>
      </c>
      <c r="AMH16" s="10">
        <f t="shared" si="518"/>
        <v>1</v>
      </c>
      <c r="AMI16" s="10">
        <f t="shared" si="518"/>
        <v>1</v>
      </c>
      <c r="AMJ16" s="10">
        <f t="shared" si="518"/>
        <v>1</v>
      </c>
      <c r="AMK16" s="10">
        <f t="shared" si="518"/>
        <v>1</v>
      </c>
      <c r="AML16" s="10">
        <f t="shared" si="518"/>
        <v>1</v>
      </c>
      <c r="AMM16" s="10">
        <f t="shared" si="518"/>
        <v>1</v>
      </c>
      <c r="AMN16" s="10">
        <f t="shared" si="518"/>
        <v>1</v>
      </c>
      <c r="AMO16" s="10">
        <f t="shared" si="518"/>
        <v>1</v>
      </c>
      <c r="AMP16" s="10">
        <f t="shared" si="518"/>
        <v>1</v>
      </c>
      <c r="AMQ16" s="10">
        <f t="shared" si="518"/>
        <v>1</v>
      </c>
      <c r="AMR16" s="10">
        <f t="shared" si="518"/>
        <v>1</v>
      </c>
      <c r="AMS16" s="10">
        <f t="shared" si="518"/>
        <v>1</v>
      </c>
      <c r="AMT16" s="10">
        <f t="shared" si="518"/>
        <v>1</v>
      </c>
      <c r="AMU16" s="10">
        <f t="shared" si="518"/>
        <v>1</v>
      </c>
      <c r="AMV16" s="10">
        <f t="shared" si="518"/>
        <v>1</v>
      </c>
      <c r="AMW16" s="10">
        <f t="shared" si="518"/>
        <v>1</v>
      </c>
      <c r="AMX16" s="10">
        <f t="shared" si="518"/>
        <v>1</v>
      </c>
      <c r="AMY16" s="10">
        <f t="shared" si="518"/>
        <v>1</v>
      </c>
      <c r="AMZ16" s="10">
        <f t="shared" si="518"/>
        <v>1</v>
      </c>
      <c r="ANA16" s="10">
        <f t="shared" si="518"/>
        <v>1</v>
      </c>
      <c r="ANB16" s="10">
        <f t="shared" si="518"/>
        <v>1</v>
      </c>
      <c r="ANC16" s="10">
        <f t="shared" si="518"/>
        <v>1</v>
      </c>
      <c r="AND16" s="10">
        <f t="shared" si="518"/>
        <v>1</v>
      </c>
      <c r="ANE16" s="10">
        <f t="shared" si="518"/>
        <v>1</v>
      </c>
      <c r="ANF16" s="10">
        <f t="shared" si="518"/>
        <v>1</v>
      </c>
      <c r="ANG16" s="10">
        <f t="shared" si="518"/>
        <v>1</v>
      </c>
      <c r="ANH16" s="10">
        <f t="shared" si="518"/>
        <v>1</v>
      </c>
      <c r="ANI16" s="10">
        <f>2</f>
        <v>2</v>
      </c>
      <c r="ANJ16" s="10">
        <f t="shared" ref="ANJ16:AOA16" si="519">1</f>
        <v>1</v>
      </c>
      <c r="ANK16" s="10">
        <f t="shared" si="519"/>
        <v>1</v>
      </c>
      <c r="ANL16" s="10">
        <f t="shared" si="519"/>
        <v>1</v>
      </c>
      <c r="ANM16" s="10">
        <f t="shared" si="519"/>
        <v>1</v>
      </c>
      <c r="ANN16" s="10">
        <f t="shared" si="519"/>
        <v>1</v>
      </c>
      <c r="ANO16" s="10">
        <f t="shared" si="519"/>
        <v>1</v>
      </c>
      <c r="ANP16" s="10">
        <f t="shared" si="519"/>
        <v>1</v>
      </c>
      <c r="ANQ16" s="10">
        <f t="shared" si="519"/>
        <v>1</v>
      </c>
      <c r="ANR16" s="10">
        <f t="shared" si="519"/>
        <v>1</v>
      </c>
      <c r="ANS16" s="10">
        <f t="shared" si="519"/>
        <v>1</v>
      </c>
      <c r="ANT16" s="10">
        <f t="shared" si="519"/>
        <v>1</v>
      </c>
      <c r="ANU16" s="10">
        <f t="shared" si="519"/>
        <v>1</v>
      </c>
      <c r="ANV16" s="10">
        <f t="shared" si="519"/>
        <v>1</v>
      </c>
      <c r="ANW16" s="10">
        <f t="shared" si="519"/>
        <v>1</v>
      </c>
      <c r="ANX16" s="10">
        <f t="shared" si="519"/>
        <v>1</v>
      </c>
      <c r="ANY16" s="10">
        <f t="shared" si="519"/>
        <v>1</v>
      </c>
      <c r="ANZ16" s="10">
        <f t="shared" si="519"/>
        <v>1</v>
      </c>
      <c r="AOA16" s="10">
        <f t="shared" si="519"/>
        <v>1</v>
      </c>
      <c r="AOB16" s="10">
        <f>1.1</f>
        <v>1.1</v>
      </c>
      <c r="AOC16" s="10">
        <f>1.25</f>
        <v>1.25</v>
      </c>
      <c r="AOD16" s="10">
        <f>1.6</f>
        <v>1.6</v>
      </c>
      <c r="AOE16" s="10">
        <f t="shared" ref="AOE16:AOI16" si="520">1</f>
        <v>1</v>
      </c>
      <c r="AOF16" s="10">
        <f t="shared" si="520"/>
        <v>1</v>
      </c>
      <c r="AOG16" s="10">
        <f t="shared" si="520"/>
        <v>1</v>
      </c>
      <c r="AOH16" s="10">
        <f t="shared" si="520"/>
        <v>1</v>
      </c>
      <c r="AOI16" s="10">
        <f t="shared" si="520"/>
        <v>1</v>
      </c>
      <c r="AOJ16" s="10" t="str">
        <f> IF(INDIRECT(ADDRESS(ROW() - (28 + TemplateStats!$B2), 6)) = 1, 143.168999999999, IF(INDIRECT(ADDRESS(ROW() - (28 + TemplateStats!$B2), 6)) = 2, 145.755, IF(INDIRECT(ADDRESS(ROW() - (28 + TemplateStats!$B2), 6)) = 3, 148.339, IF(INDIRECT(ADDRESS(ROW() - (28 + TemplateStats!$B2), 6)) = 4, 151.7, IF(INDIRECT(ADDRESS(ROW() - (28 + TemplateStats!$B2), 6)) = 5, 154.285, IF(INDIRECT(ADDRESS(ROW() - (28 + TemplateStats!$B2), 6)) = 6, 156.87, IF(INDIRECT(ADDRESS(ROW() - (28 + TemplateStats!$B2), 6)) = 7, 160.231, IF(INDIRECT(ADDRESS(ROW() - (28 + TemplateStats!$B2), 6)) = 8, 163.591, IF(INDIRECT(ADDRESS(ROW() - (28 + TemplateStats!$B2), 6)) = 9, 166.952, IF(INDIRECT(ADDRESS(ROW() - (28 + TemplateStats!$B2), 6)) = 10, 170.311999999999, IF(INDIRECT(ADDRESS(ROW() - (28 + TemplateStats!$B2), 6)) = 11, 173.672, IF(INDIRECT(ADDRESS(ROW() - (28 + TemplateStats!$B2), 6)) = 12, 177.033, IF(INDIRECT(ADDRESS(ROW() - (28 + TemplateStats!$B2), 6)) = 13, 180.394,0))))))))))))) / 100
</f>
        <v>#VALUE!</v>
      </c>
      <c r="AOK16" s="10">
        <f>1</f>
        <v>1</v>
      </c>
      <c r="AOL16" s="10" t="str">
        <f> IF(INDIRECT(ADDRESS(ROW() - (28 + TemplateStats!$B2), 6)) = 1, 143.168999999999, IF(INDIRECT(ADDRESS(ROW() - (28 + TemplateStats!$B2), 6)) = 2, 145.755, IF(INDIRECT(ADDRESS(ROW() - (28 + TemplateStats!$B2), 6)) = 3, 148.339, IF(INDIRECT(ADDRESS(ROW() - (28 + TemplateStats!$B2), 6)) = 4, 151.7, IF(INDIRECT(ADDRESS(ROW() - (28 + TemplateStats!$B2), 6)) = 5, 154.285, IF(INDIRECT(ADDRESS(ROW() - (28 + TemplateStats!$B2), 6)) = 6, 156.87, IF(INDIRECT(ADDRESS(ROW() - (28 + TemplateStats!$B2), 6)) = 7, 160.231, IF(INDIRECT(ADDRESS(ROW() - (28 + TemplateStats!$B2), 6)) = 8, 163.591, IF(INDIRECT(ADDRESS(ROW() - (28 + TemplateStats!$B2), 6)) = 9, 166.952, IF(INDIRECT(ADDRESS(ROW() - (28 + TemplateStats!$B2), 6)) = 10, 170.311999999999, IF(INDIRECT(ADDRESS(ROW() - (28 + TemplateStats!$B2), 6)) = 11, 173.672, IF(INDIRECT(ADDRESS(ROW() - (28 + TemplateStats!$B2), 6)) = 12, 177.033, IF(INDIRECT(ADDRESS(ROW() - (28 + TemplateStats!$B2), 6)) = 13, 180.394,0))))))))))))) / 100
</f>
        <v>#VALUE!</v>
      </c>
      <c r="AOM16" s="10">
        <f>1</f>
        <v>1</v>
      </c>
      <c r="AON16" s="10" t="str">
        <f> IF(INDIRECT(ADDRESS(ROW() - (28 + TemplateStats!$B2), 6)) = 1, 143.168999999999, IF(INDIRECT(ADDRESS(ROW() - (28 + TemplateStats!$B2), 6)) = 2, 145.755, IF(INDIRECT(ADDRESS(ROW() - (28 + TemplateStats!$B2), 6)) = 3, 148.339, IF(INDIRECT(ADDRESS(ROW() - (28 + TemplateStats!$B2), 6)) = 4, 151.7, IF(INDIRECT(ADDRESS(ROW() - (28 + TemplateStats!$B2), 6)) = 5, 154.285, IF(INDIRECT(ADDRESS(ROW() - (28 + TemplateStats!$B2), 6)) = 6, 156.87, IF(INDIRECT(ADDRESS(ROW() - (28 + TemplateStats!$B2), 6)) = 7, 160.231, IF(INDIRECT(ADDRESS(ROW() - (28 + TemplateStats!$B2), 6)) = 8, 163.591, IF(INDIRECT(ADDRESS(ROW() - (28 + TemplateStats!$B2), 6)) = 9, 166.952, IF(INDIRECT(ADDRESS(ROW() - (28 + TemplateStats!$B2), 6)) = 10, 170.311999999999, IF(INDIRECT(ADDRESS(ROW() - (28 + TemplateStats!$B2), 6)) = 11, 173.672, IF(INDIRECT(ADDRESS(ROW() - (28 + TemplateStats!$B2), 6)) = 12, 177.033, IF(INDIRECT(ADDRESS(ROW() - (28 + TemplateStats!$B2), 6)) = 13, 180.394,0))))))))))))) / 100
</f>
        <v>#VALUE!</v>
      </c>
      <c r="AOO16" s="10">
        <f>1</f>
        <v>1</v>
      </c>
      <c r="AOP16" s="10" t="str">
        <f> IF(INDIRECT(ADDRESS(ROW() - (28 + TemplateStats!$B2), 6)) = 1, 143.168999999999, IF(INDIRECT(ADDRESS(ROW() - (28 + TemplateStats!$B2), 6)) = 2, 145.755, IF(INDIRECT(ADDRESS(ROW() - (28 + TemplateStats!$B2), 6)) = 3, 148.339, IF(INDIRECT(ADDRESS(ROW() - (28 + TemplateStats!$B2), 6)) = 4, 151.7, IF(INDIRECT(ADDRESS(ROW() - (28 + TemplateStats!$B2), 6)) = 5, 154.285, IF(INDIRECT(ADDRESS(ROW() - (28 + TemplateStats!$B2), 6)) = 6, 156.87, IF(INDIRECT(ADDRESS(ROW() - (28 + TemplateStats!$B2), 6)) = 7, 160.231, IF(INDIRECT(ADDRESS(ROW() - (28 + TemplateStats!$B2), 6)) = 8, 163.591, IF(INDIRECT(ADDRESS(ROW() - (28 + TemplateStats!$B2), 6)) = 9, 166.952, IF(INDIRECT(ADDRESS(ROW() - (28 + TemplateStats!$B2), 6)) = 10, 170.311999999999, IF(INDIRECT(ADDRESS(ROW() - (28 + TemplateStats!$B2), 6)) = 11, 173.672, IF(INDIRECT(ADDRESS(ROW() - (28 + TemplateStats!$B2), 6)) = 12, 177.033, IF(INDIRECT(ADDRESS(ROW() - (28 + TemplateStats!$B2), 6)) = 13, 180.394,0))))))))))))) / 100
</f>
        <v>#VALUE!</v>
      </c>
      <c r="AOQ16" s="10">
        <f>1</f>
        <v>1</v>
      </c>
      <c r="AOR16" s="10" t="str">
        <f> IF(INDIRECT(ADDRESS(ROW() - (28 + TemplateStats!$B2), 6)) = 1, 143.168999999999, IF(INDIRECT(ADDRESS(ROW() - (28 + TemplateStats!$B2), 6)) = 2, 145.755, IF(INDIRECT(ADDRESS(ROW() - (28 + TemplateStats!$B2), 6)) = 3, 148.339, IF(INDIRECT(ADDRESS(ROW() - (28 + TemplateStats!$B2), 6)) = 4, 151.7, IF(INDIRECT(ADDRESS(ROW() - (28 + TemplateStats!$B2), 6)) = 5, 154.285, IF(INDIRECT(ADDRESS(ROW() - (28 + TemplateStats!$B2), 6)) = 6, 156.87, IF(INDIRECT(ADDRESS(ROW() - (28 + TemplateStats!$B2), 6)) = 7, 160.231, IF(INDIRECT(ADDRESS(ROW() - (28 + TemplateStats!$B2), 6)) = 8, 163.591, IF(INDIRECT(ADDRESS(ROW() - (28 + TemplateStats!$B2), 6)) = 9, 166.952, IF(INDIRECT(ADDRESS(ROW() - (28 + TemplateStats!$B2), 6)) = 10, 170.311999999999, IF(INDIRECT(ADDRESS(ROW() - (28 + TemplateStats!$B2), 6)) = 11, 173.672, IF(INDIRECT(ADDRESS(ROW() - (28 + TemplateStats!$B2), 6)) = 12, 177.033, IF(INDIRECT(ADDRESS(ROW() - (28 + TemplateStats!$B2), 6)) = 13, 180.394,0))))))))))))) / 100
</f>
        <v>#VALUE!</v>
      </c>
      <c r="AOS16" s="10">
        <f t="shared" ref="AOS16:APW16" si="521">1</f>
        <v>1</v>
      </c>
      <c r="AOT16" s="10">
        <f t="shared" si="521"/>
        <v>1</v>
      </c>
      <c r="AOU16" s="10">
        <f t="shared" si="521"/>
        <v>1</v>
      </c>
      <c r="AOV16" s="10">
        <f t="shared" si="521"/>
        <v>1</v>
      </c>
      <c r="AOW16" s="10">
        <f t="shared" si="521"/>
        <v>1</v>
      </c>
      <c r="AOX16" s="10">
        <f t="shared" si="521"/>
        <v>1</v>
      </c>
      <c r="AOY16" s="10">
        <f t="shared" si="521"/>
        <v>1</v>
      </c>
      <c r="AOZ16" s="10">
        <f t="shared" si="521"/>
        <v>1</v>
      </c>
      <c r="APA16" s="10">
        <f t="shared" si="521"/>
        <v>1</v>
      </c>
      <c r="APB16" s="10">
        <f t="shared" si="521"/>
        <v>1</v>
      </c>
      <c r="APC16" s="10">
        <f t="shared" si="521"/>
        <v>1</v>
      </c>
      <c r="APD16" s="10">
        <f t="shared" si="521"/>
        <v>1</v>
      </c>
      <c r="APE16" s="10">
        <f t="shared" si="521"/>
        <v>1</v>
      </c>
      <c r="APF16" s="10">
        <f t="shared" si="521"/>
        <v>1</v>
      </c>
      <c r="APG16" s="10">
        <f t="shared" si="521"/>
        <v>1</v>
      </c>
      <c r="APH16" s="10">
        <f t="shared" si="521"/>
        <v>1</v>
      </c>
      <c r="API16" s="10">
        <f t="shared" si="521"/>
        <v>1</v>
      </c>
      <c r="APJ16" s="10">
        <f t="shared" si="521"/>
        <v>1</v>
      </c>
      <c r="APK16" s="10">
        <f t="shared" si="521"/>
        <v>1</v>
      </c>
      <c r="APL16" s="10">
        <f t="shared" si="521"/>
        <v>1</v>
      </c>
      <c r="APM16" s="10">
        <f t="shared" si="521"/>
        <v>1</v>
      </c>
      <c r="APN16" s="10">
        <f t="shared" si="521"/>
        <v>1</v>
      </c>
      <c r="APO16" s="10">
        <f t="shared" si="521"/>
        <v>1</v>
      </c>
      <c r="APP16" s="10">
        <f t="shared" si="521"/>
        <v>1</v>
      </c>
      <c r="APQ16" s="10">
        <f t="shared" si="521"/>
        <v>1</v>
      </c>
      <c r="APR16" s="10">
        <f t="shared" si="521"/>
        <v>1</v>
      </c>
      <c r="APS16" s="10">
        <f t="shared" si="521"/>
        <v>1</v>
      </c>
      <c r="APT16" s="10">
        <f t="shared" si="521"/>
        <v>1</v>
      </c>
      <c r="APU16" s="10">
        <f t="shared" si="521"/>
        <v>1</v>
      </c>
      <c r="APV16" s="10">
        <f t="shared" si="521"/>
        <v>1</v>
      </c>
      <c r="APW16" s="10">
        <f t="shared" si="521"/>
        <v>1</v>
      </c>
      <c r="APX16" s="10">
        <f>1.1</f>
        <v>1.1</v>
      </c>
      <c r="APY16" s="10">
        <f>1.2</f>
        <v>1.2</v>
      </c>
      <c r="APZ16" s="10">
        <f>1.3</f>
        <v>1.3</v>
      </c>
      <c r="AQA16" s="10">
        <f>1.4</f>
        <v>1.4</v>
      </c>
      <c r="AQB16" s="10">
        <f>1</f>
        <v>1</v>
      </c>
      <c r="AQC16" s="10">
        <f>1.1</f>
        <v>1.1</v>
      </c>
      <c r="AQD16" s="10">
        <f>1.2</f>
        <v>1.2</v>
      </c>
      <c r="AQE16" s="10">
        <f>1.3</f>
        <v>1.3</v>
      </c>
      <c r="AQF16" s="10">
        <f>1.4</f>
        <v>1.4</v>
      </c>
      <c r="AQG16" s="10">
        <f>1</f>
        <v>1</v>
      </c>
      <c r="AQH16" s="10">
        <f>1.1</f>
        <v>1.1</v>
      </c>
      <c r="AQI16" s="10">
        <f>1.2</f>
        <v>1.2</v>
      </c>
      <c r="AQJ16" s="10">
        <f>1.3</f>
        <v>1.3</v>
      </c>
      <c r="AQK16" s="10">
        <f>1.4</f>
        <v>1.4</v>
      </c>
      <c r="AQL16" s="10">
        <f>1</f>
        <v>1</v>
      </c>
    </row>
    <row r="17">
      <c r="A17" s="4" t="s">
        <v>263</v>
      </c>
      <c r="B17" s="10">
        <f t="shared" ref="B17:RV17" si="522">0</f>
        <v>0</v>
      </c>
      <c r="C17" s="10">
        <f t="shared" si="522"/>
        <v>0</v>
      </c>
      <c r="D17" s="10">
        <f t="shared" si="522"/>
        <v>0</v>
      </c>
      <c r="E17" s="10">
        <f t="shared" si="522"/>
        <v>0</v>
      </c>
      <c r="F17" s="10">
        <f t="shared" si="522"/>
        <v>0</v>
      </c>
      <c r="G17" s="10">
        <f t="shared" si="522"/>
        <v>0</v>
      </c>
      <c r="H17" s="10">
        <f t="shared" si="522"/>
        <v>0</v>
      </c>
      <c r="I17" s="10">
        <f t="shared" si="522"/>
        <v>0</v>
      </c>
      <c r="J17" s="10">
        <f t="shared" si="522"/>
        <v>0</v>
      </c>
      <c r="K17" s="10">
        <f t="shared" si="522"/>
        <v>0</v>
      </c>
      <c r="L17" s="10">
        <f t="shared" si="522"/>
        <v>0</v>
      </c>
      <c r="M17" s="10">
        <f t="shared" si="522"/>
        <v>0</v>
      </c>
      <c r="N17" s="10">
        <f t="shared" si="522"/>
        <v>0</v>
      </c>
      <c r="O17" s="10">
        <f t="shared" si="522"/>
        <v>0</v>
      </c>
      <c r="P17" s="10">
        <f t="shared" si="522"/>
        <v>0</v>
      </c>
      <c r="Q17" s="10">
        <f t="shared" si="522"/>
        <v>0</v>
      </c>
      <c r="R17" s="10">
        <f t="shared" si="522"/>
        <v>0</v>
      </c>
      <c r="S17" s="10">
        <f t="shared" si="522"/>
        <v>0</v>
      </c>
      <c r="T17" s="10">
        <f t="shared" si="522"/>
        <v>0</v>
      </c>
      <c r="U17" s="10">
        <f t="shared" si="522"/>
        <v>0</v>
      </c>
      <c r="V17" s="10">
        <f t="shared" si="522"/>
        <v>0</v>
      </c>
      <c r="W17" s="10">
        <f t="shared" si="522"/>
        <v>0</v>
      </c>
      <c r="X17" s="10">
        <f t="shared" si="522"/>
        <v>0</v>
      </c>
      <c r="Y17" s="10">
        <f t="shared" si="522"/>
        <v>0</v>
      </c>
      <c r="Z17" s="10">
        <f t="shared" si="522"/>
        <v>0</v>
      </c>
      <c r="AA17" s="10">
        <f t="shared" si="522"/>
        <v>0</v>
      </c>
      <c r="AB17" s="10">
        <f t="shared" si="522"/>
        <v>0</v>
      </c>
      <c r="AC17" s="10">
        <f t="shared" si="522"/>
        <v>0</v>
      </c>
      <c r="AD17" s="10">
        <f t="shared" si="522"/>
        <v>0</v>
      </c>
      <c r="AE17" s="10">
        <f t="shared" si="522"/>
        <v>0</v>
      </c>
      <c r="AF17" s="10">
        <f t="shared" si="522"/>
        <v>0</v>
      </c>
      <c r="AG17" s="10">
        <f t="shared" si="522"/>
        <v>0</v>
      </c>
      <c r="AH17" s="10">
        <f t="shared" si="522"/>
        <v>0</v>
      </c>
      <c r="AI17" s="10">
        <f t="shared" si="522"/>
        <v>0</v>
      </c>
      <c r="AJ17" s="10">
        <f t="shared" si="522"/>
        <v>0</v>
      </c>
      <c r="AK17" s="10">
        <f t="shared" si="522"/>
        <v>0</v>
      </c>
      <c r="AL17" s="10">
        <f t="shared" si="522"/>
        <v>0</v>
      </c>
      <c r="AM17" s="10">
        <f t="shared" si="522"/>
        <v>0</v>
      </c>
      <c r="AN17" s="10">
        <f t="shared" si="522"/>
        <v>0</v>
      </c>
      <c r="AO17" s="10">
        <f t="shared" si="522"/>
        <v>0</v>
      </c>
      <c r="AP17" s="10">
        <f t="shared" si="522"/>
        <v>0</v>
      </c>
      <c r="AQ17" s="10">
        <f t="shared" si="522"/>
        <v>0</v>
      </c>
      <c r="AR17" s="10">
        <f t="shared" si="522"/>
        <v>0</v>
      </c>
      <c r="AS17" s="10">
        <f t="shared" si="522"/>
        <v>0</v>
      </c>
      <c r="AT17" s="10">
        <f t="shared" si="522"/>
        <v>0</v>
      </c>
      <c r="AU17" s="10">
        <f t="shared" si="522"/>
        <v>0</v>
      </c>
      <c r="AV17" s="10">
        <f t="shared" si="522"/>
        <v>0</v>
      </c>
      <c r="AW17" s="10">
        <f t="shared" si="522"/>
        <v>0</v>
      </c>
      <c r="AX17" s="10">
        <f t="shared" si="522"/>
        <v>0</v>
      </c>
      <c r="AY17" s="10">
        <f t="shared" si="522"/>
        <v>0</v>
      </c>
      <c r="AZ17" s="10">
        <f t="shared" si="522"/>
        <v>0</v>
      </c>
      <c r="BA17" s="10">
        <f t="shared" si="522"/>
        <v>0</v>
      </c>
      <c r="BB17" s="10">
        <f t="shared" si="522"/>
        <v>0</v>
      </c>
      <c r="BC17" s="10">
        <f t="shared" si="522"/>
        <v>0</v>
      </c>
      <c r="BD17" s="10">
        <f t="shared" si="522"/>
        <v>0</v>
      </c>
      <c r="BE17" s="10">
        <f t="shared" si="522"/>
        <v>0</v>
      </c>
      <c r="BF17" s="10">
        <f t="shared" si="522"/>
        <v>0</v>
      </c>
      <c r="BG17" s="10">
        <f t="shared" si="522"/>
        <v>0</v>
      </c>
      <c r="BH17" s="10">
        <f t="shared" si="522"/>
        <v>0</v>
      </c>
      <c r="BI17" s="10">
        <f t="shared" si="522"/>
        <v>0</v>
      </c>
      <c r="BJ17" s="10">
        <f t="shared" si="522"/>
        <v>0</v>
      </c>
      <c r="BK17" s="10">
        <f t="shared" si="522"/>
        <v>0</v>
      </c>
      <c r="BL17" s="10">
        <f t="shared" si="522"/>
        <v>0</v>
      </c>
      <c r="BM17" s="10">
        <f t="shared" si="522"/>
        <v>0</v>
      </c>
      <c r="BN17" s="10">
        <f t="shared" si="522"/>
        <v>0</v>
      </c>
      <c r="BO17" s="10">
        <f t="shared" si="522"/>
        <v>0</v>
      </c>
      <c r="BP17" s="10">
        <f t="shared" si="522"/>
        <v>0</v>
      </c>
      <c r="BQ17" s="10">
        <f t="shared" si="522"/>
        <v>0</v>
      </c>
      <c r="BR17" s="10">
        <f t="shared" si="522"/>
        <v>0</v>
      </c>
      <c r="BS17" s="10">
        <f t="shared" si="522"/>
        <v>0</v>
      </c>
      <c r="BT17" s="10">
        <f t="shared" si="522"/>
        <v>0</v>
      </c>
      <c r="BU17" s="10">
        <f t="shared" si="522"/>
        <v>0</v>
      </c>
      <c r="BV17" s="10">
        <f t="shared" si="522"/>
        <v>0</v>
      </c>
      <c r="BW17" s="10">
        <f t="shared" si="522"/>
        <v>0</v>
      </c>
      <c r="BX17" s="10">
        <f t="shared" si="522"/>
        <v>0</v>
      </c>
      <c r="BY17" s="10">
        <f t="shared" si="522"/>
        <v>0</v>
      </c>
      <c r="BZ17" s="10">
        <f t="shared" si="522"/>
        <v>0</v>
      </c>
      <c r="CA17" s="10">
        <f t="shared" si="522"/>
        <v>0</v>
      </c>
      <c r="CB17" s="10">
        <f t="shared" si="522"/>
        <v>0</v>
      </c>
      <c r="CC17" s="10">
        <f t="shared" si="522"/>
        <v>0</v>
      </c>
      <c r="CD17" s="10">
        <f t="shared" si="522"/>
        <v>0</v>
      </c>
      <c r="CE17" s="10">
        <f t="shared" si="522"/>
        <v>0</v>
      </c>
      <c r="CF17" s="10">
        <f t="shared" si="522"/>
        <v>0</v>
      </c>
      <c r="CG17" s="10">
        <f t="shared" si="522"/>
        <v>0</v>
      </c>
      <c r="CH17" s="10">
        <f t="shared" si="522"/>
        <v>0</v>
      </c>
      <c r="CI17" s="10">
        <f t="shared" si="522"/>
        <v>0</v>
      </c>
      <c r="CJ17" s="10">
        <f t="shared" si="522"/>
        <v>0</v>
      </c>
      <c r="CK17" s="10">
        <f t="shared" si="522"/>
        <v>0</v>
      </c>
      <c r="CL17" s="10">
        <f t="shared" si="522"/>
        <v>0</v>
      </c>
      <c r="CM17" s="10">
        <f t="shared" si="522"/>
        <v>0</v>
      </c>
      <c r="CN17" s="10">
        <f t="shared" si="522"/>
        <v>0</v>
      </c>
      <c r="CO17" s="10">
        <f t="shared" si="522"/>
        <v>0</v>
      </c>
      <c r="CP17" s="10">
        <f t="shared" si="522"/>
        <v>0</v>
      </c>
      <c r="CQ17" s="10">
        <f t="shared" si="522"/>
        <v>0</v>
      </c>
      <c r="CR17" s="10">
        <f t="shared" si="522"/>
        <v>0</v>
      </c>
      <c r="CS17" s="10">
        <f t="shared" si="522"/>
        <v>0</v>
      </c>
      <c r="CT17" s="10">
        <f t="shared" si="522"/>
        <v>0</v>
      </c>
      <c r="CU17" s="10">
        <f t="shared" si="522"/>
        <v>0</v>
      </c>
      <c r="CV17" s="10">
        <f t="shared" si="522"/>
        <v>0</v>
      </c>
      <c r="CW17" s="10">
        <f t="shared" si="522"/>
        <v>0</v>
      </c>
      <c r="CX17" s="10">
        <f t="shared" si="522"/>
        <v>0</v>
      </c>
      <c r="CY17" s="10">
        <f t="shared" si="522"/>
        <v>0</v>
      </c>
      <c r="CZ17" s="10">
        <f t="shared" si="522"/>
        <v>0</v>
      </c>
      <c r="DA17" s="10">
        <f t="shared" si="522"/>
        <v>0</v>
      </c>
      <c r="DB17" s="10">
        <f t="shared" si="522"/>
        <v>0</v>
      </c>
      <c r="DC17" s="10">
        <f t="shared" si="522"/>
        <v>0</v>
      </c>
      <c r="DD17" s="10">
        <f t="shared" si="522"/>
        <v>0</v>
      </c>
      <c r="DE17" s="10">
        <f t="shared" si="522"/>
        <v>0</v>
      </c>
      <c r="DF17" s="10">
        <f t="shared" si="522"/>
        <v>0</v>
      </c>
      <c r="DG17" s="10">
        <f t="shared" si="522"/>
        <v>0</v>
      </c>
      <c r="DH17" s="10">
        <f t="shared" si="522"/>
        <v>0</v>
      </c>
      <c r="DI17" s="10">
        <f t="shared" si="522"/>
        <v>0</v>
      </c>
      <c r="DJ17" s="10">
        <f t="shared" si="522"/>
        <v>0</v>
      </c>
      <c r="DK17" s="10">
        <f t="shared" si="522"/>
        <v>0</v>
      </c>
      <c r="DL17" s="10">
        <f t="shared" si="522"/>
        <v>0</v>
      </c>
      <c r="DM17" s="10">
        <f t="shared" si="522"/>
        <v>0</v>
      </c>
      <c r="DN17" s="10">
        <f t="shared" si="522"/>
        <v>0</v>
      </c>
      <c r="DO17" s="10">
        <f t="shared" si="522"/>
        <v>0</v>
      </c>
      <c r="DP17" s="10">
        <f t="shared" si="522"/>
        <v>0</v>
      </c>
      <c r="DQ17" s="10">
        <f t="shared" si="522"/>
        <v>0</v>
      </c>
      <c r="DR17" s="10">
        <f t="shared" si="522"/>
        <v>0</v>
      </c>
      <c r="DS17" s="10">
        <f t="shared" si="522"/>
        <v>0</v>
      </c>
      <c r="DT17" s="10">
        <f t="shared" si="522"/>
        <v>0</v>
      </c>
      <c r="DU17" s="10">
        <f t="shared" si="522"/>
        <v>0</v>
      </c>
      <c r="DV17" s="10">
        <f t="shared" si="522"/>
        <v>0</v>
      </c>
      <c r="DW17" s="10">
        <f t="shared" si="522"/>
        <v>0</v>
      </c>
      <c r="DX17" s="10">
        <f t="shared" si="522"/>
        <v>0</v>
      </c>
      <c r="DY17" s="10">
        <f t="shared" si="522"/>
        <v>0</v>
      </c>
      <c r="DZ17" s="10">
        <f t="shared" si="522"/>
        <v>0</v>
      </c>
      <c r="EA17" s="10">
        <f t="shared" si="522"/>
        <v>0</v>
      </c>
      <c r="EB17" s="10">
        <f t="shared" si="522"/>
        <v>0</v>
      </c>
      <c r="EC17" s="10">
        <f t="shared" si="522"/>
        <v>0</v>
      </c>
      <c r="ED17" s="10">
        <f t="shared" si="522"/>
        <v>0</v>
      </c>
      <c r="EE17" s="10">
        <f t="shared" si="522"/>
        <v>0</v>
      </c>
      <c r="EF17" s="10">
        <f t="shared" si="522"/>
        <v>0</v>
      </c>
      <c r="EG17" s="10">
        <f t="shared" si="522"/>
        <v>0</v>
      </c>
      <c r="EH17" s="10">
        <f t="shared" si="522"/>
        <v>0</v>
      </c>
      <c r="EI17" s="10">
        <f t="shared" si="522"/>
        <v>0</v>
      </c>
      <c r="EJ17" s="10">
        <f t="shared" si="522"/>
        <v>0</v>
      </c>
      <c r="EK17" s="10">
        <f t="shared" si="522"/>
        <v>0</v>
      </c>
      <c r="EL17" s="10">
        <f t="shared" si="522"/>
        <v>0</v>
      </c>
      <c r="EM17" s="10">
        <f t="shared" si="522"/>
        <v>0</v>
      </c>
      <c r="EN17" s="10">
        <f t="shared" si="522"/>
        <v>0</v>
      </c>
      <c r="EO17" s="10">
        <f t="shared" si="522"/>
        <v>0</v>
      </c>
      <c r="EP17" s="10">
        <f t="shared" si="522"/>
        <v>0</v>
      </c>
      <c r="EQ17" s="10">
        <f t="shared" si="522"/>
        <v>0</v>
      </c>
      <c r="ER17" s="10">
        <f t="shared" si="522"/>
        <v>0</v>
      </c>
      <c r="ES17" s="10">
        <f t="shared" si="522"/>
        <v>0</v>
      </c>
      <c r="ET17" s="10">
        <f t="shared" si="522"/>
        <v>0</v>
      </c>
      <c r="EU17" s="10">
        <f t="shared" si="522"/>
        <v>0</v>
      </c>
      <c r="EV17" s="10">
        <f t="shared" si="522"/>
        <v>0</v>
      </c>
      <c r="EW17" s="10">
        <f t="shared" si="522"/>
        <v>0</v>
      </c>
      <c r="EX17" s="10">
        <f t="shared" si="522"/>
        <v>0</v>
      </c>
      <c r="EY17" s="10">
        <f t="shared" si="522"/>
        <v>0</v>
      </c>
      <c r="EZ17" s="10">
        <f t="shared" si="522"/>
        <v>0</v>
      </c>
      <c r="FA17" s="10">
        <f t="shared" si="522"/>
        <v>0</v>
      </c>
      <c r="FB17" s="10">
        <f t="shared" si="522"/>
        <v>0</v>
      </c>
      <c r="FC17" s="10">
        <f t="shared" si="522"/>
        <v>0</v>
      </c>
      <c r="FD17" s="10">
        <f t="shared" si="522"/>
        <v>0</v>
      </c>
      <c r="FE17" s="10">
        <f t="shared" si="522"/>
        <v>0</v>
      </c>
      <c r="FF17" s="10">
        <f t="shared" si="522"/>
        <v>0</v>
      </c>
      <c r="FG17" s="10">
        <f t="shared" si="522"/>
        <v>0</v>
      </c>
      <c r="FH17" s="10">
        <f t="shared" si="522"/>
        <v>0</v>
      </c>
      <c r="FI17" s="10">
        <f t="shared" si="522"/>
        <v>0</v>
      </c>
      <c r="FJ17" s="10">
        <f t="shared" si="522"/>
        <v>0</v>
      </c>
      <c r="FK17" s="10">
        <f t="shared" si="522"/>
        <v>0</v>
      </c>
      <c r="FL17" s="10">
        <f t="shared" si="522"/>
        <v>0</v>
      </c>
      <c r="FM17" s="10">
        <f t="shared" si="522"/>
        <v>0</v>
      </c>
      <c r="FN17" s="10">
        <f t="shared" si="522"/>
        <v>0</v>
      </c>
      <c r="FO17" s="10">
        <f t="shared" si="522"/>
        <v>0</v>
      </c>
      <c r="FP17" s="10">
        <f t="shared" si="522"/>
        <v>0</v>
      </c>
      <c r="FQ17" s="10">
        <f t="shared" si="522"/>
        <v>0</v>
      </c>
      <c r="FR17" s="10">
        <f t="shared" si="522"/>
        <v>0</v>
      </c>
      <c r="FS17" s="10">
        <f t="shared" si="522"/>
        <v>0</v>
      </c>
      <c r="FT17" s="10">
        <f t="shared" si="522"/>
        <v>0</v>
      </c>
      <c r="FU17" s="10">
        <f t="shared" si="522"/>
        <v>0</v>
      </c>
      <c r="FV17" s="10">
        <f t="shared" si="522"/>
        <v>0</v>
      </c>
      <c r="FW17" s="10">
        <f t="shared" si="522"/>
        <v>0</v>
      </c>
      <c r="FX17" s="10">
        <f t="shared" si="522"/>
        <v>0</v>
      </c>
      <c r="FY17" s="10">
        <f t="shared" si="522"/>
        <v>0</v>
      </c>
      <c r="FZ17" s="10">
        <f t="shared" si="522"/>
        <v>0</v>
      </c>
      <c r="GA17" s="10">
        <f t="shared" si="522"/>
        <v>0</v>
      </c>
      <c r="GB17" s="10">
        <f t="shared" si="522"/>
        <v>0</v>
      </c>
      <c r="GC17" s="10">
        <f t="shared" si="522"/>
        <v>0</v>
      </c>
      <c r="GD17" s="10">
        <f t="shared" si="522"/>
        <v>0</v>
      </c>
      <c r="GE17" s="10">
        <f t="shared" si="522"/>
        <v>0</v>
      </c>
      <c r="GF17" s="10">
        <f t="shared" si="522"/>
        <v>0</v>
      </c>
      <c r="GG17" s="10">
        <f t="shared" si="522"/>
        <v>0</v>
      </c>
      <c r="GH17" s="10">
        <f t="shared" si="522"/>
        <v>0</v>
      </c>
      <c r="GI17" s="10">
        <f t="shared" si="522"/>
        <v>0</v>
      </c>
      <c r="GJ17" s="10">
        <f t="shared" si="522"/>
        <v>0</v>
      </c>
      <c r="GK17" s="10">
        <f t="shared" si="522"/>
        <v>0</v>
      </c>
      <c r="GL17" s="10">
        <f t="shared" si="522"/>
        <v>0</v>
      </c>
      <c r="GM17" s="10">
        <f t="shared" si="522"/>
        <v>0</v>
      </c>
      <c r="GN17" s="10">
        <f t="shared" si="522"/>
        <v>0</v>
      </c>
      <c r="GO17" s="10">
        <f t="shared" si="522"/>
        <v>0</v>
      </c>
      <c r="GP17" s="10">
        <f t="shared" si="522"/>
        <v>0</v>
      </c>
      <c r="GQ17" s="10">
        <f t="shared" si="522"/>
        <v>0</v>
      </c>
      <c r="GR17" s="10">
        <f t="shared" si="522"/>
        <v>0</v>
      </c>
      <c r="GS17" s="10">
        <f t="shared" si="522"/>
        <v>0</v>
      </c>
      <c r="GT17" s="10">
        <f t="shared" si="522"/>
        <v>0</v>
      </c>
      <c r="GU17" s="10">
        <f t="shared" si="522"/>
        <v>0</v>
      </c>
      <c r="GV17" s="10">
        <f t="shared" si="522"/>
        <v>0</v>
      </c>
      <c r="GW17" s="10">
        <f t="shared" si="522"/>
        <v>0</v>
      </c>
      <c r="GX17" s="10">
        <f t="shared" si="522"/>
        <v>0</v>
      </c>
      <c r="GY17" s="10">
        <f t="shared" si="522"/>
        <v>0</v>
      </c>
      <c r="GZ17" s="10">
        <f t="shared" si="522"/>
        <v>0</v>
      </c>
      <c r="HA17" s="10">
        <f t="shared" si="522"/>
        <v>0</v>
      </c>
      <c r="HB17" s="10">
        <f t="shared" si="522"/>
        <v>0</v>
      </c>
      <c r="HC17" s="10">
        <f t="shared" si="522"/>
        <v>0</v>
      </c>
      <c r="HD17" s="10">
        <f t="shared" si="522"/>
        <v>0</v>
      </c>
      <c r="HE17" s="10">
        <f t="shared" si="522"/>
        <v>0</v>
      </c>
      <c r="HF17" s="10">
        <f t="shared" si="522"/>
        <v>0</v>
      </c>
      <c r="HG17" s="10">
        <f t="shared" si="522"/>
        <v>0</v>
      </c>
      <c r="HH17" s="10">
        <f t="shared" si="522"/>
        <v>0</v>
      </c>
      <c r="HI17" s="10">
        <f t="shared" si="522"/>
        <v>0</v>
      </c>
      <c r="HJ17" s="10">
        <f t="shared" si="522"/>
        <v>0</v>
      </c>
      <c r="HK17" s="10">
        <f t="shared" si="522"/>
        <v>0</v>
      </c>
      <c r="HL17" s="10">
        <f t="shared" si="522"/>
        <v>0</v>
      </c>
      <c r="HM17" s="10">
        <f t="shared" si="522"/>
        <v>0</v>
      </c>
      <c r="HN17" s="10">
        <f t="shared" si="522"/>
        <v>0</v>
      </c>
      <c r="HO17" s="10">
        <f t="shared" si="522"/>
        <v>0</v>
      </c>
      <c r="HP17" s="10">
        <f t="shared" si="522"/>
        <v>0</v>
      </c>
      <c r="HQ17" s="10">
        <f t="shared" si="522"/>
        <v>0</v>
      </c>
      <c r="HR17" s="10">
        <f t="shared" si="522"/>
        <v>0</v>
      </c>
      <c r="HS17" s="10">
        <f t="shared" si="522"/>
        <v>0</v>
      </c>
      <c r="HT17" s="10">
        <f t="shared" si="522"/>
        <v>0</v>
      </c>
      <c r="HU17" s="10">
        <f t="shared" si="522"/>
        <v>0</v>
      </c>
      <c r="HV17" s="10">
        <f t="shared" si="522"/>
        <v>0</v>
      </c>
      <c r="HW17" s="10">
        <f t="shared" si="522"/>
        <v>0</v>
      </c>
      <c r="HX17" s="10">
        <f t="shared" si="522"/>
        <v>0</v>
      </c>
      <c r="HY17" s="10">
        <f t="shared" si="522"/>
        <v>0</v>
      </c>
      <c r="HZ17" s="10">
        <f t="shared" si="522"/>
        <v>0</v>
      </c>
      <c r="IA17" s="10">
        <f t="shared" si="522"/>
        <v>0</v>
      </c>
      <c r="IB17" s="10">
        <f t="shared" si="522"/>
        <v>0</v>
      </c>
      <c r="IC17" s="10">
        <f t="shared" si="522"/>
        <v>0</v>
      </c>
      <c r="ID17" s="10">
        <f t="shared" si="522"/>
        <v>0</v>
      </c>
      <c r="IE17" s="10">
        <f t="shared" si="522"/>
        <v>0</v>
      </c>
      <c r="IF17" s="10">
        <f t="shared" si="522"/>
        <v>0</v>
      </c>
      <c r="IG17" s="10">
        <f t="shared" si="522"/>
        <v>0</v>
      </c>
      <c r="IH17" s="10">
        <f t="shared" si="522"/>
        <v>0</v>
      </c>
      <c r="II17" s="10">
        <f t="shared" si="522"/>
        <v>0</v>
      </c>
      <c r="IJ17" s="10">
        <f t="shared" si="522"/>
        <v>0</v>
      </c>
      <c r="IK17" s="10">
        <f t="shared" si="522"/>
        <v>0</v>
      </c>
      <c r="IL17" s="10">
        <f t="shared" si="522"/>
        <v>0</v>
      </c>
      <c r="IM17" s="10">
        <f t="shared" si="522"/>
        <v>0</v>
      </c>
      <c r="IN17" s="10">
        <f t="shared" si="522"/>
        <v>0</v>
      </c>
      <c r="IO17" s="10">
        <f t="shared" si="522"/>
        <v>0</v>
      </c>
      <c r="IP17" s="10">
        <f t="shared" si="522"/>
        <v>0</v>
      </c>
      <c r="IQ17" s="10">
        <f t="shared" si="522"/>
        <v>0</v>
      </c>
      <c r="IR17" s="10">
        <f t="shared" si="522"/>
        <v>0</v>
      </c>
      <c r="IS17" s="10">
        <f t="shared" si="522"/>
        <v>0</v>
      </c>
      <c r="IT17" s="199">
        <f t="shared" si="522"/>
        <v>0</v>
      </c>
      <c r="IU17" s="10">
        <f t="shared" si="522"/>
        <v>0</v>
      </c>
      <c r="IV17" s="10">
        <f t="shared" si="522"/>
        <v>0</v>
      </c>
      <c r="IW17" s="10">
        <f t="shared" si="522"/>
        <v>0</v>
      </c>
      <c r="IX17" s="10">
        <f t="shared" si="522"/>
        <v>0</v>
      </c>
      <c r="IY17" s="10">
        <f t="shared" si="522"/>
        <v>0</v>
      </c>
      <c r="IZ17" s="10">
        <f t="shared" si="522"/>
        <v>0</v>
      </c>
      <c r="JA17" s="10">
        <f t="shared" si="522"/>
        <v>0</v>
      </c>
      <c r="JB17" s="10">
        <f t="shared" si="522"/>
        <v>0</v>
      </c>
      <c r="JC17" s="10">
        <f t="shared" si="522"/>
        <v>0</v>
      </c>
      <c r="JD17" s="10">
        <f t="shared" si="522"/>
        <v>0</v>
      </c>
      <c r="JE17" s="10">
        <f t="shared" si="522"/>
        <v>0</v>
      </c>
      <c r="JF17" s="10">
        <f t="shared" si="522"/>
        <v>0</v>
      </c>
      <c r="JG17" s="10">
        <f t="shared" si="522"/>
        <v>0</v>
      </c>
      <c r="JH17" s="10">
        <f t="shared" si="522"/>
        <v>0</v>
      </c>
      <c r="JI17" s="10">
        <f t="shared" si="522"/>
        <v>0</v>
      </c>
      <c r="JJ17" s="10">
        <f t="shared" si="522"/>
        <v>0</v>
      </c>
      <c r="JK17" s="10">
        <f t="shared" si="522"/>
        <v>0</v>
      </c>
      <c r="JL17" s="10">
        <f t="shared" si="522"/>
        <v>0</v>
      </c>
      <c r="JM17" s="10">
        <f t="shared" si="522"/>
        <v>0</v>
      </c>
      <c r="JN17" s="10">
        <f t="shared" si="522"/>
        <v>0</v>
      </c>
      <c r="JO17" s="10">
        <f t="shared" si="522"/>
        <v>0</v>
      </c>
      <c r="JP17" s="10">
        <f t="shared" si="522"/>
        <v>0</v>
      </c>
      <c r="JQ17" s="10">
        <f t="shared" si="522"/>
        <v>0</v>
      </c>
      <c r="JR17" s="10">
        <f t="shared" si="522"/>
        <v>0</v>
      </c>
      <c r="JS17" s="10">
        <f t="shared" si="522"/>
        <v>0</v>
      </c>
      <c r="JT17" s="10">
        <f t="shared" si="522"/>
        <v>0</v>
      </c>
      <c r="JU17" s="10">
        <f t="shared" si="522"/>
        <v>0</v>
      </c>
      <c r="JV17" s="10">
        <f t="shared" si="522"/>
        <v>0</v>
      </c>
      <c r="JW17" s="10">
        <f t="shared" si="522"/>
        <v>0</v>
      </c>
      <c r="JX17" s="10">
        <f t="shared" si="522"/>
        <v>0</v>
      </c>
      <c r="JY17" s="10">
        <f t="shared" si="522"/>
        <v>0</v>
      </c>
      <c r="JZ17" s="10">
        <f t="shared" si="522"/>
        <v>0</v>
      </c>
      <c r="KA17" s="10">
        <f t="shared" si="522"/>
        <v>0</v>
      </c>
      <c r="KB17" s="10">
        <f t="shared" si="522"/>
        <v>0</v>
      </c>
      <c r="KC17" s="10">
        <f t="shared" si="522"/>
        <v>0</v>
      </c>
      <c r="KD17" s="10">
        <f t="shared" si="522"/>
        <v>0</v>
      </c>
      <c r="KE17" s="10">
        <f t="shared" si="522"/>
        <v>0</v>
      </c>
      <c r="KF17" s="10">
        <f t="shared" si="522"/>
        <v>0</v>
      </c>
      <c r="KG17" s="10">
        <f t="shared" si="522"/>
        <v>0</v>
      </c>
      <c r="KH17" s="10">
        <f t="shared" si="522"/>
        <v>0</v>
      </c>
      <c r="KI17" s="10">
        <f t="shared" si="522"/>
        <v>0</v>
      </c>
      <c r="KJ17" s="10">
        <f t="shared" si="522"/>
        <v>0</v>
      </c>
      <c r="KK17" s="10">
        <f t="shared" si="522"/>
        <v>0</v>
      </c>
      <c r="KL17" s="10">
        <f t="shared" si="522"/>
        <v>0</v>
      </c>
      <c r="KM17" s="10">
        <f t="shared" si="522"/>
        <v>0</v>
      </c>
      <c r="KN17" s="10">
        <f t="shared" si="522"/>
        <v>0</v>
      </c>
      <c r="KO17" s="10">
        <f t="shared" si="522"/>
        <v>0</v>
      </c>
      <c r="KP17" s="10">
        <f t="shared" si="522"/>
        <v>0</v>
      </c>
      <c r="KQ17" s="10">
        <f t="shared" si="522"/>
        <v>0</v>
      </c>
      <c r="KR17" s="10">
        <f t="shared" si="522"/>
        <v>0</v>
      </c>
      <c r="KS17" s="10">
        <f t="shared" si="522"/>
        <v>0</v>
      </c>
      <c r="KT17" s="10">
        <f t="shared" si="522"/>
        <v>0</v>
      </c>
      <c r="KU17" s="10">
        <f t="shared" si="522"/>
        <v>0</v>
      </c>
      <c r="KV17" s="10">
        <f t="shared" si="522"/>
        <v>0</v>
      </c>
      <c r="KW17" s="10">
        <f t="shared" si="522"/>
        <v>0</v>
      </c>
      <c r="KX17" s="10">
        <f t="shared" si="522"/>
        <v>0</v>
      </c>
      <c r="KY17" s="10">
        <f t="shared" si="522"/>
        <v>0</v>
      </c>
      <c r="KZ17" s="10">
        <f t="shared" si="522"/>
        <v>0</v>
      </c>
      <c r="LA17" s="10">
        <f t="shared" si="522"/>
        <v>0</v>
      </c>
      <c r="LB17" s="10">
        <f t="shared" si="522"/>
        <v>0</v>
      </c>
      <c r="LC17" s="10">
        <f t="shared" si="522"/>
        <v>0</v>
      </c>
      <c r="LD17" s="10">
        <f t="shared" si="522"/>
        <v>0</v>
      </c>
      <c r="LE17" s="10">
        <f t="shared" si="522"/>
        <v>0</v>
      </c>
      <c r="LF17" s="10">
        <f t="shared" si="522"/>
        <v>0</v>
      </c>
      <c r="LG17" s="10">
        <f t="shared" si="522"/>
        <v>0</v>
      </c>
      <c r="LH17" s="10">
        <f t="shared" si="522"/>
        <v>0</v>
      </c>
      <c r="LI17" s="10">
        <f t="shared" si="522"/>
        <v>0</v>
      </c>
      <c r="LJ17" s="10">
        <f t="shared" si="522"/>
        <v>0</v>
      </c>
      <c r="LK17" s="10">
        <f t="shared" si="522"/>
        <v>0</v>
      </c>
      <c r="LL17" s="10">
        <f t="shared" si="522"/>
        <v>0</v>
      </c>
      <c r="LM17" s="10">
        <f t="shared" si="522"/>
        <v>0</v>
      </c>
      <c r="LN17" s="10">
        <f t="shared" si="522"/>
        <v>0</v>
      </c>
      <c r="LO17" s="10">
        <f t="shared" si="522"/>
        <v>0</v>
      </c>
      <c r="LP17" s="10">
        <f t="shared" si="522"/>
        <v>0</v>
      </c>
      <c r="LQ17" s="10">
        <f t="shared" si="522"/>
        <v>0</v>
      </c>
      <c r="LR17" s="10">
        <f t="shared" si="522"/>
        <v>0</v>
      </c>
      <c r="LS17" s="10">
        <f t="shared" si="522"/>
        <v>0</v>
      </c>
      <c r="LT17" s="10">
        <f t="shared" si="522"/>
        <v>0</v>
      </c>
      <c r="LU17" s="10">
        <f t="shared" si="522"/>
        <v>0</v>
      </c>
      <c r="LV17" s="10">
        <f t="shared" si="522"/>
        <v>0</v>
      </c>
      <c r="LW17" s="10">
        <f t="shared" si="522"/>
        <v>0</v>
      </c>
      <c r="LX17" s="10">
        <f t="shared" si="522"/>
        <v>0</v>
      </c>
      <c r="LY17" s="10">
        <f t="shared" si="522"/>
        <v>0</v>
      </c>
      <c r="LZ17" s="10">
        <f t="shared" si="522"/>
        <v>0</v>
      </c>
      <c r="MA17" s="10">
        <f t="shared" si="522"/>
        <v>0</v>
      </c>
      <c r="MB17" s="10">
        <f t="shared" si="522"/>
        <v>0</v>
      </c>
      <c r="MC17" s="10">
        <f t="shared" si="522"/>
        <v>0</v>
      </c>
      <c r="MD17" s="10">
        <f t="shared" si="522"/>
        <v>0</v>
      </c>
      <c r="ME17" s="10">
        <f t="shared" si="522"/>
        <v>0</v>
      </c>
      <c r="MF17" s="10">
        <f t="shared" si="522"/>
        <v>0</v>
      </c>
      <c r="MG17" s="10">
        <f t="shared" si="522"/>
        <v>0</v>
      </c>
      <c r="MH17" s="10">
        <f t="shared" si="522"/>
        <v>0</v>
      </c>
      <c r="MI17" s="10">
        <f t="shared" si="522"/>
        <v>0</v>
      </c>
      <c r="MJ17" s="10">
        <f t="shared" si="522"/>
        <v>0</v>
      </c>
      <c r="MK17" s="10">
        <f t="shared" si="522"/>
        <v>0</v>
      </c>
      <c r="ML17" s="10">
        <f t="shared" si="522"/>
        <v>0</v>
      </c>
      <c r="MM17" s="10">
        <f t="shared" si="522"/>
        <v>0</v>
      </c>
      <c r="MN17" s="10">
        <f t="shared" si="522"/>
        <v>0</v>
      </c>
      <c r="MO17" s="10">
        <f t="shared" si="522"/>
        <v>0</v>
      </c>
      <c r="MP17" s="10">
        <f t="shared" si="522"/>
        <v>0</v>
      </c>
      <c r="MQ17" s="10">
        <f t="shared" si="522"/>
        <v>0</v>
      </c>
      <c r="MR17" s="10">
        <f t="shared" si="522"/>
        <v>0</v>
      </c>
      <c r="MS17" s="10">
        <f t="shared" si="522"/>
        <v>0</v>
      </c>
      <c r="MT17" s="10">
        <f t="shared" si="522"/>
        <v>0</v>
      </c>
      <c r="MU17" s="10">
        <f t="shared" si="522"/>
        <v>0</v>
      </c>
      <c r="MV17" s="10">
        <f t="shared" si="522"/>
        <v>0</v>
      </c>
      <c r="MW17" s="10">
        <f t="shared" si="522"/>
        <v>0</v>
      </c>
      <c r="MX17" s="10">
        <f t="shared" si="522"/>
        <v>0</v>
      </c>
      <c r="MY17" s="10">
        <f t="shared" si="522"/>
        <v>0</v>
      </c>
      <c r="MZ17" s="10">
        <f t="shared" si="522"/>
        <v>0</v>
      </c>
      <c r="NA17" s="10">
        <f t="shared" si="522"/>
        <v>0</v>
      </c>
      <c r="NB17" s="10">
        <f t="shared" si="522"/>
        <v>0</v>
      </c>
      <c r="NC17" s="10">
        <f t="shared" si="522"/>
        <v>0</v>
      </c>
      <c r="ND17" s="10">
        <f t="shared" si="522"/>
        <v>0</v>
      </c>
      <c r="NE17" s="10">
        <f t="shared" si="522"/>
        <v>0</v>
      </c>
      <c r="NF17" s="10">
        <f t="shared" si="522"/>
        <v>0</v>
      </c>
      <c r="NG17" s="10">
        <f t="shared" si="522"/>
        <v>0</v>
      </c>
      <c r="NH17" s="10">
        <f t="shared" si="522"/>
        <v>0</v>
      </c>
      <c r="NI17" s="10">
        <f t="shared" si="522"/>
        <v>0</v>
      </c>
      <c r="NJ17" s="10">
        <f t="shared" si="522"/>
        <v>0</v>
      </c>
      <c r="NK17" s="10">
        <f t="shared" si="522"/>
        <v>0</v>
      </c>
      <c r="NL17" s="10">
        <f t="shared" si="522"/>
        <v>0</v>
      </c>
      <c r="NM17" s="10">
        <f t="shared" si="522"/>
        <v>0</v>
      </c>
      <c r="NN17" s="10">
        <f t="shared" si="522"/>
        <v>0</v>
      </c>
      <c r="NO17" s="10">
        <f t="shared" si="522"/>
        <v>0</v>
      </c>
      <c r="NP17" s="10">
        <f t="shared" si="522"/>
        <v>0</v>
      </c>
      <c r="NQ17" s="10">
        <f t="shared" si="522"/>
        <v>0</v>
      </c>
      <c r="NR17" s="10">
        <f t="shared" si="522"/>
        <v>0</v>
      </c>
      <c r="NS17" s="10">
        <f t="shared" si="522"/>
        <v>0</v>
      </c>
      <c r="NT17" s="10">
        <f t="shared" si="522"/>
        <v>0</v>
      </c>
      <c r="NU17" s="10">
        <f t="shared" si="522"/>
        <v>0</v>
      </c>
      <c r="NV17" s="10">
        <f t="shared" si="522"/>
        <v>0</v>
      </c>
      <c r="NW17" s="10">
        <f t="shared" si="522"/>
        <v>0</v>
      </c>
      <c r="NX17" s="10">
        <f t="shared" si="522"/>
        <v>0</v>
      </c>
      <c r="NY17" s="10">
        <f t="shared" si="522"/>
        <v>0</v>
      </c>
      <c r="NZ17" s="10">
        <f t="shared" si="522"/>
        <v>0</v>
      </c>
      <c r="OA17" s="10">
        <f t="shared" si="522"/>
        <v>0</v>
      </c>
      <c r="OB17" s="10">
        <f t="shared" si="522"/>
        <v>0</v>
      </c>
      <c r="OC17" s="10">
        <f t="shared" si="522"/>
        <v>0</v>
      </c>
      <c r="OD17" s="10">
        <f t="shared" si="522"/>
        <v>0</v>
      </c>
      <c r="OE17" s="10">
        <f t="shared" si="522"/>
        <v>0</v>
      </c>
      <c r="OF17" s="10">
        <f t="shared" si="522"/>
        <v>0</v>
      </c>
      <c r="OG17" s="10">
        <f t="shared" si="522"/>
        <v>0</v>
      </c>
      <c r="OH17" s="10">
        <f t="shared" si="522"/>
        <v>0</v>
      </c>
      <c r="OI17" s="10">
        <f t="shared" si="522"/>
        <v>0</v>
      </c>
      <c r="OJ17" s="10">
        <f t="shared" si="522"/>
        <v>0</v>
      </c>
      <c r="OK17" s="10">
        <f t="shared" si="522"/>
        <v>0</v>
      </c>
      <c r="OL17" s="10">
        <f t="shared" si="522"/>
        <v>0</v>
      </c>
      <c r="OM17" s="10">
        <f t="shared" si="522"/>
        <v>0</v>
      </c>
      <c r="ON17" s="10">
        <f t="shared" si="522"/>
        <v>0</v>
      </c>
      <c r="OO17" s="10">
        <f t="shared" si="522"/>
        <v>0</v>
      </c>
      <c r="OP17" s="10">
        <f t="shared" si="522"/>
        <v>0</v>
      </c>
      <c r="OQ17" s="10">
        <f t="shared" si="522"/>
        <v>0</v>
      </c>
      <c r="OR17" s="10">
        <f t="shared" si="522"/>
        <v>0</v>
      </c>
      <c r="OS17" s="10">
        <f t="shared" si="522"/>
        <v>0</v>
      </c>
      <c r="OT17" s="10">
        <f t="shared" si="522"/>
        <v>0</v>
      </c>
      <c r="OU17" s="10">
        <f t="shared" si="522"/>
        <v>0</v>
      </c>
      <c r="OV17" s="10">
        <f t="shared" si="522"/>
        <v>0</v>
      </c>
      <c r="OW17" s="10">
        <f t="shared" si="522"/>
        <v>0</v>
      </c>
      <c r="OX17" s="10">
        <f t="shared" si="522"/>
        <v>0</v>
      </c>
      <c r="OY17" s="10">
        <f t="shared" si="522"/>
        <v>0</v>
      </c>
      <c r="OZ17" s="10">
        <f t="shared" si="522"/>
        <v>0</v>
      </c>
      <c r="PA17" s="10">
        <f t="shared" si="522"/>
        <v>0</v>
      </c>
      <c r="PB17" s="10">
        <f t="shared" si="522"/>
        <v>0</v>
      </c>
      <c r="PC17" s="10">
        <f t="shared" si="522"/>
        <v>0</v>
      </c>
      <c r="PD17" s="10">
        <f t="shared" si="522"/>
        <v>0</v>
      </c>
      <c r="PE17" s="10">
        <f t="shared" si="522"/>
        <v>0</v>
      </c>
      <c r="PF17" s="10">
        <f t="shared" si="522"/>
        <v>0</v>
      </c>
      <c r="PG17" s="10">
        <f t="shared" si="522"/>
        <v>0</v>
      </c>
      <c r="PH17" s="10">
        <f t="shared" si="522"/>
        <v>0</v>
      </c>
      <c r="PI17" s="10">
        <f t="shared" si="522"/>
        <v>0</v>
      </c>
      <c r="PJ17" s="10">
        <f t="shared" si="522"/>
        <v>0</v>
      </c>
      <c r="PK17" s="10">
        <f t="shared" si="522"/>
        <v>0</v>
      </c>
      <c r="PL17" s="10">
        <f t="shared" si="522"/>
        <v>0</v>
      </c>
      <c r="PM17" s="10">
        <f t="shared" si="522"/>
        <v>0</v>
      </c>
      <c r="PN17" s="10">
        <f t="shared" si="522"/>
        <v>0</v>
      </c>
      <c r="PO17" s="10">
        <f t="shared" si="522"/>
        <v>0</v>
      </c>
      <c r="PP17" s="10">
        <f t="shared" si="522"/>
        <v>0</v>
      </c>
      <c r="PQ17" s="10">
        <f t="shared" si="522"/>
        <v>0</v>
      </c>
      <c r="PR17" s="10">
        <f t="shared" si="522"/>
        <v>0</v>
      </c>
      <c r="PS17" s="10">
        <f t="shared" si="522"/>
        <v>0</v>
      </c>
      <c r="PT17" s="10">
        <f t="shared" si="522"/>
        <v>0</v>
      </c>
      <c r="PU17" s="10">
        <f t="shared" si="522"/>
        <v>0</v>
      </c>
      <c r="PV17" s="10">
        <f t="shared" si="522"/>
        <v>0</v>
      </c>
      <c r="PW17" s="10">
        <f t="shared" si="522"/>
        <v>0</v>
      </c>
      <c r="PX17" s="10">
        <f t="shared" si="522"/>
        <v>0</v>
      </c>
      <c r="PY17" s="10">
        <f t="shared" si="522"/>
        <v>0</v>
      </c>
      <c r="PZ17" s="10">
        <f t="shared" si="522"/>
        <v>0</v>
      </c>
      <c r="QA17" s="10">
        <f t="shared" si="522"/>
        <v>0</v>
      </c>
      <c r="QB17" s="10">
        <f t="shared" si="522"/>
        <v>0</v>
      </c>
      <c r="QC17" s="10">
        <f t="shared" si="522"/>
        <v>0</v>
      </c>
      <c r="QD17" s="10">
        <f t="shared" si="522"/>
        <v>0</v>
      </c>
      <c r="QE17" s="10">
        <f t="shared" si="522"/>
        <v>0</v>
      </c>
      <c r="QF17" s="10">
        <f t="shared" si="522"/>
        <v>0</v>
      </c>
      <c r="QG17" s="10">
        <f t="shared" si="522"/>
        <v>0</v>
      </c>
      <c r="QH17" s="10">
        <f t="shared" si="522"/>
        <v>0</v>
      </c>
      <c r="QI17" s="10">
        <f t="shared" si="522"/>
        <v>0</v>
      </c>
      <c r="QJ17" s="10">
        <f t="shared" si="522"/>
        <v>0</v>
      </c>
      <c r="QK17" s="10">
        <f t="shared" si="522"/>
        <v>0</v>
      </c>
      <c r="QL17" s="10">
        <f t="shared" si="522"/>
        <v>0</v>
      </c>
      <c r="QM17" s="10">
        <f t="shared" si="522"/>
        <v>0</v>
      </c>
      <c r="QN17" s="10">
        <f t="shared" si="522"/>
        <v>0</v>
      </c>
      <c r="QO17" s="10">
        <f t="shared" si="522"/>
        <v>0</v>
      </c>
      <c r="QP17" s="10">
        <f t="shared" si="522"/>
        <v>0</v>
      </c>
      <c r="QQ17" s="10">
        <f t="shared" si="522"/>
        <v>0</v>
      </c>
      <c r="QR17" s="10">
        <f t="shared" si="522"/>
        <v>0</v>
      </c>
      <c r="QS17" s="10">
        <f t="shared" si="522"/>
        <v>0</v>
      </c>
      <c r="QT17" s="10">
        <f t="shared" si="522"/>
        <v>0</v>
      </c>
      <c r="QU17" s="10">
        <f t="shared" si="522"/>
        <v>0</v>
      </c>
      <c r="QV17" s="10">
        <f t="shared" si="522"/>
        <v>0</v>
      </c>
      <c r="QW17" s="10">
        <f t="shared" si="522"/>
        <v>0</v>
      </c>
      <c r="QX17" s="10">
        <f t="shared" si="522"/>
        <v>0</v>
      </c>
      <c r="QY17" s="10">
        <f t="shared" si="522"/>
        <v>0</v>
      </c>
      <c r="QZ17" s="10">
        <f t="shared" si="522"/>
        <v>0</v>
      </c>
      <c r="RA17" s="10">
        <f t="shared" si="522"/>
        <v>0</v>
      </c>
      <c r="RB17" s="10">
        <f t="shared" si="522"/>
        <v>0</v>
      </c>
      <c r="RC17" s="10">
        <f t="shared" si="522"/>
        <v>0</v>
      </c>
      <c r="RD17" s="10">
        <f t="shared" si="522"/>
        <v>0</v>
      </c>
      <c r="RE17" s="10">
        <f t="shared" si="522"/>
        <v>0</v>
      </c>
      <c r="RF17" s="10">
        <f t="shared" si="522"/>
        <v>0</v>
      </c>
      <c r="RG17" s="10">
        <f t="shared" si="522"/>
        <v>0</v>
      </c>
      <c r="RH17" s="10">
        <f t="shared" si="522"/>
        <v>0</v>
      </c>
      <c r="RI17" s="10">
        <f t="shared" si="522"/>
        <v>0</v>
      </c>
      <c r="RJ17" s="10">
        <f t="shared" si="522"/>
        <v>0</v>
      </c>
      <c r="RK17" s="10">
        <f t="shared" si="522"/>
        <v>0</v>
      </c>
      <c r="RL17" s="10">
        <f t="shared" si="522"/>
        <v>0</v>
      </c>
      <c r="RM17" s="10">
        <f t="shared" si="522"/>
        <v>0</v>
      </c>
      <c r="RN17" s="10">
        <f t="shared" si="522"/>
        <v>0</v>
      </c>
      <c r="RO17" s="10">
        <f t="shared" si="522"/>
        <v>0</v>
      </c>
      <c r="RP17" s="10">
        <f t="shared" si="522"/>
        <v>0</v>
      </c>
      <c r="RQ17" s="10">
        <f t="shared" si="522"/>
        <v>0</v>
      </c>
      <c r="RR17" s="10">
        <f t="shared" si="522"/>
        <v>0</v>
      </c>
      <c r="RS17" s="10">
        <f t="shared" si="522"/>
        <v>0</v>
      </c>
      <c r="RT17" s="10">
        <f t="shared" si="522"/>
        <v>0</v>
      </c>
      <c r="RU17" s="10">
        <f t="shared" si="522"/>
        <v>0</v>
      </c>
      <c r="RV17" s="10">
        <f t="shared" si="522"/>
        <v>0</v>
      </c>
      <c r="RW17" s="10" t="str">
        <f>IF(OR(INDIRECT(ADDRESS(ROW() - (TemplateStats!$B$2 + 16), 3)) = "C0", INDIRECT(ADDRESS(ROW() - (TemplateStats!$B$2 + 16), 3)) = "C1"), 0, 60)</f>
        <v>#VALUE!</v>
      </c>
      <c r="RX17" s="10" t="str">
        <f>IF(OR(INDIRECT(ADDRESS(ROW() - (TemplateStats!$B$2 + 16), 3)) = "C0", INDIRECT(ADDRESS(ROW() - (TemplateStats!$B$2 + 16), 3)) = "C1"), 0, 60)</f>
        <v>#VALUE!</v>
      </c>
      <c r="RY17" s="10" t="str">
        <f>IF(OR(INDIRECT(ADDRESS(ROW() - (TemplateStats!$B$2 + 16), 3)) = "C0", INDIRECT(ADDRESS(ROW() - (TemplateStats!$B$2 + 16), 3)) = "C1"), 0, 60)</f>
        <v>#VALUE!</v>
      </c>
      <c r="RZ17" s="10" t="str">
        <f>IF(OR(INDIRECT(ADDRESS(ROW() - (TemplateStats!$B$2 + 16), 3)) = "C0", INDIRECT(ADDRESS(ROW() - (TemplateStats!$B$2 + 16), 3)) = "C1"), 0, 60)</f>
        <v>#VALUE!</v>
      </c>
      <c r="SA17" s="10" t="str">
        <f>IF(OR(INDIRECT(ADDRESS(ROW() - (TemplateStats!$B$2 + 16), 3)) = "C0", INDIRECT(ADDRESS(ROW() - (TemplateStats!$B$2 + 16), 3)) = "C1"), 0, 60)</f>
        <v>#VALUE!</v>
      </c>
      <c r="SB17" s="10" t="str">
        <f>IF(OR(INDIRECT(ADDRESS(ROW() - (TemplateStats!$B$2 + 16), 3)) = "C0", INDIRECT(ADDRESS(ROW() - (TemplateStats!$B$2 + 16), 3)) = "C1"), 0, 60)</f>
        <v>#VALUE!</v>
      </c>
      <c r="SC17" s="10" t="str">
        <f>IF(OR(INDIRECT(ADDRESS(ROW() - (TemplateStats!$B$2 + 16), 3)) = "C0", INDIRECT(ADDRESS(ROW() - (TemplateStats!$B$2 + 16), 3)) = "C1"), 0, 60)</f>
        <v>#VALUE!</v>
      </c>
      <c r="SD17" s="10" t="str">
        <f>IF(OR(INDIRECT(ADDRESS(ROW() - (TemplateStats!$B$2 + 16), 3)) = "C0", INDIRECT(ADDRESS(ROW() - (TemplateStats!$B$2 + 16), 3)) = "C1"), 0, 60)</f>
        <v>#VALUE!</v>
      </c>
      <c r="SE17" s="10" t="str">
        <f>IF(OR(INDIRECT(ADDRESS(ROW() - (TemplateStats!$B$2 + 16), 3)) = "C0", INDIRECT(ADDRESS(ROW() - (TemplateStats!$B$2 + 16), 3)) = "C1"), 0, 60)</f>
        <v>#VALUE!</v>
      </c>
      <c r="SF17" s="10" t="str">
        <f>IF(OR(INDIRECT(ADDRESS(ROW() - (TemplateStats!$B$2 + 16), 3)) = "C0", INDIRECT(ADDRESS(ROW() - (TemplateStats!$B$2 + 16), 3)) = "C1"), 0, 60)</f>
        <v>#VALUE!</v>
      </c>
      <c r="SG17" s="10" t="str">
        <f>IF(OR(INDIRECT(ADDRESS(ROW() - (TemplateStats!$B$2 + 16), 3)) = "C0", INDIRECT(ADDRESS(ROW() - (TemplateStats!$B$2 + 16), 3)) = "C1"), 0, 60)</f>
        <v>#VALUE!</v>
      </c>
      <c r="SH17" s="10" t="str">
        <f>IF(OR(INDIRECT(ADDRESS(ROW() - (TemplateStats!$B$2 + 16), 3)) = "C0", INDIRECT(ADDRESS(ROW() - (TemplateStats!$B$2 + 16), 3)) = "C1"), 0, 60)</f>
        <v>#VALUE!</v>
      </c>
      <c r="SI17" s="10">
        <f t="shared" ref="SI17:AAU17" si="523">0</f>
        <v>0</v>
      </c>
      <c r="SJ17" s="10">
        <f t="shared" si="523"/>
        <v>0</v>
      </c>
      <c r="SK17" s="10">
        <f t="shared" si="523"/>
        <v>0</v>
      </c>
      <c r="SL17" s="10">
        <f t="shared" si="523"/>
        <v>0</v>
      </c>
      <c r="SM17" s="10">
        <f t="shared" si="523"/>
        <v>0</v>
      </c>
      <c r="SN17" s="10">
        <f t="shared" si="523"/>
        <v>0</v>
      </c>
      <c r="SO17" s="10">
        <f t="shared" si="523"/>
        <v>0</v>
      </c>
      <c r="SP17" s="10">
        <f t="shared" si="523"/>
        <v>0</v>
      </c>
      <c r="SQ17" s="10">
        <f t="shared" si="523"/>
        <v>0</v>
      </c>
      <c r="SR17" s="10">
        <f t="shared" si="523"/>
        <v>0</v>
      </c>
      <c r="SS17" s="10">
        <f t="shared" si="523"/>
        <v>0</v>
      </c>
      <c r="ST17" s="10">
        <f t="shared" si="523"/>
        <v>0</v>
      </c>
      <c r="SU17" s="10">
        <f t="shared" si="523"/>
        <v>0</v>
      </c>
      <c r="SV17" s="10">
        <f t="shared" si="523"/>
        <v>0</v>
      </c>
      <c r="SW17" s="10">
        <f t="shared" si="523"/>
        <v>0</v>
      </c>
      <c r="SX17" s="10">
        <f t="shared" si="523"/>
        <v>0</v>
      </c>
      <c r="SY17" s="10">
        <f t="shared" si="523"/>
        <v>0</v>
      </c>
      <c r="SZ17" s="10">
        <f t="shared" si="523"/>
        <v>0</v>
      </c>
      <c r="TA17" s="10">
        <f t="shared" si="523"/>
        <v>0</v>
      </c>
      <c r="TB17" s="10">
        <f t="shared" si="523"/>
        <v>0</v>
      </c>
      <c r="TC17" s="10">
        <f t="shared" si="523"/>
        <v>0</v>
      </c>
      <c r="TD17" s="10">
        <f t="shared" si="523"/>
        <v>0</v>
      </c>
      <c r="TE17" s="10">
        <f t="shared" si="523"/>
        <v>0</v>
      </c>
      <c r="TF17" s="10">
        <f t="shared" si="523"/>
        <v>0</v>
      </c>
      <c r="TG17" s="10">
        <f t="shared" si="523"/>
        <v>0</v>
      </c>
      <c r="TH17" s="10">
        <f t="shared" si="523"/>
        <v>0</v>
      </c>
      <c r="TI17" s="10">
        <f t="shared" si="523"/>
        <v>0</v>
      </c>
      <c r="TJ17" s="10">
        <f t="shared" si="523"/>
        <v>0</v>
      </c>
      <c r="TK17" s="10">
        <f t="shared" si="523"/>
        <v>0</v>
      </c>
      <c r="TL17" s="10">
        <f t="shared" si="523"/>
        <v>0</v>
      </c>
      <c r="TM17" s="10">
        <f t="shared" si="523"/>
        <v>0</v>
      </c>
      <c r="TN17" s="10">
        <f t="shared" si="523"/>
        <v>0</v>
      </c>
      <c r="TO17" s="10">
        <f t="shared" si="523"/>
        <v>0</v>
      </c>
      <c r="TP17" s="10">
        <f t="shared" si="523"/>
        <v>0</v>
      </c>
      <c r="TQ17" s="10">
        <f t="shared" si="523"/>
        <v>0</v>
      </c>
      <c r="TR17" s="10">
        <f t="shared" si="523"/>
        <v>0</v>
      </c>
      <c r="TS17" s="10">
        <f t="shared" si="523"/>
        <v>0</v>
      </c>
      <c r="TT17" s="10">
        <f t="shared" si="523"/>
        <v>0</v>
      </c>
      <c r="TU17" s="10">
        <f t="shared" si="523"/>
        <v>0</v>
      </c>
      <c r="TV17" s="10">
        <f t="shared" si="523"/>
        <v>0</v>
      </c>
      <c r="TW17" s="10">
        <f t="shared" si="523"/>
        <v>0</v>
      </c>
      <c r="TX17" s="10">
        <f t="shared" si="523"/>
        <v>0</v>
      </c>
      <c r="TY17" s="10">
        <f t="shared" si="523"/>
        <v>0</v>
      </c>
      <c r="TZ17" s="10">
        <f t="shared" si="523"/>
        <v>0</v>
      </c>
      <c r="UA17" s="10">
        <f t="shared" si="523"/>
        <v>0</v>
      </c>
      <c r="UB17" s="10">
        <f t="shared" si="523"/>
        <v>0</v>
      </c>
      <c r="UC17" s="10">
        <f t="shared" si="523"/>
        <v>0</v>
      </c>
      <c r="UD17" s="10">
        <f t="shared" si="523"/>
        <v>0</v>
      </c>
      <c r="UE17" s="10">
        <f t="shared" si="523"/>
        <v>0</v>
      </c>
      <c r="UF17" s="10">
        <f t="shared" si="523"/>
        <v>0</v>
      </c>
      <c r="UG17" s="10">
        <f t="shared" si="523"/>
        <v>0</v>
      </c>
      <c r="UH17" s="10">
        <f t="shared" si="523"/>
        <v>0</v>
      </c>
      <c r="UI17" s="10">
        <f t="shared" si="523"/>
        <v>0</v>
      </c>
      <c r="UJ17" s="10">
        <f t="shared" si="523"/>
        <v>0</v>
      </c>
      <c r="UK17" s="10">
        <f t="shared" si="523"/>
        <v>0</v>
      </c>
      <c r="UL17" s="10">
        <f t="shared" si="523"/>
        <v>0</v>
      </c>
      <c r="UM17" s="10">
        <f t="shared" si="523"/>
        <v>0</v>
      </c>
      <c r="UN17" s="10">
        <f t="shared" si="523"/>
        <v>0</v>
      </c>
      <c r="UO17" s="10">
        <f t="shared" si="523"/>
        <v>0</v>
      </c>
      <c r="UP17" s="10">
        <f t="shared" si="523"/>
        <v>0</v>
      </c>
      <c r="UQ17" s="10">
        <f t="shared" si="523"/>
        <v>0</v>
      </c>
      <c r="UR17" s="10">
        <f t="shared" si="523"/>
        <v>0</v>
      </c>
      <c r="US17" s="10">
        <f t="shared" si="523"/>
        <v>0</v>
      </c>
      <c r="UT17" s="10">
        <f t="shared" si="523"/>
        <v>0</v>
      </c>
      <c r="UU17" s="10">
        <f t="shared" si="523"/>
        <v>0</v>
      </c>
      <c r="UV17" s="10">
        <f t="shared" si="523"/>
        <v>0</v>
      </c>
      <c r="UW17" s="10">
        <f t="shared" si="523"/>
        <v>0</v>
      </c>
      <c r="UX17" s="10">
        <f t="shared" si="523"/>
        <v>0</v>
      </c>
      <c r="UY17" s="10">
        <f t="shared" si="523"/>
        <v>0</v>
      </c>
      <c r="UZ17" s="10">
        <f t="shared" si="523"/>
        <v>0</v>
      </c>
      <c r="VA17" s="10">
        <f t="shared" si="523"/>
        <v>0</v>
      </c>
      <c r="VB17" s="10">
        <f t="shared" si="523"/>
        <v>0</v>
      </c>
      <c r="VC17" s="10">
        <f t="shared" si="523"/>
        <v>0</v>
      </c>
      <c r="VD17" s="10">
        <f t="shared" si="523"/>
        <v>0</v>
      </c>
      <c r="VE17" s="10">
        <f t="shared" si="523"/>
        <v>0</v>
      </c>
      <c r="VF17" s="10">
        <f t="shared" si="523"/>
        <v>0</v>
      </c>
      <c r="VG17" s="10">
        <f t="shared" si="523"/>
        <v>0</v>
      </c>
      <c r="VH17" s="10">
        <f t="shared" si="523"/>
        <v>0</v>
      </c>
      <c r="VI17" s="10">
        <f t="shared" si="523"/>
        <v>0</v>
      </c>
      <c r="VJ17" s="10">
        <f t="shared" si="523"/>
        <v>0</v>
      </c>
      <c r="VK17" s="10">
        <f t="shared" si="523"/>
        <v>0</v>
      </c>
      <c r="VL17" s="10">
        <f t="shared" si="523"/>
        <v>0</v>
      </c>
      <c r="VM17" s="10">
        <f t="shared" si="523"/>
        <v>0</v>
      </c>
      <c r="VN17" s="10">
        <f t="shared" si="523"/>
        <v>0</v>
      </c>
      <c r="VO17" s="10">
        <f t="shared" si="523"/>
        <v>0</v>
      </c>
      <c r="VP17" s="10">
        <f t="shared" si="523"/>
        <v>0</v>
      </c>
      <c r="VQ17" s="10">
        <f t="shared" si="523"/>
        <v>0</v>
      </c>
      <c r="VR17" s="10">
        <f t="shared" si="523"/>
        <v>0</v>
      </c>
      <c r="VS17" s="10">
        <f t="shared" si="523"/>
        <v>0</v>
      </c>
      <c r="VT17" s="10">
        <f t="shared" si="523"/>
        <v>0</v>
      </c>
      <c r="VU17" s="10">
        <f t="shared" si="523"/>
        <v>0</v>
      </c>
      <c r="VV17" s="10">
        <f t="shared" si="523"/>
        <v>0</v>
      </c>
      <c r="VW17" s="10">
        <f t="shared" si="523"/>
        <v>0</v>
      </c>
      <c r="VX17" s="10">
        <f t="shared" si="523"/>
        <v>0</v>
      </c>
      <c r="VY17" s="10">
        <f t="shared" si="523"/>
        <v>0</v>
      </c>
      <c r="VZ17" s="10">
        <f t="shared" si="523"/>
        <v>0</v>
      </c>
      <c r="WA17" s="10">
        <f t="shared" si="523"/>
        <v>0</v>
      </c>
      <c r="WB17" s="10">
        <f t="shared" si="523"/>
        <v>0</v>
      </c>
      <c r="WC17" s="10">
        <f t="shared" si="523"/>
        <v>0</v>
      </c>
      <c r="WD17" s="10">
        <f t="shared" si="523"/>
        <v>0</v>
      </c>
      <c r="WE17" s="10">
        <f t="shared" si="523"/>
        <v>0</v>
      </c>
      <c r="WF17" s="10">
        <f t="shared" si="523"/>
        <v>0</v>
      </c>
      <c r="WG17" s="10">
        <f t="shared" si="523"/>
        <v>0</v>
      </c>
      <c r="WH17" s="10">
        <f t="shared" si="523"/>
        <v>0</v>
      </c>
      <c r="WI17" s="10">
        <f t="shared" si="523"/>
        <v>0</v>
      </c>
      <c r="WJ17" s="10">
        <f t="shared" si="523"/>
        <v>0</v>
      </c>
      <c r="WK17" s="10">
        <f t="shared" si="523"/>
        <v>0</v>
      </c>
      <c r="WL17" s="10">
        <f t="shared" si="523"/>
        <v>0</v>
      </c>
      <c r="WM17" s="10">
        <f t="shared" si="523"/>
        <v>0</v>
      </c>
      <c r="WN17" s="10">
        <f t="shared" si="523"/>
        <v>0</v>
      </c>
      <c r="WO17" s="10">
        <f t="shared" si="523"/>
        <v>0</v>
      </c>
      <c r="WP17" s="10">
        <f t="shared" si="523"/>
        <v>0</v>
      </c>
      <c r="WQ17" s="10">
        <f t="shared" si="523"/>
        <v>0</v>
      </c>
      <c r="WR17" s="10">
        <f t="shared" si="523"/>
        <v>0</v>
      </c>
      <c r="WS17" s="10">
        <f t="shared" si="523"/>
        <v>0</v>
      </c>
      <c r="WT17" s="10">
        <f t="shared" si="523"/>
        <v>0</v>
      </c>
      <c r="WU17" s="10">
        <f t="shared" si="523"/>
        <v>0</v>
      </c>
      <c r="WV17" s="10">
        <f t="shared" si="523"/>
        <v>0</v>
      </c>
      <c r="WW17" s="10">
        <f t="shared" si="523"/>
        <v>0</v>
      </c>
      <c r="WX17" s="10">
        <f t="shared" si="523"/>
        <v>0</v>
      </c>
      <c r="WY17" s="10">
        <f t="shared" si="523"/>
        <v>0</v>
      </c>
      <c r="WZ17" s="10">
        <f t="shared" si="523"/>
        <v>0</v>
      </c>
      <c r="XA17" s="10">
        <f t="shared" si="523"/>
        <v>0</v>
      </c>
      <c r="XB17" s="10">
        <f t="shared" si="523"/>
        <v>0</v>
      </c>
      <c r="XC17" s="10">
        <f t="shared" si="523"/>
        <v>0</v>
      </c>
      <c r="XD17" s="10">
        <f t="shared" si="523"/>
        <v>0</v>
      </c>
      <c r="XE17" s="10">
        <f t="shared" si="523"/>
        <v>0</v>
      </c>
      <c r="XF17" s="10">
        <f t="shared" si="523"/>
        <v>0</v>
      </c>
      <c r="XG17" s="10">
        <f t="shared" si="523"/>
        <v>0</v>
      </c>
      <c r="XH17" s="10">
        <f t="shared" si="523"/>
        <v>0</v>
      </c>
      <c r="XI17" s="10">
        <f t="shared" si="523"/>
        <v>0</v>
      </c>
      <c r="XJ17" s="10">
        <f t="shared" si="523"/>
        <v>0</v>
      </c>
      <c r="XK17" s="10">
        <f t="shared" si="523"/>
        <v>0</v>
      </c>
      <c r="XL17" s="10">
        <f t="shared" si="523"/>
        <v>0</v>
      </c>
      <c r="XM17" s="10">
        <f t="shared" si="523"/>
        <v>0</v>
      </c>
      <c r="XN17" s="10">
        <f t="shared" si="523"/>
        <v>0</v>
      </c>
      <c r="XO17" s="10">
        <f t="shared" si="523"/>
        <v>0</v>
      </c>
      <c r="XP17" s="10">
        <f t="shared" si="523"/>
        <v>0</v>
      </c>
      <c r="XQ17" s="10">
        <f t="shared" si="523"/>
        <v>0</v>
      </c>
      <c r="XR17" s="10">
        <f t="shared" si="523"/>
        <v>0</v>
      </c>
      <c r="XS17" s="10">
        <f t="shared" si="523"/>
        <v>0</v>
      </c>
      <c r="XT17" s="10">
        <f t="shared" si="523"/>
        <v>0</v>
      </c>
      <c r="XU17" s="10">
        <f t="shared" si="523"/>
        <v>0</v>
      </c>
      <c r="XV17" s="10">
        <f t="shared" si="523"/>
        <v>0</v>
      </c>
      <c r="XW17" s="10">
        <f t="shared" si="523"/>
        <v>0</v>
      </c>
      <c r="XX17" s="10">
        <f t="shared" si="523"/>
        <v>0</v>
      </c>
      <c r="XY17" s="10">
        <f t="shared" si="523"/>
        <v>0</v>
      </c>
      <c r="XZ17" s="10">
        <f t="shared" si="523"/>
        <v>0</v>
      </c>
      <c r="YA17" s="10">
        <f t="shared" si="523"/>
        <v>0</v>
      </c>
      <c r="YB17" s="10">
        <f t="shared" si="523"/>
        <v>0</v>
      </c>
      <c r="YC17" s="10">
        <f t="shared" si="523"/>
        <v>0</v>
      </c>
      <c r="YD17" s="10">
        <f t="shared" si="523"/>
        <v>0</v>
      </c>
      <c r="YE17" s="10">
        <f t="shared" si="523"/>
        <v>0</v>
      </c>
      <c r="YF17" s="10">
        <f t="shared" si="523"/>
        <v>0</v>
      </c>
      <c r="YG17" s="10">
        <f t="shared" si="523"/>
        <v>0</v>
      </c>
      <c r="YH17" s="10">
        <f t="shared" si="523"/>
        <v>0</v>
      </c>
      <c r="YI17" s="10">
        <f t="shared" si="523"/>
        <v>0</v>
      </c>
      <c r="YJ17" s="10">
        <f t="shared" si="523"/>
        <v>0</v>
      </c>
      <c r="YK17" s="10">
        <f t="shared" si="523"/>
        <v>0</v>
      </c>
      <c r="YL17" s="10">
        <f t="shared" si="523"/>
        <v>0</v>
      </c>
      <c r="YM17" s="10">
        <f t="shared" si="523"/>
        <v>0</v>
      </c>
      <c r="YN17" s="10">
        <f t="shared" si="523"/>
        <v>0</v>
      </c>
      <c r="YO17" s="10">
        <f t="shared" si="523"/>
        <v>0</v>
      </c>
      <c r="YP17" s="10">
        <f t="shared" si="523"/>
        <v>0</v>
      </c>
      <c r="YQ17" s="10">
        <f t="shared" si="523"/>
        <v>0</v>
      </c>
      <c r="YR17" s="10">
        <f t="shared" si="523"/>
        <v>0</v>
      </c>
      <c r="YS17" s="10">
        <f t="shared" si="523"/>
        <v>0</v>
      </c>
      <c r="YT17" s="10">
        <f t="shared" si="523"/>
        <v>0</v>
      </c>
      <c r="YU17" s="10">
        <f t="shared" si="523"/>
        <v>0</v>
      </c>
      <c r="YV17" s="10">
        <f t="shared" si="523"/>
        <v>0</v>
      </c>
      <c r="YW17" s="10">
        <f t="shared" si="523"/>
        <v>0</v>
      </c>
      <c r="YX17" s="10">
        <f t="shared" si="523"/>
        <v>0</v>
      </c>
      <c r="YY17" s="10">
        <f t="shared" si="523"/>
        <v>0</v>
      </c>
      <c r="YZ17" s="10">
        <f t="shared" si="523"/>
        <v>0</v>
      </c>
      <c r="ZA17" s="10">
        <f t="shared" si="523"/>
        <v>0</v>
      </c>
      <c r="ZB17" s="10">
        <f t="shared" si="523"/>
        <v>0</v>
      </c>
      <c r="ZC17" s="10">
        <f t="shared" si="523"/>
        <v>0</v>
      </c>
      <c r="ZD17" s="10">
        <f t="shared" si="523"/>
        <v>0</v>
      </c>
      <c r="ZE17" s="10">
        <f t="shared" si="523"/>
        <v>0</v>
      </c>
      <c r="ZF17" s="10">
        <f t="shared" si="523"/>
        <v>0</v>
      </c>
      <c r="ZG17" s="10">
        <f t="shared" si="523"/>
        <v>0</v>
      </c>
      <c r="ZH17" s="10">
        <f t="shared" si="523"/>
        <v>0</v>
      </c>
      <c r="ZI17" s="10">
        <f t="shared" si="523"/>
        <v>0</v>
      </c>
      <c r="ZJ17" s="10">
        <f t="shared" si="523"/>
        <v>0</v>
      </c>
      <c r="ZK17" s="10">
        <f t="shared" si="523"/>
        <v>0</v>
      </c>
      <c r="ZL17" s="10">
        <f t="shared" si="523"/>
        <v>0</v>
      </c>
      <c r="ZM17" s="10">
        <f t="shared" si="523"/>
        <v>0</v>
      </c>
      <c r="ZN17" s="10">
        <f t="shared" si="523"/>
        <v>0</v>
      </c>
      <c r="ZO17" s="10">
        <f t="shared" si="523"/>
        <v>0</v>
      </c>
      <c r="ZP17" s="10">
        <f t="shared" si="523"/>
        <v>0</v>
      </c>
      <c r="ZQ17" s="10">
        <f t="shared" si="523"/>
        <v>0</v>
      </c>
      <c r="ZR17" s="10">
        <f t="shared" si="523"/>
        <v>0</v>
      </c>
      <c r="ZS17" s="10">
        <f t="shared" si="523"/>
        <v>0</v>
      </c>
      <c r="ZT17" s="10">
        <f t="shared" si="523"/>
        <v>0</v>
      </c>
      <c r="ZU17" s="10">
        <f t="shared" si="523"/>
        <v>0</v>
      </c>
      <c r="ZV17" s="10">
        <f t="shared" si="523"/>
        <v>0</v>
      </c>
      <c r="ZW17" s="10">
        <f t="shared" si="523"/>
        <v>0</v>
      </c>
      <c r="ZX17" s="10">
        <f t="shared" si="523"/>
        <v>0</v>
      </c>
      <c r="ZY17" s="10">
        <f t="shared" si="523"/>
        <v>0</v>
      </c>
      <c r="ZZ17" s="10">
        <f t="shared" si="523"/>
        <v>0</v>
      </c>
      <c r="AAA17" s="10">
        <f t="shared" si="523"/>
        <v>0</v>
      </c>
      <c r="AAB17" s="10">
        <f t="shared" si="523"/>
        <v>0</v>
      </c>
      <c r="AAC17" s="10">
        <f t="shared" si="523"/>
        <v>0</v>
      </c>
      <c r="AAD17" s="10">
        <f t="shared" si="523"/>
        <v>0</v>
      </c>
      <c r="AAE17" s="10">
        <f t="shared" si="523"/>
        <v>0</v>
      </c>
      <c r="AAF17" s="10">
        <f t="shared" si="523"/>
        <v>0</v>
      </c>
      <c r="AAG17" s="10">
        <f t="shared" si="523"/>
        <v>0</v>
      </c>
      <c r="AAH17" s="10">
        <f t="shared" si="523"/>
        <v>0</v>
      </c>
      <c r="AAI17" s="10">
        <f t="shared" si="523"/>
        <v>0</v>
      </c>
      <c r="AAJ17" s="10">
        <f t="shared" si="523"/>
        <v>0</v>
      </c>
      <c r="AAK17" s="10">
        <f t="shared" si="523"/>
        <v>0</v>
      </c>
      <c r="AAL17" s="10">
        <f t="shared" si="523"/>
        <v>0</v>
      </c>
      <c r="AAM17" s="10">
        <f t="shared" si="523"/>
        <v>0</v>
      </c>
      <c r="AAN17" s="10">
        <f t="shared" si="523"/>
        <v>0</v>
      </c>
      <c r="AAO17" s="10">
        <f t="shared" si="523"/>
        <v>0</v>
      </c>
      <c r="AAP17" s="10">
        <f t="shared" si="523"/>
        <v>0</v>
      </c>
      <c r="AAQ17" s="10">
        <f t="shared" si="523"/>
        <v>0</v>
      </c>
      <c r="AAR17" s="10">
        <f t="shared" si="523"/>
        <v>0</v>
      </c>
      <c r="AAS17" s="10">
        <f t="shared" si="523"/>
        <v>0</v>
      </c>
      <c r="AAT17" s="10">
        <f t="shared" si="523"/>
        <v>0</v>
      </c>
      <c r="AAU17" s="10">
        <f t="shared" si="523"/>
        <v>0</v>
      </c>
      <c r="AAV17" s="10" t="str">
        <f>IF(INDIRECT(ADDRESS(ROW() - (TemplateStats!$B$2 + 16), 3)) = "C6", 60, 0)</f>
        <v>#VALUE!</v>
      </c>
      <c r="AAW17" s="10" t="str">
        <f>IF(INDIRECT(ADDRESS(ROW() - (TemplateStats!$B$2 + 16), 3)) = "C6", 60, 0)</f>
        <v>#VALUE!</v>
      </c>
      <c r="AAX17" s="10" t="str">
        <f>IF(INDIRECT(ADDRESS(ROW() - (TemplateStats!$B$2 + 16), 3)) = "C6", 60, 0)</f>
        <v>#VALUE!</v>
      </c>
      <c r="AAY17" s="10">
        <f t="shared" ref="AAY17:AQL17" si="524">0</f>
        <v>0</v>
      </c>
      <c r="AAZ17" s="10">
        <f t="shared" si="524"/>
        <v>0</v>
      </c>
      <c r="ABA17" s="10">
        <f t="shared" si="524"/>
        <v>0</v>
      </c>
      <c r="ABB17" s="10">
        <f t="shared" si="524"/>
        <v>0</v>
      </c>
      <c r="ABC17" s="10">
        <f t="shared" si="524"/>
        <v>0</v>
      </c>
      <c r="ABD17" s="10">
        <f t="shared" si="524"/>
        <v>0</v>
      </c>
      <c r="ABE17" s="10">
        <f t="shared" si="524"/>
        <v>0</v>
      </c>
      <c r="ABF17" s="10">
        <f t="shared" si="524"/>
        <v>0</v>
      </c>
      <c r="ABG17" s="10">
        <f t="shared" si="524"/>
        <v>0</v>
      </c>
      <c r="ABH17" s="10">
        <f t="shared" si="524"/>
        <v>0</v>
      </c>
      <c r="ABI17" s="10">
        <f t="shared" si="524"/>
        <v>0</v>
      </c>
      <c r="ABJ17" s="10">
        <f t="shared" si="524"/>
        <v>0</v>
      </c>
      <c r="ABK17" s="10">
        <f t="shared" si="524"/>
        <v>0</v>
      </c>
      <c r="ABL17" s="10">
        <f t="shared" si="524"/>
        <v>0</v>
      </c>
      <c r="ABM17" s="10">
        <f t="shared" si="524"/>
        <v>0</v>
      </c>
      <c r="ABN17" s="10">
        <f t="shared" si="524"/>
        <v>0</v>
      </c>
      <c r="ABO17" s="10">
        <f t="shared" si="524"/>
        <v>0</v>
      </c>
      <c r="ABP17" s="10">
        <f t="shared" si="524"/>
        <v>0</v>
      </c>
      <c r="ABQ17" s="10">
        <f t="shared" si="524"/>
        <v>0</v>
      </c>
      <c r="ABR17" s="10">
        <f t="shared" si="524"/>
        <v>0</v>
      </c>
      <c r="ABS17" s="10">
        <f t="shared" si="524"/>
        <v>0</v>
      </c>
      <c r="ABT17" s="10">
        <f t="shared" si="524"/>
        <v>0</v>
      </c>
      <c r="ABU17" s="10">
        <f t="shared" si="524"/>
        <v>0</v>
      </c>
      <c r="ABV17" s="10">
        <f t="shared" si="524"/>
        <v>0</v>
      </c>
      <c r="ABW17" s="10">
        <f t="shared" si="524"/>
        <v>0</v>
      </c>
      <c r="ABX17" s="10">
        <f t="shared" si="524"/>
        <v>0</v>
      </c>
      <c r="ABY17" s="10">
        <f t="shared" si="524"/>
        <v>0</v>
      </c>
      <c r="ABZ17" s="10">
        <f t="shared" si="524"/>
        <v>0</v>
      </c>
      <c r="ACA17" s="10">
        <f t="shared" si="524"/>
        <v>0</v>
      </c>
      <c r="ACB17" s="10">
        <f t="shared" si="524"/>
        <v>0</v>
      </c>
      <c r="ACC17" s="10">
        <f t="shared" si="524"/>
        <v>0</v>
      </c>
      <c r="ACD17" s="10">
        <f t="shared" si="524"/>
        <v>0</v>
      </c>
      <c r="ACE17" s="10">
        <f t="shared" si="524"/>
        <v>0</v>
      </c>
      <c r="ACF17" s="10">
        <f t="shared" si="524"/>
        <v>0</v>
      </c>
      <c r="ACG17" s="10">
        <f t="shared" si="524"/>
        <v>0</v>
      </c>
      <c r="ACH17" s="10">
        <f t="shared" si="524"/>
        <v>0</v>
      </c>
      <c r="ACI17" s="10">
        <f t="shared" si="524"/>
        <v>0</v>
      </c>
      <c r="ACJ17" s="10">
        <f t="shared" si="524"/>
        <v>0</v>
      </c>
      <c r="ACK17" s="10">
        <f t="shared" si="524"/>
        <v>0</v>
      </c>
      <c r="ACL17" s="10">
        <f t="shared" si="524"/>
        <v>0</v>
      </c>
      <c r="ACM17" s="10">
        <f t="shared" si="524"/>
        <v>0</v>
      </c>
      <c r="ACN17" s="10">
        <f t="shared" si="524"/>
        <v>0</v>
      </c>
      <c r="ACO17" s="10">
        <f t="shared" si="524"/>
        <v>0</v>
      </c>
      <c r="ACP17" s="10">
        <f t="shared" si="524"/>
        <v>0</v>
      </c>
      <c r="ACQ17" s="10">
        <f t="shared" si="524"/>
        <v>0</v>
      </c>
      <c r="ACR17" s="10">
        <f t="shared" si="524"/>
        <v>0</v>
      </c>
      <c r="ACS17" s="10">
        <f t="shared" si="524"/>
        <v>0</v>
      </c>
      <c r="ACT17" s="10">
        <f t="shared" si="524"/>
        <v>0</v>
      </c>
      <c r="ACU17" s="10">
        <f t="shared" si="524"/>
        <v>0</v>
      </c>
      <c r="ACV17" s="10">
        <f t="shared" si="524"/>
        <v>0</v>
      </c>
      <c r="ACW17" s="10">
        <f t="shared" si="524"/>
        <v>0</v>
      </c>
      <c r="ACX17" s="10">
        <f t="shared" si="524"/>
        <v>0</v>
      </c>
      <c r="ACY17" s="10">
        <f t="shared" si="524"/>
        <v>0</v>
      </c>
      <c r="ACZ17" s="10">
        <f t="shared" si="524"/>
        <v>0</v>
      </c>
      <c r="ADA17" s="10">
        <f t="shared" si="524"/>
        <v>0</v>
      </c>
      <c r="ADB17" s="10">
        <f t="shared" si="524"/>
        <v>0</v>
      </c>
      <c r="ADC17" s="10">
        <f t="shared" si="524"/>
        <v>0</v>
      </c>
      <c r="ADD17" s="10">
        <f t="shared" si="524"/>
        <v>0</v>
      </c>
      <c r="ADE17" s="10">
        <f t="shared" si="524"/>
        <v>0</v>
      </c>
      <c r="ADF17" s="10">
        <f t="shared" si="524"/>
        <v>0</v>
      </c>
      <c r="ADG17" s="10">
        <f t="shared" si="524"/>
        <v>0</v>
      </c>
      <c r="ADH17" s="10">
        <f t="shared" si="524"/>
        <v>0</v>
      </c>
      <c r="ADI17" s="10">
        <f t="shared" si="524"/>
        <v>0</v>
      </c>
      <c r="ADJ17" s="10">
        <f t="shared" si="524"/>
        <v>0</v>
      </c>
      <c r="ADK17" s="10">
        <f t="shared" si="524"/>
        <v>0</v>
      </c>
      <c r="ADL17" s="10">
        <f t="shared" si="524"/>
        <v>0</v>
      </c>
      <c r="ADM17" s="10">
        <f t="shared" si="524"/>
        <v>0</v>
      </c>
      <c r="ADN17" s="10">
        <f t="shared" si="524"/>
        <v>0</v>
      </c>
      <c r="ADO17" s="10">
        <f t="shared" si="524"/>
        <v>0</v>
      </c>
      <c r="ADP17" s="10">
        <f t="shared" si="524"/>
        <v>0</v>
      </c>
      <c r="ADQ17" s="10">
        <f t="shared" si="524"/>
        <v>0</v>
      </c>
      <c r="ADR17" s="10">
        <f t="shared" si="524"/>
        <v>0</v>
      </c>
      <c r="ADS17" s="10">
        <f t="shared" si="524"/>
        <v>0</v>
      </c>
      <c r="ADT17" s="10">
        <f t="shared" si="524"/>
        <v>0</v>
      </c>
      <c r="ADU17" s="10">
        <f t="shared" si="524"/>
        <v>0</v>
      </c>
      <c r="ADV17" s="10">
        <f t="shared" si="524"/>
        <v>0</v>
      </c>
      <c r="ADW17" s="10">
        <f t="shared" si="524"/>
        <v>0</v>
      </c>
      <c r="ADX17" s="10">
        <f t="shared" si="524"/>
        <v>0</v>
      </c>
      <c r="ADY17" s="10">
        <f t="shared" si="524"/>
        <v>0</v>
      </c>
      <c r="ADZ17" s="10">
        <f t="shared" si="524"/>
        <v>0</v>
      </c>
      <c r="AEA17" s="10">
        <f t="shared" si="524"/>
        <v>0</v>
      </c>
      <c r="AEB17" s="10">
        <f t="shared" si="524"/>
        <v>0</v>
      </c>
      <c r="AEC17" s="10">
        <f t="shared" si="524"/>
        <v>0</v>
      </c>
      <c r="AED17" s="10">
        <f t="shared" si="524"/>
        <v>0</v>
      </c>
      <c r="AEE17" s="10">
        <f t="shared" si="524"/>
        <v>0</v>
      </c>
      <c r="AEF17" s="10">
        <f t="shared" si="524"/>
        <v>0</v>
      </c>
      <c r="AEG17" s="10">
        <f t="shared" si="524"/>
        <v>0</v>
      </c>
      <c r="AEH17" s="10">
        <f t="shared" si="524"/>
        <v>0</v>
      </c>
      <c r="AEI17" s="10">
        <f t="shared" si="524"/>
        <v>0</v>
      </c>
      <c r="AEJ17" s="10">
        <f t="shared" si="524"/>
        <v>0</v>
      </c>
      <c r="AEK17" s="10">
        <f t="shared" si="524"/>
        <v>0</v>
      </c>
      <c r="AEL17" s="10">
        <f t="shared" si="524"/>
        <v>0</v>
      </c>
      <c r="AEM17" s="10">
        <f t="shared" si="524"/>
        <v>0</v>
      </c>
      <c r="AEN17" s="10">
        <f t="shared" si="524"/>
        <v>0</v>
      </c>
      <c r="AEO17" s="10">
        <f t="shared" si="524"/>
        <v>0</v>
      </c>
      <c r="AEP17" s="10">
        <f t="shared" si="524"/>
        <v>0</v>
      </c>
      <c r="AEQ17" s="10">
        <f t="shared" si="524"/>
        <v>0</v>
      </c>
      <c r="AER17" s="10">
        <f t="shared" si="524"/>
        <v>0</v>
      </c>
      <c r="AES17" s="10">
        <f t="shared" si="524"/>
        <v>0</v>
      </c>
      <c r="AET17" s="10">
        <f t="shared" si="524"/>
        <v>0</v>
      </c>
      <c r="AEU17" s="10">
        <f t="shared" si="524"/>
        <v>0</v>
      </c>
      <c r="AEV17" s="10">
        <f t="shared" si="524"/>
        <v>0</v>
      </c>
      <c r="AEW17" s="10">
        <f t="shared" si="524"/>
        <v>0</v>
      </c>
      <c r="AEX17" s="10">
        <f t="shared" si="524"/>
        <v>0</v>
      </c>
      <c r="AEY17" s="10">
        <f t="shared" si="524"/>
        <v>0</v>
      </c>
      <c r="AEZ17" s="10">
        <f t="shared" si="524"/>
        <v>0</v>
      </c>
      <c r="AFA17" s="10">
        <f t="shared" si="524"/>
        <v>0</v>
      </c>
      <c r="AFB17" s="10">
        <f t="shared" si="524"/>
        <v>0</v>
      </c>
      <c r="AFC17" s="10">
        <f t="shared" si="524"/>
        <v>0</v>
      </c>
      <c r="AFD17" s="10">
        <f t="shared" si="524"/>
        <v>0</v>
      </c>
      <c r="AFE17" s="10">
        <f t="shared" si="524"/>
        <v>0</v>
      </c>
      <c r="AFF17" s="10">
        <f t="shared" si="524"/>
        <v>0</v>
      </c>
      <c r="AFG17" s="10">
        <f t="shared" si="524"/>
        <v>0</v>
      </c>
      <c r="AFH17" s="10">
        <f t="shared" si="524"/>
        <v>0</v>
      </c>
      <c r="AFI17" s="10">
        <f t="shared" si="524"/>
        <v>0</v>
      </c>
      <c r="AFJ17" s="10">
        <f t="shared" si="524"/>
        <v>0</v>
      </c>
      <c r="AFK17" s="10">
        <f t="shared" si="524"/>
        <v>0</v>
      </c>
      <c r="AFL17" s="10">
        <f t="shared" si="524"/>
        <v>0</v>
      </c>
      <c r="AFM17" s="10">
        <f t="shared" si="524"/>
        <v>0</v>
      </c>
      <c r="AFN17" s="10">
        <f t="shared" si="524"/>
        <v>0</v>
      </c>
      <c r="AFO17" s="10">
        <f t="shared" si="524"/>
        <v>0</v>
      </c>
      <c r="AFP17" s="10">
        <f t="shared" si="524"/>
        <v>0</v>
      </c>
      <c r="AFQ17" s="10">
        <f t="shared" si="524"/>
        <v>0</v>
      </c>
      <c r="AFR17" s="10">
        <f t="shared" si="524"/>
        <v>0</v>
      </c>
      <c r="AFS17" s="10">
        <f t="shared" si="524"/>
        <v>0</v>
      </c>
      <c r="AFT17" s="10">
        <f t="shared" si="524"/>
        <v>0</v>
      </c>
      <c r="AFU17" s="10">
        <f t="shared" si="524"/>
        <v>0</v>
      </c>
      <c r="AFV17" s="10">
        <f t="shared" si="524"/>
        <v>0</v>
      </c>
      <c r="AFW17" s="10">
        <f t="shared" si="524"/>
        <v>0</v>
      </c>
      <c r="AFX17" s="10">
        <f t="shared" si="524"/>
        <v>0</v>
      </c>
      <c r="AFY17" s="10">
        <f t="shared" si="524"/>
        <v>0</v>
      </c>
      <c r="AFZ17" s="10">
        <f t="shared" si="524"/>
        <v>0</v>
      </c>
      <c r="AGA17" s="10">
        <f t="shared" si="524"/>
        <v>0</v>
      </c>
      <c r="AGB17" s="10">
        <f t="shared" si="524"/>
        <v>0</v>
      </c>
      <c r="AGC17" s="10">
        <f t="shared" si="524"/>
        <v>0</v>
      </c>
      <c r="AGD17" s="10">
        <f t="shared" si="524"/>
        <v>0</v>
      </c>
      <c r="AGE17" s="10">
        <f t="shared" si="524"/>
        <v>0</v>
      </c>
      <c r="AGF17" s="10">
        <f t="shared" si="524"/>
        <v>0</v>
      </c>
      <c r="AGG17" s="10">
        <f t="shared" si="524"/>
        <v>0</v>
      </c>
      <c r="AGH17" s="10">
        <f t="shared" si="524"/>
        <v>0</v>
      </c>
      <c r="AGI17" s="10">
        <f t="shared" si="524"/>
        <v>0</v>
      </c>
      <c r="AGJ17" s="10">
        <f t="shared" si="524"/>
        <v>0</v>
      </c>
      <c r="AGK17" s="10">
        <f t="shared" si="524"/>
        <v>0</v>
      </c>
      <c r="AGL17" s="10">
        <f t="shared" si="524"/>
        <v>0</v>
      </c>
      <c r="AGM17" s="10">
        <f t="shared" si="524"/>
        <v>0</v>
      </c>
      <c r="AGN17" s="10">
        <f t="shared" si="524"/>
        <v>0</v>
      </c>
      <c r="AGO17" s="10">
        <f t="shared" si="524"/>
        <v>0</v>
      </c>
      <c r="AGP17" s="10">
        <f t="shared" si="524"/>
        <v>0</v>
      </c>
      <c r="AGQ17" s="10">
        <f t="shared" si="524"/>
        <v>0</v>
      </c>
      <c r="AGR17" s="10">
        <f t="shared" si="524"/>
        <v>0</v>
      </c>
      <c r="AGS17" s="10">
        <f t="shared" si="524"/>
        <v>0</v>
      </c>
      <c r="AGT17" s="10">
        <f t="shared" si="524"/>
        <v>0</v>
      </c>
      <c r="AGU17" s="10">
        <f t="shared" si="524"/>
        <v>0</v>
      </c>
      <c r="AGV17" s="10">
        <f t="shared" si="524"/>
        <v>0</v>
      </c>
      <c r="AGW17" s="199">
        <f t="shared" si="524"/>
        <v>0</v>
      </c>
      <c r="AGX17" s="199">
        <f t="shared" si="524"/>
        <v>0</v>
      </c>
      <c r="AGY17" s="199">
        <f t="shared" si="524"/>
        <v>0</v>
      </c>
      <c r="AGZ17" s="199">
        <f t="shared" si="524"/>
        <v>0</v>
      </c>
      <c r="AHA17" s="10">
        <f t="shared" si="524"/>
        <v>0</v>
      </c>
      <c r="AHB17" s="10">
        <f t="shared" si="524"/>
        <v>0</v>
      </c>
      <c r="AHC17" s="10">
        <f t="shared" si="524"/>
        <v>0</v>
      </c>
      <c r="AHD17" s="10">
        <f t="shared" si="524"/>
        <v>0</v>
      </c>
      <c r="AHE17" s="10">
        <f t="shared" si="524"/>
        <v>0</v>
      </c>
      <c r="AHF17" s="10">
        <f t="shared" si="524"/>
        <v>0</v>
      </c>
      <c r="AHG17" s="10">
        <f t="shared" si="524"/>
        <v>0</v>
      </c>
      <c r="AHH17" s="10">
        <f t="shared" si="524"/>
        <v>0</v>
      </c>
      <c r="AHI17" s="10">
        <f t="shared" si="524"/>
        <v>0</v>
      </c>
      <c r="AHJ17" s="10">
        <f t="shared" si="524"/>
        <v>0</v>
      </c>
      <c r="AHK17" s="10">
        <f t="shared" si="524"/>
        <v>0</v>
      </c>
      <c r="AHL17" s="10">
        <f t="shared" si="524"/>
        <v>0</v>
      </c>
      <c r="AHM17" s="10">
        <f t="shared" si="524"/>
        <v>0</v>
      </c>
      <c r="AHN17" s="10">
        <f t="shared" si="524"/>
        <v>0</v>
      </c>
      <c r="AHO17" s="10">
        <f t="shared" si="524"/>
        <v>0</v>
      </c>
      <c r="AHP17" s="10">
        <f t="shared" si="524"/>
        <v>0</v>
      </c>
      <c r="AHQ17" s="10">
        <f t="shared" si="524"/>
        <v>0</v>
      </c>
      <c r="AHR17" s="10">
        <f t="shared" si="524"/>
        <v>0</v>
      </c>
      <c r="AHS17" s="10">
        <f t="shared" si="524"/>
        <v>0</v>
      </c>
      <c r="AHT17" s="10">
        <f t="shared" si="524"/>
        <v>0</v>
      </c>
      <c r="AHU17" s="10">
        <f t="shared" si="524"/>
        <v>0</v>
      </c>
      <c r="AHV17" s="10">
        <f t="shared" si="524"/>
        <v>0</v>
      </c>
      <c r="AHW17" s="10">
        <f t="shared" si="524"/>
        <v>0</v>
      </c>
      <c r="AHX17" s="10">
        <f t="shared" si="524"/>
        <v>0</v>
      </c>
      <c r="AHY17" s="10">
        <f t="shared" si="524"/>
        <v>0</v>
      </c>
      <c r="AHZ17" s="10">
        <f t="shared" si="524"/>
        <v>0</v>
      </c>
      <c r="AIA17" s="10">
        <f t="shared" si="524"/>
        <v>0</v>
      </c>
      <c r="AIB17" s="10">
        <f t="shared" si="524"/>
        <v>0</v>
      </c>
      <c r="AIC17" s="10">
        <f t="shared" si="524"/>
        <v>0</v>
      </c>
      <c r="AID17" s="10">
        <f t="shared" si="524"/>
        <v>0</v>
      </c>
      <c r="AIE17" s="10">
        <f t="shared" si="524"/>
        <v>0</v>
      </c>
      <c r="AIF17" s="10">
        <f t="shared" si="524"/>
        <v>0</v>
      </c>
      <c r="AIG17" s="10">
        <f t="shared" si="524"/>
        <v>0</v>
      </c>
      <c r="AIH17" s="10">
        <f t="shared" si="524"/>
        <v>0</v>
      </c>
      <c r="AII17" s="10">
        <f t="shared" si="524"/>
        <v>0</v>
      </c>
      <c r="AIJ17" s="10">
        <f t="shared" si="524"/>
        <v>0</v>
      </c>
      <c r="AIK17" s="10">
        <f t="shared" si="524"/>
        <v>0</v>
      </c>
      <c r="AIL17" s="10">
        <f t="shared" si="524"/>
        <v>0</v>
      </c>
      <c r="AIM17" s="10">
        <f t="shared" si="524"/>
        <v>0</v>
      </c>
      <c r="AIN17" s="10">
        <f t="shared" si="524"/>
        <v>0</v>
      </c>
      <c r="AIO17" s="10">
        <f t="shared" si="524"/>
        <v>0</v>
      </c>
      <c r="AIP17" s="10">
        <f t="shared" si="524"/>
        <v>0</v>
      </c>
      <c r="AIQ17" s="10">
        <f t="shared" si="524"/>
        <v>0</v>
      </c>
      <c r="AIR17" s="10">
        <f t="shared" si="524"/>
        <v>0</v>
      </c>
      <c r="AIS17" s="10">
        <f t="shared" si="524"/>
        <v>0</v>
      </c>
      <c r="AIT17" s="10">
        <f t="shared" si="524"/>
        <v>0</v>
      </c>
      <c r="AIU17" s="10">
        <f t="shared" si="524"/>
        <v>0</v>
      </c>
      <c r="AIV17" s="10">
        <f t="shared" si="524"/>
        <v>0</v>
      </c>
      <c r="AIW17" s="10">
        <f t="shared" si="524"/>
        <v>0</v>
      </c>
      <c r="AIX17" s="10">
        <f t="shared" si="524"/>
        <v>0</v>
      </c>
      <c r="AIY17" s="10">
        <f t="shared" si="524"/>
        <v>0</v>
      </c>
      <c r="AIZ17" s="10">
        <f t="shared" si="524"/>
        <v>0</v>
      </c>
      <c r="AJA17" s="10">
        <f t="shared" si="524"/>
        <v>0</v>
      </c>
      <c r="AJB17" s="10">
        <f t="shared" si="524"/>
        <v>0</v>
      </c>
      <c r="AJC17" s="10">
        <f t="shared" si="524"/>
        <v>0</v>
      </c>
      <c r="AJD17" s="10">
        <f t="shared" si="524"/>
        <v>0</v>
      </c>
      <c r="AJE17" s="10">
        <f t="shared" si="524"/>
        <v>0</v>
      </c>
      <c r="AJF17" s="10">
        <f t="shared" si="524"/>
        <v>0</v>
      </c>
      <c r="AJG17" s="10">
        <f t="shared" si="524"/>
        <v>0</v>
      </c>
      <c r="AJH17" s="10">
        <f t="shared" si="524"/>
        <v>0</v>
      </c>
      <c r="AJI17" s="10">
        <f t="shared" si="524"/>
        <v>0</v>
      </c>
      <c r="AJJ17" s="10">
        <f t="shared" si="524"/>
        <v>0</v>
      </c>
      <c r="AJK17" s="10">
        <f t="shared" si="524"/>
        <v>0</v>
      </c>
      <c r="AJL17" s="10">
        <f t="shared" si="524"/>
        <v>0</v>
      </c>
      <c r="AJM17" s="10">
        <f t="shared" si="524"/>
        <v>0</v>
      </c>
      <c r="AJN17" s="10">
        <f t="shared" si="524"/>
        <v>0</v>
      </c>
      <c r="AJO17" s="10">
        <f t="shared" si="524"/>
        <v>0</v>
      </c>
      <c r="AJP17" s="10">
        <f t="shared" si="524"/>
        <v>0</v>
      </c>
      <c r="AJQ17" s="10">
        <f t="shared" si="524"/>
        <v>0</v>
      </c>
      <c r="AJR17" s="10">
        <f t="shared" si="524"/>
        <v>0</v>
      </c>
      <c r="AJS17" s="10">
        <f t="shared" si="524"/>
        <v>0</v>
      </c>
      <c r="AJT17" s="10">
        <f t="shared" si="524"/>
        <v>0</v>
      </c>
      <c r="AJU17" s="10">
        <f t="shared" si="524"/>
        <v>0</v>
      </c>
      <c r="AJV17" s="10">
        <f t="shared" si="524"/>
        <v>0</v>
      </c>
      <c r="AJW17" s="10">
        <f t="shared" si="524"/>
        <v>0</v>
      </c>
      <c r="AJX17" s="10">
        <f t="shared" si="524"/>
        <v>0</v>
      </c>
      <c r="AJY17" s="10">
        <f t="shared" si="524"/>
        <v>0</v>
      </c>
      <c r="AJZ17" s="10">
        <f t="shared" si="524"/>
        <v>0</v>
      </c>
      <c r="AKA17" s="10">
        <f t="shared" si="524"/>
        <v>0</v>
      </c>
      <c r="AKB17" s="10">
        <f t="shared" si="524"/>
        <v>0</v>
      </c>
      <c r="AKC17" s="10">
        <f t="shared" si="524"/>
        <v>0</v>
      </c>
      <c r="AKD17" s="10">
        <f t="shared" si="524"/>
        <v>0</v>
      </c>
      <c r="AKE17" s="10">
        <f t="shared" si="524"/>
        <v>0</v>
      </c>
      <c r="AKF17" s="10">
        <f t="shared" si="524"/>
        <v>0</v>
      </c>
      <c r="AKG17" s="10">
        <f t="shared" si="524"/>
        <v>0</v>
      </c>
      <c r="AKH17" s="10">
        <f t="shared" si="524"/>
        <v>0</v>
      </c>
      <c r="AKI17" s="10">
        <f t="shared" si="524"/>
        <v>0</v>
      </c>
      <c r="AKJ17" s="10">
        <f t="shared" si="524"/>
        <v>0</v>
      </c>
      <c r="AKK17" s="10">
        <f t="shared" si="524"/>
        <v>0</v>
      </c>
      <c r="AKL17" s="10">
        <f t="shared" si="524"/>
        <v>0</v>
      </c>
      <c r="AKM17" s="10">
        <f t="shared" si="524"/>
        <v>0</v>
      </c>
      <c r="AKN17" s="10">
        <f t="shared" si="524"/>
        <v>0</v>
      </c>
      <c r="AKO17" s="10">
        <f t="shared" si="524"/>
        <v>0</v>
      </c>
      <c r="AKP17" s="10">
        <f t="shared" si="524"/>
        <v>0</v>
      </c>
      <c r="AKQ17" s="10">
        <f t="shared" si="524"/>
        <v>0</v>
      </c>
      <c r="AKR17" s="10">
        <f t="shared" si="524"/>
        <v>0</v>
      </c>
      <c r="AKS17" s="10">
        <f t="shared" si="524"/>
        <v>0</v>
      </c>
      <c r="AKT17" s="10">
        <f t="shared" si="524"/>
        <v>0</v>
      </c>
      <c r="AKU17" s="10">
        <f t="shared" si="524"/>
        <v>0</v>
      </c>
      <c r="AKV17" s="10">
        <f t="shared" si="524"/>
        <v>0</v>
      </c>
      <c r="AKW17" s="10">
        <f t="shared" si="524"/>
        <v>0</v>
      </c>
      <c r="AKX17" s="10">
        <f t="shared" si="524"/>
        <v>0</v>
      </c>
      <c r="AKY17" s="10">
        <f t="shared" si="524"/>
        <v>0</v>
      </c>
      <c r="AKZ17" s="10">
        <f t="shared" si="524"/>
        <v>0</v>
      </c>
      <c r="ALA17" s="10">
        <f t="shared" si="524"/>
        <v>0</v>
      </c>
      <c r="ALB17" s="10">
        <f t="shared" si="524"/>
        <v>0</v>
      </c>
      <c r="ALC17" s="10">
        <f t="shared" si="524"/>
        <v>0</v>
      </c>
      <c r="ALD17" s="10">
        <f t="shared" si="524"/>
        <v>0</v>
      </c>
      <c r="ALE17" s="10">
        <f t="shared" si="524"/>
        <v>0</v>
      </c>
      <c r="ALF17" s="10">
        <f t="shared" si="524"/>
        <v>0</v>
      </c>
      <c r="ALG17" s="10">
        <f t="shared" si="524"/>
        <v>0</v>
      </c>
      <c r="ALH17" s="10">
        <f t="shared" si="524"/>
        <v>0</v>
      </c>
      <c r="ALI17" s="10">
        <f t="shared" si="524"/>
        <v>0</v>
      </c>
      <c r="ALJ17" s="10">
        <f t="shared" si="524"/>
        <v>0</v>
      </c>
      <c r="ALK17" s="10">
        <f t="shared" si="524"/>
        <v>0</v>
      </c>
      <c r="ALL17" s="10">
        <f t="shared" si="524"/>
        <v>0</v>
      </c>
      <c r="ALM17" s="10">
        <f t="shared" si="524"/>
        <v>0</v>
      </c>
      <c r="ALN17" s="10">
        <f t="shared" si="524"/>
        <v>0</v>
      </c>
      <c r="ALO17" s="10">
        <f t="shared" si="524"/>
        <v>0</v>
      </c>
      <c r="ALP17" s="10">
        <f t="shared" si="524"/>
        <v>0</v>
      </c>
      <c r="ALQ17" s="10">
        <f t="shared" si="524"/>
        <v>0</v>
      </c>
      <c r="ALR17" s="10">
        <f t="shared" si="524"/>
        <v>0</v>
      </c>
      <c r="ALS17" s="10">
        <f t="shared" si="524"/>
        <v>0</v>
      </c>
      <c r="ALT17" s="10">
        <f t="shared" si="524"/>
        <v>0</v>
      </c>
      <c r="ALU17" s="10">
        <f t="shared" si="524"/>
        <v>0</v>
      </c>
      <c r="ALV17" s="10">
        <f t="shared" si="524"/>
        <v>0</v>
      </c>
      <c r="ALW17" s="10">
        <f t="shared" si="524"/>
        <v>0</v>
      </c>
      <c r="ALX17" s="10">
        <f t="shared" si="524"/>
        <v>0</v>
      </c>
      <c r="ALY17" s="10">
        <f t="shared" si="524"/>
        <v>0</v>
      </c>
      <c r="ALZ17" s="10">
        <f t="shared" si="524"/>
        <v>0</v>
      </c>
      <c r="AMA17" s="10">
        <f t="shared" si="524"/>
        <v>0</v>
      </c>
      <c r="AMB17" s="10">
        <f t="shared" si="524"/>
        <v>0</v>
      </c>
      <c r="AMC17" s="10">
        <f t="shared" si="524"/>
        <v>0</v>
      </c>
      <c r="AMD17" s="10">
        <f t="shared" si="524"/>
        <v>0</v>
      </c>
      <c r="AME17" s="10">
        <f t="shared" si="524"/>
        <v>0</v>
      </c>
      <c r="AMF17" s="10">
        <f t="shared" si="524"/>
        <v>0</v>
      </c>
      <c r="AMG17" s="10">
        <f t="shared" si="524"/>
        <v>0</v>
      </c>
      <c r="AMH17" s="10">
        <f t="shared" si="524"/>
        <v>0</v>
      </c>
      <c r="AMI17" s="10">
        <f t="shared" si="524"/>
        <v>0</v>
      </c>
      <c r="AMJ17" s="10">
        <f t="shared" si="524"/>
        <v>0</v>
      </c>
      <c r="AMK17" s="10">
        <f t="shared" si="524"/>
        <v>0</v>
      </c>
      <c r="AML17" s="10">
        <f t="shared" si="524"/>
        <v>0</v>
      </c>
      <c r="AMM17" s="10">
        <f t="shared" si="524"/>
        <v>0</v>
      </c>
      <c r="AMN17" s="10">
        <f t="shared" si="524"/>
        <v>0</v>
      </c>
      <c r="AMO17" s="10">
        <f t="shared" si="524"/>
        <v>0</v>
      </c>
      <c r="AMP17" s="10">
        <f t="shared" si="524"/>
        <v>0</v>
      </c>
      <c r="AMQ17" s="10">
        <f t="shared" si="524"/>
        <v>0</v>
      </c>
      <c r="AMR17" s="10">
        <f t="shared" si="524"/>
        <v>0</v>
      </c>
      <c r="AMS17" s="10">
        <f t="shared" si="524"/>
        <v>0</v>
      </c>
      <c r="AMT17" s="10">
        <f t="shared" si="524"/>
        <v>0</v>
      </c>
      <c r="AMU17" s="10">
        <f t="shared" si="524"/>
        <v>0</v>
      </c>
      <c r="AMV17" s="10">
        <f t="shared" si="524"/>
        <v>0</v>
      </c>
      <c r="AMW17" s="10">
        <f t="shared" si="524"/>
        <v>0</v>
      </c>
      <c r="AMX17" s="10">
        <f t="shared" si="524"/>
        <v>0</v>
      </c>
      <c r="AMY17" s="10">
        <f t="shared" si="524"/>
        <v>0</v>
      </c>
      <c r="AMZ17" s="10">
        <f t="shared" si="524"/>
        <v>0</v>
      </c>
      <c r="ANA17" s="10">
        <f t="shared" si="524"/>
        <v>0</v>
      </c>
      <c r="ANB17" s="10">
        <f t="shared" si="524"/>
        <v>0</v>
      </c>
      <c r="ANC17" s="10">
        <f t="shared" si="524"/>
        <v>0</v>
      </c>
      <c r="AND17" s="10">
        <f t="shared" si="524"/>
        <v>0</v>
      </c>
      <c r="ANE17" s="10">
        <f t="shared" si="524"/>
        <v>0</v>
      </c>
      <c r="ANF17" s="10">
        <f t="shared" si="524"/>
        <v>0</v>
      </c>
      <c r="ANG17" s="10">
        <f t="shared" si="524"/>
        <v>0</v>
      </c>
      <c r="ANH17" s="10">
        <f t="shared" si="524"/>
        <v>0</v>
      </c>
      <c r="ANI17" s="10">
        <f t="shared" si="524"/>
        <v>0</v>
      </c>
      <c r="ANJ17" s="10">
        <f t="shared" si="524"/>
        <v>0</v>
      </c>
      <c r="ANK17" s="10">
        <f t="shared" si="524"/>
        <v>0</v>
      </c>
      <c r="ANL17" s="10">
        <f t="shared" si="524"/>
        <v>0</v>
      </c>
      <c r="ANM17" s="10">
        <f t="shared" si="524"/>
        <v>0</v>
      </c>
      <c r="ANN17" s="10">
        <f t="shared" si="524"/>
        <v>0</v>
      </c>
      <c r="ANO17" s="10">
        <f t="shared" si="524"/>
        <v>0</v>
      </c>
      <c r="ANP17" s="10">
        <f t="shared" si="524"/>
        <v>0</v>
      </c>
      <c r="ANQ17" s="10">
        <f t="shared" si="524"/>
        <v>0</v>
      </c>
      <c r="ANR17" s="10">
        <f t="shared" si="524"/>
        <v>0</v>
      </c>
      <c r="ANS17" s="10">
        <f t="shared" si="524"/>
        <v>0</v>
      </c>
      <c r="ANT17" s="10">
        <f t="shared" si="524"/>
        <v>0</v>
      </c>
      <c r="ANU17" s="10">
        <f t="shared" si="524"/>
        <v>0</v>
      </c>
      <c r="ANV17" s="10">
        <f t="shared" si="524"/>
        <v>0</v>
      </c>
      <c r="ANW17" s="10">
        <f t="shared" si="524"/>
        <v>0</v>
      </c>
      <c r="ANX17" s="10">
        <f t="shared" si="524"/>
        <v>0</v>
      </c>
      <c r="ANY17" s="10">
        <f t="shared" si="524"/>
        <v>0</v>
      </c>
      <c r="ANZ17" s="10">
        <f t="shared" si="524"/>
        <v>0</v>
      </c>
      <c r="AOA17" s="10">
        <f t="shared" si="524"/>
        <v>0</v>
      </c>
      <c r="AOB17" s="10">
        <f t="shared" si="524"/>
        <v>0</v>
      </c>
      <c r="AOC17" s="10">
        <f t="shared" si="524"/>
        <v>0</v>
      </c>
      <c r="AOD17" s="10">
        <f t="shared" si="524"/>
        <v>0</v>
      </c>
      <c r="AOE17" s="10">
        <f t="shared" si="524"/>
        <v>0</v>
      </c>
      <c r="AOF17" s="10">
        <f t="shared" si="524"/>
        <v>0</v>
      </c>
      <c r="AOG17" s="10">
        <f t="shared" si="524"/>
        <v>0</v>
      </c>
      <c r="AOH17" s="10">
        <f t="shared" si="524"/>
        <v>0</v>
      </c>
      <c r="AOI17" s="10">
        <f t="shared" si="524"/>
        <v>0</v>
      </c>
      <c r="AOJ17" s="10">
        <f t="shared" si="524"/>
        <v>0</v>
      </c>
      <c r="AOK17" s="10">
        <f t="shared" si="524"/>
        <v>0</v>
      </c>
      <c r="AOL17" s="10">
        <f t="shared" si="524"/>
        <v>0</v>
      </c>
      <c r="AOM17" s="10">
        <f t="shared" si="524"/>
        <v>0</v>
      </c>
      <c r="AON17" s="10">
        <f t="shared" si="524"/>
        <v>0</v>
      </c>
      <c r="AOO17" s="10">
        <f t="shared" si="524"/>
        <v>0</v>
      </c>
      <c r="AOP17" s="10">
        <f t="shared" si="524"/>
        <v>0</v>
      </c>
      <c r="AOQ17" s="10">
        <f t="shared" si="524"/>
        <v>0</v>
      </c>
      <c r="AOR17" s="10">
        <f t="shared" si="524"/>
        <v>0</v>
      </c>
      <c r="AOS17" s="10">
        <f t="shared" si="524"/>
        <v>0</v>
      </c>
      <c r="AOT17" s="10">
        <f t="shared" si="524"/>
        <v>0</v>
      </c>
      <c r="AOU17" s="10">
        <f t="shared" si="524"/>
        <v>0</v>
      </c>
      <c r="AOV17" s="10">
        <f t="shared" si="524"/>
        <v>0</v>
      </c>
      <c r="AOW17" s="10">
        <f t="shared" si="524"/>
        <v>0</v>
      </c>
      <c r="AOX17" s="10">
        <f t="shared" si="524"/>
        <v>0</v>
      </c>
      <c r="AOY17" s="10">
        <f t="shared" si="524"/>
        <v>0</v>
      </c>
      <c r="AOZ17" s="10">
        <f t="shared" si="524"/>
        <v>0</v>
      </c>
      <c r="APA17" s="10">
        <f t="shared" si="524"/>
        <v>0</v>
      </c>
      <c r="APB17" s="10">
        <f t="shared" si="524"/>
        <v>0</v>
      </c>
      <c r="APC17" s="10">
        <f t="shared" si="524"/>
        <v>0</v>
      </c>
      <c r="APD17" s="10">
        <f t="shared" si="524"/>
        <v>0</v>
      </c>
      <c r="APE17" s="10">
        <f t="shared" si="524"/>
        <v>0</v>
      </c>
      <c r="APF17" s="10">
        <f t="shared" si="524"/>
        <v>0</v>
      </c>
      <c r="APG17" s="10">
        <f t="shared" si="524"/>
        <v>0</v>
      </c>
      <c r="APH17" s="10">
        <f t="shared" si="524"/>
        <v>0</v>
      </c>
      <c r="API17" s="10">
        <f t="shared" si="524"/>
        <v>0</v>
      </c>
      <c r="APJ17" s="10">
        <f t="shared" si="524"/>
        <v>0</v>
      </c>
      <c r="APK17" s="10">
        <f t="shared" si="524"/>
        <v>0</v>
      </c>
      <c r="APL17" s="10">
        <f t="shared" si="524"/>
        <v>0</v>
      </c>
      <c r="APM17" s="10">
        <f t="shared" si="524"/>
        <v>0</v>
      </c>
      <c r="APN17" s="10">
        <f t="shared" si="524"/>
        <v>0</v>
      </c>
      <c r="APO17" s="10">
        <f t="shared" si="524"/>
        <v>0</v>
      </c>
      <c r="APP17" s="10">
        <f t="shared" si="524"/>
        <v>0</v>
      </c>
      <c r="APQ17" s="10">
        <f t="shared" si="524"/>
        <v>0</v>
      </c>
      <c r="APR17" s="10">
        <f t="shared" si="524"/>
        <v>0</v>
      </c>
      <c r="APS17" s="10">
        <f t="shared" si="524"/>
        <v>0</v>
      </c>
      <c r="APT17" s="10">
        <f t="shared" si="524"/>
        <v>0</v>
      </c>
      <c r="APU17" s="10">
        <f t="shared" si="524"/>
        <v>0</v>
      </c>
      <c r="APV17" s="10">
        <f t="shared" si="524"/>
        <v>0</v>
      </c>
      <c r="APW17" s="10">
        <f t="shared" si="524"/>
        <v>0</v>
      </c>
      <c r="APX17" s="10">
        <f t="shared" si="524"/>
        <v>0</v>
      </c>
      <c r="APY17" s="10">
        <f t="shared" si="524"/>
        <v>0</v>
      </c>
      <c r="APZ17" s="10">
        <f t="shared" si="524"/>
        <v>0</v>
      </c>
      <c r="AQA17" s="10">
        <f t="shared" si="524"/>
        <v>0</v>
      </c>
      <c r="AQB17" s="10">
        <f t="shared" si="524"/>
        <v>0</v>
      </c>
      <c r="AQC17" s="10">
        <f t="shared" si="524"/>
        <v>0</v>
      </c>
      <c r="AQD17" s="10">
        <f t="shared" si="524"/>
        <v>0</v>
      </c>
      <c r="AQE17" s="10">
        <f t="shared" si="524"/>
        <v>0</v>
      </c>
      <c r="AQF17" s="10">
        <f t="shared" si="524"/>
        <v>0</v>
      </c>
      <c r="AQG17" s="10">
        <f t="shared" si="524"/>
        <v>0</v>
      </c>
      <c r="AQH17" s="10">
        <f t="shared" si="524"/>
        <v>0</v>
      </c>
      <c r="AQI17" s="10">
        <f t="shared" si="524"/>
        <v>0</v>
      </c>
      <c r="AQJ17" s="10">
        <f t="shared" si="524"/>
        <v>0</v>
      </c>
      <c r="AQK17" s="10">
        <f t="shared" si="524"/>
        <v>0</v>
      </c>
      <c r="AQL17" s="10">
        <f t="shared" si="524"/>
        <v>0</v>
      </c>
    </row>
    <row r="18">
      <c r="IT18" s="195"/>
      <c r="AGW18" s="195"/>
      <c r="AGX18" s="195"/>
      <c r="AGY18" s="195"/>
      <c r="AGZ18" s="195"/>
    </row>
    <row r="19">
      <c r="IT19" s="195"/>
      <c r="AGW19" s="195"/>
      <c r="AGX19" s="195"/>
      <c r="AGY19" s="195"/>
      <c r="AGZ19" s="195"/>
    </row>
    <row r="20">
      <c r="A20" s="31"/>
      <c r="IT20" s="195"/>
      <c r="AGW20" s="195"/>
      <c r="AGX20" s="195"/>
      <c r="AGY20" s="195"/>
      <c r="AGZ20" s="195"/>
    </row>
    <row r="21">
      <c r="A21" s="31"/>
      <c r="IT21" s="195"/>
      <c r="AGW21" s="195"/>
      <c r="AGX21" s="195"/>
      <c r="AGY21" s="195"/>
      <c r="AGZ21" s="195"/>
    </row>
    <row r="22">
      <c r="IT22" s="195"/>
      <c r="AGW22" s="195"/>
      <c r="AGX22" s="195"/>
      <c r="AGY22" s="195"/>
      <c r="AGZ22" s="195"/>
    </row>
    <row r="23">
      <c r="IT23" s="195"/>
      <c r="AGW23" s="195"/>
      <c r="AGX23" s="195"/>
      <c r="AGY23" s="195"/>
      <c r="AGZ23" s="195"/>
    </row>
    <row r="24">
      <c r="IT24" s="195"/>
      <c r="AGW24" s="195"/>
      <c r="AGX24" s="195"/>
      <c r="AGY24" s="195"/>
      <c r="AGZ24" s="195"/>
    </row>
    <row r="25">
      <c r="IT25" s="195"/>
      <c r="AGW25" s="195"/>
      <c r="AGX25" s="195"/>
      <c r="AGY25" s="195"/>
      <c r="AGZ25" s="195"/>
    </row>
    <row r="26">
      <c r="IT26" s="195"/>
      <c r="AGW26" s="195"/>
      <c r="AGX26" s="195"/>
      <c r="AGY26" s="195"/>
      <c r="AGZ26" s="195"/>
    </row>
    <row r="27">
      <c r="IT27" s="195"/>
      <c r="AGW27" s="195"/>
      <c r="AGX27" s="195"/>
      <c r="AGY27" s="195"/>
      <c r="AGZ27" s="195"/>
    </row>
    <row r="28">
      <c r="IT28" s="195"/>
      <c r="AGW28" s="195"/>
      <c r="AGX28" s="195"/>
      <c r="AGY28" s="195"/>
      <c r="AGZ28" s="195"/>
    </row>
    <row r="29">
      <c r="IT29" s="195"/>
      <c r="AGW29" s="195"/>
      <c r="AGX29" s="195"/>
      <c r="AGY29" s="195"/>
      <c r="AGZ29" s="195"/>
    </row>
    <row r="30">
      <c r="IT30" s="195"/>
      <c r="AGW30" s="195"/>
      <c r="AGX30" s="195"/>
      <c r="AGY30" s="195"/>
      <c r="AGZ30" s="195"/>
    </row>
    <row r="31">
      <c r="IT31" s="195"/>
      <c r="AGW31" s="195"/>
      <c r="AGX31" s="195"/>
      <c r="AGY31" s="195"/>
      <c r="AGZ31" s="195"/>
    </row>
    <row r="32">
      <c r="IT32" s="195"/>
      <c r="AGW32" s="195"/>
      <c r="AGX32" s="195"/>
      <c r="AGY32" s="195"/>
      <c r="AGZ32" s="195"/>
    </row>
    <row r="33">
      <c r="IT33" s="195"/>
      <c r="AGW33" s="195"/>
      <c r="AGX33" s="195"/>
      <c r="AGY33" s="195"/>
      <c r="AGZ33" s="195"/>
    </row>
    <row r="34">
      <c r="IT34" s="195"/>
      <c r="AGW34" s="195"/>
      <c r="AGX34" s="195"/>
      <c r="AGY34" s="195"/>
      <c r="AGZ34" s="195"/>
    </row>
    <row r="35">
      <c r="IT35" s="195"/>
      <c r="AGW35" s="195"/>
      <c r="AGX35" s="195"/>
      <c r="AGY35" s="195"/>
      <c r="AGZ35" s="195"/>
    </row>
    <row r="36">
      <c r="IT36" s="195"/>
      <c r="AGW36" s="195"/>
      <c r="AGX36" s="195"/>
      <c r="AGY36" s="195"/>
      <c r="AGZ36" s="195"/>
    </row>
    <row r="37">
      <c r="IT37" s="195"/>
      <c r="AGW37" s="195"/>
      <c r="AGX37" s="195"/>
      <c r="AGY37" s="195"/>
      <c r="AGZ37" s="195"/>
    </row>
    <row r="38">
      <c r="IT38" s="195"/>
      <c r="AGW38" s="195"/>
      <c r="AGX38" s="195"/>
      <c r="AGY38" s="195"/>
      <c r="AGZ38" s="195"/>
    </row>
    <row r="39">
      <c r="IT39" s="195"/>
      <c r="AGW39" s="195"/>
      <c r="AGX39" s="195"/>
      <c r="AGY39" s="195"/>
      <c r="AGZ39" s="195"/>
    </row>
    <row r="40">
      <c r="IT40" s="195"/>
      <c r="AGW40" s="195"/>
      <c r="AGX40" s="195"/>
      <c r="AGY40" s="195"/>
      <c r="AGZ40" s="195"/>
    </row>
    <row r="41">
      <c r="IT41" s="195"/>
      <c r="AGW41" s="195"/>
      <c r="AGX41" s="195"/>
      <c r="AGY41" s="195"/>
      <c r="AGZ41" s="195"/>
    </row>
    <row r="42">
      <c r="IT42" s="195"/>
      <c r="AGW42" s="195"/>
      <c r="AGX42" s="195"/>
      <c r="AGY42" s="195"/>
      <c r="AGZ42" s="195"/>
    </row>
    <row r="43">
      <c r="IT43" s="195"/>
      <c r="AGW43" s="195"/>
      <c r="AGX43" s="195"/>
      <c r="AGY43" s="195"/>
      <c r="AGZ43" s="195"/>
    </row>
    <row r="44">
      <c r="IT44" s="195"/>
      <c r="AGW44" s="195"/>
      <c r="AGX44" s="195"/>
      <c r="AGY44" s="195"/>
      <c r="AGZ44" s="195"/>
    </row>
    <row r="45">
      <c r="IT45" s="195"/>
      <c r="AGW45" s="195"/>
      <c r="AGX45" s="195"/>
      <c r="AGY45" s="195"/>
      <c r="AGZ45" s="195"/>
    </row>
    <row r="46">
      <c r="IT46" s="195"/>
      <c r="AGW46" s="195"/>
      <c r="AGX46" s="195"/>
      <c r="AGY46" s="195"/>
      <c r="AGZ46" s="195"/>
    </row>
    <row r="47">
      <c r="IT47" s="195"/>
      <c r="AGW47" s="195"/>
      <c r="AGX47" s="195"/>
      <c r="AGY47" s="195"/>
      <c r="AGZ47" s="195"/>
    </row>
    <row r="48">
      <c r="IT48" s="195"/>
      <c r="AGW48" s="195"/>
      <c r="AGX48" s="195"/>
      <c r="AGY48" s="195"/>
      <c r="AGZ48" s="195"/>
    </row>
    <row r="49">
      <c r="IT49" s="195"/>
      <c r="AGW49" s="195"/>
      <c r="AGX49" s="195"/>
      <c r="AGY49" s="195"/>
      <c r="AGZ49" s="195"/>
    </row>
    <row r="50">
      <c r="IT50" s="195"/>
      <c r="AGW50" s="195"/>
      <c r="AGX50" s="195"/>
      <c r="AGY50" s="195"/>
      <c r="AGZ50" s="195"/>
    </row>
    <row r="51">
      <c r="IT51" s="195"/>
      <c r="AGW51" s="195"/>
      <c r="AGX51" s="195"/>
      <c r="AGY51" s="195"/>
      <c r="AGZ51" s="195"/>
    </row>
    <row r="52">
      <c r="IT52" s="195"/>
      <c r="AGW52" s="195"/>
      <c r="AGX52" s="195"/>
      <c r="AGY52" s="195"/>
      <c r="AGZ52" s="195"/>
    </row>
    <row r="53">
      <c r="IT53" s="195"/>
      <c r="AGW53" s="195"/>
      <c r="AGX53" s="195"/>
      <c r="AGY53" s="195"/>
      <c r="AGZ53" s="195"/>
    </row>
    <row r="54">
      <c r="IT54" s="195"/>
      <c r="AGW54" s="195"/>
      <c r="AGX54" s="195"/>
      <c r="AGY54" s="195"/>
      <c r="AGZ54" s="195"/>
    </row>
    <row r="55">
      <c r="IT55" s="195"/>
      <c r="AGW55" s="195"/>
      <c r="AGX55" s="195"/>
      <c r="AGY55" s="195"/>
      <c r="AGZ55" s="195"/>
    </row>
    <row r="56">
      <c r="IT56" s="195"/>
      <c r="AGW56" s="195"/>
      <c r="AGX56" s="195"/>
      <c r="AGY56" s="195"/>
      <c r="AGZ56" s="195"/>
    </row>
    <row r="57">
      <c r="IT57" s="195"/>
      <c r="AGW57" s="195"/>
      <c r="AGX57" s="195"/>
      <c r="AGY57" s="195"/>
      <c r="AGZ57" s="195"/>
    </row>
    <row r="58">
      <c r="IT58" s="195"/>
      <c r="AGW58" s="195"/>
      <c r="AGX58" s="195"/>
      <c r="AGY58" s="195"/>
      <c r="AGZ58" s="195"/>
    </row>
    <row r="59">
      <c r="IT59" s="195"/>
      <c r="AGW59" s="195"/>
      <c r="AGX59" s="195"/>
      <c r="AGY59" s="195"/>
      <c r="AGZ59" s="195"/>
    </row>
    <row r="60">
      <c r="IT60" s="195"/>
      <c r="AGW60" s="195"/>
      <c r="AGX60" s="195"/>
      <c r="AGY60" s="195"/>
      <c r="AGZ60" s="195"/>
    </row>
    <row r="61">
      <c r="IT61" s="195"/>
      <c r="AGW61" s="195"/>
      <c r="AGX61" s="195"/>
      <c r="AGY61" s="195"/>
      <c r="AGZ61" s="195"/>
    </row>
    <row r="62">
      <c r="IT62" s="195"/>
      <c r="AGW62" s="195"/>
      <c r="AGX62" s="195"/>
      <c r="AGY62" s="195"/>
      <c r="AGZ62" s="195"/>
    </row>
    <row r="63">
      <c r="IT63" s="195"/>
      <c r="AGW63" s="195"/>
      <c r="AGX63" s="195"/>
      <c r="AGY63" s="195"/>
      <c r="AGZ63" s="195"/>
    </row>
    <row r="64">
      <c r="IT64" s="195"/>
      <c r="AGW64" s="195"/>
      <c r="AGX64" s="195"/>
      <c r="AGY64" s="195"/>
      <c r="AGZ64" s="195"/>
    </row>
    <row r="65">
      <c r="IT65" s="195"/>
      <c r="AGW65" s="195"/>
      <c r="AGX65" s="195"/>
      <c r="AGY65" s="195"/>
      <c r="AGZ65" s="195"/>
    </row>
    <row r="66">
      <c r="IT66" s="195"/>
      <c r="AGW66" s="195"/>
      <c r="AGX66" s="195"/>
      <c r="AGY66" s="195"/>
      <c r="AGZ66" s="195"/>
    </row>
    <row r="67">
      <c r="IT67" s="195"/>
      <c r="AGW67" s="195"/>
      <c r="AGX67" s="195"/>
      <c r="AGY67" s="195"/>
      <c r="AGZ67" s="195"/>
    </row>
    <row r="68">
      <c r="IT68" s="195"/>
      <c r="AGW68" s="195"/>
      <c r="AGX68" s="195"/>
      <c r="AGY68" s="195"/>
      <c r="AGZ68" s="195"/>
    </row>
    <row r="69">
      <c r="IT69" s="195"/>
      <c r="AGW69" s="195"/>
      <c r="AGX69" s="195"/>
      <c r="AGY69" s="195"/>
      <c r="AGZ69" s="195"/>
    </row>
    <row r="70">
      <c r="IT70" s="195"/>
      <c r="AGW70" s="195"/>
      <c r="AGX70" s="195"/>
      <c r="AGY70" s="195"/>
      <c r="AGZ70" s="195"/>
    </row>
    <row r="71">
      <c r="IT71" s="195"/>
      <c r="AGW71" s="195"/>
      <c r="AGX71" s="195"/>
      <c r="AGY71" s="195"/>
      <c r="AGZ71" s="195"/>
    </row>
    <row r="72">
      <c r="IT72" s="195"/>
      <c r="AGW72" s="195"/>
      <c r="AGX72" s="195"/>
      <c r="AGY72" s="195"/>
      <c r="AGZ72" s="195"/>
    </row>
    <row r="73">
      <c r="IT73" s="195"/>
      <c r="AGW73" s="195"/>
      <c r="AGX73" s="195"/>
      <c r="AGY73" s="195"/>
      <c r="AGZ73" s="195"/>
    </row>
    <row r="74">
      <c r="IT74" s="195"/>
      <c r="AGW74" s="195"/>
      <c r="AGX74" s="195"/>
      <c r="AGY74" s="195"/>
      <c r="AGZ74" s="195"/>
    </row>
    <row r="75">
      <c r="IT75" s="195"/>
      <c r="AGW75" s="195"/>
      <c r="AGX75" s="195"/>
      <c r="AGY75" s="195"/>
      <c r="AGZ75" s="195"/>
    </row>
    <row r="76">
      <c r="IT76" s="195"/>
      <c r="AGW76" s="195"/>
      <c r="AGX76" s="195"/>
      <c r="AGY76" s="195"/>
      <c r="AGZ76" s="195"/>
    </row>
    <row r="77">
      <c r="IT77" s="195"/>
      <c r="AGW77" s="195"/>
      <c r="AGX77" s="195"/>
      <c r="AGY77" s="195"/>
      <c r="AGZ77" s="195"/>
    </row>
    <row r="78">
      <c r="IT78" s="195"/>
      <c r="AGW78" s="195"/>
      <c r="AGX78" s="195"/>
      <c r="AGY78" s="195"/>
      <c r="AGZ78" s="195"/>
    </row>
    <row r="79">
      <c r="IT79" s="195"/>
      <c r="AGW79" s="195"/>
      <c r="AGX79" s="195"/>
      <c r="AGY79" s="195"/>
      <c r="AGZ79" s="195"/>
    </row>
    <row r="80">
      <c r="IT80" s="195"/>
      <c r="AGW80" s="195"/>
      <c r="AGX80" s="195"/>
      <c r="AGY80" s="195"/>
      <c r="AGZ80" s="195"/>
    </row>
    <row r="81">
      <c r="IT81" s="195"/>
      <c r="AGW81" s="195"/>
      <c r="AGX81" s="195"/>
      <c r="AGY81" s="195"/>
      <c r="AGZ81" s="195"/>
    </row>
    <row r="82">
      <c r="IT82" s="195"/>
      <c r="AGW82" s="195"/>
      <c r="AGX82" s="195"/>
      <c r="AGY82" s="195"/>
      <c r="AGZ82" s="195"/>
    </row>
    <row r="83">
      <c r="IT83" s="195"/>
      <c r="AGW83" s="195"/>
      <c r="AGX83" s="195"/>
      <c r="AGY83" s="195"/>
      <c r="AGZ83" s="195"/>
    </row>
    <row r="84">
      <c r="IT84" s="195"/>
      <c r="AGW84" s="195"/>
      <c r="AGX84" s="195"/>
      <c r="AGY84" s="195"/>
      <c r="AGZ84" s="195"/>
    </row>
    <row r="85">
      <c r="IT85" s="195"/>
      <c r="AGW85" s="195"/>
      <c r="AGX85" s="195"/>
      <c r="AGY85" s="195"/>
      <c r="AGZ85" s="195"/>
    </row>
    <row r="86">
      <c r="IT86" s="195"/>
      <c r="AGW86" s="195"/>
      <c r="AGX86" s="195"/>
      <c r="AGY86" s="195"/>
      <c r="AGZ86" s="195"/>
    </row>
    <row r="87">
      <c r="IT87" s="195"/>
      <c r="AGW87" s="195"/>
      <c r="AGX87" s="195"/>
      <c r="AGY87" s="195"/>
      <c r="AGZ87" s="195"/>
    </row>
    <row r="88">
      <c r="IT88" s="195"/>
      <c r="AGW88" s="195"/>
      <c r="AGX88" s="195"/>
      <c r="AGY88" s="195"/>
      <c r="AGZ88" s="195"/>
    </row>
    <row r="89">
      <c r="IT89" s="195"/>
      <c r="AGW89" s="195"/>
      <c r="AGX89" s="195"/>
      <c r="AGY89" s="195"/>
      <c r="AGZ89" s="195"/>
    </row>
    <row r="90">
      <c r="IT90" s="195"/>
      <c r="AGW90" s="195"/>
      <c r="AGX90" s="195"/>
      <c r="AGY90" s="195"/>
      <c r="AGZ90" s="195"/>
    </row>
    <row r="91">
      <c r="IT91" s="195"/>
      <c r="AGW91" s="195"/>
      <c r="AGX91" s="195"/>
      <c r="AGY91" s="195"/>
      <c r="AGZ91" s="195"/>
    </row>
    <row r="92">
      <c r="IT92" s="195"/>
      <c r="AGW92" s="195"/>
      <c r="AGX92" s="195"/>
      <c r="AGY92" s="195"/>
      <c r="AGZ92" s="195"/>
    </row>
    <row r="93">
      <c r="IT93" s="195"/>
      <c r="AGW93" s="195"/>
      <c r="AGX93" s="195"/>
      <c r="AGY93" s="195"/>
      <c r="AGZ93" s="195"/>
    </row>
    <row r="94">
      <c r="IT94" s="195"/>
      <c r="AGW94" s="195"/>
      <c r="AGX94" s="195"/>
      <c r="AGY94" s="195"/>
      <c r="AGZ94" s="195"/>
    </row>
    <row r="95">
      <c r="IT95" s="195"/>
      <c r="AGW95" s="195"/>
      <c r="AGX95" s="195"/>
      <c r="AGY95" s="195"/>
      <c r="AGZ95" s="195"/>
    </row>
    <row r="96">
      <c r="IT96" s="195"/>
      <c r="AGW96" s="195"/>
      <c r="AGX96" s="195"/>
      <c r="AGY96" s="195"/>
      <c r="AGZ96" s="195"/>
    </row>
    <row r="97">
      <c r="IT97" s="195"/>
      <c r="AGW97" s="195"/>
      <c r="AGX97" s="195"/>
      <c r="AGY97" s="195"/>
      <c r="AGZ97" s="195"/>
    </row>
    <row r="98">
      <c r="IT98" s="195"/>
      <c r="AGW98" s="195"/>
      <c r="AGX98" s="195"/>
      <c r="AGY98" s="195"/>
      <c r="AGZ98" s="195"/>
    </row>
    <row r="99">
      <c r="IT99" s="195"/>
      <c r="AGW99" s="195"/>
      <c r="AGX99" s="195"/>
      <c r="AGY99" s="195"/>
      <c r="AGZ99" s="195"/>
    </row>
    <row r="100">
      <c r="IT100" s="195"/>
      <c r="AGW100" s="195"/>
      <c r="AGX100" s="195"/>
      <c r="AGY100" s="195"/>
      <c r="AGZ100" s="195"/>
    </row>
    <row r="101">
      <c r="IT101" s="195"/>
      <c r="AGW101" s="195"/>
      <c r="AGX101" s="195"/>
      <c r="AGY101" s="195"/>
      <c r="AGZ101" s="195"/>
    </row>
    <row r="102">
      <c r="IT102" s="195"/>
      <c r="AGW102" s="195"/>
      <c r="AGX102" s="195"/>
      <c r="AGY102" s="195"/>
      <c r="AGZ102" s="195"/>
    </row>
    <row r="103">
      <c r="IT103" s="195"/>
      <c r="AGW103" s="195"/>
      <c r="AGX103" s="195"/>
      <c r="AGY103" s="195"/>
      <c r="AGZ103" s="195"/>
    </row>
    <row r="104">
      <c r="IT104" s="195"/>
      <c r="AGW104" s="195"/>
      <c r="AGX104" s="195"/>
      <c r="AGY104" s="195"/>
      <c r="AGZ104" s="195"/>
    </row>
    <row r="105">
      <c r="IT105" s="195"/>
      <c r="AGW105" s="195"/>
      <c r="AGX105" s="195"/>
      <c r="AGY105" s="195"/>
      <c r="AGZ105" s="195"/>
    </row>
    <row r="106">
      <c r="IT106" s="195"/>
      <c r="AGW106" s="195"/>
      <c r="AGX106" s="195"/>
      <c r="AGY106" s="195"/>
      <c r="AGZ106" s="195"/>
    </row>
    <row r="107">
      <c r="IT107" s="195"/>
      <c r="AGW107" s="195"/>
      <c r="AGX107" s="195"/>
      <c r="AGY107" s="195"/>
      <c r="AGZ107" s="195"/>
    </row>
    <row r="108">
      <c r="IT108" s="195"/>
      <c r="AGW108" s="195"/>
      <c r="AGX108" s="195"/>
      <c r="AGY108" s="195"/>
      <c r="AGZ108" s="195"/>
    </row>
    <row r="109">
      <c r="IT109" s="195"/>
      <c r="AGW109" s="195"/>
      <c r="AGX109" s="195"/>
      <c r="AGY109" s="195"/>
      <c r="AGZ109" s="195"/>
    </row>
    <row r="110">
      <c r="IT110" s="195"/>
      <c r="AGW110" s="195"/>
      <c r="AGX110" s="195"/>
      <c r="AGY110" s="195"/>
      <c r="AGZ110" s="195"/>
    </row>
    <row r="111">
      <c r="IT111" s="195"/>
      <c r="AGW111" s="195"/>
      <c r="AGX111" s="195"/>
      <c r="AGY111" s="195"/>
      <c r="AGZ111" s="195"/>
    </row>
    <row r="112">
      <c r="IT112" s="195"/>
      <c r="AGW112" s="195"/>
      <c r="AGX112" s="195"/>
      <c r="AGY112" s="195"/>
      <c r="AGZ112" s="195"/>
    </row>
    <row r="113">
      <c r="IT113" s="195"/>
      <c r="AGW113" s="195"/>
      <c r="AGX113" s="195"/>
      <c r="AGY113" s="195"/>
      <c r="AGZ113" s="195"/>
    </row>
    <row r="114">
      <c r="IT114" s="195"/>
      <c r="AGW114" s="195"/>
      <c r="AGX114" s="195"/>
      <c r="AGY114" s="195"/>
      <c r="AGZ114" s="195"/>
    </row>
    <row r="115">
      <c r="IT115" s="195"/>
      <c r="AGW115" s="195"/>
      <c r="AGX115" s="195"/>
      <c r="AGY115" s="195"/>
      <c r="AGZ115" s="195"/>
    </row>
    <row r="116">
      <c r="IT116" s="195"/>
      <c r="AGW116" s="195"/>
      <c r="AGX116" s="195"/>
      <c r="AGY116" s="195"/>
      <c r="AGZ116" s="195"/>
    </row>
    <row r="117">
      <c r="IT117" s="195"/>
      <c r="AGW117" s="195"/>
      <c r="AGX117" s="195"/>
      <c r="AGY117" s="195"/>
      <c r="AGZ117" s="195"/>
    </row>
    <row r="118">
      <c r="IT118" s="195"/>
      <c r="AGW118" s="195"/>
      <c r="AGX118" s="195"/>
      <c r="AGY118" s="195"/>
      <c r="AGZ118" s="195"/>
    </row>
    <row r="119">
      <c r="IT119" s="195"/>
      <c r="AGW119" s="195"/>
      <c r="AGX119" s="195"/>
      <c r="AGY119" s="195"/>
      <c r="AGZ119" s="195"/>
    </row>
    <row r="120">
      <c r="IT120" s="195"/>
      <c r="AGW120" s="195"/>
      <c r="AGX120" s="195"/>
      <c r="AGY120" s="195"/>
      <c r="AGZ120" s="195"/>
    </row>
    <row r="121">
      <c r="IT121" s="195"/>
      <c r="AGW121" s="195"/>
      <c r="AGX121" s="195"/>
      <c r="AGY121" s="195"/>
      <c r="AGZ121" s="195"/>
    </row>
    <row r="122">
      <c r="IT122" s="195"/>
      <c r="AGW122" s="195"/>
      <c r="AGX122" s="195"/>
      <c r="AGY122" s="195"/>
      <c r="AGZ122" s="195"/>
    </row>
    <row r="123">
      <c r="IT123" s="195"/>
      <c r="AGW123" s="195"/>
      <c r="AGX123" s="195"/>
      <c r="AGY123" s="195"/>
      <c r="AGZ123" s="195"/>
    </row>
    <row r="124">
      <c r="IT124" s="195"/>
      <c r="AGW124" s="195"/>
      <c r="AGX124" s="195"/>
      <c r="AGY124" s="195"/>
      <c r="AGZ124" s="195"/>
    </row>
    <row r="125">
      <c r="IT125" s="195"/>
      <c r="AGW125" s="195"/>
      <c r="AGX125" s="195"/>
      <c r="AGY125" s="195"/>
      <c r="AGZ125" s="195"/>
    </row>
    <row r="126">
      <c r="IT126" s="195"/>
      <c r="AGW126" s="195"/>
      <c r="AGX126" s="195"/>
      <c r="AGY126" s="195"/>
      <c r="AGZ126" s="195"/>
    </row>
    <row r="127">
      <c r="IT127" s="195"/>
      <c r="AGW127" s="195"/>
      <c r="AGX127" s="195"/>
      <c r="AGY127" s="195"/>
      <c r="AGZ127" s="195"/>
    </row>
    <row r="128">
      <c r="IT128" s="195"/>
      <c r="AGW128" s="195"/>
      <c r="AGX128" s="195"/>
      <c r="AGY128" s="195"/>
      <c r="AGZ128" s="195"/>
    </row>
    <row r="129">
      <c r="IT129" s="195"/>
      <c r="AGW129" s="195"/>
      <c r="AGX129" s="195"/>
      <c r="AGY129" s="195"/>
      <c r="AGZ129" s="195"/>
    </row>
    <row r="130">
      <c r="IT130" s="195"/>
      <c r="AGW130" s="195"/>
      <c r="AGX130" s="195"/>
      <c r="AGY130" s="195"/>
      <c r="AGZ130" s="195"/>
    </row>
    <row r="131">
      <c r="IT131" s="195"/>
      <c r="AGW131" s="195"/>
      <c r="AGX131" s="195"/>
      <c r="AGY131" s="195"/>
      <c r="AGZ131" s="195"/>
    </row>
    <row r="132">
      <c r="IT132" s="195"/>
      <c r="AGW132" s="195"/>
      <c r="AGX132" s="195"/>
      <c r="AGY132" s="195"/>
      <c r="AGZ132" s="195"/>
    </row>
    <row r="133">
      <c r="IT133" s="195"/>
      <c r="AGW133" s="195"/>
      <c r="AGX133" s="195"/>
      <c r="AGY133" s="195"/>
      <c r="AGZ133" s="195"/>
    </row>
    <row r="134">
      <c r="IT134" s="195"/>
      <c r="AGW134" s="195"/>
      <c r="AGX134" s="195"/>
      <c r="AGY134" s="195"/>
      <c r="AGZ134" s="195"/>
    </row>
    <row r="135">
      <c r="IT135" s="195"/>
      <c r="AGW135" s="195"/>
      <c r="AGX135" s="195"/>
      <c r="AGY135" s="195"/>
      <c r="AGZ135" s="195"/>
    </row>
    <row r="136">
      <c r="IT136" s="195"/>
      <c r="AGW136" s="195"/>
      <c r="AGX136" s="195"/>
      <c r="AGY136" s="195"/>
      <c r="AGZ136" s="195"/>
    </row>
    <row r="137">
      <c r="IT137" s="195"/>
      <c r="AGW137" s="195"/>
      <c r="AGX137" s="195"/>
      <c r="AGY137" s="195"/>
      <c r="AGZ137" s="195"/>
    </row>
    <row r="138">
      <c r="IT138" s="195"/>
      <c r="AGW138" s="195"/>
      <c r="AGX138" s="195"/>
      <c r="AGY138" s="195"/>
      <c r="AGZ138" s="195"/>
    </row>
    <row r="139">
      <c r="IT139" s="195"/>
      <c r="AGW139" s="195"/>
      <c r="AGX139" s="195"/>
      <c r="AGY139" s="195"/>
      <c r="AGZ139" s="195"/>
    </row>
    <row r="140">
      <c r="IT140" s="195"/>
      <c r="AGW140" s="195"/>
      <c r="AGX140" s="195"/>
      <c r="AGY140" s="195"/>
      <c r="AGZ140" s="195"/>
    </row>
    <row r="141">
      <c r="IT141" s="195"/>
      <c r="AGW141" s="195"/>
      <c r="AGX141" s="195"/>
      <c r="AGY141" s="195"/>
      <c r="AGZ141" s="195"/>
    </row>
    <row r="142">
      <c r="IT142" s="195"/>
      <c r="AGW142" s="195"/>
      <c r="AGX142" s="195"/>
      <c r="AGY142" s="195"/>
      <c r="AGZ142" s="195"/>
    </row>
    <row r="143">
      <c r="IT143" s="195"/>
      <c r="AGW143" s="195"/>
      <c r="AGX143" s="195"/>
      <c r="AGY143" s="195"/>
      <c r="AGZ143" s="195"/>
    </row>
    <row r="144">
      <c r="IT144" s="195"/>
      <c r="AGW144" s="195"/>
      <c r="AGX144" s="195"/>
      <c r="AGY144" s="195"/>
      <c r="AGZ144" s="195"/>
    </row>
    <row r="145">
      <c r="IT145" s="195"/>
      <c r="AGW145" s="195"/>
      <c r="AGX145" s="195"/>
      <c r="AGY145" s="195"/>
      <c r="AGZ145" s="195"/>
    </row>
    <row r="146">
      <c r="IT146" s="195"/>
      <c r="AGW146" s="195"/>
      <c r="AGX146" s="195"/>
      <c r="AGY146" s="195"/>
      <c r="AGZ146" s="195"/>
    </row>
    <row r="147">
      <c r="IT147" s="195"/>
      <c r="AGW147" s="195"/>
      <c r="AGX147" s="195"/>
      <c r="AGY147" s="195"/>
      <c r="AGZ147" s="195"/>
    </row>
    <row r="148">
      <c r="IT148" s="195"/>
      <c r="AGW148" s="195"/>
      <c r="AGX148" s="195"/>
      <c r="AGY148" s="195"/>
      <c r="AGZ148" s="195"/>
    </row>
    <row r="149">
      <c r="IT149" s="195"/>
      <c r="AGW149" s="195"/>
      <c r="AGX149" s="195"/>
      <c r="AGY149" s="195"/>
      <c r="AGZ149" s="195"/>
    </row>
    <row r="150">
      <c r="IT150" s="195"/>
      <c r="AGW150" s="195"/>
      <c r="AGX150" s="195"/>
      <c r="AGY150" s="195"/>
      <c r="AGZ150" s="195"/>
    </row>
    <row r="151">
      <c r="IT151" s="195"/>
      <c r="AGW151" s="195"/>
      <c r="AGX151" s="195"/>
      <c r="AGY151" s="195"/>
      <c r="AGZ151" s="195"/>
    </row>
    <row r="152">
      <c r="IT152" s="195"/>
      <c r="AGW152" s="195"/>
      <c r="AGX152" s="195"/>
      <c r="AGY152" s="195"/>
      <c r="AGZ152" s="195"/>
    </row>
    <row r="153">
      <c r="IT153" s="195"/>
      <c r="AGW153" s="195"/>
      <c r="AGX153" s="195"/>
      <c r="AGY153" s="195"/>
      <c r="AGZ153" s="195"/>
    </row>
    <row r="154">
      <c r="IT154" s="195"/>
      <c r="AGW154" s="195"/>
      <c r="AGX154" s="195"/>
      <c r="AGY154" s="195"/>
      <c r="AGZ154" s="195"/>
    </row>
    <row r="155">
      <c r="IT155" s="195"/>
      <c r="AGW155" s="195"/>
      <c r="AGX155" s="195"/>
      <c r="AGY155" s="195"/>
      <c r="AGZ155" s="195"/>
    </row>
    <row r="156">
      <c r="IT156" s="195"/>
      <c r="AGW156" s="195"/>
      <c r="AGX156" s="195"/>
      <c r="AGY156" s="195"/>
      <c r="AGZ156" s="195"/>
    </row>
    <row r="157">
      <c r="IT157" s="195"/>
      <c r="AGW157" s="195"/>
      <c r="AGX157" s="195"/>
      <c r="AGY157" s="195"/>
      <c r="AGZ157" s="195"/>
    </row>
    <row r="158">
      <c r="IT158" s="195"/>
      <c r="AGW158" s="195"/>
      <c r="AGX158" s="195"/>
      <c r="AGY158" s="195"/>
      <c r="AGZ158" s="195"/>
    </row>
    <row r="159">
      <c r="IT159" s="195"/>
      <c r="AGW159" s="195"/>
      <c r="AGX159" s="195"/>
      <c r="AGY159" s="195"/>
      <c r="AGZ159" s="195"/>
    </row>
    <row r="160">
      <c r="IT160" s="195"/>
      <c r="AGW160" s="195"/>
      <c r="AGX160" s="195"/>
      <c r="AGY160" s="195"/>
      <c r="AGZ160" s="195"/>
    </row>
    <row r="161">
      <c r="IT161" s="195"/>
      <c r="AGW161" s="195"/>
      <c r="AGX161" s="195"/>
      <c r="AGY161" s="195"/>
      <c r="AGZ161" s="195"/>
    </row>
    <row r="162">
      <c r="IT162" s="195"/>
      <c r="AGW162" s="195"/>
      <c r="AGX162" s="195"/>
      <c r="AGY162" s="195"/>
      <c r="AGZ162" s="195"/>
    </row>
    <row r="163">
      <c r="IT163" s="195"/>
      <c r="AGW163" s="195"/>
      <c r="AGX163" s="195"/>
      <c r="AGY163" s="195"/>
      <c r="AGZ163" s="195"/>
    </row>
    <row r="164">
      <c r="IT164" s="195"/>
      <c r="AGW164" s="195"/>
      <c r="AGX164" s="195"/>
      <c r="AGY164" s="195"/>
      <c r="AGZ164" s="195"/>
    </row>
    <row r="165">
      <c r="IT165" s="195"/>
      <c r="AGW165" s="195"/>
      <c r="AGX165" s="195"/>
      <c r="AGY165" s="195"/>
      <c r="AGZ165" s="195"/>
    </row>
    <row r="166">
      <c r="IT166" s="195"/>
      <c r="AGW166" s="195"/>
      <c r="AGX166" s="195"/>
      <c r="AGY166" s="195"/>
      <c r="AGZ166" s="195"/>
    </row>
    <row r="167">
      <c r="IT167" s="195"/>
      <c r="AGW167" s="195"/>
      <c r="AGX167" s="195"/>
      <c r="AGY167" s="195"/>
      <c r="AGZ167" s="195"/>
    </row>
    <row r="168">
      <c r="IT168" s="195"/>
      <c r="AGW168" s="195"/>
      <c r="AGX168" s="195"/>
      <c r="AGY168" s="195"/>
      <c r="AGZ168" s="195"/>
    </row>
    <row r="169">
      <c r="IT169" s="195"/>
      <c r="AGW169" s="195"/>
      <c r="AGX169" s="195"/>
      <c r="AGY169" s="195"/>
      <c r="AGZ169" s="195"/>
    </row>
    <row r="170">
      <c r="IT170" s="195"/>
      <c r="AGW170" s="195"/>
      <c r="AGX170" s="195"/>
      <c r="AGY170" s="195"/>
      <c r="AGZ170" s="195"/>
    </row>
    <row r="171">
      <c r="IT171" s="195"/>
      <c r="AGW171" s="195"/>
      <c r="AGX171" s="195"/>
      <c r="AGY171" s="195"/>
      <c r="AGZ171" s="195"/>
    </row>
    <row r="172">
      <c r="IT172" s="195"/>
      <c r="AGW172" s="195"/>
      <c r="AGX172" s="195"/>
      <c r="AGY172" s="195"/>
      <c r="AGZ172" s="195"/>
    </row>
    <row r="173">
      <c r="IT173" s="195"/>
      <c r="AGW173" s="195"/>
      <c r="AGX173" s="195"/>
      <c r="AGY173" s="195"/>
      <c r="AGZ173" s="195"/>
    </row>
    <row r="174">
      <c r="IT174" s="195"/>
      <c r="AGW174" s="195"/>
      <c r="AGX174" s="195"/>
      <c r="AGY174" s="195"/>
      <c r="AGZ174" s="195"/>
    </row>
    <row r="175">
      <c r="IT175" s="195"/>
      <c r="AGW175" s="195"/>
      <c r="AGX175" s="195"/>
      <c r="AGY175" s="195"/>
      <c r="AGZ175" s="195"/>
    </row>
    <row r="176">
      <c r="IT176" s="195"/>
      <c r="AGW176" s="195"/>
      <c r="AGX176" s="195"/>
      <c r="AGY176" s="195"/>
      <c r="AGZ176" s="195"/>
    </row>
    <row r="177">
      <c r="IT177" s="195"/>
      <c r="AGW177" s="195"/>
      <c r="AGX177" s="195"/>
      <c r="AGY177" s="195"/>
      <c r="AGZ177" s="195"/>
    </row>
    <row r="178">
      <c r="IT178" s="195"/>
      <c r="AGW178" s="195"/>
      <c r="AGX178" s="195"/>
      <c r="AGY178" s="195"/>
      <c r="AGZ178" s="195"/>
    </row>
    <row r="179">
      <c r="IT179" s="195"/>
      <c r="AGW179" s="195"/>
      <c r="AGX179" s="195"/>
      <c r="AGY179" s="195"/>
      <c r="AGZ179" s="195"/>
    </row>
    <row r="180">
      <c r="IT180" s="195"/>
      <c r="AGW180" s="195"/>
      <c r="AGX180" s="195"/>
      <c r="AGY180" s="195"/>
      <c r="AGZ180" s="195"/>
    </row>
    <row r="181">
      <c r="IT181" s="195"/>
      <c r="AGW181" s="195"/>
      <c r="AGX181" s="195"/>
      <c r="AGY181" s="195"/>
      <c r="AGZ181" s="195"/>
    </row>
    <row r="182">
      <c r="IT182" s="195"/>
      <c r="AGW182" s="195"/>
      <c r="AGX182" s="195"/>
      <c r="AGY182" s="195"/>
      <c r="AGZ182" s="195"/>
    </row>
    <row r="183">
      <c r="IT183" s="195"/>
      <c r="AGW183" s="195"/>
      <c r="AGX183" s="195"/>
      <c r="AGY183" s="195"/>
      <c r="AGZ183" s="195"/>
    </row>
    <row r="184">
      <c r="IT184" s="195"/>
      <c r="AGW184" s="195"/>
      <c r="AGX184" s="195"/>
      <c r="AGY184" s="195"/>
      <c r="AGZ184" s="195"/>
    </row>
    <row r="185">
      <c r="IT185" s="195"/>
      <c r="AGW185" s="195"/>
      <c r="AGX185" s="195"/>
      <c r="AGY185" s="195"/>
      <c r="AGZ185" s="195"/>
    </row>
    <row r="186">
      <c r="IT186" s="195"/>
      <c r="AGW186" s="195"/>
      <c r="AGX186" s="195"/>
      <c r="AGY186" s="195"/>
      <c r="AGZ186" s="195"/>
    </row>
    <row r="187">
      <c r="IT187" s="195"/>
      <c r="AGW187" s="195"/>
      <c r="AGX187" s="195"/>
      <c r="AGY187" s="195"/>
      <c r="AGZ187" s="195"/>
    </row>
    <row r="188">
      <c r="IT188" s="195"/>
      <c r="AGW188" s="195"/>
      <c r="AGX188" s="195"/>
      <c r="AGY188" s="195"/>
      <c r="AGZ188" s="195"/>
    </row>
    <row r="189">
      <c r="IT189" s="195"/>
      <c r="AGW189" s="195"/>
      <c r="AGX189" s="195"/>
      <c r="AGY189" s="195"/>
      <c r="AGZ189" s="195"/>
    </row>
    <row r="190">
      <c r="IT190" s="195"/>
      <c r="AGW190" s="195"/>
      <c r="AGX190" s="195"/>
      <c r="AGY190" s="195"/>
      <c r="AGZ190" s="195"/>
    </row>
    <row r="191">
      <c r="IT191" s="195"/>
      <c r="AGW191" s="195"/>
      <c r="AGX191" s="195"/>
      <c r="AGY191" s="195"/>
      <c r="AGZ191" s="195"/>
    </row>
    <row r="192">
      <c r="IT192" s="195"/>
      <c r="AGW192" s="195"/>
      <c r="AGX192" s="195"/>
      <c r="AGY192" s="195"/>
      <c r="AGZ192" s="195"/>
    </row>
    <row r="193">
      <c r="IT193" s="195"/>
      <c r="AGW193" s="195"/>
      <c r="AGX193" s="195"/>
      <c r="AGY193" s="195"/>
      <c r="AGZ193" s="195"/>
    </row>
    <row r="194">
      <c r="IT194" s="195"/>
      <c r="AGW194" s="195"/>
      <c r="AGX194" s="195"/>
      <c r="AGY194" s="195"/>
      <c r="AGZ194" s="195"/>
    </row>
    <row r="195">
      <c r="IT195" s="195"/>
      <c r="AGW195" s="195"/>
      <c r="AGX195" s="195"/>
      <c r="AGY195" s="195"/>
      <c r="AGZ195" s="195"/>
    </row>
    <row r="196">
      <c r="IT196" s="195"/>
      <c r="AGW196" s="195"/>
      <c r="AGX196" s="195"/>
      <c r="AGY196" s="195"/>
      <c r="AGZ196" s="195"/>
    </row>
    <row r="197">
      <c r="IT197" s="195"/>
      <c r="AGW197" s="195"/>
      <c r="AGX197" s="195"/>
      <c r="AGY197" s="195"/>
      <c r="AGZ197" s="195"/>
    </row>
    <row r="198">
      <c r="IT198" s="195"/>
      <c r="AGW198" s="195"/>
      <c r="AGX198" s="195"/>
      <c r="AGY198" s="195"/>
      <c r="AGZ198" s="195"/>
    </row>
    <row r="199">
      <c r="IT199" s="195"/>
      <c r="AGW199" s="195"/>
      <c r="AGX199" s="195"/>
      <c r="AGY199" s="195"/>
      <c r="AGZ199" s="195"/>
    </row>
    <row r="200">
      <c r="IT200" s="195"/>
      <c r="AGW200" s="195"/>
      <c r="AGX200" s="195"/>
      <c r="AGY200" s="195"/>
      <c r="AGZ200" s="195"/>
    </row>
    <row r="201">
      <c r="IT201" s="195"/>
      <c r="AGW201" s="195"/>
      <c r="AGX201" s="195"/>
      <c r="AGY201" s="195"/>
      <c r="AGZ201" s="195"/>
    </row>
    <row r="202">
      <c r="IT202" s="195"/>
      <c r="AGW202" s="195"/>
      <c r="AGX202" s="195"/>
      <c r="AGY202" s="195"/>
      <c r="AGZ202" s="195"/>
    </row>
    <row r="203">
      <c r="IT203" s="195"/>
      <c r="AGW203" s="195"/>
      <c r="AGX203" s="195"/>
      <c r="AGY203" s="195"/>
      <c r="AGZ203" s="195"/>
    </row>
    <row r="204">
      <c r="IT204" s="195"/>
      <c r="AGW204" s="195"/>
      <c r="AGX204" s="195"/>
      <c r="AGY204" s="195"/>
      <c r="AGZ204" s="195"/>
    </row>
    <row r="205">
      <c r="IT205" s="195"/>
      <c r="AGW205" s="195"/>
      <c r="AGX205" s="195"/>
      <c r="AGY205" s="195"/>
      <c r="AGZ205" s="195"/>
    </row>
    <row r="206">
      <c r="IT206" s="195"/>
      <c r="AGW206" s="195"/>
      <c r="AGX206" s="195"/>
      <c r="AGY206" s="195"/>
      <c r="AGZ206" s="195"/>
    </row>
    <row r="207">
      <c r="IT207" s="195"/>
      <c r="AGW207" s="195"/>
      <c r="AGX207" s="195"/>
      <c r="AGY207" s="195"/>
      <c r="AGZ207" s="195"/>
    </row>
    <row r="208">
      <c r="IT208" s="195"/>
      <c r="AGW208" s="195"/>
      <c r="AGX208" s="195"/>
      <c r="AGY208" s="195"/>
      <c r="AGZ208" s="195"/>
    </row>
    <row r="209">
      <c r="IT209" s="195"/>
      <c r="AGW209" s="195"/>
      <c r="AGX209" s="195"/>
      <c r="AGY209" s="195"/>
      <c r="AGZ209" s="195"/>
    </row>
    <row r="210">
      <c r="IT210" s="195"/>
      <c r="AGW210" s="195"/>
      <c r="AGX210" s="195"/>
      <c r="AGY210" s="195"/>
      <c r="AGZ210" s="195"/>
    </row>
    <row r="211">
      <c r="IT211" s="195"/>
      <c r="AGW211" s="195"/>
      <c r="AGX211" s="195"/>
      <c r="AGY211" s="195"/>
      <c r="AGZ211" s="195"/>
    </row>
    <row r="212">
      <c r="IT212" s="195"/>
      <c r="AGW212" s="195"/>
      <c r="AGX212" s="195"/>
      <c r="AGY212" s="195"/>
      <c r="AGZ212" s="195"/>
    </row>
    <row r="213">
      <c r="IT213" s="195"/>
      <c r="AGW213" s="195"/>
      <c r="AGX213" s="195"/>
      <c r="AGY213" s="195"/>
      <c r="AGZ213" s="195"/>
    </row>
    <row r="214">
      <c r="IT214" s="195"/>
      <c r="AGW214" s="195"/>
      <c r="AGX214" s="195"/>
      <c r="AGY214" s="195"/>
      <c r="AGZ214" s="195"/>
    </row>
    <row r="215">
      <c r="IT215" s="195"/>
      <c r="AGW215" s="195"/>
      <c r="AGX215" s="195"/>
      <c r="AGY215" s="195"/>
      <c r="AGZ215" s="195"/>
    </row>
    <row r="216">
      <c r="IT216" s="195"/>
      <c r="AGW216" s="195"/>
      <c r="AGX216" s="195"/>
      <c r="AGY216" s="195"/>
      <c r="AGZ216" s="195"/>
    </row>
    <row r="217">
      <c r="IT217" s="195"/>
      <c r="AGW217" s="195"/>
      <c r="AGX217" s="195"/>
      <c r="AGY217" s="195"/>
      <c r="AGZ217" s="195"/>
    </row>
    <row r="218">
      <c r="IT218" s="195"/>
      <c r="AGW218" s="195"/>
      <c r="AGX218" s="195"/>
      <c r="AGY218" s="195"/>
      <c r="AGZ218" s="195"/>
    </row>
    <row r="219">
      <c r="IT219" s="195"/>
      <c r="AGW219" s="195"/>
      <c r="AGX219" s="195"/>
      <c r="AGY219" s="195"/>
      <c r="AGZ219" s="195"/>
    </row>
    <row r="220">
      <c r="IT220" s="195"/>
      <c r="AGW220" s="195"/>
      <c r="AGX220" s="195"/>
      <c r="AGY220" s="195"/>
      <c r="AGZ220" s="195"/>
    </row>
    <row r="221">
      <c r="IT221" s="195"/>
      <c r="AGW221" s="195"/>
      <c r="AGX221" s="195"/>
      <c r="AGY221" s="195"/>
      <c r="AGZ221" s="195"/>
    </row>
    <row r="222">
      <c r="IT222" s="195"/>
      <c r="AGW222" s="195"/>
      <c r="AGX222" s="195"/>
      <c r="AGY222" s="195"/>
      <c r="AGZ222" s="195"/>
    </row>
    <row r="223">
      <c r="IT223" s="195"/>
      <c r="AGW223" s="195"/>
      <c r="AGX223" s="195"/>
      <c r="AGY223" s="195"/>
      <c r="AGZ223" s="195"/>
    </row>
    <row r="224">
      <c r="IT224" s="195"/>
      <c r="AGW224" s="195"/>
      <c r="AGX224" s="195"/>
      <c r="AGY224" s="195"/>
      <c r="AGZ224" s="195"/>
    </row>
    <row r="225">
      <c r="IT225" s="195"/>
      <c r="AGW225" s="195"/>
      <c r="AGX225" s="195"/>
      <c r="AGY225" s="195"/>
      <c r="AGZ225" s="195"/>
    </row>
    <row r="226">
      <c r="IT226" s="195"/>
      <c r="AGW226" s="195"/>
      <c r="AGX226" s="195"/>
      <c r="AGY226" s="195"/>
      <c r="AGZ226" s="195"/>
    </row>
    <row r="227">
      <c r="IT227" s="195"/>
      <c r="AGW227" s="195"/>
      <c r="AGX227" s="195"/>
      <c r="AGY227" s="195"/>
      <c r="AGZ227" s="195"/>
    </row>
    <row r="228">
      <c r="IT228" s="195"/>
      <c r="AGW228" s="195"/>
      <c r="AGX228" s="195"/>
      <c r="AGY228" s="195"/>
      <c r="AGZ228" s="195"/>
    </row>
    <row r="229">
      <c r="IT229" s="195"/>
      <c r="AGW229" s="195"/>
      <c r="AGX229" s="195"/>
      <c r="AGY229" s="195"/>
      <c r="AGZ229" s="195"/>
    </row>
    <row r="230">
      <c r="IT230" s="195"/>
      <c r="AGW230" s="195"/>
      <c r="AGX230" s="195"/>
      <c r="AGY230" s="195"/>
      <c r="AGZ230" s="195"/>
    </row>
    <row r="231">
      <c r="IT231" s="195"/>
      <c r="AGW231" s="195"/>
      <c r="AGX231" s="195"/>
      <c r="AGY231" s="195"/>
      <c r="AGZ231" s="195"/>
    </row>
    <row r="232">
      <c r="IT232" s="195"/>
      <c r="AGW232" s="195"/>
      <c r="AGX232" s="195"/>
      <c r="AGY232" s="195"/>
      <c r="AGZ232" s="195"/>
    </row>
    <row r="233">
      <c r="IT233" s="195"/>
      <c r="AGW233" s="195"/>
      <c r="AGX233" s="195"/>
      <c r="AGY233" s="195"/>
      <c r="AGZ233" s="195"/>
    </row>
    <row r="234">
      <c r="IT234" s="195"/>
      <c r="AGW234" s="195"/>
      <c r="AGX234" s="195"/>
      <c r="AGY234" s="195"/>
      <c r="AGZ234" s="195"/>
    </row>
    <row r="235">
      <c r="IT235" s="195"/>
      <c r="AGW235" s="195"/>
      <c r="AGX235" s="195"/>
      <c r="AGY235" s="195"/>
      <c r="AGZ235" s="195"/>
    </row>
    <row r="236">
      <c r="IT236" s="195"/>
      <c r="AGW236" s="195"/>
      <c r="AGX236" s="195"/>
      <c r="AGY236" s="195"/>
      <c r="AGZ236" s="195"/>
    </row>
    <row r="237">
      <c r="IT237" s="195"/>
      <c r="AGW237" s="195"/>
      <c r="AGX237" s="195"/>
      <c r="AGY237" s="195"/>
      <c r="AGZ237" s="195"/>
    </row>
    <row r="238">
      <c r="IT238" s="195"/>
      <c r="AGW238" s="195"/>
      <c r="AGX238" s="195"/>
      <c r="AGY238" s="195"/>
      <c r="AGZ238" s="195"/>
    </row>
    <row r="239">
      <c r="IT239" s="195"/>
      <c r="AGW239" s="195"/>
      <c r="AGX239" s="195"/>
      <c r="AGY239" s="195"/>
      <c r="AGZ239" s="195"/>
    </row>
    <row r="240">
      <c r="IT240" s="195"/>
      <c r="AGW240" s="195"/>
      <c r="AGX240" s="195"/>
      <c r="AGY240" s="195"/>
      <c r="AGZ240" s="195"/>
    </row>
    <row r="241">
      <c r="IT241" s="195"/>
      <c r="AGW241" s="195"/>
      <c r="AGX241" s="195"/>
      <c r="AGY241" s="195"/>
      <c r="AGZ241" s="195"/>
    </row>
    <row r="242">
      <c r="IT242" s="195"/>
      <c r="AGW242" s="195"/>
      <c r="AGX242" s="195"/>
      <c r="AGY242" s="195"/>
      <c r="AGZ242" s="195"/>
    </row>
    <row r="243">
      <c r="IT243" s="195"/>
      <c r="AGW243" s="195"/>
      <c r="AGX243" s="195"/>
      <c r="AGY243" s="195"/>
      <c r="AGZ243" s="195"/>
    </row>
    <row r="244">
      <c r="IT244" s="195"/>
      <c r="AGW244" s="195"/>
      <c r="AGX244" s="195"/>
      <c r="AGY244" s="195"/>
      <c r="AGZ244" s="195"/>
    </row>
    <row r="245">
      <c r="IT245" s="195"/>
      <c r="AGW245" s="195"/>
      <c r="AGX245" s="195"/>
      <c r="AGY245" s="195"/>
      <c r="AGZ245" s="195"/>
    </row>
    <row r="246">
      <c r="IT246" s="195"/>
      <c r="AGW246" s="195"/>
      <c r="AGX246" s="195"/>
      <c r="AGY246" s="195"/>
      <c r="AGZ246" s="195"/>
    </row>
    <row r="247">
      <c r="IT247" s="195"/>
      <c r="AGW247" s="195"/>
      <c r="AGX247" s="195"/>
      <c r="AGY247" s="195"/>
      <c r="AGZ247" s="195"/>
    </row>
    <row r="248">
      <c r="IT248" s="195"/>
      <c r="AGW248" s="195"/>
      <c r="AGX248" s="195"/>
      <c r="AGY248" s="195"/>
      <c r="AGZ248" s="195"/>
    </row>
    <row r="249">
      <c r="IT249" s="195"/>
      <c r="AGW249" s="195"/>
      <c r="AGX249" s="195"/>
      <c r="AGY249" s="195"/>
      <c r="AGZ249" s="195"/>
    </row>
    <row r="250">
      <c r="IT250" s="195"/>
      <c r="AGW250" s="195"/>
      <c r="AGX250" s="195"/>
      <c r="AGY250" s="195"/>
      <c r="AGZ250" s="195"/>
    </row>
    <row r="251">
      <c r="IT251" s="195"/>
      <c r="AGW251" s="195"/>
      <c r="AGX251" s="195"/>
      <c r="AGY251" s="195"/>
      <c r="AGZ251" s="195"/>
    </row>
    <row r="252">
      <c r="IT252" s="195"/>
      <c r="AGW252" s="195"/>
      <c r="AGX252" s="195"/>
      <c r="AGY252" s="195"/>
      <c r="AGZ252" s="195"/>
    </row>
    <row r="253">
      <c r="IT253" s="195"/>
      <c r="AGW253" s="195"/>
      <c r="AGX253" s="195"/>
      <c r="AGY253" s="195"/>
      <c r="AGZ253" s="195"/>
    </row>
    <row r="254">
      <c r="IT254" s="195"/>
      <c r="AGW254" s="195"/>
      <c r="AGX254" s="195"/>
      <c r="AGY254" s="195"/>
      <c r="AGZ254" s="195"/>
    </row>
    <row r="255">
      <c r="IT255" s="195"/>
      <c r="AGW255" s="195"/>
      <c r="AGX255" s="195"/>
      <c r="AGY255" s="195"/>
      <c r="AGZ255" s="195"/>
    </row>
    <row r="256">
      <c r="IT256" s="195"/>
      <c r="AGW256" s="195"/>
      <c r="AGX256" s="195"/>
      <c r="AGY256" s="195"/>
      <c r="AGZ256" s="195"/>
    </row>
    <row r="257">
      <c r="IT257" s="195"/>
      <c r="AGW257" s="195"/>
      <c r="AGX257" s="195"/>
      <c r="AGY257" s="195"/>
      <c r="AGZ257" s="195"/>
    </row>
    <row r="258">
      <c r="IT258" s="195"/>
      <c r="AGW258" s="195"/>
      <c r="AGX258" s="195"/>
      <c r="AGY258" s="195"/>
      <c r="AGZ258" s="195"/>
    </row>
    <row r="259">
      <c r="IT259" s="195"/>
      <c r="AGW259" s="195"/>
      <c r="AGX259" s="195"/>
      <c r="AGY259" s="195"/>
      <c r="AGZ259" s="195"/>
    </row>
    <row r="260">
      <c r="IT260" s="195"/>
      <c r="AGW260" s="195"/>
      <c r="AGX260" s="195"/>
      <c r="AGY260" s="195"/>
      <c r="AGZ260" s="195"/>
    </row>
    <row r="261">
      <c r="IT261" s="195"/>
      <c r="AGW261" s="195"/>
      <c r="AGX261" s="195"/>
      <c r="AGY261" s="195"/>
      <c r="AGZ261" s="195"/>
    </row>
    <row r="262">
      <c r="IT262" s="195"/>
      <c r="AGW262" s="195"/>
      <c r="AGX262" s="195"/>
      <c r="AGY262" s="195"/>
      <c r="AGZ262" s="195"/>
    </row>
    <row r="263">
      <c r="IT263" s="195"/>
      <c r="AGW263" s="195"/>
      <c r="AGX263" s="195"/>
      <c r="AGY263" s="195"/>
      <c r="AGZ263" s="195"/>
    </row>
    <row r="264">
      <c r="IT264" s="195"/>
      <c r="AGW264" s="195"/>
      <c r="AGX264" s="195"/>
      <c r="AGY264" s="195"/>
      <c r="AGZ264" s="195"/>
    </row>
    <row r="265">
      <c r="IT265" s="195"/>
      <c r="AGW265" s="195"/>
      <c r="AGX265" s="195"/>
      <c r="AGY265" s="195"/>
      <c r="AGZ265" s="195"/>
    </row>
    <row r="266">
      <c r="IT266" s="195"/>
      <c r="AGW266" s="195"/>
      <c r="AGX266" s="195"/>
      <c r="AGY266" s="195"/>
      <c r="AGZ266" s="195"/>
    </row>
    <row r="267">
      <c r="IT267" s="195"/>
      <c r="AGW267" s="195"/>
      <c r="AGX267" s="195"/>
      <c r="AGY267" s="195"/>
      <c r="AGZ267" s="195"/>
    </row>
    <row r="268">
      <c r="IT268" s="195"/>
      <c r="AGW268" s="195"/>
      <c r="AGX268" s="195"/>
      <c r="AGY268" s="195"/>
      <c r="AGZ268" s="195"/>
    </row>
    <row r="269">
      <c r="IT269" s="195"/>
      <c r="AGW269" s="195"/>
      <c r="AGX269" s="195"/>
      <c r="AGY269" s="195"/>
      <c r="AGZ269" s="195"/>
    </row>
    <row r="270">
      <c r="IT270" s="195"/>
      <c r="AGW270" s="195"/>
      <c r="AGX270" s="195"/>
      <c r="AGY270" s="195"/>
      <c r="AGZ270" s="195"/>
    </row>
    <row r="271">
      <c r="IT271" s="195"/>
      <c r="AGW271" s="195"/>
      <c r="AGX271" s="195"/>
      <c r="AGY271" s="195"/>
      <c r="AGZ271" s="195"/>
    </row>
    <row r="272">
      <c r="IT272" s="195"/>
      <c r="AGW272" s="195"/>
      <c r="AGX272" s="195"/>
      <c r="AGY272" s="195"/>
      <c r="AGZ272" s="195"/>
    </row>
    <row r="273">
      <c r="IT273" s="195"/>
      <c r="AGW273" s="195"/>
      <c r="AGX273" s="195"/>
      <c r="AGY273" s="195"/>
      <c r="AGZ273" s="195"/>
    </row>
    <row r="274">
      <c r="IT274" s="195"/>
      <c r="AGW274" s="195"/>
      <c r="AGX274" s="195"/>
      <c r="AGY274" s="195"/>
      <c r="AGZ274" s="195"/>
    </row>
    <row r="275">
      <c r="IT275" s="195"/>
      <c r="AGW275" s="195"/>
      <c r="AGX275" s="195"/>
      <c r="AGY275" s="195"/>
      <c r="AGZ275" s="195"/>
    </row>
    <row r="276">
      <c r="IT276" s="195"/>
      <c r="AGW276" s="195"/>
      <c r="AGX276" s="195"/>
      <c r="AGY276" s="195"/>
      <c r="AGZ276" s="195"/>
    </row>
    <row r="277">
      <c r="IT277" s="195"/>
      <c r="AGW277" s="195"/>
      <c r="AGX277" s="195"/>
      <c r="AGY277" s="195"/>
      <c r="AGZ277" s="195"/>
    </row>
    <row r="278">
      <c r="IT278" s="195"/>
      <c r="AGW278" s="195"/>
      <c r="AGX278" s="195"/>
      <c r="AGY278" s="195"/>
      <c r="AGZ278" s="195"/>
    </row>
    <row r="279">
      <c r="IT279" s="195"/>
      <c r="AGW279" s="195"/>
      <c r="AGX279" s="195"/>
      <c r="AGY279" s="195"/>
      <c r="AGZ279" s="195"/>
    </row>
    <row r="280">
      <c r="IT280" s="195"/>
      <c r="AGW280" s="195"/>
      <c r="AGX280" s="195"/>
      <c r="AGY280" s="195"/>
      <c r="AGZ280" s="195"/>
    </row>
    <row r="281">
      <c r="IT281" s="195"/>
      <c r="AGW281" s="195"/>
      <c r="AGX281" s="195"/>
      <c r="AGY281" s="195"/>
      <c r="AGZ281" s="195"/>
    </row>
    <row r="282">
      <c r="IT282" s="195"/>
      <c r="AGW282" s="195"/>
      <c r="AGX282" s="195"/>
      <c r="AGY282" s="195"/>
      <c r="AGZ282" s="195"/>
    </row>
    <row r="283">
      <c r="IT283" s="195"/>
      <c r="AGW283" s="195"/>
      <c r="AGX283" s="195"/>
      <c r="AGY283" s="195"/>
      <c r="AGZ283" s="195"/>
    </row>
    <row r="284">
      <c r="IT284" s="195"/>
      <c r="AGW284" s="195"/>
      <c r="AGX284" s="195"/>
      <c r="AGY284" s="195"/>
      <c r="AGZ284" s="195"/>
    </row>
    <row r="285">
      <c r="IT285" s="195"/>
      <c r="AGW285" s="195"/>
      <c r="AGX285" s="195"/>
      <c r="AGY285" s="195"/>
      <c r="AGZ285" s="195"/>
    </row>
    <row r="286">
      <c r="IT286" s="195"/>
      <c r="AGW286" s="195"/>
      <c r="AGX286" s="195"/>
      <c r="AGY286" s="195"/>
      <c r="AGZ286" s="195"/>
    </row>
    <row r="287">
      <c r="IT287" s="195"/>
      <c r="AGW287" s="195"/>
      <c r="AGX287" s="195"/>
      <c r="AGY287" s="195"/>
      <c r="AGZ287" s="195"/>
    </row>
    <row r="288">
      <c r="IT288" s="195"/>
      <c r="AGW288" s="195"/>
      <c r="AGX288" s="195"/>
      <c r="AGY288" s="195"/>
      <c r="AGZ288" s="195"/>
    </row>
    <row r="289">
      <c r="IT289" s="195"/>
      <c r="AGW289" s="195"/>
      <c r="AGX289" s="195"/>
      <c r="AGY289" s="195"/>
      <c r="AGZ289" s="195"/>
    </row>
    <row r="290">
      <c r="IT290" s="195"/>
      <c r="AGW290" s="195"/>
      <c r="AGX290" s="195"/>
      <c r="AGY290" s="195"/>
      <c r="AGZ290" s="195"/>
    </row>
    <row r="291">
      <c r="IT291" s="195"/>
      <c r="AGW291" s="195"/>
      <c r="AGX291" s="195"/>
      <c r="AGY291" s="195"/>
      <c r="AGZ291" s="195"/>
    </row>
    <row r="292">
      <c r="IT292" s="195"/>
      <c r="AGW292" s="195"/>
      <c r="AGX292" s="195"/>
      <c r="AGY292" s="195"/>
      <c r="AGZ292" s="195"/>
    </row>
    <row r="293">
      <c r="IT293" s="195"/>
      <c r="AGW293" s="195"/>
      <c r="AGX293" s="195"/>
      <c r="AGY293" s="195"/>
      <c r="AGZ293" s="195"/>
    </row>
    <row r="294">
      <c r="IT294" s="195"/>
      <c r="AGW294" s="195"/>
      <c r="AGX294" s="195"/>
      <c r="AGY294" s="195"/>
      <c r="AGZ294" s="195"/>
    </row>
    <row r="295">
      <c r="IT295" s="195"/>
      <c r="AGW295" s="195"/>
      <c r="AGX295" s="195"/>
      <c r="AGY295" s="195"/>
      <c r="AGZ295" s="195"/>
    </row>
    <row r="296">
      <c r="IT296" s="195"/>
      <c r="AGW296" s="195"/>
      <c r="AGX296" s="195"/>
      <c r="AGY296" s="195"/>
      <c r="AGZ296" s="195"/>
    </row>
    <row r="297">
      <c r="IT297" s="195"/>
      <c r="AGW297" s="195"/>
      <c r="AGX297" s="195"/>
      <c r="AGY297" s="195"/>
      <c r="AGZ297" s="195"/>
    </row>
    <row r="298">
      <c r="IT298" s="195"/>
      <c r="AGW298" s="195"/>
      <c r="AGX298" s="195"/>
      <c r="AGY298" s="195"/>
      <c r="AGZ298" s="195"/>
    </row>
    <row r="299">
      <c r="IT299" s="195"/>
      <c r="AGW299" s="195"/>
      <c r="AGX299" s="195"/>
      <c r="AGY299" s="195"/>
      <c r="AGZ299" s="195"/>
    </row>
    <row r="300">
      <c r="IT300" s="195"/>
      <c r="AGW300" s="195"/>
      <c r="AGX300" s="195"/>
      <c r="AGY300" s="195"/>
      <c r="AGZ300" s="195"/>
    </row>
    <row r="301">
      <c r="IT301" s="195"/>
      <c r="AGW301" s="195"/>
      <c r="AGX301" s="195"/>
      <c r="AGY301" s="195"/>
      <c r="AGZ301" s="195"/>
    </row>
    <row r="302">
      <c r="IT302" s="195"/>
      <c r="AGW302" s="195"/>
      <c r="AGX302" s="195"/>
      <c r="AGY302" s="195"/>
      <c r="AGZ302" s="195"/>
    </row>
    <row r="303">
      <c r="IT303" s="195"/>
      <c r="AGW303" s="195"/>
      <c r="AGX303" s="195"/>
      <c r="AGY303" s="195"/>
      <c r="AGZ303" s="195"/>
    </row>
    <row r="304">
      <c r="IT304" s="195"/>
      <c r="AGW304" s="195"/>
      <c r="AGX304" s="195"/>
      <c r="AGY304" s="195"/>
      <c r="AGZ304" s="195"/>
    </row>
    <row r="305">
      <c r="IT305" s="195"/>
      <c r="AGW305" s="195"/>
      <c r="AGX305" s="195"/>
      <c r="AGY305" s="195"/>
      <c r="AGZ305" s="195"/>
    </row>
    <row r="306">
      <c r="IT306" s="195"/>
      <c r="AGW306" s="195"/>
      <c r="AGX306" s="195"/>
      <c r="AGY306" s="195"/>
      <c r="AGZ306" s="195"/>
    </row>
    <row r="307">
      <c r="IT307" s="195"/>
      <c r="AGW307" s="195"/>
      <c r="AGX307" s="195"/>
      <c r="AGY307" s="195"/>
      <c r="AGZ307" s="195"/>
    </row>
    <row r="308">
      <c r="IT308" s="195"/>
      <c r="AGW308" s="195"/>
      <c r="AGX308" s="195"/>
      <c r="AGY308" s="195"/>
      <c r="AGZ308" s="195"/>
    </row>
    <row r="309">
      <c r="IT309" s="195"/>
      <c r="AGW309" s="195"/>
      <c r="AGX309" s="195"/>
      <c r="AGY309" s="195"/>
      <c r="AGZ309" s="195"/>
    </row>
    <row r="310">
      <c r="IT310" s="195"/>
      <c r="AGW310" s="195"/>
      <c r="AGX310" s="195"/>
      <c r="AGY310" s="195"/>
      <c r="AGZ310" s="195"/>
    </row>
    <row r="311">
      <c r="IT311" s="195"/>
      <c r="AGW311" s="195"/>
      <c r="AGX311" s="195"/>
      <c r="AGY311" s="195"/>
      <c r="AGZ311" s="195"/>
    </row>
    <row r="312">
      <c r="IT312" s="195"/>
      <c r="AGW312" s="195"/>
      <c r="AGX312" s="195"/>
      <c r="AGY312" s="195"/>
      <c r="AGZ312" s="195"/>
    </row>
    <row r="313">
      <c r="IT313" s="195"/>
      <c r="AGW313" s="195"/>
      <c r="AGX313" s="195"/>
      <c r="AGY313" s="195"/>
      <c r="AGZ313" s="195"/>
    </row>
    <row r="314">
      <c r="IT314" s="195"/>
      <c r="AGW314" s="195"/>
      <c r="AGX314" s="195"/>
      <c r="AGY314" s="195"/>
      <c r="AGZ314" s="195"/>
    </row>
    <row r="315">
      <c r="IT315" s="195"/>
      <c r="AGW315" s="195"/>
      <c r="AGX315" s="195"/>
      <c r="AGY315" s="195"/>
      <c r="AGZ315" s="195"/>
    </row>
    <row r="316">
      <c r="IT316" s="195"/>
      <c r="AGW316" s="195"/>
      <c r="AGX316" s="195"/>
      <c r="AGY316" s="195"/>
      <c r="AGZ316" s="195"/>
    </row>
    <row r="317">
      <c r="IT317" s="195"/>
      <c r="AGW317" s="195"/>
      <c r="AGX317" s="195"/>
      <c r="AGY317" s="195"/>
      <c r="AGZ317" s="195"/>
    </row>
    <row r="318">
      <c r="IT318" s="195"/>
      <c r="AGW318" s="195"/>
      <c r="AGX318" s="195"/>
      <c r="AGY318" s="195"/>
      <c r="AGZ318" s="195"/>
    </row>
    <row r="319">
      <c r="IT319" s="195"/>
      <c r="AGW319" s="195"/>
      <c r="AGX319" s="195"/>
      <c r="AGY319" s="195"/>
      <c r="AGZ319" s="195"/>
    </row>
    <row r="320">
      <c r="IT320" s="195"/>
      <c r="AGW320" s="195"/>
      <c r="AGX320" s="195"/>
      <c r="AGY320" s="195"/>
      <c r="AGZ320" s="195"/>
    </row>
    <row r="321">
      <c r="IT321" s="195"/>
      <c r="AGW321" s="195"/>
      <c r="AGX321" s="195"/>
      <c r="AGY321" s="195"/>
      <c r="AGZ321" s="195"/>
    </row>
    <row r="322">
      <c r="IT322" s="195"/>
      <c r="AGW322" s="195"/>
      <c r="AGX322" s="195"/>
      <c r="AGY322" s="195"/>
      <c r="AGZ322" s="195"/>
    </row>
    <row r="323">
      <c r="IT323" s="195"/>
      <c r="AGW323" s="195"/>
      <c r="AGX323" s="195"/>
      <c r="AGY323" s="195"/>
      <c r="AGZ323" s="195"/>
    </row>
    <row r="324">
      <c r="IT324" s="195"/>
      <c r="AGW324" s="195"/>
      <c r="AGX324" s="195"/>
      <c r="AGY324" s="195"/>
      <c r="AGZ324" s="195"/>
    </row>
    <row r="325">
      <c r="IT325" s="195"/>
      <c r="AGW325" s="195"/>
      <c r="AGX325" s="195"/>
      <c r="AGY325" s="195"/>
      <c r="AGZ325" s="195"/>
    </row>
    <row r="326">
      <c r="IT326" s="195"/>
      <c r="AGW326" s="195"/>
      <c r="AGX326" s="195"/>
      <c r="AGY326" s="195"/>
      <c r="AGZ326" s="195"/>
    </row>
    <row r="327">
      <c r="IT327" s="195"/>
      <c r="AGW327" s="195"/>
      <c r="AGX327" s="195"/>
      <c r="AGY327" s="195"/>
      <c r="AGZ327" s="195"/>
    </row>
    <row r="328">
      <c r="IT328" s="195"/>
      <c r="AGW328" s="195"/>
      <c r="AGX328" s="195"/>
      <c r="AGY328" s="195"/>
      <c r="AGZ328" s="195"/>
    </row>
    <row r="329">
      <c r="IT329" s="195"/>
      <c r="AGW329" s="195"/>
      <c r="AGX329" s="195"/>
      <c r="AGY329" s="195"/>
      <c r="AGZ329" s="195"/>
    </row>
    <row r="330">
      <c r="IT330" s="195"/>
      <c r="AGW330" s="195"/>
      <c r="AGX330" s="195"/>
      <c r="AGY330" s="195"/>
      <c r="AGZ330" s="195"/>
    </row>
    <row r="331">
      <c r="IT331" s="195"/>
      <c r="AGW331" s="195"/>
      <c r="AGX331" s="195"/>
      <c r="AGY331" s="195"/>
      <c r="AGZ331" s="195"/>
    </row>
    <row r="332">
      <c r="IT332" s="195"/>
      <c r="AGW332" s="195"/>
      <c r="AGX332" s="195"/>
      <c r="AGY332" s="195"/>
      <c r="AGZ332" s="195"/>
    </row>
    <row r="333">
      <c r="IT333" s="195"/>
      <c r="AGW333" s="195"/>
      <c r="AGX333" s="195"/>
      <c r="AGY333" s="195"/>
      <c r="AGZ333" s="195"/>
    </row>
    <row r="334">
      <c r="IT334" s="195"/>
      <c r="AGW334" s="195"/>
      <c r="AGX334" s="195"/>
      <c r="AGY334" s="195"/>
      <c r="AGZ334" s="195"/>
    </row>
    <row r="335">
      <c r="IT335" s="195"/>
      <c r="AGW335" s="195"/>
      <c r="AGX335" s="195"/>
      <c r="AGY335" s="195"/>
      <c r="AGZ335" s="195"/>
    </row>
    <row r="336">
      <c r="IT336" s="195"/>
      <c r="AGW336" s="195"/>
      <c r="AGX336" s="195"/>
      <c r="AGY336" s="195"/>
      <c r="AGZ336" s="195"/>
    </row>
    <row r="337">
      <c r="IT337" s="195"/>
      <c r="AGW337" s="195"/>
      <c r="AGX337" s="195"/>
      <c r="AGY337" s="195"/>
      <c r="AGZ337" s="195"/>
    </row>
    <row r="338">
      <c r="IT338" s="195"/>
      <c r="AGW338" s="195"/>
      <c r="AGX338" s="195"/>
      <c r="AGY338" s="195"/>
      <c r="AGZ338" s="195"/>
    </row>
    <row r="339">
      <c r="IT339" s="195"/>
      <c r="AGW339" s="195"/>
      <c r="AGX339" s="195"/>
      <c r="AGY339" s="195"/>
      <c r="AGZ339" s="195"/>
    </row>
    <row r="340">
      <c r="IT340" s="195"/>
      <c r="AGW340" s="195"/>
      <c r="AGX340" s="195"/>
      <c r="AGY340" s="195"/>
      <c r="AGZ340" s="195"/>
    </row>
    <row r="341">
      <c r="IT341" s="195"/>
      <c r="AGW341" s="195"/>
      <c r="AGX341" s="195"/>
      <c r="AGY341" s="195"/>
      <c r="AGZ341" s="195"/>
    </row>
    <row r="342">
      <c r="IT342" s="195"/>
      <c r="AGW342" s="195"/>
      <c r="AGX342" s="195"/>
      <c r="AGY342" s="195"/>
      <c r="AGZ342" s="195"/>
    </row>
    <row r="343">
      <c r="IT343" s="195"/>
      <c r="AGW343" s="195"/>
      <c r="AGX343" s="195"/>
      <c r="AGY343" s="195"/>
      <c r="AGZ343" s="195"/>
    </row>
    <row r="344">
      <c r="IT344" s="195"/>
      <c r="AGW344" s="195"/>
      <c r="AGX344" s="195"/>
      <c r="AGY344" s="195"/>
      <c r="AGZ344" s="195"/>
    </row>
    <row r="345">
      <c r="IT345" s="195"/>
      <c r="AGW345" s="195"/>
      <c r="AGX345" s="195"/>
      <c r="AGY345" s="195"/>
      <c r="AGZ345" s="195"/>
    </row>
    <row r="346">
      <c r="IT346" s="195"/>
      <c r="AGW346" s="195"/>
      <c r="AGX346" s="195"/>
      <c r="AGY346" s="195"/>
      <c r="AGZ346" s="195"/>
    </row>
    <row r="347">
      <c r="IT347" s="195"/>
      <c r="AGW347" s="195"/>
      <c r="AGX347" s="195"/>
      <c r="AGY347" s="195"/>
      <c r="AGZ347" s="195"/>
    </row>
    <row r="348">
      <c r="IT348" s="195"/>
      <c r="AGW348" s="195"/>
      <c r="AGX348" s="195"/>
      <c r="AGY348" s="195"/>
      <c r="AGZ348" s="195"/>
    </row>
    <row r="349">
      <c r="IT349" s="195"/>
      <c r="AGW349" s="195"/>
      <c r="AGX349" s="195"/>
      <c r="AGY349" s="195"/>
      <c r="AGZ349" s="195"/>
    </row>
    <row r="350">
      <c r="IT350" s="195"/>
      <c r="AGW350" s="195"/>
      <c r="AGX350" s="195"/>
      <c r="AGY350" s="195"/>
      <c r="AGZ350" s="195"/>
    </row>
    <row r="351">
      <c r="IT351" s="195"/>
      <c r="AGW351" s="195"/>
      <c r="AGX351" s="195"/>
      <c r="AGY351" s="195"/>
      <c r="AGZ351" s="195"/>
    </row>
    <row r="352">
      <c r="IT352" s="195"/>
      <c r="AGW352" s="195"/>
      <c r="AGX352" s="195"/>
      <c r="AGY352" s="195"/>
      <c r="AGZ352" s="195"/>
    </row>
    <row r="353">
      <c r="IT353" s="195"/>
      <c r="AGW353" s="195"/>
      <c r="AGX353" s="195"/>
      <c r="AGY353" s="195"/>
      <c r="AGZ353" s="195"/>
    </row>
    <row r="354">
      <c r="IT354" s="195"/>
      <c r="AGW354" s="195"/>
      <c r="AGX354" s="195"/>
      <c r="AGY354" s="195"/>
      <c r="AGZ354" s="195"/>
    </row>
    <row r="355">
      <c r="IT355" s="195"/>
      <c r="AGW355" s="195"/>
      <c r="AGX355" s="195"/>
      <c r="AGY355" s="195"/>
      <c r="AGZ355" s="195"/>
    </row>
    <row r="356">
      <c r="IT356" s="195"/>
      <c r="AGW356" s="195"/>
      <c r="AGX356" s="195"/>
      <c r="AGY356" s="195"/>
      <c r="AGZ356" s="195"/>
    </row>
    <row r="357">
      <c r="IT357" s="195"/>
      <c r="AGW357" s="195"/>
      <c r="AGX357" s="195"/>
      <c r="AGY357" s="195"/>
      <c r="AGZ357" s="195"/>
    </row>
    <row r="358">
      <c r="IT358" s="195"/>
      <c r="AGW358" s="195"/>
      <c r="AGX358" s="195"/>
      <c r="AGY358" s="195"/>
      <c r="AGZ358" s="195"/>
    </row>
    <row r="359">
      <c r="IT359" s="195"/>
      <c r="AGW359" s="195"/>
      <c r="AGX359" s="195"/>
      <c r="AGY359" s="195"/>
      <c r="AGZ359" s="195"/>
    </row>
    <row r="360">
      <c r="IT360" s="195"/>
      <c r="AGW360" s="195"/>
      <c r="AGX360" s="195"/>
      <c r="AGY360" s="195"/>
      <c r="AGZ360" s="195"/>
    </row>
    <row r="361">
      <c r="IT361" s="195"/>
      <c r="AGW361" s="195"/>
      <c r="AGX361" s="195"/>
      <c r="AGY361" s="195"/>
      <c r="AGZ361" s="195"/>
    </row>
    <row r="362">
      <c r="IT362" s="195"/>
      <c r="AGW362" s="195"/>
      <c r="AGX362" s="195"/>
      <c r="AGY362" s="195"/>
      <c r="AGZ362" s="195"/>
    </row>
    <row r="363">
      <c r="IT363" s="195"/>
      <c r="AGW363" s="195"/>
      <c r="AGX363" s="195"/>
      <c r="AGY363" s="195"/>
      <c r="AGZ363" s="195"/>
    </row>
    <row r="364">
      <c r="IT364" s="195"/>
      <c r="AGW364" s="195"/>
      <c r="AGX364" s="195"/>
      <c r="AGY364" s="195"/>
      <c r="AGZ364" s="195"/>
    </row>
    <row r="365">
      <c r="IT365" s="195"/>
      <c r="AGW365" s="195"/>
      <c r="AGX365" s="195"/>
      <c r="AGY365" s="195"/>
      <c r="AGZ365" s="195"/>
    </row>
    <row r="366">
      <c r="IT366" s="195"/>
      <c r="AGW366" s="195"/>
      <c r="AGX366" s="195"/>
      <c r="AGY366" s="195"/>
      <c r="AGZ366" s="195"/>
    </row>
    <row r="367">
      <c r="IT367" s="195"/>
      <c r="AGW367" s="195"/>
      <c r="AGX367" s="195"/>
      <c r="AGY367" s="195"/>
      <c r="AGZ367" s="195"/>
    </row>
    <row r="368">
      <c r="IT368" s="195"/>
      <c r="AGW368" s="195"/>
      <c r="AGX368" s="195"/>
      <c r="AGY368" s="195"/>
      <c r="AGZ368" s="195"/>
    </row>
    <row r="369">
      <c r="IT369" s="195"/>
      <c r="AGW369" s="195"/>
      <c r="AGX369" s="195"/>
      <c r="AGY369" s="195"/>
      <c r="AGZ369" s="195"/>
    </row>
    <row r="370">
      <c r="IT370" s="195"/>
      <c r="AGW370" s="195"/>
      <c r="AGX370" s="195"/>
      <c r="AGY370" s="195"/>
      <c r="AGZ370" s="195"/>
    </row>
    <row r="371">
      <c r="IT371" s="195"/>
      <c r="AGW371" s="195"/>
      <c r="AGX371" s="195"/>
      <c r="AGY371" s="195"/>
      <c r="AGZ371" s="195"/>
    </row>
    <row r="372">
      <c r="IT372" s="195"/>
      <c r="AGW372" s="195"/>
      <c r="AGX372" s="195"/>
      <c r="AGY372" s="195"/>
      <c r="AGZ372" s="195"/>
    </row>
    <row r="373">
      <c r="IT373" s="195"/>
      <c r="AGW373" s="195"/>
      <c r="AGX373" s="195"/>
      <c r="AGY373" s="195"/>
      <c r="AGZ373" s="195"/>
    </row>
    <row r="374">
      <c r="IT374" s="195"/>
      <c r="AGW374" s="195"/>
      <c r="AGX374" s="195"/>
      <c r="AGY374" s="195"/>
      <c r="AGZ374" s="195"/>
    </row>
    <row r="375">
      <c r="IT375" s="195"/>
      <c r="AGW375" s="195"/>
      <c r="AGX375" s="195"/>
      <c r="AGY375" s="195"/>
      <c r="AGZ375" s="195"/>
    </row>
    <row r="376">
      <c r="IT376" s="195"/>
      <c r="AGW376" s="195"/>
      <c r="AGX376" s="195"/>
      <c r="AGY376" s="195"/>
      <c r="AGZ376" s="195"/>
    </row>
    <row r="377">
      <c r="IT377" s="195"/>
      <c r="AGW377" s="195"/>
      <c r="AGX377" s="195"/>
      <c r="AGY377" s="195"/>
      <c r="AGZ377" s="195"/>
    </row>
    <row r="378">
      <c r="IT378" s="195"/>
      <c r="AGW378" s="195"/>
      <c r="AGX378" s="195"/>
      <c r="AGY378" s="195"/>
      <c r="AGZ378" s="195"/>
    </row>
    <row r="379">
      <c r="IT379" s="195"/>
      <c r="AGW379" s="195"/>
      <c r="AGX379" s="195"/>
      <c r="AGY379" s="195"/>
      <c r="AGZ379" s="195"/>
    </row>
    <row r="380">
      <c r="IT380" s="195"/>
      <c r="AGW380" s="195"/>
      <c r="AGX380" s="195"/>
      <c r="AGY380" s="195"/>
      <c r="AGZ380" s="195"/>
    </row>
    <row r="381">
      <c r="IT381" s="195"/>
      <c r="AGW381" s="195"/>
      <c r="AGX381" s="195"/>
      <c r="AGY381" s="195"/>
      <c r="AGZ381" s="195"/>
    </row>
    <row r="382">
      <c r="IT382" s="195"/>
      <c r="AGW382" s="195"/>
      <c r="AGX382" s="195"/>
      <c r="AGY382" s="195"/>
      <c r="AGZ382" s="195"/>
    </row>
    <row r="383">
      <c r="IT383" s="195"/>
      <c r="AGW383" s="195"/>
      <c r="AGX383" s="195"/>
      <c r="AGY383" s="195"/>
      <c r="AGZ383" s="195"/>
    </row>
    <row r="384">
      <c r="IT384" s="195"/>
      <c r="AGW384" s="195"/>
      <c r="AGX384" s="195"/>
      <c r="AGY384" s="195"/>
      <c r="AGZ384" s="195"/>
    </row>
    <row r="385">
      <c r="IT385" s="195"/>
      <c r="AGW385" s="195"/>
      <c r="AGX385" s="195"/>
      <c r="AGY385" s="195"/>
      <c r="AGZ385" s="195"/>
    </row>
    <row r="386">
      <c r="IT386" s="195"/>
      <c r="AGW386" s="195"/>
      <c r="AGX386" s="195"/>
      <c r="AGY386" s="195"/>
      <c r="AGZ386" s="195"/>
    </row>
    <row r="387">
      <c r="IT387" s="195"/>
      <c r="AGW387" s="195"/>
      <c r="AGX387" s="195"/>
      <c r="AGY387" s="195"/>
      <c r="AGZ387" s="195"/>
    </row>
    <row r="388">
      <c r="IT388" s="195"/>
      <c r="AGW388" s="195"/>
      <c r="AGX388" s="195"/>
      <c r="AGY388" s="195"/>
      <c r="AGZ388" s="195"/>
    </row>
    <row r="389">
      <c r="IT389" s="195"/>
      <c r="AGW389" s="195"/>
      <c r="AGX389" s="195"/>
      <c r="AGY389" s="195"/>
      <c r="AGZ389" s="195"/>
    </row>
    <row r="390">
      <c r="IT390" s="195"/>
      <c r="AGW390" s="195"/>
      <c r="AGX390" s="195"/>
      <c r="AGY390" s="195"/>
      <c r="AGZ390" s="195"/>
    </row>
    <row r="391">
      <c r="IT391" s="195"/>
      <c r="AGW391" s="195"/>
      <c r="AGX391" s="195"/>
      <c r="AGY391" s="195"/>
      <c r="AGZ391" s="195"/>
    </row>
    <row r="392">
      <c r="IT392" s="195"/>
      <c r="AGW392" s="195"/>
      <c r="AGX392" s="195"/>
      <c r="AGY392" s="195"/>
      <c r="AGZ392" s="195"/>
    </row>
    <row r="393">
      <c r="IT393" s="195"/>
      <c r="AGW393" s="195"/>
      <c r="AGX393" s="195"/>
      <c r="AGY393" s="195"/>
      <c r="AGZ393" s="195"/>
    </row>
    <row r="394">
      <c r="IT394" s="195"/>
      <c r="AGW394" s="195"/>
      <c r="AGX394" s="195"/>
      <c r="AGY394" s="195"/>
      <c r="AGZ394" s="195"/>
    </row>
    <row r="395">
      <c r="IT395" s="195"/>
      <c r="AGW395" s="195"/>
      <c r="AGX395" s="195"/>
      <c r="AGY395" s="195"/>
      <c r="AGZ395" s="195"/>
    </row>
    <row r="396">
      <c r="IT396" s="195"/>
      <c r="AGW396" s="195"/>
      <c r="AGX396" s="195"/>
      <c r="AGY396" s="195"/>
      <c r="AGZ396" s="195"/>
    </row>
    <row r="397">
      <c r="IT397" s="195"/>
      <c r="AGW397" s="195"/>
      <c r="AGX397" s="195"/>
      <c r="AGY397" s="195"/>
      <c r="AGZ397" s="195"/>
    </row>
    <row r="398">
      <c r="IT398" s="195"/>
      <c r="AGW398" s="195"/>
      <c r="AGX398" s="195"/>
      <c r="AGY398" s="195"/>
      <c r="AGZ398" s="195"/>
    </row>
    <row r="399">
      <c r="IT399" s="195"/>
      <c r="AGW399" s="195"/>
      <c r="AGX399" s="195"/>
      <c r="AGY399" s="195"/>
      <c r="AGZ399" s="195"/>
    </row>
    <row r="400">
      <c r="IT400" s="195"/>
      <c r="AGW400" s="195"/>
      <c r="AGX400" s="195"/>
      <c r="AGY400" s="195"/>
      <c r="AGZ400" s="195"/>
    </row>
    <row r="401">
      <c r="IT401" s="195"/>
      <c r="AGW401" s="195"/>
      <c r="AGX401" s="195"/>
      <c r="AGY401" s="195"/>
      <c r="AGZ401" s="195"/>
    </row>
    <row r="402">
      <c r="IT402" s="195"/>
      <c r="AGW402" s="195"/>
      <c r="AGX402" s="195"/>
      <c r="AGY402" s="195"/>
      <c r="AGZ402" s="195"/>
    </row>
    <row r="403">
      <c r="IT403" s="195"/>
      <c r="AGW403" s="195"/>
      <c r="AGX403" s="195"/>
      <c r="AGY403" s="195"/>
      <c r="AGZ403" s="195"/>
    </row>
    <row r="404">
      <c r="IT404" s="195"/>
      <c r="AGW404" s="195"/>
      <c r="AGX404" s="195"/>
      <c r="AGY404" s="195"/>
      <c r="AGZ404" s="195"/>
    </row>
    <row r="405">
      <c r="IT405" s="195"/>
      <c r="AGW405" s="195"/>
      <c r="AGX405" s="195"/>
      <c r="AGY405" s="195"/>
      <c r="AGZ405" s="195"/>
    </row>
    <row r="406">
      <c r="IT406" s="195"/>
      <c r="AGW406" s="195"/>
      <c r="AGX406" s="195"/>
      <c r="AGY406" s="195"/>
      <c r="AGZ406" s="195"/>
    </row>
    <row r="407">
      <c r="IT407" s="195"/>
      <c r="AGW407" s="195"/>
      <c r="AGX407" s="195"/>
      <c r="AGY407" s="195"/>
      <c r="AGZ407" s="195"/>
    </row>
    <row r="408">
      <c r="IT408" s="195"/>
      <c r="AGW408" s="195"/>
      <c r="AGX408" s="195"/>
      <c r="AGY408" s="195"/>
      <c r="AGZ408" s="195"/>
    </row>
    <row r="409">
      <c r="IT409" s="195"/>
      <c r="AGW409" s="195"/>
      <c r="AGX409" s="195"/>
      <c r="AGY409" s="195"/>
      <c r="AGZ409" s="195"/>
    </row>
    <row r="410">
      <c r="IT410" s="195"/>
      <c r="AGW410" s="195"/>
      <c r="AGX410" s="195"/>
      <c r="AGY410" s="195"/>
      <c r="AGZ410" s="195"/>
    </row>
    <row r="411">
      <c r="IT411" s="195"/>
      <c r="AGW411" s="195"/>
      <c r="AGX411" s="195"/>
      <c r="AGY411" s="195"/>
      <c r="AGZ411" s="195"/>
    </row>
    <row r="412">
      <c r="IT412" s="195"/>
      <c r="AGW412" s="195"/>
      <c r="AGX412" s="195"/>
      <c r="AGY412" s="195"/>
      <c r="AGZ412" s="195"/>
    </row>
    <row r="413">
      <c r="IT413" s="195"/>
      <c r="AGW413" s="195"/>
      <c r="AGX413" s="195"/>
      <c r="AGY413" s="195"/>
      <c r="AGZ413" s="195"/>
    </row>
    <row r="414">
      <c r="IT414" s="195"/>
      <c r="AGW414" s="195"/>
      <c r="AGX414" s="195"/>
      <c r="AGY414" s="195"/>
      <c r="AGZ414" s="195"/>
    </row>
    <row r="415">
      <c r="IT415" s="195"/>
      <c r="AGW415" s="195"/>
      <c r="AGX415" s="195"/>
      <c r="AGY415" s="195"/>
      <c r="AGZ415" s="195"/>
    </row>
    <row r="416">
      <c r="IT416" s="195"/>
      <c r="AGW416" s="195"/>
      <c r="AGX416" s="195"/>
      <c r="AGY416" s="195"/>
      <c r="AGZ416" s="195"/>
    </row>
    <row r="417">
      <c r="IT417" s="195"/>
      <c r="AGW417" s="195"/>
      <c r="AGX417" s="195"/>
      <c r="AGY417" s="195"/>
      <c r="AGZ417" s="195"/>
    </row>
    <row r="418">
      <c r="IT418" s="195"/>
      <c r="AGW418" s="195"/>
      <c r="AGX418" s="195"/>
      <c r="AGY418" s="195"/>
      <c r="AGZ418" s="195"/>
    </row>
    <row r="419">
      <c r="IT419" s="195"/>
      <c r="AGW419" s="195"/>
      <c r="AGX419" s="195"/>
      <c r="AGY419" s="195"/>
      <c r="AGZ419" s="195"/>
    </row>
    <row r="420">
      <c r="IT420" s="195"/>
      <c r="AGW420" s="195"/>
      <c r="AGX420" s="195"/>
      <c r="AGY420" s="195"/>
      <c r="AGZ420" s="195"/>
    </row>
    <row r="421">
      <c r="IT421" s="195"/>
      <c r="AGW421" s="195"/>
      <c r="AGX421" s="195"/>
      <c r="AGY421" s="195"/>
      <c r="AGZ421" s="195"/>
    </row>
    <row r="422">
      <c r="IT422" s="195"/>
      <c r="AGW422" s="195"/>
      <c r="AGX422" s="195"/>
      <c r="AGY422" s="195"/>
      <c r="AGZ422" s="195"/>
    </row>
    <row r="423">
      <c r="IT423" s="195"/>
      <c r="AGW423" s="195"/>
      <c r="AGX423" s="195"/>
      <c r="AGY423" s="195"/>
      <c r="AGZ423" s="195"/>
    </row>
    <row r="424">
      <c r="IT424" s="195"/>
      <c r="AGW424" s="195"/>
      <c r="AGX424" s="195"/>
      <c r="AGY424" s="195"/>
      <c r="AGZ424" s="195"/>
    </row>
    <row r="425">
      <c r="IT425" s="195"/>
      <c r="AGW425" s="195"/>
      <c r="AGX425" s="195"/>
      <c r="AGY425" s="195"/>
      <c r="AGZ425" s="195"/>
    </row>
    <row r="426">
      <c r="IT426" s="195"/>
      <c r="AGW426" s="195"/>
      <c r="AGX426" s="195"/>
      <c r="AGY426" s="195"/>
      <c r="AGZ426" s="195"/>
    </row>
    <row r="427">
      <c r="IT427" s="195"/>
      <c r="AGW427" s="195"/>
      <c r="AGX427" s="195"/>
      <c r="AGY427" s="195"/>
      <c r="AGZ427" s="195"/>
    </row>
    <row r="428">
      <c r="IT428" s="195"/>
      <c r="AGW428" s="195"/>
      <c r="AGX428" s="195"/>
      <c r="AGY428" s="195"/>
      <c r="AGZ428" s="195"/>
    </row>
    <row r="429">
      <c r="IT429" s="195"/>
      <c r="AGW429" s="195"/>
      <c r="AGX429" s="195"/>
      <c r="AGY429" s="195"/>
      <c r="AGZ429" s="195"/>
    </row>
    <row r="430">
      <c r="IT430" s="195"/>
      <c r="AGW430" s="195"/>
      <c r="AGX430" s="195"/>
      <c r="AGY430" s="195"/>
      <c r="AGZ430" s="195"/>
    </row>
    <row r="431">
      <c r="IT431" s="195"/>
      <c r="AGW431" s="195"/>
      <c r="AGX431" s="195"/>
      <c r="AGY431" s="195"/>
      <c r="AGZ431" s="195"/>
    </row>
    <row r="432">
      <c r="IT432" s="195"/>
      <c r="AGW432" s="195"/>
      <c r="AGX432" s="195"/>
      <c r="AGY432" s="195"/>
      <c r="AGZ432" s="195"/>
    </row>
    <row r="433">
      <c r="IT433" s="195"/>
      <c r="AGW433" s="195"/>
      <c r="AGX433" s="195"/>
      <c r="AGY433" s="195"/>
      <c r="AGZ433" s="195"/>
    </row>
    <row r="434">
      <c r="IT434" s="195"/>
      <c r="AGW434" s="195"/>
      <c r="AGX434" s="195"/>
      <c r="AGY434" s="195"/>
      <c r="AGZ434" s="195"/>
    </row>
    <row r="435">
      <c r="IT435" s="195"/>
      <c r="AGW435" s="195"/>
      <c r="AGX435" s="195"/>
      <c r="AGY435" s="195"/>
      <c r="AGZ435" s="195"/>
    </row>
    <row r="436">
      <c r="IT436" s="195"/>
      <c r="AGW436" s="195"/>
      <c r="AGX436" s="195"/>
      <c r="AGY436" s="195"/>
      <c r="AGZ436" s="195"/>
    </row>
    <row r="437">
      <c r="IT437" s="195"/>
      <c r="AGW437" s="195"/>
      <c r="AGX437" s="195"/>
      <c r="AGY437" s="195"/>
      <c r="AGZ437" s="195"/>
    </row>
    <row r="438">
      <c r="IT438" s="195"/>
      <c r="AGW438" s="195"/>
      <c r="AGX438" s="195"/>
      <c r="AGY438" s="195"/>
      <c r="AGZ438" s="195"/>
    </row>
    <row r="439">
      <c r="IT439" s="195"/>
      <c r="AGW439" s="195"/>
      <c r="AGX439" s="195"/>
      <c r="AGY439" s="195"/>
      <c r="AGZ439" s="195"/>
    </row>
    <row r="440">
      <c r="IT440" s="195"/>
      <c r="AGW440" s="195"/>
      <c r="AGX440" s="195"/>
      <c r="AGY440" s="195"/>
      <c r="AGZ440" s="195"/>
    </row>
    <row r="441">
      <c r="IT441" s="195"/>
      <c r="AGW441" s="195"/>
      <c r="AGX441" s="195"/>
      <c r="AGY441" s="195"/>
      <c r="AGZ441" s="195"/>
    </row>
    <row r="442">
      <c r="IT442" s="195"/>
      <c r="AGW442" s="195"/>
      <c r="AGX442" s="195"/>
      <c r="AGY442" s="195"/>
      <c r="AGZ442" s="195"/>
    </row>
    <row r="443">
      <c r="IT443" s="195"/>
      <c r="AGW443" s="195"/>
      <c r="AGX443" s="195"/>
      <c r="AGY443" s="195"/>
      <c r="AGZ443" s="195"/>
    </row>
    <row r="444">
      <c r="IT444" s="195"/>
      <c r="AGW444" s="195"/>
      <c r="AGX444" s="195"/>
      <c r="AGY444" s="195"/>
      <c r="AGZ444" s="195"/>
    </row>
    <row r="445">
      <c r="IT445" s="195"/>
      <c r="AGW445" s="195"/>
      <c r="AGX445" s="195"/>
      <c r="AGY445" s="195"/>
      <c r="AGZ445" s="195"/>
    </row>
    <row r="446">
      <c r="IT446" s="195"/>
      <c r="AGW446" s="195"/>
      <c r="AGX446" s="195"/>
      <c r="AGY446" s="195"/>
      <c r="AGZ446" s="195"/>
    </row>
    <row r="447">
      <c r="IT447" s="195"/>
      <c r="AGW447" s="195"/>
      <c r="AGX447" s="195"/>
      <c r="AGY447" s="195"/>
      <c r="AGZ447" s="195"/>
    </row>
    <row r="448">
      <c r="IT448" s="195"/>
      <c r="AGW448" s="195"/>
      <c r="AGX448" s="195"/>
      <c r="AGY448" s="195"/>
      <c r="AGZ448" s="195"/>
    </row>
    <row r="449">
      <c r="IT449" s="195"/>
      <c r="AGW449" s="195"/>
      <c r="AGX449" s="195"/>
      <c r="AGY449" s="195"/>
      <c r="AGZ449" s="195"/>
    </row>
    <row r="450">
      <c r="IT450" s="195"/>
      <c r="AGW450" s="195"/>
      <c r="AGX450" s="195"/>
      <c r="AGY450" s="195"/>
      <c r="AGZ450" s="195"/>
    </row>
    <row r="451">
      <c r="IT451" s="195"/>
      <c r="AGW451" s="195"/>
      <c r="AGX451" s="195"/>
      <c r="AGY451" s="195"/>
      <c r="AGZ451" s="195"/>
    </row>
    <row r="452">
      <c r="IT452" s="195"/>
      <c r="AGW452" s="195"/>
      <c r="AGX452" s="195"/>
      <c r="AGY452" s="195"/>
      <c r="AGZ452" s="195"/>
    </row>
    <row r="453">
      <c r="IT453" s="195"/>
      <c r="AGW453" s="195"/>
      <c r="AGX453" s="195"/>
      <c r="AGY453" s="195"/>
      <c r="AGZ453" s="195"/>
    </row>
    <row r="454">
      <c r="IT454" s="195"/>
      <c r="AGW454" s="195"/>
      <c r="AGX454" s="195"/>
      <c r="AGY454" s="195"/>
      <c r="AGZ454" s="195"/>
    </row>
    <row r="455">
      <c r="IT455" s="195"/>
      <c r="AGW455" s="195"/>
      <c r="AGX455" s="195"/>
      <c r="AGY455" s="195"/>
      <c r="AGZ455" s="195"/>
    </row>
    <row r="456">
      <c r="IT456" s="195"/>
      <c r="AGW456" s="195"/>
      <c r="AGX456" s="195"/>
      <c r="AGY456" s="195"/>
      <c r="AGZ456" s="195"/>
    </row>
    <row r="457">
      <c r="IT457" s="195"/>
      <c r="AGW457" s="195"/>
      <c r="AGX457" s="195"/>
      <c r="AGY457" s="195"/>
      <c r="AGZ457" s="195"/>
    </row>
    <row r="458">
      <c r="IT458" s="195"/>
      <c r="AGW458" s="195"/>
      <c r="AGX458" s="195"/>
      <c r="AGY458" s="195"/>
      <c r="AGZ458" s="195"/>
    </row>
    <row r="459">
      <c r="IT459" s="195"/>
      <c r="AGW459" s="195"/>
      <c r="AGX459" s="195"/>
      <c r="AGY459" s="195"/>
      <c r="AGZ459" s="195"/>
    </row>
    <row r="460">
      <c r="IT460" s="195"/>
      <c r="AGW460" s="195"/>
      <c r="AGX460" s="195"/>
      <c r="AGY460" s="195"/>
      <c r="AGZ460" s="195"/>
    </row>
    <row r="461">
      <c r="IT461" s="195"/>
      <c r="AGW461" s="195"/>
      <c r="AGX461" s="195"/>
      <c r="AGY461" s="195"/>
      <c r="AGZ461" s="195"/>
    </row>
    <row r="462">
      <c r="IT462" s="195"/>
      <c r="AGW462" s="195"/>
      <c r="AGX462" s="195"/>
      <c r="AGY462" s="195"/>
      <c r="AGZ462" s="195"/>
    </row>
    <row r="463">
      <c r="IT463" s="195"/>
      <c r="AGW463" s="195"/>
      <c r="AGX463" s="195"/>
      <c r="AGY463" s="195"/>
      <c r="AGZ463" s="195"/>
    </row>
    <row r="464">
      <c r="IT464" s="195"/>
      <c r="AGW464" s="195"/>
      <c r="AGX464" s="195"/>
      <c r="AGY464" s="195"/>
      <c r="AGZ464" s="195"/>
    </row>
    <row r="465">
      <c r="IT465" s="195"/>
      <c r="AGW465" s="195"/>
      <c r="AGX465" s="195"/>
      <c r="AGY465" s="195"/>
      <c r="AGZ465" s="195"/>
    </row>
    <row r="466">
      <c r="IT466" s="195"/>
      <c r="AGW466" s="195"/>
      <c r="AGX466" s="195"/>
      <c r="AGY466" s="195"/>
      <c r="AGZ466" s="195"/>
    </row>
    <row r="467">
      <c r="IT467" s="195"/>
      <c r="AGW467" s="195"/>
      <c r="AGX467" s="195"/>
      <c r="AGY467" s="195"/>
      <c r="AGZ467" s="195"/>
    </row>
    <row r="468">
      <c r="IT468" s="195"/>
      <c r="AGW468" s="195"/>
      <c r="AGX468" s="195"/>
      <c r="AGY468" s="195"/>
      <c r="AGZ468" s="195"/>
    </row>
    <row r="469">
      <c r="IT469" s="195"/>
      <c r="AGW469" s="195"/>
      <c r="AGX469" s="195"/>
      <c r="AGY469" s="195"/>
      <c r="AGZ469" s="195"/>
    </row>
    <row r="470">
      <c r="IT470" s="195"/>
      <c r="AGW470" s="195"/>
      <c r="AGX470" s="195"/>
      <c r="AGY470" s="195"/>
      <c r="AGZ470" s="195"/>
    </row>
    <row r="471">
      <c r="IT471" s="195"/>
      <c r="AGW471" s="195"/>
      <c r="AGX471" s="195"/>
      <c r="AGY471" s="195"/>
      <c r="AGZ471" s="195"/>
    </row>
    <row r="472">
      <c r="IT472" s="195"/>
      <c r="AGW472" s="195"/>
      <c r="AGX472" s="195"/>
      <c r="AGY472" s="195"/>
      <c r="AGZ472" s="195"/>
    </row>
    <row r="473">
      <c r="IT473" s="195"/>
      <c r="AGW473" s="195"/>
      <c r="AGX473" s="195"/>
      <c r="AGY473" s="195"/>
      <c r="AGZ473" s="195"/>
    </row>
    <row r="474">
      <c r="IT474" s="195"/>
      <c r="AGW474" s="195"/>
      <c r="AGX474" s="195"/>
      <c r="AGY474" s="195"/>
      <c r="AGZ474" s="195"/>
    </row>
    <row r="475">
      <c r="IT475" s="195"/>
      <c r="AGW475" s="195"/>
      <c r="AGX475" s="195"/>
      <c r="AGY475" s="195"/>
      <c r="AGZ475" s="195"/>
    </row>
    <row r="476">
      <c r="IT476" s="195"/>
      <c r="AGW476" s="195"/>
      <c r="AGX476" s="195"/>
      <c r="AGY476" s="195"/>
      <c r="AGZ476" s="195"/>
    </row>
    <row r="477">
      <c r="IT477" s="195"/>
      <c r="AGW477" s="195"/>
      <c r="AGX477" s="195"/>
      <c r="AGY477" s="195"/>
      <c r="AGZ477" s="195"/>
    </row>
    <row r="478">
      <c r="IT478" s="195"/>
      <c r="AGW478" s="195"/>
      <c r="AGX478" s="195"/>
      <c r="AGY478" s="195"/>
      <c r="AGZ478" s="195"/>
    </row>
    <row r="479">
      <c r="IT479" s="195"/>
      <c r="AGW479" s="195"/>
      <c r="AGX479" s="195"/>
      <c r="AGY479" s="195"/>
      <c r="AGZ479" s="195"/>
    </row>
    <row r="480">
      <c r="IT480" s="195"/>
      <c r="AGW480" s="195"/>
      <c r="AGX480" s="195"/>
      <c r="AGY480" s="195"/>
      <c r="AGZ480" s="195"/>
    </row>
    <row r="481">
      <c r="IT481" s="195"/>
      <c r="AGW481" s="195"/>
      <c r="AGX481" s="195"/>
      <c r="AGY481" s="195"/>
      <c r="AGZ481" s="195"/>
    </row>
    <row r="482">
      <c r="IT482" s="195"/>
      <c r="AGW482" s="195"/>
      <c r="AGX482" s="195"/>
      <c r="AGY482" s="195"/>
      <c r="AGZ482" s="195"/>
    </row>
    <row r="483">
      <c r="IT483" s="195"/>
      <c r="AGW483" s="195"/>
      <c r="AGX483" s="195"/>
      <c r="AGY483" s="195"/>
      <c r="AGZ483" s="195"/>
    </row>
    <row r="484">
      <c r="IT484" s="195"/>
      <c r="AGW484" s="195"/>
      <c r="AGX484" s="195"/>
      <c r="AGY484" s="195"/>
      <c r="AGZ484" s="195"/>
    </row>
    <row r="485">
      <c r="IT485" s="195"/>
      <c r="AGW485" s="195"/>
      <c r="AGX485" s="195"/>
      <c r="AGY485" s="195"/>
      <c r="AGZ485" s="195"/>
    </row>
    <row r="486">
      <c r="IT486" s="195"/>
      <c r="AGW486" s="195"/>
      <c r="AGX486" s="195"/>
      <c r="AGY486" s="195"/>
      <c r="AGZ486" s="195"/>
    </row>
    <row r="487">
      <c r="IT487" s="195"/>
      <c r="AGW487" s="195"/>
      <c r="AGX487" s="195"/>
      <c r="AGY487" s="195"/>
      <c r="AGZ487" s="195"/>
    </row>
    <row r="488">
      <c r="IT488" s="195"/>
      <c r="AGW488" s="195"/>
      <c r="AGX488" s="195"/>
      <c r="AGY488" s="195"/>
      <c r="AGZ488" s="195"/>
    </row>
    <row r="489">
      <c r="IT489" s="195"/>
      <c r="AGW489" s="195"/>
      <c r="AGX489" s="195"/>
      <c r="AGY489" s="195"/>
      <c r="AGZ489" s="195"/>
    </row>
    <row r="490">
      <c r="IT490" s="195"/>
      <c r="AGW490" s="195"/>
      <c r="AGX490" s="195"/>
      <c r="AGY490" s="195"/>
      <c r="AGZ490" s="195"/>
    </row>
    <row r="491">
      <c r="IT491" s="195"/>
      <c r="AGW491" s="195"/>
      <c r="AGX491" s="195"/>
      <c r="AGY491" s="195"/>
      <c r="AGZ491" s="195"/>
    </row>
    <row r="492">
      <c r="IT492" s="195"/>
      <c r="AGW492" s="195"/>
      <c r="AGX492" s="195"/>
      <c r="AGY492" s="195"/>
      <c r="AGZ492" s="195"/>
    </row>
    <row r="493">
      <c r="IT493" s="195"/>
      <c r="AGW493" s="195"/>
      <c r="AGX493" s="195"/>
      <c r="AGY493" s="195"/>
      <c r="AGZ493" s="195"/>
    </row>
    <row r="494">
      <c r="IT494" s="195"/>
      <c r="AGW494" s="195"/>
      <c r="AGX494" s="195"/>
      <c r="AGY494" s="195"/>
      <c r="AGZ494" s="195"/>
    </row>
    <row r="495">
      <c r="IT495" s="195"/>
      <c r="AGW495" s="195"/>
      <c r="AGX495" s="195"/>
      <c r="AGY495" s="195"/>
      <c r="AGZ495" s="195"/>
    </row>
    <row r="496">
      <c r="IT496" s="195"/>
      <c r="AGW496" s="195"/>
      <c r="AGX496" s="195"/>
      <c r="AGY496" s="195"/>
      <c r="AGZ496" s="195"/>
    </row>
    <row r="497">
      <c r="IT497" s="195"/>
      <c r="AGW497" s="195"/>
      <c r="AGX497" s="195"/>
      <c r="AGY497" s="195"/>
      <c r="AGZ497" s="195"/>
    </row>
    <row r="498">
      <c r="IT498" s="195"/>
      <c r="AGW498" s="195"/>
      <c r="AGX498" s="195"/>
      <c r="AGY498" s="195"/>
      <c r="AGZ498" s="195"/>
    </row>
    <row r="499">
      <c r="IT499" s="195"/>
      <c r="AGW499" s="195"/>
      <c r="AGX499" s="195"/>
      <c r="AGY499" s="195"/>
      <c r="AGZ499" s="195"/>
    </row>
    <row r="500">
      <c r="IT500" s="195"/>
      <c r="AGW500" s="195"/>
      <c r="AGX500" s="195"/>
      <c r="AGY500" s="195"/>
      <c r="AGZ500" s="195"/>
    </row>
    <row r="501">
      <c r="IT501" s="195"/>
      <c r="AGW501" s="195"/>
      <c r="AGX501" s="195"/>
      <c r="AGY501" s="195"/>
      <c r="AGZ501" s="195"/>
    </row>
    <row r="502">
      <c r="IT502" s="195"/>
      <c r="AGW502" s="195"/>
      <c r="AGX502" s="195"/>
      <c r="AGY502" s="195"/>
      <c r="AGZ502" s="195"/>
    </row>
    <row r="503">
      <c r="IT503" s="195"/>
      <c r="AGW503" s="195"/>
      <c r="AGX503" s="195"/>
      <c r="AGY503" s="195"/>
      <c r="AGZ503" s="195"/>
    </row>
    <row r="504">
      <c r="IT504" s="195"/>
      <c r="AGW504" s="195"/>
      <c r="AGX504" s="195"/>
      <c r="AGY504" s="195"/>
      <c r="AGZ504" s="195"/>
    </row>
    <row r="505">
      <c r="IT505" s="195"/>
      <c r="AGW505" s="195"/>
      <c r="AGX505" s="195"/>
      <c r="AGY505" s="195"/>
      <c r="AGZ505" s="195"/>
    </row>
    <row r="506">
      <c r="IT506" s="195"/>
      <c r="AGW506" s="195"/>
      <c r="AGX506" s="195"/>
      <c r="AGY506" s="195"/>
      <c r="AGZ506" s="195"/>
    </row>
    <row r="507">
      <c r="IT507" s="195"/>
      <c r="AGW507" s="195"/>
      <c r="AGX507" s="195"/>
      <c r="AGY507" s="195"/>
      <c r="AGZ507" s="195"/>
    </row>
    <row r="508">
      <c r="IT508" s="195"/>
      <c r="AGW508" s="195"/>
      <c r="AGX508" s="195"/>
      <c r="AGY508" s="195"/>
      <c r="AGZ508" s="195"/>
    </row>
    <row r="509">
      <c r="IT509" s="195"/>
      <c r="AGW509" s="195"/>
      <c r="AGX509" s="195"/>
      <c r="AGY509" s="195"/>
      <c r="AGZ509" s="195"/>
    </row>
    <row r="510">
      <c r="IT510" s="195"/>
      <c r="AGW510" s="195"/>
      <c r="AGX510" s="195"/>
      <c r="AGY510" s="195"/>
      <c r="AGZ510" s="195"/>
    </row>
    <row r="511">
      <c r="IT511" s="195"/>
      <c r="AGW511" s="195"/>
      <c r="AGX511" s="195"/>
      <c r="AGY511" s="195"/>
      <c r="AGZ511" s="195"/>
    </row>
    <row r="512">
      <c r="IT512" s="195"/>
      <c r="AGW512" s="195"/>
      <c r="AGX512" s="195"/>
      <c r="AGY512" s="195"/>
      <c r="AGZ512" s="195"/>
    </row>
    <row r="513">
      <c r="IT513" s="195"/>
      <c r="AGW513" s="195"/>
      <c r="AGX513" s="195"/>
      <c r="AGY513" s="195"/>
      <c r="AGZ513" s="195"/>
    </row>
    <row r="514">
      <c r="IT514" s="195"/>
      <c r="AGW514" s="195"/>
      <c r="AGX514" s="195"/>
      <c r="AGY514" s="195"/>
      <c r="AGZ514" s="195"/>
    </row>
    <row r="515">
      <c r="IT515" s="195"/>
      <c r="AGW515" s="195"/>
      <c r="AGX515" s="195"/>
      <c r="AGY515" s="195"/>
      <c r="AGZ515" s="195"/>
    </row>
    <row r="516">
      <c r="IT516" s="195"/>
      <c r="AGW516" s="195"/>
      <c r="AGX516" s="195"/>
      <c r="AGY516" s="195"/>
      <c r="AGZ516" s="195"/>
    </row>
    <row r="517">
      <c r="IT517" s="195"/>
      <c r="AGW517" s="195"/>
      <c r="AGX517" s="195"/>
      <c r="AGY517" s="195"/>
      <c r="AGZ517" s="195"/>
    </row>
    <row r="518">
      <c r="IT518" s="195"/>
      <c r="AGW518" s="195"/>
      <c r="AGX518" s="195"/>
      <c r="AGY518" s="195"/>
      <c r="AGZ518" s="195"/>
    </row>
    <row r="519">
      <c r="IT519" s="195"/>
      <c r="AGW519" s="195"/>
      <c r="AGX519" s="195"/>
      <c r="AGY519" s="195"/>
      <c r="AGZ519" s="195"/>
    </row>
    <row r="520">
      <c r="IT520" s="195"/>
      <c r="AGW520" s="195"/>
      <c r="AGX520" s="195"/>
      <c r="AGY520" s="195"/>
      <c r="AGZ520" s="195"/>
    </row>
    <row r="521">
      <c r="IT521" s="195"/>
      <c r="AGW521" s="195"/>
      <c r="AGX521" s="195"/>
      <c r="AGY521" s="195"/>
      <c r="AGZ521" s="195"/>
    </row>
    <row r="522">
      <c r="IT522" s="195"/>
      <c r="AGW522" s="195"/>
      <c r="AGX522" s="195"/>
      <c r="AGY522" s="195"/>
      <c r="AGZ522" s="195"/>
    </row>
    <row r="523">
      <c r="IT523" s="195"/>
      <c r="AGW523" s="195"/>
      <c r="AGX523" s="195"/>
      <c r="AGY523" s="195"/>
      <c r="AGZ523" s="195"/>
    </row>
    <row r="524">
      <c r="IT524" s="195"/>
      <c r="AGW524" s="195"/>
      <c r="AGX524" s="195"/>
      <c r="AGY524" s="195"/>
      <c r="AGZ524" s="195"/>
    </row>
    <row r="525">
      <c r="IT525" s="195"/>
      <c r="AGW525" s="195"/>
      <c r="AGX525" s="195"/>
      <c r="AGY525" s="195"/>
      <c r="AGZ525" s="195"/>
    </row>
    <row r="526">
      <c r="IT526" s="195"/>
      <c r="AGW526" s="195"/>
      <c r="AGX526" s="195"/>
      <c r="AGY526" s="195"/>
      <c r="AGZ526" s="195"/>
    </row>
    <row r="527">
      <c r="IT527" s="195"/>
      <c r="AGW527" s="195"/>
      <c r="AGX527" s="195"/>
      <c r="AGY527" s="195"/>
      <c r="AGZ527" s="195"/>
    </row>
    <row r="528">
      <c r="IT528" s="195"/>
      <c r="AGW528" s="195"/>
      <c r="AGX528" s="195"/>
      <c r="AGY528" s="195"/>
      <c r="AGZ528" s="195"/>
    </row>
    <row r="529">
      <c r="IT529" s="195"/>
      <c r="AGW529" s="195"/>
      <c r="AGX529" s="195"/>
      <c r="AGY529" s="195"/>
      <c r="AGZ529" s="195"/>
    </row>
    <row r="530">
      <c r="IT530" s="195"/>
      <c r="AGW530" s="195"/>
      <c r="AGX530" s="195"/>
      <c r="AGY530" s="195"/>
      <c r="AGZ530" s="195"/>
    </row>
    <row r="531">
      <c r="IT531" s="195"/>
      <c r="AGW531" s="195"/>
      <c r="AGX531" s="195"/>
      <c r="AGY531" s="195"/>
      <c r="AGZ531" s="195"/>
    </row>
    <row r="532">
      <c r="IT532" s="195"/>
      <c r="AGW532" s="195"/>
      <c r="AGX532" s="195"/>
      <c r="AGY532" s="195"/>
      <c r="AGZ532" s="195"/>
    </row>
    <row r="533">
      <c r="IT533" s="195"/>
      <c r="AGW533" s="195"/>
      <c r="AGX533" s="195"/>
      <c r="AGY533" s="195"/>
      <c r="AGZ533" s="195"/>
    </row>
    <row r="534">
      <c r="IT534" s="195"/>
      <c r="AGW534" s="195"/>
      <c r="AGX534" s="195"/>
      <c r="AGY534" s="195"/>
      <c r="AGZ534" s="195"/>
    </row>
    <row r="535">
      <c r="IT535" s="195"/>
      <c r="AGW535" s="195"/>
      <c r="AGX535" s="195"/>
      <c r="AGY535" s="195"/>
      <c r="AGZ535" s="195"/>
    </row>
    <row r="536">
      <c r="IT536" s="195"/>
      <c r="AGW536" s="195"/>
      <c r="AGX536" s="195"/>
      <c r="AGY536" s="195"/>
      <c r="AGZ536" s="195"/>
    </row>
    <row r="537">
      <c r="IT537" s="195"/>
      <c r="AGW537" s="195"/>
      <c r="AGX537" s="195"/>
      <c r="AGY537" s="195"/>
      <c r="AGZ537" s="195"/>
    </row>
    <row r="538">
      <c r="IT538" s="195"/>
      <c r="AGW538" s="195"/>
      <c r="AGX538" s="195"/>
      <c r="AGY538" s="195"/>
      <c r="AGZ538" s="195"/>
    </row>
    <row r="539">
      <c r="IT539" s="195"/>
      <c r="AGW539" s="195"/>
      <c r="AGX539" s="195"/>
      <c r="AGY539" s="195"/>
      <c r="AGZ539" s="195"/>
    </row>
    <row r="540">
      <c r="IT540" s="195"/>
      <c r="AGW540" s="195"/>
      <c r="AGX540" s="195"/>
      <c r="AGY540" s="195"/>
      <c r="AGZ540" s="195"/>
    </row>
    <row r="541">
      <c r="IT541" s="195"/>
      <c r="AGW541" s="195"/>
      <c r="AGX541" s="195"/>
      <c r="AGY541" s="195"/>
      <c r="AGZ541" s="195"/>
    </row>
    <row r="542">
      <c r="IT542" s="195"/>
      <c r="AGW542" s="195"/>
      <c r="AGX542" s="195"/>
      <c r="AGY542" s="195"/>
      <c r="AGZ542" s="195"/>
    </row>
    <row r="543">
      <c r="IT543" s="195"/>
      <c r="AGW543" s="195"/>
      <c r="AGX543" s="195"/>
      <c r="AGY543" s="195"/>
      <c r="AGZ543" s="195"/>
    </row>
    <row r="544">
      <c r="IT544" s="195"/>
      <c r="AGW544" s="195"/>
      <c r="AGX544" s="195"/>
      <c r="AGY544" s="195"/>
      <c r="AGZ544" s="195"/>
    </row>
    <row r="545">
      <c r="IT545" s="195"/>
      <c r="AGW545" s="195"/>
      <c r="AGX545" s="195"/>
      <c r="AGY545" s="195"/>
      <c r="AGZ545" s="195"/>
    </row>
    <row r="546">
      <c r="IT546" s="195"/>
      <c r="AGW546" s="195"/>
      <c r="AGX546" s="195"/>
      <c r="AGY546" s="195"/>
      <c r="AGZ546" s="195"/>
    </row>
    <row r="547">
      <c r="IT547" s="195"/>
      <c r="AGW547" s="195"/>
      <c r="AGX547" s="195"/>
      <c r="AGY547" s="195"/>
      <c r="AGZ547" s="195"/>
    </row>
    <row r="548">
      <c r="IT548" s="195"/>
      <c r="AGW548" s="195"/>
      <c r="AGX548" s="195"/>
      <c r="AGY548" s="195"/>
      <c r="AGZ548" s="195"/>
    </row>
    <row r="549">
      <c r="IT549" s="195"/>
      <c r="AGW549" s="195"/>
      <c r="AGX549" s="195"/>
      <c r="AGY549" s="195"/>
      <c r="AGZ549" s="195"/>
    </row>
    <row r="550">
      <c r="IT550" s="195"/>
      <c r="AGW550" s="195"/>
      <c r="AGX550" s="195"/>
      <c r="AGY550" s="195"/>
      <c r="AGZ550" s="195"/>
    </row>
    <row r="551">
      <c r="IT551" s="195"/>
      <c r="AGW551" s="195"/>
      <c r="AGX551" s="195"/>
      <c r="AGY551" s="195"/>
      <c r="AGZ551" s="195"/>
    </row>
    <row r="552">
      <c r="IT552" s="195"/>
      <c r="AGW552" s="195"/>
      <c r="AGX552" s="195"/>
      <c r="AGY552" s="195"/>
      <c r="AGZ552" s="195"/>
    </row>
    <row r="553">
      <c r="IT553" s="195"/>
      <c r="AGW553" s="195"/>
      <c r="AGX553" s="195"/>
      <c r="AGY553" s="195"/>
      <c r="AGZ553" s="195"/>
    </row>
    <row r="554">
      <c r="IT554" s="195"/>
      <c r="AGW554" s="195"/>
      <c r="AGX554" s="195"/>
      <c r="AGY554" s="195"/>
      <c r="AGZ554" s="195"/>
    </row>
    <row r="555">
      <c r="IT555" s="195"/>
      <c r="AGW555" s="195"/>
      <c r="AGX555" s="195"/>
      <c r="AGY555" s="195"/>
      <c r="AGZ555" s="195"/>
    </row>
    <row r="556">
      <c r="IT556" s="195"/>
      <c r="AGW556" s="195"/>
      <c r="AGX556" s="195"/>
      <c r="AGY556" s="195"/>
      <c r="AGZ556" s="195"/>
    </row>
    <row r="557">
      <c r="IT557" s="195"/>
      <c r="AGW557" s="195"/>
      <c r="AGX557" s="195"/>
      <c r="AGY557" s="195"/>
      <c r="AGZ557" s="195"/>
    </row>
    <row r="558">
      <c r="IT558" s="195"/>
      <c r="AGW558" s="195"/>
      <c r="AGX558" s="195"/>
      <c r="AGY558" s="195"/>
      <c r="AGZ558" s="195"/>
    </row>
    <row r="559">
      <c r="IT559" s="195"/>
      <c r="AGW559" s="195"/>
      <c r="AGX559" s="195"/>
      <c r="AGY559" s="195"/>
      <c r="AGZ559" s="195"/>
    </row>
    <row r="560">
      <c r="IT560" s="195"/>
      <c r="AGW560" s="195"/>
      <c r="AGX560" s="195"/>
      <c r="AGY560" s="195"/>
      <c r="AGZ560" s="195"/>
    </row>
    <row r="561">
      <c r="IT561" s="195"/>
      <c r="AGW561" s="195"/>
      <c r="AGX561" s="195"/>
      <c r="AGY561" s="195"/>
      <c r="AGZ561" s="195"/>
    </row>
    <row r="562">
      <c r="IT562" s="195"/>
      <c r="AGW562" s="195"/>
      <c r="AGX562" s="195"/>
      <c r="AGY562" s="195"/>
      <c r="AGZ562" s="195"/>
    </row>
    <row r="563">
      <c r="IT563" s="195"/>
      <c r="AGW563" s="195"/>
      <c r="AGX563" s="195"/>
      <c r="AGY563" s="195"/>
      <c r="AGZ563" s="195"/>
    </row>
    <row r="564">
      <c r="IT564" s="195"/>
      <c r="AGW564" s="195"/>
      <c r="AGX564" s="195"/>
      <c r="AGY564" s="195"/>
      <c r="AGZ564" s="195"/>
    </row>
    <row r="565">
      <c r="IT565" s="195"/>
      <c r="AGW565" s="195"/>
      <c r="AGX565" s="195"/>
      <c r="AGY565" s="195"/>
      <c r="AGZ565" s="195"/>
    </row>
    <row r="566">
      <c r="IT566" s="195"/>
      <c r="AGW566" s="195"/>
      <c r="AGX566" s="195"/>
      <c r="AGY566" s="195"/>
      <c r="AGZ566" s="195"/>
    </row>
    <row r="567">
      <c r="IT567" s="195"/>
      <c r="AGW567" s="195"/>
      <c r="AGX567" s="195"/>
      <c r="AGY567" s="195"/>
      <c r="AGZ567" s="195"/>
    </row>
    <row r="568">
      <c r="IT568" s="195"/>
      <c r="AGW568" s="195"/>
      <c r="AGX568" s="195"/>
      <c r="AGY568" s="195"/>
      <c r="AGZ568" s="195"/>
    </row>
    <row r="569">
      <c r="IT569" s="195"/>
      <c r="AGW569" s="195"/>
      <c r="AGX569" s="195"/>
      <c r="AGY569" s="195"/>
      <c r="AGZ569" s="195"/>
    </row>
    <row r="570">
      <c r="IT570" s="195"/>
      <c r="AGW570" s="195"/>
      <c r="AGX570" s="195"/>
      <c r="AGY570" s="195"/>
      <c r="AGZ570" s="195"/>
    </row>
    <row r="571">
      <c r="IT571" s="195"/>
      <c r="AGW571" s="195"/>
      <c r="AGX571" s="195"/>
      <c r="AGY571" s="195"/>
      <c r="AGZ571" s="195"/>
    </row>
    <row r="572">
      <c r="IT572" s="195"/>
      <c r="AGW572" s="195"/>
      <c r="AGX572" s="195"/>
      <c r="AGY572" s="195"/>
      <c r="AGZ572" s="195"/>
    </row>
    <row r="573">
      <c r="IT573" s="195"/>
      <c r="AGW573" s="195"/>
      <c r="AGX573" s="195"/>
      <c r="AGY573" s="195"/>
      <c r="AGZ573" s="195"/>
    </row>
    <row r="574">
      <c r="IT574" s="195"/>
      <c r="AGW574" s="195"/>
      <c r="AGX574" s="195"/>
      <c r="AGY574" s="195"/>
      <c r="AGZ574" s="195"/>
    </row>
    <row r="575">
      <c r="IT575" s="195"/>
      <c r="AGW575" s="195"/>
      <c r="AGX575" s="195"/>
      <c r="AGY575" s="195"/>
      <c r="AGZ575" s="195"/>
    </row>
    <row r="576">
      <c r="IT576" s="195"/>
      <c r="AGW576" s="195"/>
      <c r="AGX576" s="195"/>
      <c r="AGY576" s="195"/>
      <c r="AGZ576" s="195"/>
    </row>
    <row r="577">
      <c r="IT577" s="195"/>
      <c r="AGW577" s="195"/>
      <c r="AGX577" s="195"/>
      <c r="AGY577" s="195"/>
      <c r="AGZ577" s="195"/>
    </row>
    <row r="578">
      <c r="IT578" s="195"/>
      <c r="AGW578" s="195"/>
      <c r="AGX578" s="195"/>
      <c r="AGY578" s="195"/>
      <c r="AGZ578" s="195"/>
    </row>
    <row r="579">
      <c r="IT579" s="195"/>
      <c r="AGW579" s="195"/>
      <c r="AGX579" s="195"/>
      <c r="AGY579" s="195"/>
      <c r="AGZ579" s="195"/>
    </row>
    <row r="580">
      <c r="IT580" s="195"/>
      <c r="AGW580" s="195"/>
      <c r="AGX580" s="195"/>
      <c r="AGY580" s="195"/>
      <c r="AGZ580" s="195"/>
    </row>
    <row r="581">
      <c r="IT581" s="195"/>
      <c r="AGW581" s="195"/>
      <c r="AGX581" s="195"/>
      <c r="AGY581" s="195"/>
      <c r="AGZ581" s="195"/>
    </row>
    <row r="582">
      <c r="IT582" s="195"/>
      <c r="AGW582" s="195"/>
      <c r="AGX582" s="195"/>
      <c r="AGY582" s="195"/>
      <c r="AGZ582" s="195"/>
    </row>
    <row r="583">
      <c r="IT583" s="195"/>
      <c r="AGW583" s="195"/>
      <c r="AGX583" s="195"/>
      <c r="AGY583" s="195"/>
      <c r="AGZ583" s="195"/>
    </row>
    <row r="584">
      <c r="IT584" s="195"/>
      <c r="AGW584" s="195"/>
      <c r="AGX584" s="195"/>
      <c r="AGY584" s="195"/>
      <c r="AGZ584" s="195"/>
    </row>
    <row r="585">
      <c r="IT585" s="195"/>
      <c r="AGW585" s="195"/>
      <c r="AGX585" s="195"/>
      <c r="AGY585" s="195"/>
      <c r="AGZ585" s="195"/>
    </row>
    <row r="586">
      <c r="IT586" s="195"/>
      <c r="AGW586" s="195"/>
      <c r="AGX586" s="195"/>
      <c r="AGY586" s="195"/>
      <c r="AGZ586" s="195"/>
    </row>
    <row r="587">
      <c r="IT587" s="195"/>
      <c r="AGW587" s="195"/>
      <c r="AGX587" s="195"/>
      <c r="AGY587" s="195"/>
      <c r="AGZ587" s="195"/>
    </row>
    <row r="588">
      <c r="IT588" s="195"/>
      <c r="AGW588" s="195"/>
      <c r="AGX588" s="195"/>
      <c r="AGY588" s="195"/>
      <c r="AGZ588" s="195"/>
    </row>
    <row r="589">
      <c r="IT589" s="195"/>
      <c r="AGW589" s="195"/>
      <c r="AGX589" s="195"/>
      <c r="AGY589" s="195"/>
      <c r="AGZ589" s="195"/>
    </row>
    <row r="590">
      <c r="IT590" s="195"/>
      <c r="AGW590" s="195"/>
      <c r="AGX590" s="195"/>
      <c r="AGY590" s="195"/>
      <c r="AGZ590" s="195"/>
    </row>
    <row r="591">
      <c r="IT591" s="195"/>
      <c r="AGW591" s="195"/>
      <c r="AGX591" s="195"/>
      <c r="AGY591" s="195"/>
      <c r="AGZ591" s="195"/>
    </row>
    <row r="592">
      <c r="IT592" s="195"/>
      <c r="AGW592" s="195"/>
      <c r="AGX592" s="195"/>
      <c r="AGY592" s="195"/>
      <c r="AGZ592" s="195"/>
    </row>
    <row r="593">
      <c r="IT593" s="195"/>
      <c r="AGW593" s="195"/>
      <c r="AGX593" s="195"/>
      <c r="AGY593" s="195"/>
      <c r="AGZ593" s="195"/>
    </row>
    <row r="594">
      <c r="IT594" s="195"/>
      <c r="AGW594" s="195"/>
      <c r="AGX594" s="195"/>
      <c r="AGY594" s="195"/>
      <c r="AGZ594" s="195"/>
    </row>
    <row r="595">
      <c r="IT595" s="195"/>
      <c r="AGW595" s="195"/>
      <c r="AGX595" s="195"/>
      <c r="AGY595" s="195"/>
      <c r="AGZ595" s="195"/>
    </row>
    <row r="596">
      <c r="IT596" s="195"/>
      <c r="AGW596" s="195"/>
      <c r="AGX596" s="195"/>
      <c r="AGY596" s="195"/>
      <c r="AGZ596" s="195"/>
    </row>
    <row r="597">
      <c r="IT597" s="195"/>
      <c r="AGW597" s="195"/>
      <c r="AGX597" s="195"/>
      <c r="AGY597" s="195"/>
      <c r="AGZ597" s="195"/>
    </row>
    <row r="598">
      <c r="IT598" s="195"/>
      <c r="AGW598" s="195"/>
      <c r="AGX598" s="195"/>
      <c r="AGY598" s="195"/>
      <c r="AGZ598" s="195"/>
    </row>
    <row r="599">
      <c r="IT599" s="195"/>
      <c r="AGW599" s="195"/>
      <c r="AGX599" s="195"/>
      <c r="AGY599" s="195"/>
      <c r="AGZ599" s="195"/>
    </row>
    <row r="600">
      <c r="IT600" s="195"/>
      <c r="AGW600" s="195"/>
      <c r="AGX600" s="195"/>
      <c r="AGY600" s="195"/>
      <c r="AGZ600" s="195"/>
    </row>
    <row r="601">
      <c r="IT601" s="195"/>
      <c r="AGW601" s="195"/>
      <c r="AGX601" s="195"/>
      <c r="AGY601" s="195"/>
      <c r="AGZ601" s="195"/>
    </row>
    <row r="602">
      <c r="IT602" s="195"/>
      <c r="AGW602" s="195"/>
      <c r="AGX602" s="195"/>
      <c r="AGY602" s="195"/>
      <c r="AGZ602" s="195"/>
    </row>
    <row r="603">
      <c r="IT603" s="195"/>
      <c r="AGW603" s="195"/>
      <c r="AGX603" s="195"/>
      <c r="AGY603" s="195"/>
      <c r="AGZ603" s="195"/>
    </row>
    <row r="604">
      <c r="IT604" s="195"/>
      <c r="AGW604" s="195"/>
      <c r="AGX604" s="195"/>
      <c r="AGY604" s="195"/>
      <c r="AGZ604" s="195"/>
    </row>
    <row r="605">
      <c r="IT605" s="195"/>
      <c r="AGW605" s="195"/>
      <c r="AGX605" s="195"/>
      <c r="AGY605" s="195"/>
      <c r="AGZ605" s="195"/>
    </row>
    <row r="606">
      <c r="IT606" s="195"/>
      <c r="AGW606" s="195"/>
      <c r="AGX606" s="195"/>
      <c r="AGY606" s="195"/>
      <c r="AGZ606" s="195"/>
    </row>
    <row r="607">
      <c r="IT607" s="195"/>
      <c r="AGW607" s="195"/>
      <c r="AGX607" s="195"/>
      <c r="AGY607" s="195"/>
      <c r="AGZ607" s="195"/>
    </row>
    <row r="608">
      <c r="IT608" s="195"/>
      <c r="AGW608" s="195"/>
      <c r="AGX608" s="195"/>
      <c r="AGY608" s="195"/>
      <c r="AGZ608" s="195"/>
    </row>
    <row r="609">
      <c r="IT609" s="195"/>
      <c r="AGW609" s="195"/>
      <c r="AGX609" s="195"/>
      <c r="AGY609" s="195"/>
      <c r="AGZ609" s="195"/>
    </row>
    <row r="610">
      <c r="IT610" s="195"/>
      <c r="AGW610" s="195"/>
      <c r="AGX610" s="195"/>
      <c r="AGY610" s="195"/>
      <c r="AGZ610" s="195"/>
    </row>
    <row r="611">
      <c r="IT611" s="195"/>
      <c r="AGW611" s="195"/>
      <c r="AGX611" s="195"/>
      <c r="AGY611" s="195"/>
      <c r="AGZ611" s="195"/>
    </row>
    <row r="612">
      <c r="IT612" s="195"/>
      <c r="AGW612" s="195"/>
      <c r="AGX612" s="195"/>
      <c r="AGY612" s="195"/>
      <c r="AGZ612" s="195"/>
    </row>
    <row r="613">
      <c r="IT613" s="195"/>
      <c r="AGW613" s="195"/>
      <c r="AGX613" s="195"/>
      <c r="AGY613" s="195"/>
      <c r="AGZ613" s="195"/>
    </row>
    <row r="614">
      <c r="IT614" s="195"/>
      <c r="AGW614" s="195"/>
      <c r="AGX614" s="195"/>
      <c r="AGY614" s="195"/>
      <c r="AGZ614" s="195"/>
    </row>
    <row r="615">
      <c r="IT615" s="195"/>
      <c r="AGW615" s="195"/>
      <c r="AGX615" s="195"/>
      <c r="AGY615" s="195"/>
      <c r="AGZ615" s="195"/>
    </row>
    <row r="616">
      <c r="IT616" s="195"/>
      <c r="AGW616" s="195"/>
      <c r="AGX616" s="195"/>
      <c r="AGY616" s="195"/>
      <c r="AGZ616" s="195"/>
    </row>
    <row r="617">
      <c r="IT617" s="195"/>
      <c r="AGW617" s="195"/>
      <c r="AGX617" s="195"/>
      <c r="AGY617" s="195"/>
      <c r="AGZ617" s="195"/>
    </row>
    <row r="618">
      <c r="IT618" s="195"/>
      <c r="AGW618" s="195"/>
      <c r="AGX618" s="195"/>
      <c r="AGY618" s="195"/>
      <c r="AGZ618" s="195"/>
    </row>
    <row r="619">
      <c r="IT619" s="195"/>
      <c r="AGW619" s="195"/>
      <c r="AGX619" s="195"/>
      <c r="AGY619" s="195"/>
      <c r="AGZ619" s="195"/>
    </row>
    <row r="620">
      <c r="IT620" s="195"/>
      <c r="AGW620" s="195"/>
      <c r="AGX620" s="195"/>
      <c r="AGY620" s="195"/>
      <c r="AGZ620" s="195"/>
    </row>
    <row r="621">
      <c r="IT621" s="195"/>
      <c r="AGW621" s="195"/>
      <c r="AGX621" s="195"/>
      <c r="AGY621" s="195"/>
      <c r="AGZ621" s="195"/>
    </row>
    <row r="622">
      <c r="IT622" s="195"/>
      <c r="AGW622" s="195"/>
      <c r="AGX622" s="195"/>
      <c r="AGY622" s="195"/>
      <c r="AGZ622" s="195"/>
    </row>
    <row r="623">
      <c r="IT623" s="195"/>
      <c r="AGW623" s="195"/>
      <c r="AGX623" s="195"/>
      <c r="AGY623" s="195"/>
      <c r="AGZ623" s="195"/>
    </row>
    <row r="624">
      <c r="IT624" s="195"/>
      <c r="AGW624" s="195"/>
      <c r="AGX624" s="195"/>
      <c r="AGY624" s="195"/>
      <c r="AGZ624" s="195"/>
    </row>
    <row r="625">
      <c r="IT625" s="195"/>
      <c r="AGW625" s="195"/>
      <c r="AGX625" s="195"/>
      <c r="AGY625" s="195"/>
      <c r="AGZ625" s="195"/>
    </row>
    <row r="626">
      <c r="IT626" s="195"/>
      <c r="AGW626" s="195"/>
      <c r="AGX626" s="195"/>
      <c r="AGY626" s="195"/>
      <c r="AGZ626" s="195"/>
    </row>
    <row r="627">
      <c r="IT627" s="195"/>
      <c r="AGW627" s="195"/>
      <c r="AGX627" s="195"/>
      <c r="AGY627" s="195"/>
      <c r="AGZ627" s="195"/>
    </row>
    <row r="628">
      <c r="IT628" s="195"/>
      <c r="AGW628" s="195"/>
      <c r="AGX628" s="195"/>
      <c r="AGY628" s="195"/>
      <c r="AGZ628" s="195"/>
    </row>
    <row r="629">
      <c r="IT629" s="195"/>
      <c r="AGW629" s="195"/>
      <c r="AGX629" s="195"/>
      <c r="AGY629" s="195"/>
      <c r="AGZ629" s="195"/>
    </row>
    <row r="630">
      <c r="IT630" s="195"/>
      <c r="AGW630" s="195"/>
      <c r="AGX630" s="195"/>
      <c r="AGY630" s="195"/>
      <c r="AGZ630" s="195"/>
    </row>
    <row r="631">
      <c r="IT631" s="195"/>
      <c r="AGW631" s="195"/>
      <c r="AGX631" s="195"/>
      <c r="AGY631" s="195"/>
      <c r="AGZ631" s="195"/>
    </row>
    <row r="632">
      <c r="IT632" s="195"/>
      <c r="AGW632" s="195"/>
      <c r="AGX632" s="195"/>
      <c r="AGY632" s="195"/>
      <c r="AGZ632" s="195"/>
    </row>
    <row r="633">
      <c r="IT633" s="195"/>
      <c r="AGW633" s="195"/>
      <c r="AGX633" s="195"/>
      <c r="AGY633" s="195"/>
      <c r="AGZ633" s="195"/>
    </row>
    <row r="634">
      <c r="IT634" s="195"/>
      <c r="AGW634" s="195"/>
      <c r="AGX634" s="195"/>
      <c r="AGY634" s="195"/>
      <c r="AGZ634" s="195"/>
    </row>
    <row r="635">
      <c r="IT635" s="195"/>
      <c r="AGW635" s="195"/>
      <c r="AGX635" s="195"/>
      <c r="AGY635" s="195"/>
      <c r="AGZ635" s="195"/>
    </row>
    <row r="636">
      <c r="IT636" s="195"/>
      <c r="AGW636" s="195"/>
      <c r="AGX636" s="195"/>
      <c r="AGY636" s="195"/>
      <c r="AGZ636" s="195"/>
    </row>
    <row r="637">
      <c r="IT637" s="195"/>
      <c r="AGW637" s="195"/>
      <c r="AGX637" s="195"/>
      <c r="AGY637" s="195"/>
      <c r="AGZ637" s="195"/>
    </row>
    <row r="638">
      <c r="IT638" s="195"/>
      <c r="AGW638" s="195"/>
      <c r="AGX638" s="195"/>
      <c r="AGY638" s="195"/>
      <c r="AGZ638" s="195"/>
    </row>
    <row r="639">
      <c r="IT639" s="195"/>
      <c r="AGW639" s="195"/>
      <c r="AGX639" s="195"/>
      <c r="AGY639" s="195"/>
      <c r="AGZ639" s="195"/>
    </row>
    <row r="640">
      <c r="IT640" s="195"/>
      <c r="AGW640" s="195"/>
      <c r="AGX640" s="195"/>
      <c r="AGY640" s="195"/>
      <c r="AGZ640" s="195"/>
    </row>
    <row r="641">
      <c r="IT641" s="195"/>
      <c r="AGW641" s="195"/>
      <c r="AGX641" s="195"/>
      <c r="AGY641" s="195"/>
      <c r="AGZ641" s="195"/>
    </row>
    <row r="642">
      <c r="IT642" s="195"/>
      <c r="AGW642" s="195"/>
      <c r="AGX642" s="195"/>
      <c r="AGY642" s="195"/>
      <c r="AGZ642" s="195"/>
    </row>
    <row r="643">
      <c r="IT643" s="195"/>
      <c r="AGW643" s="195"/>
      <c r="AGX643" s="195"/>
      <c r="AGY643" s="195"/>
      <c r="AGZ643" s="195"/>
    </row>
    <row r="644">
      <c r="IT644" s="195"/>
      <c r="AGW644" s="195"/>
      <c r="AGX644" s="195"/>
      <c r="AGY644" s="195"/>
      <c r="AGZ644" s="195"/>
    </row>
    <row r="645">
      <c r="IT645" s="195"/>
      <c r="AGW645" s="195"/>
      <c r="AGX645" s="195"/>
      <c r="AGY645" s="195"/>
      <c r="AGZ645" s="195"/>
    </row>
    <row r="646">
      <c r="IT646" s="195"/>
      <c r="AGW646" s="195"/>
      <c r="AGX646" s="195"/>
      <c r="AGY646" s="195"/>
      <c r="AGZ646" s="195"/>
    </row>
    <row r="647">
      <c r="IT647" s="195"/>
      <c r="AGW647" s="195"/>
      <c r="AGX647" s="195"/>
      <c r="AGY647" s="195"/>
      <c r="AGZ647" s="195"/>
    </row>
    <row r="648">
      <c r="IT648" s="195"/>
      <c r="AGW648" s="195"/>
      <c r="AGX648" s="195"/>
      <c r="AGY648" s="195"/>
      <c r="AGZ648" s="195"/>
    </row>
    <row r="649">
      <c r="IT649" s="195"/>
      <c r="AGW649" s="195"/>
      <c r="AGX649" s="195"/>
      <c r="AGY649" s="195"/>
      <c r="AGZ649" s="195"/>
    </row>
    <row r="650">
      <c r="IT650" s="195"/>
      <c r="AGW650" s="195"/>
      <c r="AGX650" s="195"/>
      <c r="AGY650" s="195"/>
      <c r="AGZ650" s="195"/>
    </row>
    <row r="651">
      <c r="IT651" s="195"/>
      <c r="AGW651" s="195"/>
      <c r="AGX651" s="195"/>
      <c r="AGY651" s="195"/>
      <c r="AGZ651" s="195"/>
    </row>
    <row r="652">
      <c r="IT652" s="195"/>
      <c r="AGW652" s="195"/>
      <c r="AGX652" s="195"/>
      <c r="AGY652" s="195"/>
      <c r="AGZ652" s="195"/>
    </row>
    <row r="653">
      <c r="IT653" s="195"/>
      <c r="AGW653" s="195"/>
      <c r="AGX653" s="195"/>
      <c r="AGY653" s="195"/>
      <c r="AGZ653" s="195"/>
    </row>
    <row r="654">
      <c r="IT654" s="195"/>
      <c r="AGW654" s="195"/>
      <c r="AGX654" s="195"/>
      <c r="AGY654" s="195"/>
      <c r="AGZ654" s="195"/>
    </row>
    <row r="655">
      <c r="IT655" s="195"/>
      <c r="AGW655" s="195"/>
      <c r="AGX655" s="195"/>
      <c r="AGY655" s="195"/>
      <c r="AGZ655" s="195"/>
    </row>
    <row r="656">
      <c r="IT656" s="195"/>
      <c r="AGW656" s="195"/>
      <c r="AGX656" s="195"/>
      <c r="AGY656" s="195"/>
      <c r="AGZ656" s="195"/>
    </row>
    <row r="657">
      <c r="IT657" s="195"/>
      <c r="AGW657" s="195"/>
      <c r="AGX657" s="195"/>
      <c r="AGY657" s="195"/>
      <c r="AGZ657" s="195"/>
    </row>
    <row r="658">
      <c r="IT658" s="195"/>
      <c r="AGW658" s="195"/>
      <c r="AGX658" s="195"/>
      <c r="AGY658" s="195"/>
      <c r="AGZ658" s="195"/>
    </row>
    <row r="659">
      <c r="IT659" s="195"/>
      <c r="AGW659" s="195"/>
      <c r="AGX659" s="195"/>
      <c r="AGY659" s="195"/>
      <c r="AGZ659" s="195"/>
    </row>
    <row r="660">
      <c r="IT660" s="195"/>
      <c r="AGW660" s="195"/>
      <c r="AGX660" s="195"/>
      <c r="AGY660" s="195"/>
      <c r="AGZ660" s="195"/>
    </row>
    <row r="661">
      <c r="IT661" s="195"/>
      <c r="AGW661" s="195"/>
      <c r="AGX661" s="195"/>
      <c r="AGY661" s="195"/>
      <c r="AGZ661" s="195"/>
    </row>
    <row r="662">
      <c r="IT662" s="195"/>
      <c r="AGW662" s="195"/>
      <c r="AGX662" s="195"/>
      <c r="AGY662" s="195"/>
      <c r="AGZ662" s="195"/>
    </row>
    <row r="663">
      <c r="IT663" s="195"/>
      <c r="AGW663" s="195"/>
      <c r="AGX663" s="195"/>
      <c r="AGY663" s="195"/>
      <c r="AGZ663" s="195"/>
    </row>
    <row r="664">
      <c r="IT664" s="195"/>
      <c r="AGW664" s="195"/>
      <c r="AGX664" s="195"/>
      <c r="AGY664" s="195"/>
      <c r="AGZ664" s="195"/>
    </row>
    <row r="665">
      <c r="IT665" s="195"/>
      <c r="AGW665" s="195"/>
      <c r="AGX665" s="195"/>
      <c r="AGY665" s="195"/>
      <c r="AGZ665" s="195"/>
    </row>
    <row r="666">
      <c r="IT666" s="195"/>
      <c r="AGW666" s="195"/>
      <c r="AGX666" s="195"/>
      <c r="AGY666" s="195"/>
      <c r="AGZ666" s="195"/>
    </row>
    <row r="667">
      <c r="IT667" s="195"/>
      <c r="AGW667" s="195"/>
      <c r="AGX667" s="195"/>
      <c r="AGY667" s="195"/>
      <c r="AGZ667" s="195"/>
    </row>
    <row r="668">
      <c r="IT668" s="195"/>
      <c r="AGW668" s="195"/>
      <c r="AGX668" s="195"/>
      <c r="AGY668" s="195"/>
      <c r="AGZ668" s="195"/>
    </row>
    <row r="669">
      <c r="IT669" s="195"/>
      <c r="AGW669" s="195"/>
      <c r="AGX669" s="195"/>
      <c r="AGY669" s="195"/>
      <c r="AGZ669" s="195"/>
    </row>
    <row r="670">
      <c r="IT670" s="195"/>
      <c r="AGW670" s="195"/>
      <c r="AGX670" s="195"/>
      <c r="AGY670" s="195"/>
      <c r="AGZ670" s="195"/>
    </row>
    <row r="671">
      <c r="IT671" s="195"/>
      <c r="AGW671" s="195"/>
      <c r="AGX671" s="195"/>
      <c r="AGY671" s="195"/>
      <c r="AGZ671" s="195"/>
    </row>
    <row r="672">
      <c r="IT672" s="195"/>
      <c r="AGW672" s="195"/>
      <c r="AGX672" s="195"/>
      <c r="AGY672" s="195"/>
      <c r="AGZ672" s="195"/>
    </row>
    <row r="673">
      <c r="IT673" s="195"/>
      <c r="AGW673" s="195"/>
      <c r="AGX673" s="195"/>
      <c r="AGY673" s="195"/>
      <c r="AGZ673" s="195"/>
    </row>
    <row r="674">
      <c r="IT674" s="195"/>
      <c r="AGW674" s="195"/>
      <c r="AGX674" s="195"/>
      <c r="AGY674" s="195"/>
      <c r="AGZ674" s="195"/>
    </row>
    <row r="675">
      <c r="IT675" s="195"/>
      <c r="AGW675" s="195"/>
      <c r="AGX675" s="195"/>
      <c r="AGY675" s="195"/>
      <c r="AGZ675" s="195"/>
    </row>
    <row r="676">
      <c r="IT676" s="195"/>
      <c r="AGW676" s="195"/>
      <c r="AGX676" s="195"/>
      <c r="AGY676" s="195"/>
      <c r="AGZ676" s="195"/>
    </row>
    <row r="677">
      <c r="IT677" s="195"/>
      <c r="AGW677" s="195"/>
      <c r="AGX677" s="195"/>
      <c r="AGY677" s="195"/>
      <c r="AGZ677" s="195"/>
    </row>
    <row r="678">
      <c r="IT678" s="195"/>
      <c r="AGW678" s="195"/>
      <c r="AGX678" s="195"/>
      <c r="AGY678" s="195"/>
      <c r="AGZ678" s="195"/>
    </row>
    <row r="679">
      <c r="IT679" s="195"/>
      <c r="AGW679" s="195"/>
      <c r="AGX679" s="195"/>
      <c r="AGY679" s="195"/>
      <c r="AGZ679" s="195"/>
    </row>
    <row r="680">
      <c r="IT680" s="195"/>
      <c r="AGW680" s="195"/>
      <c r="AGX680" s="195"/>
      <c r="AGY680" s="195"/>
      <c r="AGZ680" s="195"/>
    </row>
    <row r="681">
      <c r="IT681" s="195"/>
      <c r="AGW681" s="195"/>
      <c r="AGX681" s="195"/>
      <c r="AGY681" s="195"/>
      <c r="AGZ681" s="195"/>
    </row>
    <row r="682">
      <c r="IT682" s="195"/>
      <c r="AGW682" s="195"/>
      <c r="AGX682" s="195"/>
      <c r="AGY682" s="195"/>
      <c r="AGZ682" s="195"/>
    </row>
    <row r="683">
      <c r="IT683" s="195"/>
      <c r="AGW683" s="195"/>
      <c r="AGX683" s="195"/>
      <c r="AGY683" s="195"/>
      <c r="AGZ683" s="195"/>
    </row>
    <row r="684">
      <c r="IT684" s="195"/>
      <c r="AGW684" s="195"/>
      <c r="AGX684" s="195"/>
      <c r="AGY684" s="195"/>
      <c r="AGZ684" s="195"/>
    </row>
    <row r="685">
      <c r="IT685" s="195"/>
      <c r="AGW685" s="195"/>
      <c r="AGX685" s="195"/>
      <c r="AGY685" s="195"/>
      <c r="AGZ685" s="195"/>
    </row>
    <row r="686">
      <c r="IT686" s="195"/>
      <c r="AGW686" s="195"/>
      <c r="AGX686" s="195"/>
      <c r="AGY686" s="195"/>
      <c r="AGZ686" s="195"/>
    </row>
    <row r="687">
      <c r="IT687" s="195"/>
      <c r="AGW687" s="195"/>
      <c r="AGX687" s="195"/>
      <c r="AGY687" s="195"/>
      <c r="AGZ687" s="195"/>
    </row>
    <row r="688">
      <c r="IT688" s="195"/>
      <c r="AGW688" s="195"/>
      <c r="AGX688" s="195"/>
      <c r="AGY688" s="195"/>
      <c r="AGZ688" s="195"/>
    </row>
    <row r="689">
      <c r="IT689" s="195"/>
      <c r="AGW689" s="195"/>
      <c r="AGX689" s="195"/>
      <c r="AGY689" s="195"/>
      <c r="AGZ689" s="195"/>
    </row>
    <row r="690">
      <c r="IT690" s="195"/>
      <c r="AGW690" s="195"/>
      <c r="AGX690" s="195"/>
      <c r="AGY690" s="195"/>
      <c r="AGZ690" s="195"/>
    </row>
    <row r="691">
      <c r="IT691" s="195"/>
      <c r="AGW691" s="195"/>
      <c r="AGX691" s="195"/>
      <c r="AGY691" s="195"/>
      <c r="AGZ691" s="195"/>
    </row>
    <row r="692">
      <c r="IT692" s="195"/>
      <c r="AGW692" s="195"/>
      <c r="AGX692" s="195"/>
      <c r="AGY692" s="195"/>
      <c r="AGZ692" s="195"/>
    </row>
    <row r="693">
      <c r="IT693" s="195"/>
      <c r="AGW693" s="195"/>
      <c r="AGX693" s="195"/>
      <c r="AGY693" s="195"/>
      <c r="AGZ693" s="195"/>
    </row>
    <row r="694">
      <c r="IT694" s="195"/>
      <c r="AGW694" s="195"/>
      <c r="AGX694" s="195"/>
      <c r="AGY694" s="195"/>
      <c r="AGZ694" s="195"/>
    </row>
    <row r="695">
      <c r="IT695" s="195"/>
      <c r="AGW695" s="195"/>
      <c r="AGX695" s="195"/>
      <c r="AGY695" s="195"/>
      <c r="AGZ695" s="195"/>
    </row>
    <row r="696">
      <c r="IT696" s="195"/>
      <c r="AGW696" s="195"/>
      <c r="AGX696" s="195"/>
      <c r="AGY696" s="195"/>
      <c r="AGZ696" s="195"/>
    </row>
    <row r="697">
      <c r="IT697" s="195"/>
      <c r="AGW697" s="195"/>
      <c r="AGX697" s="195"/>
      <c r="AGY697" s="195"/>
      <c r="AGZ697" s="195"/>
    </row>
    <row r="698">
      <c r="IT698" s="195"/>
      <c r="AGW698" s="195"/>
      <c r="AGX698" s="195"/>
      <c r="AGY698" s="195"/>
      <c r="AGZ698" s="195"/>
    </row>
    <row r="699">
      <c r="IT699" s="195"/>
      <c r="AGW699" s="195"/>
      <c r="AGX699" s="195"/>
      <c r="AGY699" s="195"/>
      <c r="AGZ699" s="195"/>
    </row>
    <row r="700">
      <c r="IT700" s="195"/>
      <c r="AGW700" s="195"/>
      <c r="AGX700" s="195"/>
      <c r="AGY700" s="195"/>
      <c r="AGZ700" s="195"/>
    </row>
    <row r="701">
      <c r="IT701" s="195"/>
      <c r="AGW701" s="195"/>
      <c r="AGX701" s="195"/>
      <c r="AGY701" s="195"/>
      <c r="AGZ701" s="195"/>
    </row>
    <row r="702">
      <c r="IT702" s="195"/>
      <c r="AGW702" s="195"/>
      <c r="AGX702" s="195"/>
      <c r="AGY702" s="195"/>
      <c r="AGZ702" s="195"/>
    </row>
    <row r="703">
      <c r="IT703" s="195"/>
      <c r="AGW703" s="195"/>
      <c r="AGX703" s="195"/>
      <c r="AGY703" s="195"/>
      <c r="AGZ703" s="195"/>
    </row>
    <row r="704">
      <c r="IT704" s="195"/>
      <c r="AGW704" s="195"/>
      <c r="AGX704" s="195"/>
      <c r="AGY704" s="195"/>
      <c r="AGZ704" s="195"/>
    </row>
    <row r="705">
      <c r="IT705" s="195"/>
      <c r="AGW705" s="195"/>
      <c r="AGX705" s="195"/>
      <c r="AGY705" s="195"/>
      <c r="AGZ705" s="195"/>
    </row>
    <row r="706">
      <c r="IT706" s="195"/>
      <c r="AGW706" s="195"/>
      <c r="AGX706" s="195"/>
      <c r="AGY706" s="195"/>
      <c r="AGZ706" s="195"/>
    </row>
    <row r="707">
      <c r="IT707" s="195"/>
      <c r="AGW707" s="195"/>
      <c r="AGX707" s="195"/>
      <c r="AGY707" s="195"/>
      <c r="AGZ707" s="195"/>
    </row>
    <row r="708">
      <c r="IT708" s="195"/>
      <c r="AGW708" s="195"/>
      <c r="AGX708" s="195"/>
      <c r="AGY708" s="195"/>
      <c r="AGZ708" s="195"/>
    </row>
    <row r="709">
      <c r="IT709" s="195"/>
      <c r="AGW709" s="195"/>
      <c r="AGX709" s="195"/>
      <c r="AGY709" s="195"/>
      <c r="AGZ709" s="195"/>
    </row>
    <row r="710">
      <c r="IT710" s="195"/>
      <c r="AGW710" s="195"/>
      <c r="AGX710" s="195"/>
      <c r="AGY710" s="195"/>
      <c r="AGZ710" s="195"/>
    </row>
    <row r="711">
      <c r="IT711" s="195"/>
      <c r="AGW711" s="195"/>
      <c r="AGX711" s="195"/>
      <c r="AGY711" s="195"/>
      <c r="AGZ711" s="195"/>
    </row>
    <row r="712">
      <c r="IT712" s="195"/>
      <c r="AGW712" s="195"/>
      <c r="AGX712" s="195"/>
      <c r="AGY712" s="195"/>
      <c r="AGZ712" s="195"/>
    </row>
    <row r="713">
      <c r="IT713" s="195"/>
      <c r="AGW713" s="195"/>
      <c r="AGX713" s="195"/>
      <c r="AGY713" s="195"/>
      <c r="AGZ713" s="195"/>
    </row>
    <row r="714">
      <c r="IT714" s="195"/>
      <c r="AGW714" s="195"/>
      <c r="AGX714" s="195"/>
      <c r="AGY714" s="195"/>
      <c r="AGZ714" s="195"/>
    </row>
    <row r="715">
      <c r="IT715" s="195"/>
      <c r="AGW715" s="195"/>
      <c r="AGX715" s="195"/>
      <c r="AGY715" s="195"/>
      <c r="AGZ715" s="195"/>
    </row>
    <row r="716">
      <c r="IT716" s="195"/>
      <c r="AGW716" s="195"/>
      <c r="AGX716" s="195"/>
      <c r="AGY716" s="195"/>
      <c r="AGZ716" s="195"/>
    </row>
    <row r="717">
      <c r="IT717" s="195"/>
      <c r="AGW717" s="195"/>
      <c r="AGX717" s="195"/>
      <c r="AGY717" s="195"/>
      <c r="AGZ717" s="195"/>
    </row>
    <row r="718">
      <c r="IT718" s="195"/>
      <c r="AGW718" s="195"/>
      <c r="AGX718" s="195"/>
      <c r="AGY718" s="195"/>
      <c r="AGZ718" s="195"/>
    </row>
    <row r="719">
      <c r="IT719" s="195"/>
      <c r="AGW719" s="195"/>
      <c r="AGX719" s="195"/>
      <c r="AGY719" s="195"/>
      <c r="AGZ719" s="195"/>
    </row>
    <row r="720">
      <c r="IT720" s="195"/>
      <c r="AGW720" s="195"/>
      <c r="AGX720" s="195"/>
      <c r="AGY720" s="195"/>
      <c r="AGZ720" s="195"/>
    </row>
    <row r="721">
      <c r="IT721" s="195"/>
      <c r="AGW721" s="195"/>
      <c r="AGX721" s="195"/>
      <c r="AGY721" s="195"/>
      <c r="AGZ721" s="195"/>
    </row>
    <row r="722">
      <c r="IT722" s="195"/>
      <c r="AGW722" s="195"/>
      <c r="AGX722" s="195"/>
      <c r="AGY722" s="195"/>
      <c r="AGZ722" s="195"/>
    </row>
    <row r="723">
      <c r="IT723" s="195"/>
      <c r="AGW723" s="195"/>
      <c r="AGX723" s="195"/>
      <c r="AGY723" s="195"/>
      <c r="AGZ723" s="195"/>
    </row>
    <row r="724">
      <c r="IT724" s="195"/>
      <c r="AGW724" s="195"/>
      <c r="AGX724" s="195"/>
      <c r="AGY724" s="195"/>
      <c r="AGZ724" s="195"/>
    </row>
    <row r="725">
      <c r="IT725" s="195"/>
      <c r="AGW725" s="195"/>
      <c r="AGX725" s="195"/>
      <c r="AGY725" s="195"/>
      <c r="AGZ725" s="195"/>
    </row>
    <row r="726">
      <c r="IT726" s="195"/>
      <c r="AGW726" s="195"/>
      <c r="AGX726" s="195"/>
      <c r="AGY726" s="195"/>
      <c r="AGZ726" s="195"/>
    </row>
    <row r="727">
      <c r="IT727" s="195"/>
      <c r="AGW727" s="195"/>
      <c r="AGX727" s="195"/>
      <c r="AGY727" s="195"/>
      <c r="AGZ727" s="195"/>
    </row>
    <row r="728">
      <c r="IT728" s="195"/>
      <c r="AGW728" s="195"/>
      <c r="AGX728" s="195"/>
      <c r="AGY728" s="195"/>
      <c r="AGZ728" s="195"/>
    </row>
    <row r="729">
      <c r="IT729" s="195"/>
      <c r="AGW729" s="195"/>
      <c r="AGX729" s="195"/>
      <c r="AGY729" s="195"/>
      <c r="AGZ729" s="195"/>
    </row>
    <row r="730">
      <c r="IT730" s="195"/>
      <c r="AGW730" s="195"/>
      <c r="AGX730" s="195"/>
      <c r="AGY730" s="195"/>
      <c r="AGZ730" s="195"/>
    </row>
    <row r="731">
      <c r="IT731" s="195"/>
      <c r="AGW731" s="195"/>
      <c r="AGX731" s="195"/>
      <c r="AGY731" s="195"/>
      <c r="AGZ731" s="195"/>
    </row>
    <row r="732">
      <c r="IT732" s="195"/>
      <c r="AGW732" s="195"/>
      <c r="AGX732" s="195"/>
      <c r="AGY732" s="195"/>
      <c r="AGZ732" s="195"/>
    </row>
    <row r="733">
      <c r="IT733" s="195"/>
      <c r="AGW733" s="195"/>
      <c r="AGX733" s="195"/>
      <c r="AGY733" s="195"/>
      <c r="AGZ733" s="195"/>
    </row>
    <row r="734">
      <c r="IT734" s="195"/>
      <c r="AGW734" s="195"/>
      <c r="AGX734" s="195"/>
      <c r="AGY734" s="195"/>
      <c r="AGZ734" s="195"/>
    </row>
    <row r="735">
      <c r="IT735" s="195"/>
      <c r="AGW735" s="195"/>
      <c r="AGX735" s="195"/>
      <c r="AGY735" s="195"/>
      <c r="AGZ735" s="195"/>
    </row>
    <row r="736">
      <c r="IT736" s="195"/>
      <c r="AGW736" s="195"/>
      <c r="AGX736" s="195"/>
      <c r="AGY736" s="195"/>
      <c r="AGZ736" s="195"/>
    </row>
    <row r="737">
      <c r="IT737" s="195"/>
      <c r="AGW737" s="195"/>
      <c r="AGX737" s="195"/>
      <c r="AGY737" s="195"/>
      <c r="AGZ737" s="195"/>
    </row>
    <row r="738">
      <c r="IT738" s="195"/>
      <c r="AGW738" s="195"/>
      <c r="AGX738" s="195"/>
      <c r="AGY738" s="195"/>
      <c r="AGZ738" s="195"/>
    </row>
    <row r="739">
      <c r="IT739" s="195"/>
      <c r="AGW739" s="195"/>
      <c r="AGX739" s="195"/>
      <c r="AGY739" s="195"/>
      <c r="AGZ739" s="195"/>
    </row>
    <row r="740">
      <c r="IT740" s="195"/>
      <c r="AGW740" s="195"/>
      <c r="AGX740" s="195"/>
      <c r="AGY740" s="195"/>
      <c r="AGZ740" s="195"/>
    </row>
    <row r="741">
      <c r="IT741" s="195"/>
      <c r="AGW741" s="195"/>
      <c r="AGX741" s="195"/>
      <c r="AGY741" s="195"/>
      <c r="AGZ741" s="195"/>
    </row>
    <row r="742">
      <c r="IT742" s="195"/>
      <c r="AGW742" s="195"/>
      <c r="AGX742" s="195"/>
      <c r="AGY742" s="195"/>
      <c r="AGZ742" s="195"/>
    </row>
    <row r="743">
      <c r="IT743" s="195"/>
      <c r="AGW743" s="195"/>
      <c r="AGX743" s="195"/>
      <c r="AGY743" s="195"/>
      <c r="AGZ743" s="195"/>
    </row>
    <row r="744">
      <c r="IT744" s="195"/>
      <c r="AGW744" s="195"/>
      <c r="AGX744" s="195"/>
      <c r="AGY744" s="195"/>
      <c r="AGZ744" s="195"/>
    </row>
    <row r="745">
      <c r="IT745" s="195"/>
      <c r="AGW745" s="195"/>
      <c r="AGX745" s="195"/>
      <c r="AGY745" s="195"/>
      <c r="AGZ745" s="195"/>
    </row>
    <row r="746">
      <c r="IT746" s="195"/>
      <c r="AGW746" s="195"/>
      <c r="AGX746" s="195"/>
      <c r="AGY746" s="195"/>
      <c r="AGZ746" s="195"/>
    </row>
    <row r="747">
      <c r="IT747" s="195"/>
      <c r="AGW747" s="195"/>
      <c r="AGX747" s="195"/>
      <c r="AGY747" s="195"/>
      <c r="AGZ747" s="195"/>
    </row>
    <row r="748">
      <c r="IT748" s="195"/>
      <c r="AGW748" s="195"/>
      <c r="AGX748" s="195"/>
      <c r="AGY748" s="195"/>
      <c r="AGZ748" s="195"/>
    </row>
    <row r="749">
      <c r="IT749" s="195"/>
      <c r="AGW749" s="195"/>
      <c r="AGX749" s="195"/>
      <c r="AGY749" s="195"/>
      <c r="AGZ749" s="195"/>
    </row>
    <row r="750">
      <c r="IT750" s="195"/>
      <c r="AGW750" s="195"/>
      <c r="AGX750" s="195"/>
      <c r="AGY750" s="195"/>
      <c r="AGZ750" s="195"/>
    </row>
    <row r="751">
      <c r="IT751" s="195"/>
      <c r="AGW751" s="195"/>
      <c r="AGX751" s="195"/>
      <c r="AGY751" s="195"/>
      <c r="AGZ751" s="195"/>
    </row>
    <row r="752">
      <c r="IT752" s="195"/>
      <c r="AGW752" s="195"/>
      <c r="AGX752" s="195"/>
      <c r="AGY752" s="195"/>
      <c r="AGZ752" s="195"/>
    </row>
    <row r="753">
      <c r="IT753" s="195"/>
      <c r="AGW753" s="195"/>
      <c r="AGX753" s="195"/>
      <c r="AGY753" s="195"/>
      <c r="AGZ753" s="195"/>
    </row>
    <row r="754">
      <c r="IT754" s="195"/>
      <c r="AGW754" s="195"/>
      <c r="AGX754" s="195"/>
      <c r="AGY754" s="195"/>
      <c r="AGZ754" s="195"/>
    </row>
    <row r="755">
      <c r="IT755" s="195"/>
      <c r="AGW755" s="195"/>
      <c r="AGX755" s="195"/>
      <c r="AGY755" s="195"/>
      <c r="AGZ755" s="195"/>
    </row>
    <row r="756">
      <c r="IT756" s="195"/>
      <c r="AGW756" s="195"/>
      <c r="AGX756" s="195"/>
      <c r="AGY756" s="195"/>
      <c r="AGZ756" s="195"/>
    </row>
    <row r="757">
      <c r="IT757" s="195"/>
      <c r="AGW757" s="195"/>
      <c r="AGX757" s="195"/>
      <c r="AGY757" s="195"/>
      <c r="AGZ757" s="195"/>
    </row>
    <row r="758">
      <c r="IT758" s="195"/>
      <c r="AGW758" s="195"/>
      <c r="AGX758" s="195"/>
      <c r="AGY758" s="195"/>
      <c r="AGZ758" s="195"/>
    </row>
    <row r="759">
      <c r="IT759" s="195"/>
      <c r="AGW759" s="195"/>
      <c r="AGX759" s="195"/>
      <c r="AGY759" s="195"/>
      <c r="AGZ759" s="195"/>
    </row>
    <row r="760">
      <c r="IT760" s="195"/>
      <c r="AGW760" s="195"/>
      <c r="AGX760" s="195"/>
      <c r="AGY760" s="195"/>
      <c r="AGZ760" s="195"/>
    </row>
    <row r="761">
      <c r="IT761" s="195"/>
      <c r="AGW761" s="195"/>
      <c r="AGX761" s="195"/>
      <c r="AGY761" s="195"/>
      <c r="AGZ761" s="195"/>
    </row>
    <row r="762">
      <c r="IT762" s="195"/>
      <c r="AGW762" s="195"/>
      <c r="AGX762" s="195"/>
      <c r="AGY762" s="195"/>
      <c r="AGZ762" s="195"/>
    </row>
    <row r="763">
      <c r="IT763" s="195"/>
      <c r="AGW763" s="195"/>
      <c r="AGX763" s="195"/>
      <c r="AGY763" s="195"/>
      <c r="AGZ763" s="195"/>
    </row>
    <row r="764">
      <c r="IT764" s="195"/>
      <c r="AGW764" s="195"/>
      <c r="AGX764" s="195"/>
      <c r="AGY764" s="195"/>
      <c r="AGZ764" s="195"/>
    </row>
    <row r="765">
      <c r="IT765" s="195"/>
      <c r="AGW765" s="195"/>
      <c r="AGX765" s="195"/>
      <c r="AGY765" s="195"/>
      <c r="AGZ765" s="195"/>
    </row>
    <row r="766">
      <c r="IT766" s="195"/>
      <c r="AGW766" s="195"/>
      <c r="AGX766" s="195"/>
      <c r="AGY766" s="195"/>
      <c r="AGZ766" s="195"/>
    </row>
    <row r="767">
      <c r="IT767" s="195"/>
      <c r="AGW767" s="195"/>
      <c r="AGX767" s="195"/>
      <c r="AGY767" s="195"/>
      <c r="AGZ767" s="195"/>
    </row>
    <row r="768">
      <c r="IT768" s="195"/>
      <c r="AGW768" s="195"/>
      <c r="AGX768" s="195"/>
      <c r="AGY768" s="195"/>
      <c r="AGZ768" s="195"/>
    </row>
    <row r="769">
      <c r="IT769" s="195"/>
      <c r="AGW769" s="195"/>
      <c r="AGX769" s="195"/>
      <c r="AGY769" s="195"/>
      <c r="AGZ769" s="195"/>
    </row>
    <row r="770">
      <c r="IT770" s="195"/>
      <c r="AGW770" s="195"/>
      <c r="AGX770" s="195"/>
      <c r="AGY770" s="195"/>
      <c r="AGZ770" s="195"/>
    </row>
    <row r="771">
      <c r="IT771" s="195"/>
      <c r="AGW771" s="195"/>
      <c r="AGX771" s="195"/>
      <c r="AGY771" s="195"/>
      <c r="AGZ771" s="195"/>
    </row>
    <row r="772">
      <c r="IT772" s="195"/>
      <c r="AGW772" s="195"/>
      <c r="AGX772" s="195"/>
      <c r="AGY772" s="195"/>
      <c r="AGZ772" s="195"/>
    </row>
    <row r="773">
      <c r="IT773" s="195"/>
      <c r="AGW773" s="195"/>
      <c r="AGX773" s="195"/>
      <c r="AGY773" s="195"/>
      <c r="AGZ773" s="195"/>
    </row>
    <row r="774">
      <c r="IT774" s="195"/>
      <c r="AGW774" s="195"/>
      <c r="AGX774" s="195"/>
      <c r="AGY774" s="195"/>
      <c r="AGZ774" s="195"/>
    </row>
    <row r="775">
      <c r="IT775" s="195"/>
      <c r="AGW775" s="195"/>
      <c r="AGX775" s="195"/>
      <c r="AGY775" s="195"/>
      <c r="AGZ775" s="195"/>
    </row>
    <row r="776">
      <c r="IT776" s="195"/>
      <c r="AGW776" s="195"/>
      <c r="AGX776" s="195"/>
      <c r="AGY776" s="195"/>
      <c r="AGZ776" s="195"/>
    </row>
    <row r="777">
      <c r="IT777" s="195"/>
      <c r="AGW777" s="195"/>
      <c r="AGX777" s="195"/>
      <c r="AGY777" s="195"/>
      <c r="AGZ777" s="195"/>
    </row>
    <row r="778">
      <c r="IT778" s="195"/>
      <c r="AGW778" s="195"/>
      <c r="AGX778" s="195"/>
      <c r="AGY778" s="195"/>
      <c r="AGZ778" s="195"/>
    </row>
    <row r="779">
      <c r="IT779" s="195"/>
      <c r="AGW779" s="195"/>
      <c r="AGX779" s="195"/>
      <c r="AGY779" s="195"/>
      <c r="AGZ779" s="195"/>
    </row>
    <row r="780">
      <c r="IT780" s="195"/>
      <c r="AGW780" s="195"/>
      <c r="AGX780" s="195"/>
      <c r="AGY780" s="195"/>
      <c r="AGZ780" s="195"/>
    </row>
    <row r="781">
      <c r="IT781" s="195"/>
      <c r="AGW781" s="195"/>
      <c r="AGX781" s="195"/>
      <c r="AGY781" s="195"/>
      <c r="AGZ781" s="195"/>
    </row>
    <row r="782">
      <c r="IT782" s="195"/>
      <c r="AGW782" s="195"/>
      <c r="AGX782" s="195"/>
      <c r="AGY782" s="195"/>
      <c r="AGZ782" s="195"/>
    </row>
    <row r="783">
      <c r="IT783" s="195"/>
      <c r="AGW783" s="195"/>
      <c r="AGX783" s="195"/>
      <c r="AGY783" s="195"/>
      <c r="AGZ783" s="195"/>
    </row>
    <row r="784">
      <c r="IT784" s="195"/>
      <c r="AGW784" s="195"/>
      <c r="AGX784" s="195"/>
      <c r="AGY784" s="195"/>
      <c r="AGZ784" s="195"/>
    </row>
    <row r="785">
      <c r="IT785" s="195"/>
      <c r="AGW785" s="195"/>
      <c r="AGX785" s="195"/>
      <c r="AGY785" s="195"/>
      <c r="AGZ785" s="195"/>
    </row>
    <row r="786">
      <c r="IT786" s="195"/>
      <c r="AGW786" s="195"/>
      <c r="AGX786" s="195"/>
      <c r="AGY786" s="195"/>
      <c r="AGZ786" s="195"/>
    </row>
    <row r="787">
      <c r="IT787" s="195"/>
      <c r="AGW787" s="195"/>
      <c r="AGX787" s="195"/>
      <c r="AGY787" s="195"/>
      <c r="AGZ787" s="195"/>
    </row>
    <row r="788">
      <c r="IT788" s="195"/>
      <c r="AGW788" s="195"/>
      <c r="AGX788" s="195"/>
      <c r="AGY788" s="195"/>
      <c r="AGZ788" s="195"/>
    </row>
    <row r="789">
      <c r="IT789" s="195"/>
      <c r="AGW789" s="195"/>
      <c r="AGX789" s="195"/>
      <c r="AGY789" s="195"/>
      <c r="AGZ789" s="195"/>
    </row>
    <row r="790">
      <c r="IT790" s="195"/>
      <c r="AGW790" s="195"/>
      <c r="AGX790" s="195"/>
      <c r="AGY790" s="195"/>
      <c r="AGZ790" s="195"/>
    </row>
    <row r="791">
      <c r="IT791" s="195"/>
      <c r="AGW791" s="195"/>
      <c r="AGX791" s="195"/>
      <c r="AGY791" s="195"/>
      <c r="AGZ791" s="195"/>
    </row>
    <row r="792">
      <c r="IT792" s="195"/>
      <c r="AGW792" s="195"/>
      <c r="AGX792" s="195"/>
      <c r="AGY792" s="195"/>
      <c r="AGZ792" s="195"/>
    </row>
    <row r="793">
      <c r="IT793" s="195"/>
      <c r="AGW793" s="195"/>
      <c r="AGX793" s="195"/>
      <c r="AGY793" s="195"/>
      <c r="AGZ793" s="195"/>
    </row>
    <row r="794">
      <c r="IT794" s="195"/>
      <c r="AGW794" s="195"/>
      <c r="AGX794" s="195"/>
      <c r="AGY794" s="195"/>
      <c r="AGZ794" s="195"/>
    </row>
    <row r="795">
      <c r="IT795" s="195"/>
      <c r="AGW795" s="195"/>
      <c r="AGX795" s="195"/>
      <c r="AGY795" s="195"/>
      <c r="AGZ795" s="195"/>
    </row>
    <row r="796">
      <c r="IT796" s="195"/>
      <c r="AGW796" s="195"/>
      <c r="AGX796" s="195"/>
      <c r="AGY796" s="195"/>
      <c r="AGZ796" s="195"/>
    </row>
    <row r="797">
      <c r="IT797" s="195"/>
      <c r="AGW797" s="195"/>
      <c r="AGX797" s="195"/>
      <c r="AGY797" s="195"/>
      <c r="AGZ797" s="195"/>
    </row>
    <row r="798">
      <c r="IT798" s="195"/>
      <c r="AGW798" s="195"/>
      <c r="AGX798" s="195"/>
      <c r="AGY798" s="195"/>
      <c r="AGZ798" s="195"/>
    </row>
    <row r="799">
      <c r="IT799" s="195"/>
      <c r="AGW799" s="195"/>
      <c r="AGX799" s="195"/>
      <c r="AGY799" s="195"/>
      <c r="AGZ799" s="195"/>
    </row>
    <row r="800">
      <c r="IT800" s="195"/>
      <c r="AGW800" s="195"/>
      <c r="AGX800" s="195"/>
      <c r="AGY800" s="195"/>
      <c r="AGZ800" s="195"/>
    </row>
    <row r="801">
      <c r="IT801" s="195"/>
      <c r="AGW801" s="195"/>
      <c r="AGX801" s="195"/>
      <c r="AGY801" s="195"/>
      <c r="AGZ801" s="195"/>
    </row>
    <row r="802">
      <c r="IT802" s="195"/>
      <c r="AGW802" s="195"/>
      <c r="AGX802" s="195"/>
      <c r="AGY802" s="195"/>
      <c r="AGZ802" s="195"/>
    </row>
    <row r="803">
      <c r="IT803" s="195"/>
      <c r="AGW803" s="195"/>
      <c r="AGX803" s="195"/>
      <c r="AGY803" s="195"/>
      <c r="AGZ803" s="195"/>
    </row>
    <row r="804">
      <c r="IT804" s="195"/>
      <c r="AGW804" s="195"/>
      <c r="AGX804" s="195"/>
      <c r="AGY804" s="195"/>
      <c r="AGZ804" s="195"/>
    </row>
    <row r="805">
      <c r="IT805" s="195"/>
      <c r="AGW805" s="195"/>
      <c r="AGX805" s="195"/>
      <c r="AGY805" s="195"/>
      <c r="AGZ805" s="195"/>
    </row>
    <row r="806">
      <c r="IT806" s="195"/>
      <c r="AGW806" s="195"/>
      <c r="AGX806" s="195"/>
      <c r="AGY806" s="195"/>
      <c r="AGZ806" s="195"/>
    </row>
    <row r="807">
      <c r="IT807" s="195"/>
      <c r="AGW807" s="195"/>
      <c r="AGX807" s="195"/>
      <c r="AGY807" s="195"/>
      <c r="AGZ807" s="195"/>
    </row>
    <row r="808">
      <c r="IT808" s="195"/>
      <c r="AGW808" s="195"/>
      <c r="AGX808" s="195"/>
      <c r="AGY808" s="195"/>
      <c r="AGZ808" s="195"/>
    </row>
    <row r="809">
      <c r="IT809" s="195"/>
      <c r="AGW809" s="195"/>
      <c r="AGX809" s="195"/>
      <c r="AGY809" s="195"/>
      <c r="AGZ809" s="195"/>
    </row>
    <row r="810">
      <c r="IT810" s="195"/>
      <c r="AGW810" s="195"/>
      <c r="AGX810" s="195"/>
      <c r="AGY810" s="195"/>
      <c r="AGZ810" s="195"/>
    </row>
    <row r="811">
      <c r="IT811" s="195"/>
      <c r="AGW811" s="195"/>
      <c r="AGX811" s="195"/>
      <c r="AGY811" s="195"/>
      <c r="AGZ811" s="195"/>
    </row>
    <row r="812">
      <c r="IT812" s="195"/>
      <c r="AGW812" s="195"/>
      <c r="AGX812" s="195"/>
      <c r="AGY812" s="195"/>
      <c r="AGZ812" s="195"/>
    </row>
    <row r="813">
      <c r="IT813" s="195"/>
      <c r="AGW813" s="195"/>
      <c r="AGX813" s="195"/>
      <c r="AGY813" s="195"/>
      <c r="AGZ813" s="195"/>
    </row>
    <row r="814">
      <c r="IT814" s="195"/>
      <c r="AGW814" s="195"/>
      <c r="AGX814" s="195"/>
      <c r="AGY814" s="195"/>
      <c r="AGZ814" s="195"/>
    </row>
    <row r="815">
      <c r="IT815" s="195"/>
      <c r="AGW815" s="195"/>
      <c r="AGX815" s="195"/>
      <c r="AGY815" s="195"/>
      <c r="AGZ815" s="195"/>
    </row>
    <row r="816">
      <c r="IT816" s="195"/>
      <c r="AGW816" s="195"/>
      <c r="AGX816" s="195"/>
      <c r="AGY816" s="195"/>
      <c r="AGZ816" s="195"/>
    </row>
    <row r="817">
      <c r="IT817" s="195"/>
      <c r="AGW817" s="195"/>
      <c r="AGX817" s="195"/>
      <c r="AGY817" s="195"/>
      <c r="AGZ817" s="195"/>
    </row>
    <row r="818">
      <c r="IT818" s="195"/>
      <c r="AGW818" s="195"/>
      <c r="AGX818" s="195"/>
      <c r="AGY818" s="195"/>
      <c r="AGZ818" s="195"/>
    </row>
    <row r="819">
      <c r="IT819" s="195"/>
      <c r="AGW819" s="195"/>
      <c r="AGX819" s="195"/>
      <c r="AGY819" s="195"/>
      <c r="AGZ819" s="195"/>
    </row>
    <row r="820">
      <c r="IT820" s="195"/>
      <c r="AGW820" s="195"/>
      <c r="AGX820" s="195"/>
      <c r="AGY820" s="195"/>
      <c r="AGZ820" s="195"/>
    </row>
    <row r="821">
      <c r="IT821" s="195"/>
      <c r="AGW821" s="195"/>
      <c r="AGX821" s="195"/>
      <c r="AGY821" s="195"/>
      <c r="AGZ821" s="195"/>
    </row>
    <row r="822">
      <c r="IT822" s="195"/>
      <c r="AGW822" s="195"/>
      <c r="AGX822" s="195"/>
      <c r="AGY822" s="195"/>
      <c r="AGZ822" s="195"/>
    </row>
    <row r="823">
      <c r="IT823" s="195"/>
      <c r="AGW823" s="195"/>
      <c r="AGX823" s="195"/>
      <c r="AGY823" s="195"/>
      <c r="AGZ823" s="195"/>
    </row>
    <row r="824">
      <c r="IT824" s="195"/>
      <c r="AGW824" s="195"/>
      <c r="AGX824" s="195"/>
      <c r="AGY824" s="195"/>
      <c r="AGZ824" s="195"/>
    </row>
    <row r="825">
      <c r="IT825" s="195"/>
      <c r="AGW825" s="195"/>
      <c r="AGX825" s="195"/>
      <c r="AGY825" s="195"/>
      <c r="AGZ825" s="195"/>
    </row>
    <row r="826">
      <c r="IT826" s="195"/>
      <c r="AGW826" s="195"/>
      <c r="AGX826" s="195"/>
      <c r="AGY826" s="195"/>
      <c r="AGZ826" s="195"/>
    </row>
    <row r="827">
      <c r="IT827" s="195"/>
      <c r="AGW827" s="195"/>
      <c r="AGX827" s="195"/>
      <c r="AGY827" s="195"/>
      <c r="AGZ827" s="195"/>
    </row>
    <row r="828">
      <c r="IT828" s="195"/>
      <c r="AGW828" s="195"/>
      <c r="AGX828" s="195"/>
      <c r="AGY828" s="195"/>
      <c r="AGZ828" s="195"/>
    </row>
    <row r="829">
      <c r="IT829" s="195"/>
      <c r="AGW829" s="195"/>
      <c r="AGX829" s="195"/>
      <c r="AGY829" s="195"/>
      <c r="AGZ829" s="195"/>
    </row>
    <row r="830">
      <c r="IT830" s="195"/>
      <c r="AGW830" s="195"/>
      <c r="AGX830" s="195"/>
      <c r="AGY830" s="195"/>
      <c r="AGZ830" s="195"/>
    </row>
    <row r="831">
      <c r="IT831" s="195"/>
      <c r="AGW831" s="195"/>
      <c r="AGX831" s="195"/>
      <c r="AGY831" s="195"/>
      <c r="AGZ831" s="195"/>
    </row>
    <row r="832">
      <c r="IT832" s="195"/>
      <c r="AGW832" s="195"/>
      <c r="AGX832" s="195"/>
      <c r="AGY832" s="195"/>
      <c r="AGZ832" s="195"/>
    </row>
    <row r="833">
      <c r="IT833" s="195"/>
      <c r="AGW833" s="195"/>
      <c r="AGX833" s="195"/>
      <c r="AGY833" s="195"/>
      <c r="AGZ833" s="195"/>
    </row>
    <row r="834">
      <c r="IT834" s="195"/>
      <c r="AGW834" s="195"/>
      <c r="AGX834" s="195"/>
      <c r="AGY834" s="195"/>
      <c r="AGZ834" s="195"/>
    </row>
    <row r="835">
      <c r="IT835" s="195"/>
      <c r="AGW835" s="195"/>
      <c r="AGX835" s="195"/>
      <c r="AGY835" s="195"/>
      <c r="AGZ835" s="195"/>
    </row>
    <row r="836">
      <c r="IT836" s="195"/>
      <c r="AGW836" s="195"/>
      <c r="AGX836" s="195"/>
      <c r="AGY836" s="195"/>
      <c r="AGZ836" s="195"/>
    </row>
    <row r="837">
      <c r="IT837" s="195"/>
      <c r="AGW837" s="195"/>
      <c r="AGX837" s="195"/>
      <c r="AGY837" s="195"/>
      <c r="AGZ837" s="195"/>
    </row>
    <row r="838">
      <c r="IT838" s="195"/>
      <c r="AGW838" s="195"/>
      <c r="AGX838" s="195"/>
      <c r="AGY838" s="195"/>
      <c r="AGZ838" s="195"/>
    </row>
    <row r="839">
      <c r="IT839" s="195"/>
      <c r="AGW839" s="195"/>
      <c r="AGX839" s="195"/>
      <c r="AGY839" s="195"/>
      <c r="AGZ839" s="195"/>
    </row>
    <row r="840">
      <c r="IT840" s="195"/>
      <c r="AGW840" s="195"/>
      <c r="AGX840" s="195"/>
      <c r="AGY840" s="195"/>
      <c r="AGZ840" s="195"/>
    </row>
    <row r="841">
      <c r="IT841" s="195"/>
      <c r="AGW841" s="195"/>
      <c r="AGX841" s="195"/>
      <c r="AGY841" s="195"/>
      <c r="AGZ841" s="195"/>
    </row>
    <row r="842">
      <c r="IT842" s="195"/>
      <c r="AGW842" s="195"/>
      <c r="AGX842" s="195"/>
      <c r="AGY842" s="195"/>
      <c r="AGZ842" s="195"/>
    </row>
    <row r="843">
      <c r="IT843" s="195"/>
      <c r="AGW843" s="195"/>
      <c r="AGX843" s="195"/>
      <c r="AGY843" s="195"/>
      <c r="AGZ843" s="195"/>
    </row>
    <row r="844">
      <c r="IT844" s="195"/>
      <c r="AGW844" s="195"/>
      <c r="AGX844" s="195"/>
      <c r="AGY844" s="195"/>
      <c r="AGZ844" s="195"/>
    </row>
    <row r="845">
      <c r="IT845" s="195"/>
      <c r="AGW845" s="195"/>
      <c r="AGX845" s="195"/>
      <c r="AGY845" s="195"/>
      <c r="AGZ845" s="195"/>
    </row>
    <row r="846">
      <c r="IT846" s="195"/>
      <c r="AGW846" s="195"/>
      <c r="AGX846" s="195"/>
      <c r="AGY846" s="195"/>
      <c r="AGZ846" s="195"/>
    </row>
    <row r="847">
      <c r="IT847" s="195"/>
      <c r="AGW847" s="195"/>
      <c r="AGX847" s="195"/>
      <c r="AGY847" s="195"/>
      <c r="AGZ847" s="195"/>
    </row>
    <row r="848">
      <c r="IT848" s="195"/>
      <c r="AGW848" s="195"/>
      <c r="AGX848" s="195"/>
      <c r="AGY848" s="195"/>
      <c r="AGZ848" s="195"/>
    </row>
    <row r="849">
      <c r="IT849" s="195"/>
      <c r="AGW849" s="195"/>
      <c r="AGX849" s="195"/>
      <c r="AGY849" s="195"/>
      <c r="AGZ849" s="195"/>
    </row>
    <row r="850">
      <c r="IT850" s="195"/>
      <c r="AGW850" s="195"/>
      <c r="AGX850" s="195"/>
      <c r="AGY850" s="195"/>
      <c r="AGZ850" s="195"/>
    </row>
    <row r="851">
      <c r="IT851" s="195"/>
      <c r="AGW851" s="195"/>
      <c r="AGX851" s="195"/>
      <c r="AGY851" s="195"/>
      <c r="AGZ851" s="195"/>
    </row>
    <row r="852">
      <c r="IT852" s="195"/>
      <c r="AGW852" s="195"/>
      <c r="AGX852" s="195"/>
      <c r="AGY852" s="195"/>
      <c r="AGZ852" s="195"/>
    </row>
    <row r="853">
      <c r="IT853" s="195"/>
      <c r="AGW853" s="195"/>
      <c r="AGX853" s="195"/>
      <c r="AGY853" s="195"/>
      <c r="AGZ853" s="195"/>
    </row>
    <row r="854">
      <c r="IT854" s="195"/>
      <c r="AGW854" s="195"/>
      <c r="AGX854" s="195"/>
      <c r="AGY854" s="195"/>
      <c r="AGZ854" s="195"/>
    </row>
    <row r="855">
      <c r="IT855" s="195"/>
      <c r="AGW855" s="195"/>
      <c r="AGX855" s="195"/>
      <c r="AGY855" s="195"/>
      <c r="AGZ855" s="195"/>
    </row>
    <row r="856">
      <c r="IT856" s="195"/>
      <c r="AGW856" s="195"/>
      <c r="AGX856" s="195"/>
      <c r="AGY856" s="195"/>
      <c r="AGZ856" s="195"/>
    </row>
    <row r="857">
      <c r="IT857" s="195"/>
      <c r="AGW857" s="195"/>
      <c r="AGX857" s="195"/>
      <c r="AGY857" s="195"/>
      <c r="AGZ857" s="195"/>
    </row>
    <row r="858">
      <c r="IT858" s="195"/>
      <c r="AGW858" s="195"/>
      <c r="AGX858" s="195"/>
      <c r="AGY858" s="195"/>
      <c r="AGZ858" s="195"/>
    </row>
    <row r="859">
      <c r="IT859" s="195"/>
      <c r="AGW859" s="195"/>
      <c r="AGX859" s="195"/>
      <c r="AGY859" s="195"/>
      <c r="AGZ859" s="195"/>
    </row>
    <row r="860">
      <c r="IT860" s="195"/>
      <c r="AGW860" s="195"/>
      <c r="AGX860" s="195"/>
      <c r="AGY860" s="195"/>
      <c r="AGZ860" s="195"/>
    </row>
    <row r="861">
      <c r="IT861" s="195"/>
      <c r="AGW861" s="195"/>
      <c r="AGX861" s="195"/>
      <c r="AGY861" s="195"/>
      <c r="AGZ861" s="195"/>
    </row>
    <row r="862">
      <c r="IT862" s="195"/>
      <c r="AGW862" s="195"/>
      <c r="AGX862" s="195"/>
      <c r="AGY862" s="195"/>
      <c r="AGZ862" s="195"/>
    </row>
    <row r="863">
      <c r="IT863" s="195"/>
      <c r="AGW863" s="195"/>
      <c r="AGX863" s="195"/>
      <c r="AGY863" s="195"/>
      <c r="AGZ863" s="195"/>
    </row>
    <row r="864">
      <c r="IT864" s="195"/>
      <c r="AGW864" s="195"/>
      <c r="AGX864" s="195"/>
      <c r="AGY864" s="195"/>
      <c r="AGZ864" s="195"/>
    </row>
    <row r="865">
      <c r="IT865" s="195"/>
      <c r="AGW865" s="195"/>
      <c r="AGX865" s="195"/>
      <c r="AGY865" s="195"/>
      <c r="AGZ865" s="195"/>
    </row>
    <row r="866">
      <c r="IT866" s="195"/>
      <c r="AGW866" s="195"/>
      <c r="AGX866" s="195"/>
      <c r="AGY866" s="195"/>
      <c r="AGZ866" s="195"/>
    </row>
    <row r="867">
      <c r="IT867" s="195"/>
      <c r="AGW867" s="195"/>
      <c r="AGX867" s="195"/>
      <c r="AGY867" s="195"/>
      <c r="AGZ867" s="195"/>
    </row>
    <row r="868">
      <c r="IT868" s="195"/>
      <c r="AGW868" s="195"/>
      <c r="AGX868" s="195"/>
      <c r="AGY868" s="195"/>
      <c r="AGZ868" s="195"/>
    </row>
    <row r="869">
      <c r="IT869" s="195"/>
      <c r="AGW869" s="195"/>
      <c r="AGX869" s="195"/>
      <c r="AGY869" s="195"/>
      <c r="AGZ869" s="195"/>
    </row>
    <row r="870">
      <c r="IT870" s="195"/>
      <c r="AGW870" s="195"/>
      <c r="AGX870" s="195"/>
      <c r="AGY870" s="195"/>
      <c r="AGZ870" s="195"/>
    </row>
    <row r="871">
      <c r="IT871" s="195"/>
      <c r="AGW871" s="195"/>
      <c r="AGX871" s="195"/>
      <c r="AGY871" s="195"/>
      <c r="AGZ871" s="195"/>
    </row>
    <row r="872">
      <c r="IT872" s="195"/>
      <c r="AGW872" s="195"/>
      <c r="AGX872" s="195"/>
      <c r="AGY872" s="195"/>
      <c r="AGZ872" s="195"/>
    </row>
    <row r="873">
      <c r="IT873" s="195"/>
      <c r="AGW873" s="195"/>
      <c r="AGX873" s="195"/>
      <c r="AGY873" s="195"/>
      <c r="AGZ873" s="195"/>
    </row>
    <row r="874">
      <c r="IT874" s="195"/>
      <c r="AGW874" s="195"/>
      <c r="AGX874" s="195"/>
      <c r="AGY874" s="195"/>
      <c r="AGZ874" s="195"/>
    </row>
    <row r="875">
      <c r="IT875" s="195"/>
      <c r="AGW875" s="195"/>
      <c r="AGX875" s="195"/>
      <c r="AGY875" s="195"/>
      <c r="AGZ875" s="195"/>
    </row>
    <row r="876">
      <c r="IT876" s="195"/>
      <c r="AGW876" s="195"/>
      <c r="AGX876" s="195"/>
      <c r="AGY876" s="195"/>
      <c r="AGZ876" s="195"/>
    </row>
    <row r="877">
      <c r="IT877" s="195"/>
      <c r="AGW877" s="195"/>
      <c r="AGX877" s="195"/>
      <c r="AGY877" s="195"/>
      <c r="AGZ877" s="195"/>
    </row>
    <row r="878">
      <c r="IT878" s="195"/>
      <c r="AGW878" s="195"/>
      <c r="AGX878" s="195"/>
      <c r="AGY878" s="195"/>
      <c r="AGZ878" s="195"/>
    </row>
    <row r="879">
      <c r="IT879" s="195"/>
      <c r="AGW879" s="195"/>
      <c r="AGX879" s="195"/>
      <c r="AGY879" s="195"/>
      <c r="AGZ879" s="195"/>
    </row>
    <row r="880">
      <c r="IT880" s="195"/>
      <c r="AGW880" s="195"/>
      <c r="AGX880" s="195"/>
      <c r="AGY880" s="195"/>
      <c r="AGZ880" s="195"/>
    </row>
    <row r="881">
      <c r="IT881" s="195"/>
      <c r="AGW881" s="195"/>
      <c r="AGX881" s="195"/>
      <c r="AGY881" s="195"/>
      <c r="AGZ881" s="195"/>
    </row>
    <row r="882">
      <c r="IT882" s="195"/>
      <c r="AGW882" s="195"/>
      <c r="AGX882" s="195"/>
      <c r="AGY882" s="195"/>
      <c r="AGZ882" s="195"/>
    </row>
    <row r="883">
      <c r="IT883" s="195"/>
      <c r="AGW883" s="195"/>
      <c r="AGX883" s="195"/>
      <c r="AGY883" s="195"/>
      <c r="AGZ883" s="195"/>
    </row>
    <row r="884">
      <c r="IT884" s="195"/>
      <c r="AGW884" s="195"/>
      <c r="AGX884" s="195"/>
      <c r="AGY884" s="195"/>
      <c r="AGZ884" s="195"/>
    </row>
    <row r="885">
      <c r="IT885" s="195"/>
      <c r="AGW885" s="195"/>
      <c r="AGX885" s="195"/>
      <c r="AGY885" s="195"/>
      <c r="AGZ885" s="195"/>
    </row>
    <row r="886">
      <c r="IT886" s="195"/>
      <c r="AGW886" s="195"/>
      <c r="AGX886" s="195"/>
      <c r="AGY886" s="195"/>
      <c r="AGZ886" s="195"/>
    </row>
    <row r="887">
      <c r="IT887" s="195"/>
      <c r="AGW887" s="195"/>
      <c r="AGX887" s="195"/>
      <c r="AGY887" s="195"/>
      <c r="AGZ887" s="195"/>
    </row>
    <row r="888">
      <c r="IT888" s="195"/>
      <c r="AGW888" s="195"/>
      <c r="AGX888" s="195"/>
      <c r="AGY888" s="195"/>
      <c r="AGZ888" s="195"/>
    </row>
    <row r="889">
      <c r="IT889" s="195"/>
      <c r="AGW889" s="195"/>
      <c r="AGX889" s="195"/>
      <c r="AGY889" s="195"/>
      <c r="AGZ889" s="195"/>
    </row>
    <row r="890">
      <c r="IT890" s="195"/>
      <c r="AGW890" s="195"/>
      <c r="AGX890" s="195"/>
      <c r="AGY890" s="195"/>
      <c r="AGZ890" s="195"/>
    </row>
    <row r="891">
      <c r="IT891" s="195"/>
      <c r="AGW891" s="195"/>
      <c r="AGX891" s="195"/>
      <c r="AGY891" s="195"/>
      <c r="AGZ891" s="195"/>
    </row>
    <row r="892">
      <c r="IT892" s="195"/>
      <c r="AGW892" s="195"/>
      <c r="AGX892" s="195"/>
      <c r="AGY892" s="195"/>
      <c r="AGZ892" s="195"/>
    </row>
    <row r="893">
      <c r="IT893" s="195"/>
      <c r="AGW893" s="195"/>
      <c r="AGX893" s="195"/>
      <c r="AGY893" s="195"/>
      <c r="AGZ893" s="195"/>
    </row>
    <row r="894">
      <c r="IT894" s="195"/>
      <c r="AGW894" s="195"/>
      <c r="AGX894" s="195"/>
      <c r="AGY894" s="195"/>
      <c r="AGZ894" s="195"/>
    </row>
    <row r="895">
      <c r="IT895" s="195"/>
      <c r="AGW895" s="195"/>
      <c r="AGX895" s="195"/>
      <c r="AGY895" s="195"/>
      <c r="AGZ895" s="195"/>
    </row>
    <row r="896">
      <c r="IT896" s="195"/>
      <c r="AGW896" s="195"/>
      <c r="AGX896" s="195"/>
      <c r="AGY896" s="195"/>
      <c r="AGZ896" s="195"/>
    </row>
    <row r="897">
      <c r="IT897" s="195"/>
      <c r="AGW897" s="195"/>
      <c r="AGX897" s="195"/>
      <c r="AGY897" s="195"/>
      <c r="AGZ897" s="195"/>
    </row>
    <row r="898">
      <c r="IT898" s="195"/>
      <c r="AGW898" s="195"/>
      <c r="AGX898" s="195"/>
      <c r="AGY898" s="195"/>
      <c r="AGZ898" s="195"/>
    </row>
    <row r="899">
      <c r="IT899" s="195"/>
      <c r="AGW899" s="195"/>
      <c r="AGX899" s="195"/>
      <c r="AGY899" s="195"/>
      <c r="AGZ899" s="195"/>
    </row>
    <row r="900">
      <c r="IT900" s="195"/>
      <c r="AGW900" s="195"/>
      <c r="AGX900" s="195"/>
      <c r="AGY900" s="195"/>
      <c r="AGZ900" s="195"/>
    </row>
    <row r="901">
      <c r="IT901" s="195"/>
      <c r="AGW901" s="195"/>
      <c r="AGX901" s="195"/>
      <c r="AGY901" s="195"/>
      <c r="AGZ901" s="195"/>
    </row>
    <row r="902">
      <c r="IT902" s="195"/>
      <c r="AGW902" s="195"/>
      <c r="AGX902" s="195"/>
      <c r="AGY902" s="195"/>
      <c r="AGZ902" s="195"/>
    </row>
    <row r="903">
      <c r="IT903" s="195"/>
      <c r="AGW903" s="195"/>
      <c r="AGX903" s="195"/>
      <c r="AGY903" s="195"/>
      <c r="AGZ903" s="195"/>
    </row>
    <row r="904">
      <c r="IT904" s="195"/>
      <c r="AGW904" s="195"/>
      <c r="AGX904" s="195"/>
      <c r="AGY904" s="195"/>
      <c r="AGZ904" s="195"/>
    </row>
    <row r="905">
      <c r="IT905" s="195"/>
      <c r="AGW905" s="195"/>
      <c r="AGX905" s="195"/>
      <c r="AGY905" s="195"/>
      <c r="AGZ905" s="195"/>
    </row>
    <row r="906">
      <c r="IT906" s="195"/>
      <c r="AGW906" s="195"/>
      <c r="AGX906" s="195"/>
      <c r="AGY906" s="195"/>
      <c r="AGZ906" s="195"/>
    </row>
    <row r="907">
      <c r="IT907" s="195"/>
      <c r="AGW907" s="195"/>
      <c r="AGX907" s="195"/>
      <c r="AGY907" s="195"/>
      <c r="AGZ907" s="195"/>
    </row>
    <row r="908">
      <c r="IT908" s="195"/>
      <c r="AGW908" s="195"/>
      <c r="AGX908" s="195"/>
      <c r="AGY908" s="195"/>
      <c r="AGZ908" s="195"/>
    </row>
    <row r="909">
      <c r="IT909" s="195"/>
      <c r="AGW909" s="195"/>
      <c r="AGX909" s="195"/>
      <c r="AGY909" s="195"/>
      <c r="AGZ909" s="195"/>
    </row>
    <row r="910">
      <c r="IT910" s="195"/>
      <c r="AGW910" s="195"/>
      <c r="AGX910" s="195"/>
      <c r="AGY910" s="195"/>
      <c r="AGZ910" s="195"/>
    </row>
    <row r="911">
      <c r="IT911" s="195"/>
      <c r="AGW911" s="195"/>
      <c r="AGX911" s="195"/>
      <c r="AGY911" s="195"/>
      <c r="AGZ911" s="195"/>
    </row>
    <row r="912">
      <c r="IT912" s="195"/>
      <c r="AGW912" s="195"/>
      <c r="AGX912" s="195"/>
      <c r="AGY912" s="195"/>
      <c r="AGZ912" s="195"/>
    </row>
    <row r="913">
      <c r="IT913" s="195"/>
      <c r="AGW913" s="195"/>
      <c r="AGX913" s="195"/>
      <c r="AGY913" s="195"/>
      <c r="AGZ913" s="195"/>
    </row>
    <row r="914">
      <c r="IT914" s="195"/>
      <c r="AGW914" s="195"/>
      <c r="AGX914" s="195"/>
      <c r="AGY914" s="195"/>
      <c r="AGZ914" s="195"/>
    </row>
    <row r="915">
      <c r="IT915" s="195"/>
      <c r="AGW915" s="195"/>
      <c r="AGX915" s="195"/>
      <c r="AGY915" s="195"/>
      <c r="AGZ915" s="195"/>
    </row>
    <row r="916">
      <c r="IT916" s="195"/>
      <c r="AGW916" s="195"/>
      <c r="AGX916" s="195"/>
      <c r="AGY916" s="195"/>
      <c r="AGZ916" s="195"/>
    </row>
    <row r="917">
      <c r="IT917" s="195"/>
      <c r="AGW917" s="195"/>
      <c r="AGX917" s="195"/>
      <c r="AGY917" s="195"/>
      <c r="AGZ917" s="195"/>
    </row>
    <row r="918">
      <c r="IT918" s="195"/>
      <c r="AGW918" s="195"/>
      <c r="AGX918" s="195"/>
      <c r="AGY918" s="195"/>
      <c r="AGZ918" s="195"/>
    </row>
    <row r="919">
      <c r="IT919" s="195"/>
      <c r="AGW919" s="195"/>
      <c r="AGX919" s="195"/>
      <c r="AGY919" s="195"/>
      <c r="AGZ919" s="195"/>
    </row>
    <row r="920">
      <c r="IT920" s="195"/>
      <c r="AGW920" s="195"/>
      <c r="AGX920" s="195"/>
      <c r="AGY920" s="195"/>
      <c r="AGZ920" s="195"/>
    </row>
    <row r="921">
      <c r="IT921" s="195"/>
      <c r="AGW921" s="195"/>
      <c r="AGX921" s="195"/>
      <c r="AGY921" s="195"/>
      <c r="AGZ921" s="195"/>
    </row>
    <row r="922">
      <c r="IT922" s="195"/>
      <c r="AGW922" s="195"/>
      <c r="AGX922" s="195"/>
      <c r="AGY922" s="195"/>
      <c r="AGZ922" s="195"/>
    </row>
    <row r="923">
      <c r="IT923" s="195"/>
      <c r="AGW923" s="195"/>
      <c r="AGX923" s="195"/>
      <c r="AGY923" s="195"/>
      <c r="AGZ923" s="195"/>
    </row>
    <row r="924">
      <c r="IT924" s="195"/>
      <c r="AGW924" s="195"/>
      <c r="AGX924" s="195"/>
      <c r="AGY924" s="195"/>
      <c r="AGZ924" s="195"/>
    </row>
    <row r="925">
      <c r="IT925" s="195"/>
      <c r="AGW925" s="195"/>
      <c r="AGX925" s="195"/>
      <c r="AGY925" s="195"/>
      <c r="AGZ925" s="195"/>
    </row>
    <row r="926">
      <c r="IT926" s="195"/>
      <c r="AGW926" s="195"/>
      <c r="AGX926" s="195"/>
      <c r="AGY926" s="195"/>
      <c r="AGZ926" s="195"/>
    </row>
    <row r="927">
      <c r="IT927" s="195"/>
      <c r="AGW927" s="195"/>
      <c r="AGX927" s="195"/>
      <c r="AGY927" s="195"/>
      <c r="AGZ927" s="195"/>
    </row>
    <row r="928">
      <c r="IT928" s="195"/>
      <c r="AGW928" s="195"/>
      <c r="AGX928" s="195"/>
      <c r="AGY928" s="195"/>
      <c r="AGZ928" s="195"/>
    </row>
    <row r="929">
      <c r="IT929" s="195"/>
      <c r="AGW929" s="195"/>
      <c r="AGX929" s="195"/>
      <c r="AGY929" s="195"/>
      <c r="AGZ929" s="195"/>
    </row>
    <row r="930">
      <c r="IT930" s="195"/>
      <c r="AGW930" s="195"/>
      <c r="AGX930" s="195"/>
      <c r="AGY930" s="195"/>
      <c r="AGZ930" s="195"/>
    </row>
    <row r="931">
      <c r="IT931" s="195"/>
      <c r="AGW931" s="195"/>
      <c r="AGX931" s="195"/>
      <c r="AGY931" s="195"/>
      <c r="AGZ931" s="195"/>
    </row>
    <row r="932">
      <c r="IT932" s="195"/>
      <c r="AGW932" s="195"/>
      <c r="AGX932" s="195"/>
      <c r="AGY932" s="195"/>
      <c r="AGZ932" s="195"/>
    </row>
    <row r="933">
      <c r="IT933" s="195"/>
      <c r="AGW933" s="195"/>
      <c r="AGX933" s="195"/>
      <c r="AGY933" s="195"/>
      <c r="AGZ933" s="195"/>
    </row>
    <row r="934">
      <c r="IT934" s="195"/>
      <c r="AGW934" s="195"/>
      <c r="AGX934" s="195"/>
      <c r="AGY934" s="195"/>
      <c r="AGZ934" s="195"/>
    </row>
    <row r="935">
      <c r="IT935" s="195"/>
      <c r="AGW935" s="195"/>
      <c r="AGX935" s="195"/>
      <c r="AGY935" s="195"/>
      <c r="AGZ935" s="195"/>
    </row>
    <row r="936">
      <c r="IT936" s="195"/>
      <c r="AGW936" s="195"/>
      <c r="AGX936" s="195"/>
      <c r="AGY936" s="195"/>
      <c r="AGZ936" s="195"/>
    </row>
    <row r="937">
      <c r="IT937" s="195"/>
      <c r="AGW937" s="195"/>
      <c r="AGX937" s="195"/>
      <c r="AGY937" s="195"/>
      <c r="AGZ937" s="195"/>
    </row>
    <row r="938">
      <c r="IT938" s="195"/>
      <c r="AGW938" s="195"/>
      <c r="AGX938" s="195"/>
      <c r="AGY938" s="195"/>
      <c r="AGZ938" s="195"/>
    </row>
    <row r="939">
      <c r="IT939" s="195"/>
      <c r="AGW939" s="195"/>
      <c r="AGX939" s="195"/>
      <c r="AGY939" s="195"/>
      <c r="AGZ939" s="195"/>
    </row>
    <row r="940">
      <c r="IT940" s="195"/>
      <c r="AGW940" s="195"/>
      <c r="AGX940" s="195"/>
      <c r="AGY940" s="195"/>
      <c r="AGZ940" s="195"/>
    </row>
    <row r="941">
      <c r="IT941" s="195"/>
      <c r="AGW941" s="195"/>
      <c r="AGX941" s="195"/>
      <c r="AGY941" s="195"/>
      <c r="AGZ941" s="195"/>
    </row>
    <row r="942">
      <c r="IT942" s="195"/>
      <c r="AGW942" s="195"/>
      <c r="AGX942" s="195"/>
      <c r="AGY942" s="195"/>
      <c r="AGZ942" s="195"/>
    </row>
    <row r="943">
      <c r="IT943" s="195"/>
      <c r="AGW943" s="195"/>
      <c r="AGX943" s="195"/>
      <c r="AGY943" s="195"/>
      <c r="AGZ943" s="195"/>
    </row>
    <row r="944">
      <c r="IT944" s="195"/>
      <c r="AGW944" s="195"/>
      <c r="AGX944" s="195"/>
      <c r="AGY944" s="195"/>
      <c r="AGZ944" s="195"/>
    </row>
    <row r="945">
      <c r="IT945" s="195"/>
      <c r="AGW945" s="195"/>
      <c r="AGX945" s="195"/>
      <c r="AGY945" s="195"/>
      <c r="AGZ945" s="195"/>
    </row>
    <row r="946">
      <c r="IT946" s="195"/>
      <c r="AGW946" s="195"/>
      <c r="AGX946" s="195"/>
      <c r="AGY946" s="195"/>
      <c r="AGZ946" s="195"/>
    </row>
    <row r="947">
      <c r="IT947" s="195"/>
      <c r="AGW947" s="195"/>
      <c r="AGX947" s="195"/>
      <c r="AGY947" s="195"/>
      <c r="AGZ947" s="195"/>
    </row>
    <row r="948">
      <c r="IT948" s="195"/>
      <c r="AGW948" s="195"/>
      <c r="AGX948" s="195"/>
      <c r="AGY948" s="195"/>
      <c r="AGZ948" s="195"/>
    </row>
    <row r="949">
      <c r="IT949" s="195"/>
      <c r="AGW949" s="195"/>
      <c r="AGX949" s="195"/>
      <c r="AGY949" s="195"/>
      <c r="AGZ949" s="195"/>
    </row>
    <row r="950">
      <c r="IT950" s="195"/>
      <c r="AGW950" s="195"/>
      <c r="AGX950" s="195"/>
      <c r="AGY950" s="195"/>
      <c r="AGZ950" s="195"/>
    </row>
    <row r="951">
      <c r="IT951" s="195"/>
      <c r="AGW951" s="195"/>
      <c r="AGX951" s="195"/>
      <c r="AGY951" s="195"/>
      <c r="AGZ951" s="195"/>
    </row>
    <row r="952">
      <c r="IT952" s="195"/>
      <c r="AGW952" s="195"/>
      <c r="AGX952" s="195"/>
      <c r="AGY952" s="195"/>
      <c r="AGZ952" s="195"/>
    </row>
    <row r="953">
      <c r="IT953" s="195"/>
      <c r="AGW953" s="195"/>
      <c r="AGX953" s="195"/>
      <c r="AGY953" s="195"/>
      <c r="AGZ953" s="195"/>
    </row>
    <row r="954">
      <c r="IT954" s="195"/>
      <c r="AGW954" s="195"/>
      <c r="AGX954" s="195"/>
      <c r="AGY954" s="195"/>
      <c r="AGZ954" s="195"/>
    </row>
    <row r="955">
      <c r="IT955" s="195"/>
      <c r="AGW955" s="195"/>
      <c r="AGX955" s="195"/>
      <c r="AGY955" s="195"/>
      <c r="AGZ955" s="195"/>
    </row>
    <row r="956">
      <c r="IT956" s="195"/>
      <c r="AGW956" s="195"/>
      <c r="AGX956" s="195"/>
      <c r="AGY956" s="195"/>
      <c r="AGZ956" s="195"/>
    </row>
    <row r="957">
      <c r="IT957" s="195"/>
      <c r="AGW957" s="195"/>
      <c r="AGX957" s="195"/>
      <c r="AGY957" s="195"/>
      <c r="AGZ957" s="195"/>
    </row>
    <row r="958">
      <c r="IT958" s="195"/>
      <c r="AGW958" s="195"/>
      <c r="AGX958" s="195"/>
      <c r="AGY958" s="195"/>
      <c r="AGZ958" s="195"/>
    </row>
    <row r="959">
      <c r="IT959" s="195"/>
      <c r="AGW959" s="195"/>
      <c r="AGX959" s="195"/>
      <c r="AGY959" s="195"/>
      <c r="AGZ959" s="195"/>
    </row>
    <row r="960">
      <c r="IT960" s="195"/>
      <c r="AGW960" s="195"/>
      <c r="AGX960" s="195"/>
      <c r="AGY960" s="195"/>
      <c r="AGZ960" s="195"/>
    </row>
    <row r="961">
      <c r="IT961" s="195"/>
      <c r="AGW961" s="195"/>
      <c r="AGX961" s="195"/>
      <c r="AGY961" s="195"/>
      <c r="AGZ961" s="195"/>
    </row>
    <row r="962">
      <c r="IT962" s="195"/>
      <c r="AGW962" s="195"/>
      <c r="AGX962" s="195"/>
      <c r="AGY962" s="195"/>
      <c r="AGZ962" s="195"/>
    </row>
    <row r="963">
      <c r="IT963" s="195"/>
      <c r="AGW963" s="195"/>
      <c r="AGX963" s="195"/>
      <c r="AGY963" s="195"/>
      <c r="AGZ963" s="195"/>
    </row>
    <row r="964">
      <c r="IT964" s="195"/>
      <c r="AGW964" s="195"/>
      <c r="AGX964" s="195"/>
      <c r="AGY964" s="195"/>
      <c r="AGZ964" s="195"/>
    </row>
    <row r="965">
      <c r="IT965" s="195"/>
      <c r="AGW965" s="195"/>
      <c r="AGX965" s="195"/>
      <c r="AGY965" s="195"/>
      <c r="AGZ965" s="195"/>
    </row>
    <row r="966">
      <c r="IT966" s="195"/>
      <c r="AGW966" s="195"/>
      <c r="AGX966" s="195"/>
      <c r="AGY966" s="195"/>
      <c r="AGZ966" s="195"/>
    </row>
    <row r="967">
      <c r="IT967" s="195"/>
      <c r="AGW967" s="195"/>
      <c r="AGX967" s="195"/>
      <c r="AGY967" s="195"/>
      <c r="AGZ967" s="195"/>
    </row>
    <row r="968">
      <c r="IT968" s="195"/>
      <c r="AGW968" s="195"/>
      <c r="AGX968" s="195"/>
      <c r="AGY968" s="195"/>
      <c r="AGZ968" s="195"/>
    </row>
    <row r="969">
      <c r="IT969" s="195"/>
      <c r="AGW969" s="195"/>
      <c r="AGX969" s="195"/>
      <c r="AGY969" s="195"/>
      <c r="AGZ969" s="195"/>
    </row>
    <row r="970">
      <c r="IT970" s="195"/>
      <c r="AGW970" s="195"/>
      <c r="AGX970" s="195"/>
      <c r="AGY970" s="195"/>
      <c r="AGZ970" s="195"/>
    </row>
    <row r="971">
      <c r="IT971" s="195"/>
      <c r="AGW971" s="195"/>
      <c r="AGX971" s="195"/>
      <c r="AGY971" s="195"/>
      <c r="AGZ971" s="195"/>
    </row>
    <row r="972">
      <c r="IT972" s="195"/>
      <c r="AGW972" s="195"/>
      <c r="AGX972" s="195"/>
      <c r="AGY972" s="195"/>
      <c r="AGZ972" s="195"/>
    </row>
    <row r="973">
      <c r="IT973" s="195"/>
      <c r="AGW973" s="195"/>
      <c r="AGX973" s="195"/>
      <c r="AGY973" s="195"/>
      <c r="AGZ973" s="195"/>
    </row>
    <row r="974">
      <c r="IT974" s="195"/>
      <c r="AGW974" s="195"/>
      <c r="AGX974" s="195"/>
      <c r="AGY974" s="195"/>
      <c r="AGZ974" s="195"/>
    </row>
    <row r="975">
      <c r="IT975" s="195"/>
      <c r="AGW975" s="195"/>
      <c r="AGX975" s="195"/>
      <c r="AGY975" s="195"/>
      <c r="AGZ975" s="195"/>
    </row>
    <row r="976">
      <c r="IT976" s="195"/>
      <c r="AGW976" s="195"/>
      <c r="AGX976" s="195"/>
      <c r="AGY976" s="195"/>
      <c r="AGZ976" s="195"/>
    </row>
    <row r="977">
      <c r="IT977" s="195"/>
      <c r="AGW977" s="195"/>
      <c r="AGX977" s="195"/>
      <c r="AGY977" s="195"/>
      <c r="AGZ977" s="195"/>
    </row>
    <row r="978">
      <c r="IT978" s="195"/>
      <c r="AGW978" s="195"/>
      <c r="AGX978" s="195"/>
      <c r="AGY978" s="195"/>
      <c r="AGZ978" s="195"/>
    </row>
    <row r="979">
      <c r="IT979" s="195"/>
      <c r="AGW979" s="195"/>
      <c r="AGX979" s="195"/>
      <c r="AGY979" s="195"/>
      <c r="AGZ979" s="195"/>
    </row>
    <row r="980">
      <c r="IT980" s="195"/>
      <c r="AGW980" s="195"/>
      <c r="AGX980" s="195"/>
      <c r="AGY980" s="195"/>
      <c r="AGZ980" s="195"/>
    </row>
    <row r="981">
      <c r="IT981" s="195"/>
      <c r="AGW981" s="195"/>
      <c r="AGX981" s="195"/>
      <c r="AGY981" s="195"/>
      <c r="AGZ981" s="195"/>
    </row>
    <row r="982">
      <c r="IT982" s="195"/>
      <c r="AGW982" s="195"/>
      <c r="AGX982" s="195"/>
      <c r="AGY982" s="195"/>
      <c r="AGZ982" s="195"/>
    </row>
    <row r="983">
      <c r="IT983" s="195"/>
      <c r="AGW983" s="195"/>
      <c r="AGX983" s="195"/>
      <c r="AGY983" s="195"/>
      <c r="AGZ983" s="195"/>
    </row>
    <row r="984">
      <c r="IT984" s="195"/>
      <c r="AGW984" s="195"/>
      <c r="AGX984" s="195"/>
      <c r="AGY984" s="195"/>
      <c r="AGZ984" s="195"/>
    </row>
    <row r="985">
      <c r="IT985" s="195"/>
      <c r="AGW985" s="195"/>
      <c r="AGX985" s="195"/>
      <c r="AGY985" s="195"/>
      <c r="AGZ985" s="195"/>
    </row>
    <row r="986">
      <c r="IT986" s="195"/>
      <c r="AGW986" s="195"/>
      <c r="AGX986" s="195"/>
      <c r="AGY986" s="195"/>
      <c r="AGZ986" s="195"/>
    </row>
    <row r="987">
      <c r="IT987" s="195"/>
      <c r="AGW987" s="195"/>
      <c r="AGX987" s="195"/>
      <c r="AGY987" s="195"/>
      <c r="AGZ987" s="195"/>
    </row>
    <row r="988">
      <c r="IT988" s="195"/>
      <c r="AGW988" s="195"/>
      <c r="AGX988" s="195"/>
      <c r="AGY988" s="195"/>
      <c r="AGZ988" s="195"/>
    </row>
    <row r="989">
      <c r="IT989" s="195"/>
      <c r="AGW989" s="195"/>
      <c r="AGX989" s="195"/>
      <c r="AGY989" s="195"/>
      <c r="AGZ989" s="195"/>
    </row>
    <row r="990">
      <c r="IT990" s="195"/>
      <c r="AGW990" s="195"/>
      <c r="AGX990" s="195"/>
      <c r="AGY990" s="195"/>
      <c r="AGZ990" s="195"/>
    </row>
    <row r="991">
      <c r="IT991" s="195"/>
      <c r="AGW991" s="195"/>
      <c r="AGX991" s="195"/>
      <c r="AGY991" s="195"/>
      <c r="AGZ991" s="195"/>
    </row>
    <row r="992">
      <c r="IT992" s="195"/>
      <c r="AGW992" s="195"/>
      <c r="AGX992" s="195"/>
      <c r="AGY992" s="195"/>
      <c r="AGZ992" s="195"/>
    </row>
    <row r="993">
      <c r="IT993" s="195"/>
      <c r="AGW993" s="195"/>
      <c r="AGX993" s="195"/>
      <c r="AGY993" s="195"/>
      <c r="AGZ993" s="195"/>
    </row>
    <row r="994">
      <c r="IT994" s="195"/>
      <c r="AGW994" s="195"/>
      <c r="AGX994" s="195"/>
      <c r="AGY994" s="195"/>
      <c r="AGZ994" s="195"/>
    </row>
    <row r="995">
      <c r="IT995" s="195"/>
      <c r="AGW995" s="195"/>
      <c r="AGX995" s="195"/>
      <c r="AGY995" s="195"/>
      <c r="AGZ995" s="195"/>
    </row>
    <row r="996">
      <c r="IT996" s="195"/>
      <c r="AGW996" s="195"/>
      <c r="AGX996" s="195"/>
      <c r="AGY996" s="195"/>
      <c r="AGZ996" s="195"/>
    </row>
    <row r="997">
      <c r="IT997" s="195"/>
      <c r="AGW997" s="195"/>
      <c r="AGX997" s="195"/>
      <c r="AGY997" s="195"/>
      <c r="AGZ997" s="19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2" max="2" width="19.33"/>
    <col customWidth="1" min="3" max="3" width="18.22"/>
    <col customWidth="1" min="4" max="4" width="17.89"/>
    <col customWidth="1" min="5" max="5" width="22.67"/>
    <col customWidth="1" min="11" max="12" width="13.56"/>
    <col customWidth="1" min="24" max="24" width="12.44"/>
    <col customWidth="1" min="25" max="25" width="13.56"/>
    <col customWidth="1" min="28" max="28" width="14.11"/>
    <col customWidth="1" min="49" max="49" width="15.44"/>
  </cols>
  <sheetData>
    <row r="1">
      <c r="H1" s="200"/>
      <c r="I1" s="200"/>
      <c r="J1" s="200"/>
      <c r="K1" s="200"/>
    </row>
    <row r="2">
      <c r="A2" s="4" t="s">
        <v>68</v>
      </c>
      <c r="B2" s="4" t="s">
        <v>362</v>
      </c>
      <c r="C2" s="4" t="s">
        <v>362</v>
      </c>
      <c r="D2" s="4" t="s">
        <v>320</v>
      </c>
      <c r="E2" s="4" t="s">
        <v>320</v>
      </c>
      <c r="F2" s="4" t="s">
        <v>320</v>
      </c>
      <c r="G2" s="4" t="s">
        <v>335</v>
      </c>
      <c r="H2" s="193" t="s">
        <v>327</v>
      </c>
      <c r="I2" s="194" t="s">
        <v>327</v>
      </c>
      <c r="J2" s="194" t="s">
        <v>327</v>
      </c>
      <c r="K2" s="194" t="s">
        <v>327</v>
      </c>
      <c r="L2" s="4" t="s">
        <v>365</v>
      </c>
      <c r="M2" s="4" t="s">
        <v>370</v>
      </c>
      <c r="N2" s="4" t="s">
        <v>371</v>
      </c>
      <c r="O2" s="4" t="s">
        <v>371</v>
      </c>
      <c r="P2" s="4" t="s">
        <v>371</v>
      </c>
      <c r="Q2" s="4" t="s">
        <v>372</v>
      </c>
      <c r="R2" s="4" t="s">
        <v>372</v>
      </c>
      <c r="S2" s="4" t="s">
        <v>372</v>
      </c>
      <c r="T2" s="4" t="s">
        <v>368</v>
      </c>
      <c r="U2" s="4" t="s">
        <v>368</v>
      </c>
      <c r="V2" s="4" t="s">
        <v>368</v>
      </c>
      <c r="W2" s="4" t="s">
        <v>366</v>
      </c>
      <c r="X2" s="4" t="s">
        <v>366</v>
      </c>
      <c r="Y2" s="4" t="s">
        <v>366</v>
      </c>
      <c r="Z2" s="4" t="s">
        <v>351</v>
      </c>
      <c r="AA2" s="4" t="s">
        <v>351</v>
      </c>
      <c r="AB2" s="4" t="s">
        <v>351</v>
      </c>
      <c r="AC2" s="4" t="s">
        <v>357</v>
      </c>
      <c r="AD2" s="4" t="s">
        <v>357</v>
      </c>
      <c r="AE2" s="4" t="s">
        <v>357</v>
      </c>
      <c r="AF2" s="4" t="s">
        <v>352</v>
      </c>
      <c r="AG2" s="4" t="s">
        <v>352</v>
      </c>
      <c r="AH2" s="4" t="s">
        <v>339</v>
      </c>
      <c r="AI2" s="4" t="s">
        <v>334</v>
      </c>
      <c r="AJ2" s="4" t="s">
        <v>348</v>
      </c>
      <c r="AK2" s="4" t="s">
        <v>379</v>
      </c>
      <c r="AL2" s="4" t="s">
        <v>380</v>
      </c>
      <c r="AM2" s="4" t="s">
        <v>384</v>
      </c>
      <c r="AN2" s="4" t="s">
        <v>384</v>
      </c>
      <c r="AO2" s="4" t="s">
        <v>384</v>
      </c>
      <c r="AP2" s="4" t="s">
        <v>343</v>
      </c>
      <c r="AQ2" s="4" t="s">
        <v>387</v>
      </c>
      <c r="AR2" s="4" t="s">
        <v>387</v>
      </c>
      <c r="AS2" s="4" t="s">
        <v>386</v>
      </c>
      <c r="AT2" s="4" t="s">
        <v>386</v>
      </c>
      <c r="AU2" s="4" t="s">
        <v>388</v>
      </c>
      <c r="AV2" s="4" t="s">
        <v>389</v>
      </c>
      <c r="AW2" s="4" t="s">
        <v>389</v>
      </c>
      <c r="AX2" s="4" t="s">
        <v>389</v>
      </c>
      <c r="AY2" s="4" t="s">
        <v>389</v>
      </c>
      <c r="AZ2" s="4" t="s">
        <v>390</v>
      </c>
      <c r="BA2" s="4" t="s">
        <v>390</v>
      </c>
      <c r="BB2" s="4" t="s">
        <v>392</v>
      </c>
      <c r="BC2" s="4" t="s">
        <v>325</v>
      </c>
      <c r="BD2" s="4" t="s">
        <v>393</v>
      </c>
      <c r="BE2" s="4" t="s">
        <v>395</v>
      </c>
      <c r="BF2" s="4" t="s">
        <v>394</v>
      </c>
      <c r="BG2" s="4" t="s">
        <v>397</v>
      </c>
      <c r="BH2" s="4" t="s">
        <v>397</v>
      </c>
      <c r="BI2" s="4" t="s">
        <v>396</v>
      </c>
      <c r="BJ2" s="4" t="s">
        <v>396</v>
      </c>
    </row>
    <row r="3">
      <c r="A3" s="4" t="s">
        <v>428</v>
      </c>
      <c r="B3" s="10" t="str">
        <f>"Spirit Soother (&gt;50%)"</f>
        <v>Spirit Soother (&gt;50%)</v>
      </c>
      <c r="C3" s="10" t="str">
        <f>"Spirit Soother (&lt;50%)"</f>
        <v>Spirit Soother (&lt;50%)</v>
      </c>
      <c r="D3" s="10" t="str">
        <f>"Dandelion Breeze Cast"</f>
        <v>Dandelion Breeze Cast</v>
      </c>
      <c r="E3" s="10" t="str">
        <f>"Dandelion Breeze Continuous"</f>
        <v>Dandelion Breeze Continuous</v>
      </c>
      <c r="F3" s="10" t="str">
        <f>"A1"</f>
        <v>A1</v>
      </c>
      <c r="G3" s="10" t="str">
        <f>"Rainsword"</f>
        <v>Rainsword</v>
      </c>
      <c r="H3" s="179" t="str">
        <f>"Continuous"</f>
        <v>Continuous</v>
      </c>
      <c r="I3" s="179" t="str">
        <f>"Normal"</f>
        <v>Normal</v>
      </c>
      <c r="J3" s="179" t="str">
        <f>"Charged"</f>
        <v>Charged</v>
      </c>
      <c r="K3" s="179" t="str">
        <f>"Burst"</f>
        <v>Burst</v>
      </c>
      <c r="L3" s="10" t="str">
        <f>"Dominus Lapidis"</f>
        <v>Dominus Lapidis</v>
      </c>
      <c r="M3" s="10" t="str">
        <f>"Burst Healing"</f>
        <v>Burst Healing</v>
      </c>
      <c r="N3" s="10" t="str">
        <f>"A1 Shield"</f>
        <v>A1 Shield</v>
      </c>
      <c r="O3" s="10" t="str">
        <f>"Skill Shield"</f>
        <v>Skill Shield</v>
      </c>
      <c r="P3" s="10" t="str">
        <f>"Heal"</f>
        <v>Heal</v>
      </c>
      <c r="Q3" s="10" t="str">
        <f>"Continuous"</f>
        <v>Continuous</v>
      </c>
      <c r="R3" s="10" t="str">
        <f>"Burst on Hit"</f>
        <v>Burst on Hit</v>
      </c>
      <c r="S3" s="10" t="str">
        <f>"Skill on Hit"</f>
        <v>Skill on Hit</v>
      </c>
      <c r="T3" s="10" t="str">
        <f>"Press Shield"</f>
        <v>Press Shield</v>
      </c>
      <c r="U3" s="10" t="str">
        <f>"Hold Shield"</f>
        <v>Hold Shield</v>
      </c>
      <c r="V3" s="10" t="str">
        <f>"Burst Heal"</f>
        <v>Burst Heal</v>
      </c>
      <c r="W3" s="10" t="str">
        <f>"Level 1 Shield"</f>
        <v>Level 1 Shield</v>
      </c>
      <c r="X3" s="10" t="str">
        <f>"Level 2 Shield"</f>
        <v>Level 2 Shield</v>
      </c>
      <c r="Y3" s="10" t="str">
        <f>"Level 3 Shield"</f>
        <v>Level 3 Shield</v>
      </c>
      <c r="Z3" s="10" t="str">
        <f>"Skill Shield"</f>
        <v>Skill Shield</v>
      </c>
      <c r="AA3" s="10" t="str">
        <f>"Max Shield"</f>
        <v>Max Shield</v>
      </c>
      <c r="AB3" s="10" t="str">
        <f>"Burst Shield Add"</f>
        <v>Burst Shield Add</v>
      </c>
      <c r="AC3" s="10" t="str">
        <f>"Burst Initial"</f>
        <v>Burst Initial</v>
      </c>
      <c r="AD3" s="10" t="str">
        <f>"Burst Tick"</f>
        <v>Burst Tick</v>
      </c>
      <c r="AE3" s="10" t="str">
        <f>"A1"</f>
        <v>A1</v>
      </c>
      <c r="AF3" s="10" t="str">
        <f>"NA/CA"</f>
        <v>NA/CA</v>
      </c>
      <c r="AG3" s="10" t="str">
        <f>"Skill"</f>
        <v>Skill</v>
      </c>
      <c r="AH3" s="10" t="str">
        <f>"Burst"</f>
        <v>Burst</v>
      </c>
      <c r="AI3" s="88" t="str">
        <f t="shared" ref="AI3:AK3" si="1">"Parry Shield"</f>
        <v>Parry Shield</v>
      </c>
      <c r="AJ3" s="88" t="str">
        <f t="shared" si="1"/>
        <v>Parry Shield</v>
      </c>
      <c r="AK3" s="88" t="str">
        <f t="shared" si="1"/>
        <v>Parry Shield</v>
      </c>
      <c r="AL3" s="88" t="str">
        <f>"Curtain of Slumber"</f>
        <v>Curtain of Slumber</v>
      </c>
      <c r="AM3" s="88" t="str">
        <f>"White Jade Radish Healing"</f>
        <v>White Jade Radish Healing</v>
      </c>
      <c r="AN3" s="88" t="str">
        <f>"Adeptal White Jade Radish Healing"</f>
        <v>Adeptal White Jade Radish Healing</v>
      </c>
      <c r="AO3" s="88" t="str">
        <f>"In Others' Shoes"</f>
        <v>In Others' Shoes</v>
      </c>
      <c r="AP3" s="88" t="str">
        <f>"Grass Ring of Sanctification Healing"</f>
        <v>Grass Ring of Sanctification Healing</v>
      </c>
      <c r="AQ3" s="88" t="str">
        <f>"Stalwart and True Initial"</f>
        <v>Stalwart and True Initial</v>
      </c>
      <c r="AR3" s="88" t="str">
        <f>"Stalwart and True HoT"</f>
        <v>Stalwart and True HoT</v>
      </c>
      <c r="AS3" s="88" t="str">
        <f>"Burst Initial"</f>
        <v>Burst Initial</v>
      </c>
      <c r="AT3" s="88" t="str">
        <f>"Eagleplume Regeneration"</f>
        <v>Eagleplume Regeneration</v>
      </c>
      <c r="AU3" s="88" t="str">
        <f>"Creator's Undertaking"</f>
        <v>Creator's Undertaking</v>
      </c>
      <c r="AV3" s="88" t="str">
        <f>"Universal Diagnosis"</f>
        <v>Universal Diagnosis</v>
      </c>
      <c r="AW3" s="88" t="str">
        <f>"Spiritvein Healing"</f>
        <v>Spiritvein Healing</v>
      </c>
      <c r="AX3" s="88" t="str">
        <f>"Seamless Shield"</f>
        <v>Seamless Shield</v>
      </c>
      <c r="AY3" s="88" t="str">
        <f>"Herbal Nourishment"</f>
        <v>Herbal Nourishment</v>
      </c>
      <c r="AZ3" s="88" t="str">
        <f>"Meow-teor Tap Shield"</f>
        <v>Meow-teor Tap Shield</v>
      </c>
      <c r="BA3" s="88" t="str">
        <f>"Meow-teor Max Shield"</f>
        <v>Meow-teor Max Shield</v>
      </c>
      <c r="BB3" s="88" t="str">
        <f>"Bewildering Lights"</f>
        <v>Bewildering Lights</v>
      </c>
      <c r="BC3" s="88" t="str">
        <f>"Spotless Waters"</f>
        <v>Spotless Waters</v>
      </c>
      <c r="BD3" s="88" t="str">
        <f>"Enigmatic Feint"</f>
        <v>Enigmatic Feint</v>
      </c>
      <c r="BE3" s="88" t="str">
        <f>"Absorbing Droplet"</f>
        <v>Absorbing Droplet</v>
      </c>
      <c r="BF3" s="88" t="str">
        <f>"There Shall Be a Plea for Justice"</f>
        <v>There Shall Be a Plea for Justice</v>
      </c>
      <c r="BG3" s="88" t="str">
        <f>"Burst Cast Healing"</f>
        <v>Burst Cast Healing</v>
      </c>
      <c r="BH3" s="88" t="str">
        <f>"Kamera Healing"</f>
        <v>Kamera Healing</v>
      </c>
      <c r="BI3" s="88" t="str">
        <f>"Singers of the Stream"</f>
        <v>Singers of the Stream</v>
      </c>
      <c r="BJ3" s="88" t="str">
        <f>"Endless Waltz"</f>
        <v>Endless Waltz</v>
      </c>
      <c r="BK3" s="88" t="str">
        <f t="shared" ref="BK3:EV3" si="2">""</f>
        <v/>
      </c>
      <c r="BL3" s="88" t="str">
        <f t="shared" si="2"/>
        <v/>
      </c>
      <c r="BM3" s="88" t="str">
        <f t="shared" si="2"/>
        <v/>
      </c>
      <c r="BN3" s="88" t="str">
        <f t="shared" si="2"/>
        <v/>
      </c>
      <c r="BO3" s="88" t="str">
        <f t="shared" si="2"/>
        <v/>
      </c>
      <c r="BP3" s="88" t="str">
        <f t="shared" si="2"/>
        <v/>
      </c>
      <c r="BQ3" s="88" t="str">
        <f t="shared" si="2"/>
        <v/>
      </c>
      <c r="BR3" s="88" t="str">
        <f t="shared" si="2"/>
        <v/>
      </c>
      <c r="BS3" s="88" t="str">
        <f t="shared" si="2"/>
        <v/>
      </c>
      <c r="BT3" s="88" t="str">
        <f t="shared" si="2"/>
        <v/>
      </c>
      <c r="BU3" s="88" t="str">
        <f t="shared" si="2"/>
        <v/>
      </c>
      <c r="BV3" s="88" t="str">
        <f t="shared" si="2"/>
        <v/>
      </c>
      <c r="BW3" s="88" t="str">
        <f t="shared" si="2"/>
        <v/>
      </c>
      <c r="BX3" s="88" t="str">
        <f t="shared" si="2"/>
        <v/>
      </c>
      <c r="BY3" s="88" t="str">
        <f t="shared" si="2"/>
        <v/>
      </c>
      <c r="BZ3" s="88" t="str">
        <f t="shared" si="2"/>
        <v/>
      </c>
      <c r="CA3" s="88" t="str">
        <f t="shared" si="2"/>
        <v/>
      </c>
      <c r="CB3" s="88" t="str">
        <f t="shared" si="2"/>
        <v/>
      </c>
      <c r="CC3" s="88" t="str">
        <f t="shared" si="2"/>
        <v/>
      </c>
      <c r="CD3" s="88" t="str">
        <f t="shared" si="2"/>
        <v/>
      </c>
      <c r="CE3" s="88" t="str">
        <f t="shared" si="2"/>
        <v/>
      </c>
      <c r="CF3" s="88" t="str">
        <f t="shared" si="2"/>
        <v/>
      </c>
      <c r="CG3" s="88" t="str">
        <f t="shared" si="2"/>
        <v/>
      </c>
      <c r="CH3" s="88" t="str">
        <f t="shared" si="2"/>
        <v/>
      </c>
      <c r="CI3" s="88" t="str">
        <f t="shared" si="2"/>
        <v/>
      </c>
      <c r="CJ3" s="88" t="str">
        <f t="shared" si="2"/>
        <v/>
      </c>
      <c r="CK3" s="88" t="str">
        <f t="shared" si="2"/>
        <v/>
      </c>
      <c r="CL3" s="88" t="str">
        <f t="shared" si="2"/>
        <v/>
      </c>
      <c r="CM3" s="88" t="str">
        <f t="shared" si="2"/>
        <v/>
      </c>
      <c r="CN3" s="88" t="str">
        <f t="shared" si="2"/>
        <v/>
      </c>
      <c r="CO3" s="88" t="str">
        <f t="shared" si="2"/>
        <v/>
      </c>
      <c r="CP3" s="88" t="str">
        <f t="shared" si="2"/>
        <v/>
      </c>
      <c r="CQ3" s="88" t="str">
        <f t="shared" si="2"/>
        <v/>
      </c>
      <c r="CR3" s="88" t="str">
        <f t="shared" si="2"/>
        <v/>
      </c>
      <c r="CS3" s="88" t="str">
        <f t="shared" si="2"/>
        <v/>
      </c>
      <c r="CT3" s="88" t="str">
        <f t="shared" si="2"/>
        <v/>
      </c>
      <c r="CU3" s="88" t="str">
        <f t="shared" si="2"/>
        <v/>
      </c>
      <c r="CV3" s="88" t="str">
        <f t="shared" si="2"/>
        <v/>
      </c>
      <c r="CW3" s="88" t="str">
        <f t="shared" si="2"/>
        <v/>
      </c>
      <c r="CX3" s="88" t="str">
        <f t="shared" si="2"/>
        <v/>
      </c>
      <c r="CY3" s="88" t="str">
        <f t="shared" si="2"/>
        <v/>
      </c>
      <c r="CZ3" s="88" t="str">
        <f t="shared" si="2"/>
        <v/>
      </c>
      <c r="DA3" s="88" t="str">
        <f t="shared" si="2"/>
        <v/>
      </c>
      <c r="DB3" s="88" t="str">
        <f t="shared" si="2"/>
        <v/>
      </c>
      <c r="DC3" s="88" t="str">
        <f t="shared" si="2"/>
        <v/>
      </c>
      <c r="DD3" s="88" t="str">
        <f t="shared" si="2"/>
        <v/>
      </c>
      <c r="DE3" s="88" t="str">
        <f t="shared" si="2"/>
        <v/>
      </c>
      <c r="DF3" s="88" t="str">
        <f t="shared" si="2"/>
        <v/>
      </c>
      <c r="DG3" s="88" t="str">
        <f t="shared" si="2"/>
        <v/>
      </c>
      <c r="DH3" s="88" t="str">
        <f t="shared" si="2"/>
        <v/>
      </c>
      <c r="DI3" s="88" t="str">
        <f t="shared" si="2"/>
        <v/>
      </c>
      <c r="DJ3" s="88" t="str">
        <f t="shared" si="2"/>
        <v/>
      </c>
      <c r="DK3" s="88" t="str">
        <f t="shared" si="2"/>
        <v/>
      </c>
      <c r="DL3" s="88" t="str">
        <f t="shared" si="2"/>
        <v/>
      </c>
      <c r="DM3" s="88" t="str">
        <f t="shared" si="2"/>
        <v/>
      </c>
      <c r="DN3" s="88" t="str">
        <f t="shared" si="2"/>
        <v/>
      </c>
      <c r="DO3" s="88" t="str">
        <f t="shared" si="2"/>
        <v/>
      </c>
      <c r="DP3" s="88" t="str">
        <f t="shared" si="2"/>
        <v/>
      </c>
      <c r="DQ3" s="88" t="str">
        <f t="shared" si="2"/>
        <v/>
      </c>
      <c r="DR3" s="88" t="str">
        <f t="shared" si="2"/>
        <v/>
      </c>
      <c r="DS3" s="88" t="str">
        <f t="shared" si="2"/>
        <v/>
      </c>
      <c r="DT3" s="88" t="str">
        <f t="shared" si="2"/>
        <v/>
      </c>
      <c r="DU3" s="88" t="str">
        <f t="shared" si="2"/>
        <v/>
      </c>
      <c r="DV3" s="88" t="str">
        <f t="shared" si="2"/>
        <v/>
      </c>
      <c r="DW3" s="88" t="str">
        <f t="shared" si="2"/>
        <v/>
      </c>
      <c r="DX3" s="88" t="str">
        <f t="shared" si="2"/>
        <v/>
      </c>
      <c r="DY3" s="88" t="str">
        <f t="shared" si="2"/>
        <v/>
      </c>
      <c r="DZ3" s="88" t="str">
        <f t="shared" si="2"/>
        <v/>
      </c>
      <c r="EA3" s="88" t="str">
        <f t="shared" si="2"/>
        <v/>
      </c>
      <c r="EB3" s="88" t="str">
        <f t="shared" si="2"/>
        <v/>
      </c>
      <c r="EC3" s="88" t="str">
        <f t="shared" si="2"/>
        <v/>
      </c>
      <c r="ED3" s="88" t="str">
        <f t="shared" si="2"/>
        <v/>
      </c>
      <c r="EE3" s="88" t="str">
        <f t="shared" si="2"/>
        <v/>
      </c>
      <c r="EF3" s="88" t="str">
        <f t="shared" si="2"/>
        <v/>
      </c>
      <c r="EG3" s="88" t="str">
        <f t="shared" si="2"/>
        <v/>
      </c>
      <c r="EH3" s="88" t="str">
        <f t="shared" si="2"/>
        <v/>
      </c>
      <c r="EI3" s="88" t="str">
        <f t="shared" si="2"/>
        <v/>
      </c>
      <c r="EJ3" s="88" t="str">
        <f t="shared" si="2"/>
        <v/>
      </c>
      <c r="EK3" s="88" t="str">
        <f t="shared" si="2"/>
        <v/>
      </c>
      <c r="EL3" s="88" t="str">
        <f t="shared" si="2"/>
        <v/>
      </c>
      <c r="EM3" s="88" t="str">
        <f t="shared" si="2"/>
        <v/>
      </c>
      <c r="EN3" s="88" t="str">
        <f t="shared" si="2"/>
        <v/>
      </c>
      <c r="EO3" s="88" t="str">
        <f t="shared" si="2"/>
        <v/>
      </c>
      <c r="EP3" s="88" t="str">
        <f t="shared" si="2"/>
        <v/>
      </c>
      <c r="EQ3" s="88" t="str">
        <f t="shared" si="2"/>
        <v/>
      </c>
      <c r="ER3" s="88" t="str">
        <f t="shared" si="2"/>
        <v/>
      </c>
      <c r="ES3" s="88" t="str">
        <f t="shared" si="2"/>
        <v/>
      </c>
      <c r="ET3" s="88" t="str">
        <f t="shared" si="2"/>
        <v/>
      </c>
      <c r="EU3" s="88" t="str">
        <f t="shared" si="2"/>
        <v/>
      </c>
      <c r="EV3" s="88" t="str">
        <f t="shared" si="2"/>
        <v/>
      </c>
    </row>
    <row r="4">
      <c r="A4" s="4" t="s">
        <v>251</v>
      </c>
      <c r="B4" s="88" t="str">
        <f>INDIRECT(ADDRESS(ROW() - (TemplateStats!$B2 +  TemplateStats!$B3 + 16), 6))</f>
        <v>#VALUE!</v>
      </c>
      <c r="C4" s="88" t="str">
        <f>INDIRECT(ADDRESS(ROW() - (TemplateStats!$B2 +  TemplateStats!$B3 + 16), 6))</f>
        <v>#VALUE!</v>
      </c>
      <c r="D4" s="88" t="str">
        <f>INDIRECT(ADDRESS(ROW() - (TemplateStats!$B2 +  TemplateStats!$B3 + 16), 6))</f>
        <v>#VALUE!</v>
      </c>
      <c r="E4" s="88" t="str">
        <f>INDIRECT(ADDRESS(ROW() - (TemplateStats!$B2 +  TemplateStats!$B3 + 16), 6))</f>
        <v>#VALUE!</v>
      </c>
      <c r="F4" s="10" t="str">
        <f t="shared" ref="F4:G4" si="3">"-"</f>
        <v>-</v>
      </c>
      <c r="G4" s="10" t="str">
        <f t="shared" si="3"/>
        <v>-</v>
      </c>
      <c r="H4" s="196" t="str">
        <f>INDIRECT(ADDRESS(ROW() - (TemplateStats!$B2 +  TemplateStats!$B3 + 17), 6))</f>
        <v>#VALUE!</v>
      </c>
      <c r="I4" s="196" t="str">
        <f>INDIRECT(ADDRESS(ROW() - (TemplateStats!$B2 +  TemplateStats!$B3 + 17), 6))</f>
        <v>#VALUE!</v>
      </c>
      <c r="J4" s="196" t="str">
        <f>INDIRECT(ADDRESS(ROW() - (TemplateStats!$B2 +  TemplateStats!$B3 + 17), 6))</f>
        <v>#VALUE!</v>
      </c>
      <c r="K4" s="196" t="str">
        <f>INDIRECT(ADDRESS(ROW() - (TemplateStats!$B2 +  TemplateStats!$B3 + 16), 6))</f>
        <v>#VALUE!</v>
      </c>
      <c r="L4" s="88" t="str">
        <f>INDIRECT(ADDRESS(ROW() - (TemplateStats!$B2 +  TemplateStats!$B3 + 17), 6))</f>
        <v>#VALUE!</v>
      </c>
      <c r="M4" s="88" t="str">
        <f>INDIRECT(ADDRESS(ROW() - (TemplateStats!$B2 +  TemplateStats!$B3 + 16), 6))</f>
        <v>#VALUE!</v>
      </c>
      <c r="N4" s="10" t="str">
        <f>"-"</f>
        <v>-</v>
      </c>
      <c r="O4" s="88" t="str">
        <f>INDIRECT(ADDRESS(ROW() - (TemplateStats!$B2 +  TemplateStats!$B3 + 17), 6))</f>
        <v>#VALUE!</v>
      </c>
      <c r="P4" s="88" t="str">
        <f>INDIRECT(ADDRESS(ROW() - (TemplateStats!$B2 +  TemplateStats!$B3 + 17), 6))</f>
        <v>#VALUE!</v>
      </c>
      <c r="Q4" s="88" t="str">
        <f>INDIRECT(ADDRESS(ROW() - (TemplateStats!$B2 +  TemplateStats!$B3 + 17), 6))</f>
        <v>#VALUE!</v>
      </c>
      <c r="R4" s="88" t="str">
        <f>INDIRECT(ADDRESS(ROW() - (TemplateStats!$B2 +  TemplateStats!$B3 + 16), 6))</f>
        <v>#VALUE!</v>
      </c>
      <c r="S4" s="88" t="str">
        <f>INDIRECT(ADDRESS(ROW() - (TemplateStats!$B2 +  TemplateStats!$B3 + 17), 6))</f>
        <v>#VALUE!</v>
      </c>
      <c r="T4" s="88" t="str">
        <f>INDIRECT(ADDRESS(ROW() - (TemplateStats!$B2 +  TemplateStats!$B3 + 17), 6))</f>
        <v>#VALUE!</v>
      </c>
      <c r="U4" s="88" t="str">
        <f>INDIRECT(ADDRESS(ROW() - (TemplateStats!$B2 +  TemplateStats!$B3 + 17), 6))</f>
        <v>#VALUE!</v>
      </c>
      <c r="V4" s="88" t="str">
        <f>INDIRECT(ADDRESS(ROW() - (TemplateStats!$B2 +  TemplateStats!$B3 + 16), 6))</f>
        <v>#VALUE!</v>
      </c>
      <c r="W4" s="88" t="str">
        <f>INDIRECT(ADDRESS(ROW() - (TemplateStats!$B2 +  TemplateStats!$B3 + 17), 6))</f>
        <v>#VALUE!</v>
      </c>
      <c r="X4" s="88" t="str">
        <f>INDIRECT(ADDRESS(ROW() - (TemplateStats!$B2 +  TemplateStats!$B3 + 17), 6))</f>
        <v>#VALUE!</v>
      </c>
      <c r="Y4" s="88" t="str">
        <f>INDIRECT(ADDRESS(ROW() - (TemplateStats!$B2 +  TemplateStats!$B3 + 17), 6))</f>
        <v>#VALUE!</v>
      </c>
      <c r="Z4" s="88" t="str">
        <f>INDIRECT(ADDRESS(ROW() - (TemplateStats!$B2 +  TemplateStats!$B3 + 17), 6))</f>
        <v>#VALUE!</v>
      </c>
      <c r="AA4" s="88" t="str">
        <f>INDIRECT(ADDRESS(ROW() - (TemplateStats!$B2 +  TemplateStats!$B3 + 17), 6))</f>
        <v>#VALUE!</v>
      </c>
      <c r="AB4" s="88" t="str">
        <f>INDIRECT(ADDRESS(ROW() - (TemplateStats!$B2 +  TemplateStats!$B3 + 16), 6))</f>
        <v>#VALUE!</v>
      </c>
      <c r="AC4" s="88" t="str">
        <f>INDIRECT(ADDRESS(ROW() - (TemplateStats!$B2 +  TemplateStats!$B3 + 16), 6))</f>
        <v>#VALUE!</v>
      </c>
      <c r="AD4" s="88" t="str">
        <f>INDIRECT(ADDRESS(ROW() - (TemplateStats!$B2 +  TemplateStats!$B3 + 16), 6))</f>
        <v>#VALUE!</v>
      </c>
      <c r="AE4" s="10" t="str">
        <f>"-"</f>
        <v>-</v>
      </c>
      <c r="AF4" s="88" t="str">
        <f>INDIRECT(ADDRESS(ROW() - (TemplateStats!$B2 +  TemplateStats!$B3 + 16), 6))</f>
        <v>#VALUE!</v>
      </c>
      <c r="AG4" s="88" t="str">
        <f>INDIRECT(ADDRESS(ROW() - (TemplateStats!$B2 +  TemplateStats!$B3 + 17), 6))</f>
        <v>#VALUE!</v>
      </c>
      <c r="AH4" s="88" t="str">
        <f>INDIRECT(ADDRESS(ROW() - (TemplateStats!$B2 +  TemplateStats!$B3 + 16), 6))</f>
        <v>#VALUE!</v>
      </c>
      <c r="AI4" s="88" t="str">
        <f>INDIRECT(ADDRESS(ROW() - (TemplateStats!$B2 +  TemplateStats!$B3 + 17), 6))</f>
        <v>#VALUE!</v>
      </c>
      <c r="AJ4" s="88" t="str">
        <f>INDIRECT(ADDRESS(ROW() - (TemplateStats!$B2 +  TemplateStats!$B3 + 17), 6))</f>
        <v>#VALUE!</v>
      </c>
      <c r="AK4" s="88" t="str">
        <f>INDIRECT(ADDRESS(ROW() - (TemplateStats!$B2 +  TemplateStats!$B3 + 17), 6))</f>
        <v>#VALUE!</v>
      </c>
      <c r="AL4" s="88" t="str">
        <f>INDIRECT(ADDRESS(ROW() - (TemplateStats!$B2 +  TemplateStats!$B3 + 17), 6))</f>
        <v>#VALUE!</v>
      </c>
      <c r="AM4" s="88" t="str">
        <f>INDIRECT(ADDRESS(ROW() - (TemplateStats!$B2 +  TemplateStats!$B3 + 17), 6))</f>
        <v>#VALUE!</v>
      </c>
      <c r="AN4" s="88" t="str">
        <f>INDIRECT(ADDRESS(ROW() - (TemplateStats!$B2 +  TemplateStats!$B3 + 16), 6))</f>
        <v>#VALUE!</v>
      </c>
      <c r="AO4" s="88" t="str">
        <f>"-"</f>
        <v>-</v>
      </c>
      <c r="AP4" s="88" t="str">
        <f>INDIRECT(ADDRESS(ROW() - (TemplateStats!$B2 +  TemplateStats!$B3 + 17), 6))</f>
        <v>#VALUE!</v>
      </c>
      <c r="AQ4" s="88" t="str">
        <f t="shared" ref="AQ4:AR4" si="4">"-"</f>
        <v>-</v>
      </c>
      <c r="AR4" s="88" t="str">
        <f t="shared" si="4"/>
        <v>-</v>
      </c>
      <c r="AS4" s="88" t="str">
        <f>INDIRECT(ADDRESS(ROW() - (TemplateStats!$B2 +  TemplateStats!$B3 + 16), 6))</f>
        <v>#VALUE!</v>
      </c>
      <c r="AT4" s="88" t="str">
        <f>INDIRECT(ADDRESS(ROW() - (TemplateStats!$B2 +  TemplateStats!$B3 + 16), 6))</f>
        <v>#VALUE!</v>
      </c>
      <c r="AU4" s="88" t="str">
        <f>"-"</f>
        <v>-</v>
      </c>
      <c r="AV4" s="88" t="str">
        <f>INDIRECT(ADDRESS(ROW() - (TemplateStats!$B2 +  TemplateStats!$B3 + 17), 6))</f>
        <v>#VALUE!</v>
      </c>
      <c r="AW4" s="88" t="str">
        <f>INDIRECT(ADDRESS(ROW() - (TemplateStats!$B2 +  TemplateStats!$B3 + 16), 6))</f>
        <v>#VALUE!</v>
      </c>
      <c r="AX4" s="88" t="str">
        <f>INDIRECT(ADDRESS(ROW() - (TemplateStats!$B2 +  TemplateStats!$B3 + 16), 6))</f>
        <v>#VALUE!</v>
      </c>
      <c r="AY4" s="88" t="str">
        <f>"-"</f>
        <v>-</v>
      </c>
      <c r="AZ4" s="88" t="str">
        <f>INDIRECT(ADDRESS(ROW() - (TemplateStats!$B2 +  TemplateStats!$B3 + 17), 6))</f>
        <v>#VALUE!</v>
      </c>
      <c r="BA4" s="88" t="str">
        <f>INDIRECT(ADDRESS(ROW() - (TemplateStats!$B2 +  TemplateStats!$B3 + 17), 6))</f>
        <v>#VALUE!</v>
      </c>
      <c r="BB4" s="88" t="str">
        <f t="shared" ref="BB4:BF4" si="5">"-"</f>
        <v>-</v>
      </c>
      <c r="BC4" s="88" t="str">
        <f t="shared" si="5"/>
        <v>-</v>
      </c>
      <c r="BD4" s="88" t="str">
        <f t="shared" si="5"/>
        <v>-</v>
      </c>
      <c r="BE4" s="88" t="str">
        <f t="shared" si="5"/>
        <v>-</v>
      </c>
      <c r="BF4" s="88" t="str">
        <f t="shared" si="5"/>
        <v>-</v>
      </c>
      <c r="BG4" s="88" t="str">
        <f>INDIRECT(ADDRESS(ROW() - (TemplateStats!$B2 +  TemplateStats!$B3 + 16), 6))</f>
        <v>#VALUE!</v>
      </c>
      <c r="BH4" s="88" t="str">
        <f>INDIRECT(ADDRESS(ROW() - (TemplateStats!$B2 +  TemplateStats!$B3 + 16), 6))</f>
        <v>#VALUE!</v>
      </c>
      <c r="BI4" s="88" t="str">
        <f>INDIRECT(ADDRESS(ROW() - (TemplateStats!$B2 +  TemplateStats!$B3 + 17), 6))</f>
        <v>#VALUE!</v>
      </c>
      <c r="BJ4" s="88" t="str">
        <f>"-"</f>
        <v>-</v>
      </c>
    </row>
    <row r="5">
      <c r="A5" s="4" t="s">
        <v>301</v>
      </c>
      <c r="B5" s="10" t="str">
        <f t="shared" ref="B5:K5" si="6">"Heal"</f>
        <v>Heal</v>
      </c>
      <c r="C5" s="10" t="str">
        <f t="shared" si="6"/>
        <v>Heal</v>
      </c>
      <c r="D5" s="10" t="str">
        <f t="shared" si="6"/>
        <v>Heal</v>
      </c>
      <c r="E5" s="10" t="str">
        <f t="shared" si="6"/>
        <v>Heal</v>
      </c>
      <c r="F5" s="88" t="str">
        <f t="shared" si="6"/>
        <v>Heal</v>
      </c>
      <c r="G5" s="88" t="str">
        <f t="shared" si="6"/>
        <v>Heal</v>
      </c>
      <c r="H5" s="195" t="str">
        <f t="shared" si="6"/>
        <v>Heal</v>
      </c>
      <c r="I5" s="195" t="str">
        <f t="shared" si="6"/>
        <v>Heal</v>
      </c>
      <c r="J5" s="195" t="str">
        <f t="shared" si="6"/>
        <v>Heal</v>
      </c>
      <c r="K5" s="195" t="str">
        <f t="shared" si="6"/>
        <v>Heal</v>
      </c>
      <c r="L5" s="88" t="str">
        <f>"Shield"</f>
        <v>Shield</v>
      </c>
      <c r="M5" s="88" t="str">
        <f>"Heal"</f>
        <v>Heal</v>
      </c>
      <c r="N5" s="88" t="str">
        <f t="shared" ref="N5:O5" si="7">"Shield"</f>
        <v>Shield</v>
      </c>
      <c r="O5" s="88" t="str">
        <f t="shared" si="7"/>
        <v>Shield</v>
      </c>
      <c r="P5" s="88" t="str">
        <f t="shared" ref="P5:S5" si="8">"Heal"</f>
        <v>Heal</v>
      </c>
      <c r="Q5" s="88" t="str">
        <f t="shared" si="8"/>
        <v>Heal</v>
      </c>
      <c r="R5" s="88" t="str">
        <f t="shared" si="8"/>
        <v>Heal</v>
      </c>
      <c r="S5" s="88" t="str">
        <f t="shared" si="8"/>
        <v>Heal</v>
      </c>
      <c r="T5" s="88" t="str">
        <f t="shared" ref="T5:U5" si="9">"Shield"</f>
        <v>Shield</v>
      </c>
      <c r="U5" s="88" t="str">
        <f t="shared" si="9"/>
        <v>Shield</v>
      </c>
      <c r="V5" s="88" t="str">
        <f>"Heal"</f>
        <v>Heal</v>
      </c>
      <c r="W5" s="88" t="str">
        <f t="shared" ref="W5:AB5" si="10">"Shield"</f>
        <v>Shield</v>
      </c>
      <c r="X5" s="88" t="str">
        <f t="shared" si="10"/>
        <v>Shield</v>
      </c>
      <c r="Y5" s="88" t="str">
        <f t="shared" si="10"/>
        <v>Shield</v>
      </c>
      <c r="Z5" s="88" t="str">
        <f t="shared" si="10"/>
        <v>Shield</v>
      </c>
      <c r="AA5" s="88" t="str">
        <f t="shared" si="10"/>
        <v>Shield</v>
      </c>
      <c r="AB5" s="88" t="str">
        <f t="shared" si="10"/>
        <v>Shield</v>
      </c>
      <c r="AC5" s="88" t="str">
        <f t="shared" ref="AC5:AH5" si="11">"Heal"</f>
        <v>Heal</v>
      </c>
      <c r="AD5" s="88" t="str">
        <f t="shared" si="11"/>
        <v>Heal</v>
      </c>
      <c r="AE5" s="88" t="str">
        <f t="shared" si="11"/>
        <v>Heal</v>
      </c>
      <c r="AF5" s="88" t="str">
        <f t="shared" si="11"/>
        <v>Heal</v>
      </c>
      <c r="AG5" s="88" t="str">
        <f t="shared" si="11"/>
        <v>Heal</v>
      </c>
      <c r="AH5" s="88" t="str">
        <f t="shared" si="11"/>
        <v>Heal</v>
      </c>
      <c r="AI5" s="88" t="str">
        <f t="shared" ref="AI5:AL5" si="12">"Shield"</f>
        <v>Shield</v>
      </c>
      <c r="AJ5" s="88" t="str">
        <f t="shared" si="12"/>
        <v>Shield</v>
      </c>
      <c r="AK5" s="88" t="str">
        <f t="shared" si="12"/>
        <v>Shield</v>
      </c>
      <c r="AL5" s="88" t="str">
        <f t="shared" si="12"/>
        <v>Shield</v>
      </c>
      <c r="AM5" s="88" t="str">
        <f t="shared" ref="AM5:AW5" si="13">"Heal"</f>
        <v>Heal</v>
      </c>
      <c r="AN5" s="88" t="str">
        <f t="shared" si="13"/>
        <v>Heal</v>
      </c>
      <c r="AO5" s="88" t="str">
        <f t="shared" si="13"/>
        <v>Heal</v>
      </c>
      <c r="AP5" s="88" t="str">
        <f t="shared" si="13"/>
        <v>Heal</v>
      </c>
      <c r="AQ5" s="88" t="str">
        <f t="shared" si="13"/>
        <v>Heal</v>
      </c>
      <c r="AR5" s="88" t="str">
        <f t="shared" si="13"/>
        <v>Heal</v>
      </c>
      <c r="AS5" s="88" t="str">
        <f t="shared" si="13"/>
        <v>Heal</v>
      </c>
      <c r="AT5" s="88" t="str">
        <f t="shared" si="13"/>
        <v>Heal</v>
      </c>
      <c r="AU5" s="88" t="str">
        <f t="shared" si="13"/>
        <v>Heal</v>
      </c>
      <c r="AV5" s="88" t="str">
        <f t="shared" si="13"/>
        <v>Heal</v>
      </c>
      <c r="AW5" s="88" t="str">
        <f t="shared" si="13"/>
        <v>Heal</v>
      </c>
      <c r="AX5" s="88" t="str">
        <f>"Shield"</f>
        <v>Shield</v>
      </c>
      <c r="AY5" s="88" t="str">
        <f>"Heal"</f>
        <v>Heal</v>
      </c>
      <c r="AZ5" s="88" t="str">
        <f t="shared" ref="AZ5:BA5" si="14">"Shield"</f>
        <v>Shield</v>
      </c>
      <c r="BA5" s="88" t="str">
        <f t="shared" si="14"/>
        <v>Shield</v>
      </c>
      <c r="BB5" s="88" t="str">
        <f t="shared" ref="BB5:BJ5" si="15">"Heal"</f>
        <v>Heal</v>
      </c>
      <c r="BC5" s="88" t="str">
        <f t="shared" si="15"/>
        <v>Heal</v>
      </c>
      <c r="BD5" s="88" t="str">
        <f t="shared" si="15"/>
        <v>Heal</v>
      </c>
      <c r="BE5" s="88" t="str">
        <f t="shared" si="15"/>
        <v>Heal</v>
      </c>
      <c r="BF5" s="88" t="str">
        <f t="shared" si="15"/>
        <v>Heal</v>
      </c>
      <c r="BG5" s="88" t="str">
        <f t="shared" si="15"/>
        <v>Heal</v>
      </c>
      <c r="BH5" s="88" t="str">
        <f t="shared" si="15"/>
        <v>Heal</v>
      </c>
      <c r="BI5" s="88" t="str">
        <f t="shared" si="15"/>
        <v>Heal</v>
      </c>
      <c r="BJ5" s="88" t="str">
        <f t="shared" si="15"/>
        <v>Heal</v>
      </c>
    </row>
    <row r="6">
      <c r="A6" s="4" t="s">
        <v>152</v>
      </c>
      <c r="D6" s="88" t="str">
        <f> IF(INDIRECT(ADDRESS(ROW() - 2, COLUMN())) = 1, 251.2, IF(INDIRECT(ADDRESS(ROW() - 2, COLUMN())) = 2, 270.04, IF(INDIRECT(ADDRESS(ROW() - 2, COLUMN())) = 3, 288.88, IF(INDIRECT(ADDRESS(ROW() - 2, COLUMN())) = 4, 314, IF(INDIRECT(ADDRESS(ROW() - 2, COLUMN())) = 5, 332.84, IF(INDIRECT(ADDRESS(ROW() - 2, COLUMN())) = 6, 351.68, IF(INDIRECT(ADDRESS(ROW() - 2, COLUMN())) = 7, 376.799999999999, IF(INDIRECT(ADDRESS(ROW() - 2, COLUMN())) = 8, 401.919999999999, IF(INDIRECT(ADDRESS(ROW() - 2, COLUMN())) = 9, 427.04, IF(INDIRECT(ADDRESS(ROW() - 2, COLUMN())) = 10, 452.16, IF(INDIRECT(ADDRESS(ROW() - 2, COLUMN())) = 11, 477.28, IF(INDIRECT(ADDRESS(ROW() - 2, COLUMN())) = 12, 502.4, IF(INDIRECT(ADDRESS(ROW() - 2, COLUMN())) = 13, 533.8,0)))))))))))))</f>
        <v>#VALUE!</v>
      </c>
      <c r="E6" s="201" t="str">
        <f> IF(INDIRECT(ADDRESS(ROW() - 2, COLUMN())) = 1, 25.1199999999999, IF(INDIRECT(ADDRESS(ROW() - 2, COLUMN())) = 2, 27.004, IF(INDIRECT(ADDRESS(ROW() - 2, COLUMN())) = 3, 28.888, IF(INDIRECT(ADDRESS(ROW() - 2, COLUMN())) = 4, 31.4, IF(INDIRECT(ADDRESS(ROW() - 2, COLUMN())) = 5, 33.284, IF(INDIRECT(ADDRESS(ROW() - 2, COLUMN())) = 6, 35.168, IF(INDIRECT(ADDRESS(ROW() - 2, COLUMN())) = 7, 37.68, IF(INDIRECT(ADDRESS(ROW() - 2, COLUMN())) = 8, 40.192, IF(INDIRECT(ADDRESS(ROW() - 2, COLUMN())) = 9, 42.704, IF(INDIRECT(ADDRESS(ROW() - 2, COLUMN())) = 10, 45.216, IF(INDIRECT(ADDRESS(ROW() - 2, COLUMN())) = 11, 47.728, IF(INDIRECT(ADDRESS(ROW() - 2, COLUMN())) = 12, 50.2399999999999, IF(INDIRECT(ADDRESS(ROW() - 2, COLUMN())) = 13, 53.38,0)))))))))))))</f>
        <v>#VALUE!</v>
      </c>
      <c r="F6" s="88">
        <f>15</f>
        <v>15</v>
      </c>
      <c r="H6" s="195"/>
      <c r="I6" s="195"/>
      <c r="J6" s="195"/>
      <c r="K6" s="195"/>
      <c r="Q6" s="88" t="str">
        <f> IF(INDIRECT(ADDRESS(ROW() - 2, COLUMN())) = 1, 69.6, IF(INDIRECT(ADDRESS(ROW() - 2, COLUMN())) = 2, 74.82, IF(INDIRECT(ADDRESS(ROW() - 2, COLUMN())) = 3, 80.04, IF(INDIRECT(ADDRESS(ROW() - 2, COLUMN())) = 4, 87, IF(INDIRECT(ADDRESS(ROW() - 2, COLUMN())) = 5, 92.22, IF(INDIRECT(ADDRESS(ROW() - 2, COLUMN())) = 6, 97.44, IF(INDIRECT(ADDRESS(ROW() - 2, COLUMN())) = 7, 104.4, IF(INDIRECT(ADDRESS(ROW() - 2, COLUMN())) = 8, 111.359999999999, IF(INDIRECT(ADDRESS(ROW() - 2, COLUMN())) = 9, 118.32, IF(INDIRECT(ADDRESS(ROW() - 2, COLUMN())) = 10, 125.279999999999, IF(INDIRECT(ADDRESS(ROW() - 2, COLUMN())) = 11, 132.24, IF(INDIRECT(ADDRESS(ROW() - 2, COLUMN())) = 12, 139.2, IF(INDIRECT(ADDRESS(ROW() - 2, COLUMN())) = 13, 147.9,0)))))))))))))</f>
        <v>#VALUE!</v>
      </c>
      <c r="R6" s="88" t="str">
        <f> IF(INDIRECT(ADDRESS(ROW() - 2, COLUMN())) = 1, 90, IF(INDIRECT(ADDRESS(ROW() - 2, COLUMN())) = 2, 96.75, IF(INDIRECT(ADDRESS(ROW() - 2, COLUMN())) = 3, 103.499999999999, IF(INDIRECT(ADDRESS(ROW() - 2, COLUMN())) = 4, 112.5, IF(INDIRECT(ADDRESS(ROW() - 2, COLUMN())) = 5, 119.249999999999, IF(INDIRECT(ADDRESS(ROW() - 2, COLUMN())) = 6, 126, IF(INDIRECT(ADDRESS(ROW() - 2, COLUMN())) = 7, 135, IF(INDIRECT(ADDRESS(ROW() - 2, COLUMN())) = 8, 144, IF(INDIRECT(ADDRESS(ROW() - 2, COLUMN())) = 9, 153, IF(INDIRECT(ADDRESS(ROW() - 2, COLUMN())) = 10, 162, IF(INDIRECT(ADDRESS(ROW() - 2, COLUMN())) = 11, 171, IF(INDIRECT(ADDRESS(ROW() - 2, COLUMN())) = 12, 180, IF(INDIRECT(ADDRESS(ROW() - 2, COLUMN())) = 13, 191.25,0)))))))))))))</f>
        <v>#VALUE!</v>
      </c>
      <c r="S6" s="88" t="str">
        <f> IF(INDIRECT(ADDRESS(ROW() - 2, COLUMN())) = 1, 10.56, IF(INDIRECT(ADDRESS(ROW() - 2, COLUMN())) = 2, 11.352, IF(INDIRECT(ADDRESS(ROW() - 2, COLUMN())) = 3, 12.144, IF(INDIRECT(ADDRESS(ROW() - 2, COLUMN())) = 4, 13.2, IF(INDIRECT(ADDRESS(ROW() - 2, COLUMN())) = 5, 13.9919999999999, IF(INDIRECT(ADDRESS(ROW() - 2, COLUMN())) = 6, 14.784, IF(INDIRECT(ADDRESS(ROW() - 2, COLUMN())) = 7, 15.84, IF(INDIRECT(ADDRESS(ROW() - 2, COLUMN())) = 8, 16.896, IF(INDIRECT(ADDRESS(ROW() - 2, COLUMN())) = 9, 17.952, IF(INDIRECT(ADDRESS(ROW() - 2, COLUMN())) = 10, 19.008, IF(INDIRECT(ADDRESS(ROW() - 2, COLUMN())) = 11, 20.064, IF(INDIRECT(ADDRESS(ROW() - 2, COLUMN())) = 12, 21.12, IF(INDIRECT(ADDRESS(ROW() - 2, COLUMN())) = 13, 22.4399999999999,0)))))))))))))</f>
        <v>#VALUE!</v>
      </c>
      <c r="AC6" s="88" t="str">
        <f> IF(INDIRECT(ADDRESS(ROW() - 2, COLUMN())) = 1, 92.16, IF(INDIRECT(ADDRESS(ROW() - 2, COLUMN())) = 2, 99.072, IF(INDIRECT(ADDRESS(ROW() - 2, COLUMN())) = 3, 105.984, IF(INDIRECT(ADDRESS(ROW() - 2, COLUMN())) = 4, 115.199999999999, IF(INDIRECT(ADDRESS(ROW() - 2, COLUMN())) = 5, 122.112, IF(INDIRECT(ADDRESS(ROW() - 2, COLUMN())) = 6, 129.024, IF(INDIRECT(ADDRESS(ROW() - 2, COLUMN())) = 7, 138.24, IF(INDIRECT(ADDRESS(ROW() - 2, COLUMN())) = 8, 147.456, IF(INDIRECT(ADDRESS(ROW() - 2, COLUMN())) = 9, 156.672, IF(INDIRECT(ADDRESS(ROW() - 2, COLUMN())) = 10, 165.887999999999, IF(INDIRECT(ADDRESS(ROW() - 2, COLUMN())) = 11, 175.103999999999, IF(INDIRECT(ADDRESS(ROW() - 2, COLUMN())) = 12, 184.32, IF(INDIRECT(ADDRESS(ROW() - 2, COLUMN())) = 13, 195.84,0)))))))))))))</f>
        <v>#VALUE!</v>
      </c>
      <c r="AD6" s="88" t="str">
        <f> IF(INDIRECT(ADDRESS(ROW() - 2, COLUMN())) = 1, 79.872, IF(INDIRECT(ADDRESS(ROW() - 2, COLUMN())) = 2, 85.8624, IF(INDIRECT(ADDRESS(ROW() - 2, COLUMN())) = 3, 91.8528, IF(INDIRECT(ADDRESS(ROW() - 2, COLUMN())) = 4, 99.8399999999999, IF(INDIRECT(ADDRESS(ROW() - 2, COLUMN())) = 5, 105.8304, IF(INDIRECT(ADDRESS(ROW() - 2, COLUMN())) = 6, 111.8208, IF(INDIRECT(ADDRESS(ROW() - 2, COLUMN())) = 7, 119.808, IF(INDIRECT(ADDRESS(ROW() - 2, COLUMN())) = 8, 127.7952, IF(INDIRECT(ADDRESS(ROW() - 2, COLUMN())) = 9, 135.7824, IF(INDIRECT(ADDRESS(ROW() - 2, COLUMN())) = 10, 143.7696, IF(INDIRECT(ADDRESS(ROW() - 2, COLUMN())) = 11, 151.7568, IF(INDIRECT(ADDRESS(ROW() - 2, COLUMN())) = 12, 159.744, IF(INDIRECT(ADDRESS(ROW() - 2, COLUMN())) = 13, 169.727999999999,0))))))))))))) + IF(INDIRECT(ADDRESS(ROW() - (6 + TemplateStats!$B$2 + TemplateStats!$B$3), 3)) = "C6", MIN(400, INDIRECT(ADDRESS(ROW() + 8 - (6 + TemplateStats!$B$2 + TemplateStats!$B$3), 10)) * 0.2), 0)</f>
        <v>#VALUE!</v>
      </c>
      <c r="BG6" s="88" t="str">
        <f> IF(INDIRECT(ADDRESS(ROW() - 2, COLUMN())) = 1, 256.573, IF(INDIRECT(ADDRESS(ROW() - 2, COLUMN())) = 2, 275.816, IF(INDIRECT(ADDRESS(ROW() - 2, COLUMN())) = 3, 295.059, IF(INDIRECT(ADDRESS(ROW() - 2, COLUMN())) = 4, 320.717, IF(INDIRECT(ADDRESS(ROW() - 2, COLUMN())) = 5, 339.96, IF(INDIRECT(ADDRESS(ROW() - 2, COLUMN())) = 6, 359.203, IF(INDIRECT(ADDRESS(ROW() - 2, COLUMN())) = 7, 384.859999999999, IF(INDIRECT(ADDRESS(ROW() - 2, COLUMN())) = 8, 410.518, IF(INDIRECT(ADDRESS(ROW() - 2, COLUMN())) = 9, 436.174999999999, IF(INDIRECT(ADDRESS(ROW() - 2, COLUMN())) = 10, 461.832, IF(INDIRECT(ADDRESS(ROW() - 2, COLUMN())) = 11, 487.49, IF(INDIRECT(ADDRESS(ROW() - 2, COLUMN())) = 12, 513.147, IF(INDIRECT(ADDRESS(ROW() - 2, COLUMN())) = 13, 545.218999999999,0)))))))))))))</f>
        <v>#VALUE!</v>
      </c>
      <c r="BH6" s="88" t="str">
        <f> IF(INDIRECT(ADDRESS(ROW() - 2, COLUMN())) = 1, 9.216, IF(INDIRECT(ADDRESS(ROW() - 2, COLUMN())) = 2, 9.907, IF(INDIRECT(ADDRESS(ROW() - 2, COLUMN())) = 3, 10.598, IF(INDIRECT(ADDRESS(ROW() - 2, COLUMN())) = 4, 11.52, IF(INDIRECT(ADDRESS(ROW() - 2, COLUMN())) = 5, 12.211, IF(INDIRECT(ADDRESS(ROW() - 2, COLUMN())) = 6, 12.902, IF(INDIRECT(ADDRESS(ROW() - 2, COLUMN())) = 7, 13.824, IF(INDIRECT(ADDRESS(ROW() - 2, COLUMN())) = 8, 14.746, IF(INDIRECT(ADDRESS(ROW() - 2, COLUMN())) = 9, 15.667, IF(INDIRECT(ADDRESS(ROW() - 2, COLUMN())) = 10, 16.589, IF(INDIRECT(ADDRESS(ROW() - 2, COLUMN())) = 11, 17.51, IF(INDIRECT(ADDRESS(ROW() - 2, COLUMN())) = 12, 18.432, IF(INDIRECT(ADDRESS(ROW() - 2, COLUMN())) = 13, 19.584,0)))))))))))))</f>
        <v>#VALUE!</v>
      </c>
    </row>
    <row r="7">
      <c r="A7" s="4" t="s">
        <v>120</v>
      </c>
      <c r="H7" s="195"/>
      <c r="I7" s="195"/>
      <c r="J7" s="195"/>
      <c r="K7" s="195"/>
      <c r="N7" s="88">
        <f>400</f>
        <v>400</v>
      </c>
      <c r="O7" s="88" t="str">
        <f> IF(INDIRECT(ADDRESS(ROW() - 3, COLUMN())) = 1, 160, IF(INDIRECT(ADDRESS(ROW() - 3, COLUMN())) = 2, 172, IF(INDIRECT(ADDRESS(ROW() - 3, COLUMN())) = 3, 184, IF(INDIRECT(ADDRESS(ROW() - 3, COLUMN())) = 4, 200, IF(INDIRECT(ADDRESS(ROW() - 3, COLUMN())) = 5, 212, IF(INDIRECT(ADDRESS(ROW() - 3, COLUMN())) = 6, 224, IF(INDIRECT(ADDRESS(ROW() - 3, COLUMN())) = 7, 240, IF(INDIRECT(ADDRESS(ROW() - 3, COLUMN())) = 8, 256, IF(INDIRECT(ADDRESS(ROW() - 3, COLUMN())) = 9, 272, IF(INDIRECT(ADDRESS(ROW() - 3, COLUMN())) = 10, 288, IF(INDIRECT(ADDRESS(ROW() - 3, COLUMN())) = 11, 304, IF(INDIRECT(ADDRESS(ROW() - 3, COLUMN())) = 12, 320, IF(INDIRECT(ADDRESS(ROW() - 3, COLUMN())) = 13, 340,0)))))))))))))</f>
        <v>#VALUE!</v>
      </c>
      <c r="P7" s="88" t="str">
        <f> IF(INDIRECT(ADDRESS(ROW() - 3, COLUMN())) = 1, 21.2799999999999, IF(INDIRECT(ADDRESS(ROW() - 3, COLUMN())) = 2, 22.8759999999999, IF(INDIRECT(ADDRESS(ROW() - 3, COLUMN())) = 3, 24.4719999999999, IF(INDIRECT(ADDRESS(ROW() - 3, COLUMN())) = 4, 26.6, IF(INDIRECT(ADDRESS(ROW() - 3, COLUMN())) = 5, 28.1959999999999, IF(INDIRECT(ADDRESS(ROW() - 3, COLUMN())) = 6, 29.792, IF(INDIRECT(ADDRESS(ROW() - 3, COLUMN())) = 7, 31.9199999999999, IF(INDIRECT(ADDRESS(ROW() - 3, COLUMN())) = 8, 34.048, IF(INDIRECT(ADDRESS(ROW() - 3, COLUMN())) = 9, 36.176, IF(INDIRECT(ADDRESS(ROW() - 3, COLUMN())) = 10, 38.304, IF(INDIRECT(ADDRESS(ROW() - 3, COLUMN())) = 11, 40.432, IF(INDIRECT(ADDRESS(ROW() - 3, COLUMN())) = 12, 42.5599999999999, IF(INDIRECT(ADDRESS(ROW() - 3, COLUMN())) = 13, 45.22,0)))))))))))))</f>
        <v>#VALUE!</v>
      </c>
      <c r="W7" s="88" t="str">
        <f> IF(INDIRECT(ADDRESS(ROW() - 3, COLUMN())) = 1, 104.039999999999, IF(INDIRECT(ADDRESS(ROW() - 3, COLUMN())) = 2, 111.843, IF(INDIRECT(ADDRESS(ROW() - 3, COLUMN())) = 3, 119.646, IF(INDIRECT(ADDRESS(ROW() - 3, COLUMN())) = 4, 130.05, IF(INDIRECT(ADDRESS(ROW() - 3, COLUMN())) = 5, 137.853, IF(INDIRECT(ADDRESS(ROW() - 3, COLUMN())) = 6, 145.656, IF(INDIRECT(ADDRESS(ROW() - 3, COLUMN())) = 7, 156.06, IF(INDIRECT(ADDRESS(ROW() - 3, COLUMN())) = 8, 166.464, IF(INDIRECT(ADDRESS(ROW() - 3, COLUMN())) = 9, 176.868, IF(INDIRECT(ADDRESS(ROW() - 3, COLUMN())) = 10, 187.272, IF(INDIRECT(ADDRESS(ROW() - 3, COLUMN())) = 11, 197.676, IF(INDIRECT(ADDRESS(ROW() - 3, COLUMN())) = 12, 208.079999999999, IF(INDIRECT(ADDRESS(ROW() - 3, COLUMN())) = 13, 221.085,0)))))))))))))</f>
        <v>#VALUE!</v>
      </c>
      <c r="X7" s="88" t="str">
        <f> IF(INDIRECT(ADDRESS(ROW() - 3, COLUMN())) = 1, 122.399999999999, IF(INDIRECT(ADDRESS(ROW() - 3, COLUMN())) = 2, 131.58, IF(INDIRECT(ADDRESS(ROW() - 3, COLUMN())) = 3, 140.76, IF(INDIRECT(ADDRESS(ROW() - 3, COLUMN())) = 4, 153, IF(INDIRECT(ADDRESS(ROW() - 3, COLUMN())) = 5, 162.179999999999, IF(INDIRECT(ADDRESS(ROW() - 3, COLUMN())) = 6, 171.36, IF(INDIRECT(ADDRESS(ROW() - 3, COLUMN())) = 7, 183.6, IF(INDIRECT(ADDRESS(ROW() - 3, COLUMN())) = 8, 195.84, IF(INDIRECT(ADDRESS(ROW() - 3, COLUMN())) = 9, 208.079999999999, IF(INDIRECT(ADDRESS(ROW() - 3, COLUMN())) = 10, 220.32, IF(INDIRECT(ADDRESS(ROW() - 3, COLUMN())) = 11, 232.56, IF(INDIRECT(ADDRESS(ROW() - 3, COLUMN())) = 12, 244.799999999999, IF(INDIRECT(ADDRESS(ROW() - 3, COLUMN())) = 13, 260.1,0)))))))))))))</f>
        <v>#VALUE!</v>
      </c>
      <c r="Y7" s="88" t="str">
        <f> IF(INDIRECT(ADDRESS(ROW() - 3, COLUMN())) = 1, 144, IF(INDIRECT(ADDRESS(ROW() - 3, COLUMN())) = 2, 154.8, IF(INDIRECT(ADDRESS(ROW() - 3, COLUMN())) = 3, 165.6, IF(INDIRECT(ADDRESS(ROW() - 3, COLUMN())) = 4, 180, IF(INDIRECT(ADDRESS(ROW() - 3, COLUMN())) = 5, 190.799999999999, IF(INDIRECT(ADDRESS(ROW() - 3, COLUMN())) = 6, 201.6, IF(INDIRECT(ADDRESS(ROW() - 3, COLUMN())) = 7, 216, IF(INDIRECT(ADDRESS(ROW() - 3, COLUMN())) = 8, 230.399999999999, IF(INDIRECT(ADDRESS(ROW() - 3, COLUMN())) = 9, 244.799999999999, IF(INDIRECT(ADDRESS(ROW() - 3, COLUMN())) = 10, 259.2, IF(INDIRECT(ADDRESS(ROW() - 3, COLUMN())) = 11, 273.6, IF(INDIRECT(ADDRESS(ROW() - 3, COLUMN())) = 12, 288, IF(INDIRECT(ADDRESS(ROW() - 3, COLUMN())) = 13, 306,0)))))))))))))</f>
        <v>#VALUE!</v>
      </c>
    </row>
    <row r="8">
      <c r="A8" s="4" t="s">
        <v>153</v>
      </c>
      <c r="B8" s="88" t="str">
        <f> IF(INDIRECT(ADDRESS(ROW() - 4, COLUMN())) = 1, 6.2625, IF(INDIRECT(ADDRESS(ROW() - 4, COLUMN())) = 2, 6.6375, IF(INDIRECT(ADDRESS(ROW() - 4, COLUMN())) = 3, 7.0125, IF(INDIRECT(ADDRESS(ROW() - 4, COLUMN())) = 4, 7.5, IF(INDIRECT(ADDRESS(ROW() - 4, COLUMN())) = 5, 7.875, IF(INDIRECT(ADDRESS(ROW() - 4, COLUMN())) = 6, 8.25, IF(INDIRECT(ADDRESS(ROW() - 4, COLUMN())) = 7, 8.73749999999999, IF(INDIRECT(ADDRESS(ROW() - 4, COLUMN())) = 8, 9.225, IF(INDIRECT(ADDRESS(ROW() - 4, COLUMN())) = 9, 9.7125, IF(INDIRECT(ADDRESS(ROW() - 4, COLUMN())) = 10, 10.2, IF(INDIRECT(ADDRESS(ROW() - 4, COLUMN())) = 11, 10.6875, IF(INDIRECT(ADDRESS(ROW() - 4, COLUMN())) = 12, 11.175, IF(INDIRECT(ADDRESS(ROW() - 4, COLUMN())) = 13, 11.6625,0)))))))))))))
</f>
        <v>#VALUE!</v>
      </c>
      <c r="C8" s="88" t="str">
        <f> IF(INDIRECT(ADDRESS(ROW() - 4, COLUMN())) = 1, 8.35, IF(INDIRECT(ADDRESS(ROW() - 4, COLUMN())) = 2, 8.85, IF(INDIRECT(ADDRESS(ROW() - 4, COLUMN())) = 3, 9.35, IF(INDIRECT(ADDRESS(ROW() - 4, COLUMN())) = 4, 10, IF(INDIRECT(ADDRESS(ROW() - 4, COLUMN())) = 5, 10.5, IF(INDIRECT(ADDRESS(ROW() - 4, COLUMN())) = 6, 11, IF(INDIRECT(ADDRESS(ROW() - 4, COLUMN())) = 7, 11.65, IF(INDIRECT(ADDRESS(ROW() - 4, COLUMN())) = 8, 12.3, IF(INDIRECT(ADDRESS(ROW() - 4, COLUMN())) = 9, 12.95, IF(INDIRECT(ADDRESS(ROW() - 4, COLUMN())) = 10, 13.6, IF(INDIRECT(ADDRESS(ROW() - 4, COLUMN())) = 11, 14.2499999999999, IF(INDIRECT(ADDRESS(ROW() - 4, COLUMN())) = 12, 14.8999999999999, IF(INDIRECT(ADDRESS(ROW() - 4, COLUMN())) = 13, 15.55,0)))))))))))))</f>
        <v>#VALUE!</v>
      </c>
      <c r="G8" s="88" t="str">
        <f>"6"</f>
        <v>6</v>
      </c>
      <c r="H8" s="196" t="str">
        <f> IF(INDIRECT(ADDRESS(ROW() - 4, COLUMN())) = 1, 4, IF(INDIRECT(ADDRESS(ROW() - 4, COLUMN())) = 2, 4.3, IF(INDIRECT(ADDRESS(ROW() - 4, COLUMN())) = 3, 4.6, IF(INDIRECT(ADDRESS(ROW() - 4, COLUMN())) = 4, 5, IF(INDIRECT(ADDRESS(ROW() - 4, COLUMN())) = 5, 5.3, IF(INDIRECT(ADDRESS(ROW() - 4, COLUMN())) = 6, 5.6, IF(INDIRECT(ADDRESS(ROW() - 4, COLUMN())) = 7, 6, IF(INDIRECT(ADDRESS(ROW() - 4, COLUMN())) = 8, 6.4, IF(INDIRECT(ADDRESS(ROW() - 4, COLUMN())) = 9, 6.8, IF(INDIRECT(ADDRESS(ROW() - 4, COLUMN())) = 10, 7.19999999999999, IF(INDIRECT(ADDRESS(ROW() - 4, COLUMN())) = 11, 7.6, IF(INDIRECT(ADDRESS(ROW() - 4, COLUMN())) = 12, 8, IF(INDIRECT(ADDRESS(ROW() - 4, COLUMN())) = 13, 8.5,0)))))))))))))</f>
        <v>#VALUE!</v>
      </c>
      <c r="I8" s="196" t="str">
        <f> IF(INDIRECT(ADDRESS(ROW() - 4, COLUMN())) = 1, 0.75, IF(INDIRECT(ADDRESS(ROW() - 4, COLUMN())) = 2, 0.8063, IF(INDIRECT(ADDRESS(ROW() - 4, COLUMN())) = 3, 0.8625, IF(INDIRECT(ADDRESS(ROW() - 4, COLUMN())) = 4, 0.9375, IF(INDIRECT(ADDRESS(ROW() - 4, COLUMN())) = 5, 0.9938, IF(INDIRECT(ADDRESS(ROW() - 4, COLUMN())) = 6, 1.05, IF(INDIRECT(ADDRESS(ROW() - 4, COLUMN())) = 7, 1.125, IF(INDIRECT(ADDRESS(ROW() - 4, COLUMN())) = 8, 1.2, IF(INDIRECT(ADDRESS(ROW() - 4, COLUMN())) = 9, 1.275, IF(INDIRECT(ADDRESS(ROW() - 4, COLUMN())) = 10, 1.35, IF(INDIRECT(ADDRESS(ROW() - 4, COLUMN())) = 11, 1.425, IF(INDIRECT(ADDRESS(ROW() - 4, COLUMN())) = 12, 1.5, IF(INDIRECT(ADDRESS(ROW() - 4, COLUMN())) = 13, 1.5938,0)))))))))))))</f>
        <v>#VALUE!</v>
      </c>
      <c r="J8" s="196" t="str">
        <f> IF(INDIRECT(ADDRESS(ROW() - 4, COLUMN())) = 1, 0.75, IF(INDIRECT(ADDRESS(ROW() - 4, COLUMN())) = 2, 0.8063, IF(INDIRECT(ADDRESS(ROW() - 4, COLUMN())) = 3, 0.8625, IF(INDIRECT(ADDRESS(ROW() - 4, COLUMN())) = 4, 0.9375, IF(INDIRECT(ADDRESS(ROW() - 4, COLUMN())) = 5, 0.9938, IF(INDIRECT(ADDRESS(ROW() - 4, COLUMN())) = 6, 1.05, IF(INDIRECT(ADDRESS(ROW() - 4, COLUMN())) = 7, 1.125, IF(INDIRECT(ADDRESS(ROW() - 4, COLUMN())) = 8, 1.2, IF(INDIRECT(ADDRESS(ROW() - 4, COLUMN())) = 9, 1.275, IF(INDIRECT(ADDRESS(ROW() - 4, COLUMN())) = 10, 1.35, IF(INDIRECT(ADDRESS(ROW() - 4, COLUMN())) = 11, 1.425, IF(INDIRECT(ADDRESS(ROW() - 4, COLUMN())) = 12, 1.5, IF(INDIRECT(ADDRESS(ROW() - 4, COLUMN())) = 13, 1.5938,0))))))))))))) * 4</f>
        <v>#VALUE!</v>
      </c>
      <c r="K8" s="196" t="str">
        <f> IF(INDIRECT(ADDRESS(ROW() - 4, COLUMN())) = 1, 17.5999999999999, IF(INDIRECT(ADDRESS(ROW() - 4, COLUMN())) = 2, 18.92, IF(INDIRECT(ADDRESS(ROW() - 4, COLUMN())) = 3, 20.24, IF(INDIRECT(ADDRESS(ROW() - 4, COLUMN())) = 4, 22, IF(INDIRECT(ADDRESS(ROW() - 4, COLUMN())) = 5, 23.32, IF(INDIRECT(ADDRESS(ROW() - 4, COLUMN())) = 6, 24.64, IF(INDIRECT(ADDRESS(ROW() - 4, COLUMN())) = 7, 26.4, IF(INDIRECT(ADDRESS(ROW() - 4, COLUMN())) = 8, 28.16, IF(INDIRECT(ADDRESS(ROW() - 4, COLUMN())) = 9, 29.92, IF(INDIRECT(ADDRESS(ROW() - 4, COLUMN())) = 10, 31.68, IF(INDIRECT(ADDRESS(ROW() - 4, COLUMN())) = 11, 33.44, IF(INDIRECT(ADDRESS(ROW() - 4, COLUMN())) = 12, 35.1999999999999, IF(INDIRECT(ADDRESS(ROW() - 4, COLUMN())) = 13, 37.4,0)))))))))))))</f>
        <v>#VALUE!</v>
      </c>
      <c r="L8" s="88" t="str">
        <f> IF(INDIRECT(ADDRESS(ROW() - 4, COLUMN())) = 1, 12.8, IF(INDIRECT(ADDRESS(ROW() - 4, COLUMN())) = 2, 13.76, IF(INDIRECT(ADDRESS(ROW() - 4, COLUMN())) = 3, 14.7199999999999, IF(INDIRECT(ADDRESS(ROW() - 4, COLUMN())) = 4, 16, IF(INDIRECT(ADDRESS(ROW() - 4, COLUMN())) = 5, 16.96, IF(INDIRECT(ADDRESS(ROW() - 4, COLUMN())) = 6, 17.9199999999999, IF(INDIRECT(ADDRESS(ROW() - 4, COLUMN())) = 7, 19.2, IF(INDIRECT(ADDRESS(ROW() - 4, COLUMN())) = 8, 20.48, IF(INDIRECT(ADDRESS(ROW() - 4, COLUMN())) = 9, 21.7599999999999, IF(INDIRECT(ADDRESS(ROW() - 4, COLUMN())) = 10, 23.04, IF(INDIRECT(ADDRESS(ROW() - 4, COLUMN())) = 11, 24.32, IF(INDIRECT(ADDRESS(ROW() - 4, COLUMN())) = 12, 25.6, IF(INDIRECT(ADDRESS(ROW() - 4, COLUMN())) = 13, 27.2,0)))))))))))))</f>
        <v>#VALUE!</v>
      </c>
      <c r="M8" s="88" t="str">
        <f> IF(INDIRECT(ADDRESS(ROW() - 4, COLUMN())) = 1, 6, IF(INDIRECT(ADDRESS(ROW() - 4, COLUMN())) = 2, 6.45, IF(INDIRECT(ADDRESS(ROW() - 4, COLUMN())) = 3, 6.9, IF(INDIRECT(ADDRESS(ROW() - 4, COLUMN())) = 4, 7.5, IF(INDIRECT(ADDRESS(ROW() - 4, COLUMN())) = 5, 7.95, IF(INDIRECT(ADDRESS(ROW() - 4, COLUMN())) = 6, 8.4, IF(INDIRECT(ADDRESS(ROW() - 4, COLUMN())) = 7, 9, IF(INDIRECT(ADDRESS(ROW() - 4, COLUMN())) = 8, 9.6, IF(INDIRECT(ADDRESS(ROW() - 4, COLUMN())) = 9, 10.2, IF(INDIRECT(ADDRESS(ROW() - 4, COLUMN())) = 10, 10.8, IF(INDIRECT(ADDRESS(ROW() - 4, COLUMN())) = 11, 11.4, IF(INDIRECT(ADDRESS(ROW() - 4, COLUMN())) = 12, 12, IF(INDIRECT(ADDRESS(ROW() - 4, COLUMN())) = 13, 12.75,0)))))))))))))</f>
        <v>#VALUE!</v>
      </c>
      <c r="T8" s="88" t="str">
        <f> IF(INDIRECT(ADDRESS(ROW() - 4, COLUMN())) = 1, 7.19999999999999, IF(INDIRECT(ADDRESS(ROW() - 4, COLUMN())) = 2, 7.73999999999999, IF(INDIRECT(ADDRESS(ROW() - 4, COLUMN())) = 3, 8.28, IF(INDIRECT(ADDRESS(ROW() - 4, COLUMN())) = 4, 9, IF(INDIRECT(ADDRESS(ROW() - 4, COLUMN())) = 5, 9.54, IF(INDIRECT(ADDRESS(ROW() - 4, COLUMN())) = 6, 10.08, IF(INDIRECT(ADDRESS(ROW() - 4, COLUMN())) = 7, 10.8, IF(INDIRECT(ADDRESS(ROW() - 4, COLUMN())) = 8, 11.52, IF(INDIRECT(ADDRESS(ROW() - 4, COLUMN())) = 9, 12.24, IF(INDIRECT(ADDRESS(ROW() - 4, COLUMN())) = 10, 12.9599999999999, IF(INDIRECT(ADDRESS(ROW() - 4, COLUMN())) = 11, 13.68, IF(INDIRECT(ADDRESS(ROW() - 4, COLUMN())) = 12, 14.3999999999999, IF(INDIRECT(ADDRESS(ROW() - 4, COLUMN())) = 13, 15.2999999999999,0))))))))))))) * IF(OR(INDIRECT(ADDRESS(ROW() - (8 + TemplateStats!$B$2 + TemplateStats!$B$3), 3)) = "C0", INDIRECT(ADDRESS(ROW() - (8 + TemplateStats!$B$2 + TemplateStats!$B$3), 3)) = "C1"), 1, 1.15)</f>
        <v>#VALUE!</v>
      </c>
      <c r="U8" s="88" t="str">
        <f> IF(INDIRECT(ADDRESS(ROW() - 4, COLUMN())) = 1, 7.19999999999999, IF(INDIRECT(ADDRESS(ROW() - 4, COLUMN())) = 2, 7.73999999999999, IF(INDIRECT(ADDRESS(ROW() - 4, COLUMN())) = 3, 8.28, IF(INDIRECT(ADDRESS(ROW() - 4, COLUMN())) = 4, 9, IF(INDIRECT(ADDRESS(ROW() - 4, COLUMN())) = 5, 9.54, IF(INDIRECT(ADDRESS(ROW() - 4, COLUMN())) = 6, 10.08, IF(INDIRECT(ADDRESS(ROW() - 4, COLUMN())) = 7, 10.8, IF(INDIRECT(ADDRESS(ROW() - 4, COLUMN())) = 8, 11.52, IF(INDIRECT(ADDRESS(ROW() - 4, COLUMN())) = 9, 12.24, IF(INDIRECT(ADDRESS(ROW() - 4, COLUMN())) = 10, 12.9599999999999, IF(INDIRECT(ADDRESS(ROW() - 4, COLUMN())) = 11, 13.68, IF(INDIRECT(ADDRESS(ROW() - 4, COLUMN())) = 12, 14.3999999999999, IF(INDIRECT(ADDRESS(ROW() - 4, COLUMN())) = 13, 15.2999999999999,0))))))))))))) * 1.75 * IF(OR(INDIRECT(ADDRESS(ROW() - (8 + TemplateStats!$B$2 + TemplateStats!$B$3), 3)) = "C0", INDIRECT(ADDRESS(ROW() - (8 + TemplateStats!$B$2 + TemplateStats!$B$3), 3)) = "C1"), 1, 1.15)</f>
        <v>#VALUE!</v>
      </c>
      <c r="V8" s="88" t="str">
        <f> IF(INDIRECT(ADDRESS(ROW() - 4, COLUMN())) = 1, 5.33599999999999, IF(INDIRECT(ADDRESS(ROW() - 4, COLUMN())) = 2, 5.7362, IF(INDIRECT(ADDRESS(ROW() - 4, COLUMN())) = 3, 6.1364, IF(INDIRECT(ADDRESS(ROW() - 4, COLUMN())) = 4, 6.67, IF(INDIRECT(ADDRESS(ROW() - 4, COLUMN())) = 5, 7.0702, IF(INDIRECT(ADDRESS(ROW() - 4, COLUMN())) = 6, 7.4704, IF(INDIRECT(ADDRESS(ROW() - 4, COLUMN())) = 7, 8.004, IF(INDIRECT(ADDRESS(ROW() - 4, COLUMN())) = 8, 8.5376, IF(INDIRECT(ADDRESS(ROW() - 4, COLUMN())) = 9, 9.0712, IF(INDIRECT(ADDRESS(ROW() - 4, COLUMN())) = 10, 9.6048, IF(INDIRECT(ADDRESS(ROW() - 4, COLUMN())) = 11, 10.1384, IF(INDIRECT(ADDRESS(ROW() - 4, COLUMN())) = 12, 10.6719999999999, IF(INDIRECT(ADDRESS(ROW() - 4, COLUMN())) = 13, 11.339,0)))))))))))))</f>
        <v>#VALUE!</v>
      </c>
      <c r="Z8" s="88" t="str">
        <f> IF(INDIRECT(ADDRESS(ROW() - 4, COLUMN())) = 1, 7.19999999999999, IF(INDIRECT(ADDRESS(ROW() - 4, COLUMN())) = 2, 7.73999999999999, IF(INDIRECT(ADDRESS(ROW() - 4, COLUMN())) = 3, 8.28, IF(INDIRECT(ADDRESS(ROW() - 4, COLUMN())) = 4, 9, IF(INDIRECT(ADDRESS(ROW() - 4, COLUMN())) = 5, 9.54, IF(INDIRECT(ADDRESS(ROW() - 4, COLUMN())) = 6, 10.08, IF(INDIRECT(ADDRESS(ROW() - 4, COLUMN())) = 7, 10.8, IF(INDIRECT(ADDRESS(ROW() - 4, COLUMN())) = 8, 11.52, IF(INDIRECT(ADDRESS(ROW() - 4, COLUMN())) = 9, 12.24, IF(INDIRECT(ADDRESS(ROW() - 4, COLUMN())) = 10, 12.9599999999999, IF(INDIRECT(ADDRESS(ROW() - 4, COLUMN())) = 11, 13.68, IF(INDIRECT(ADDRESS(ROW() - 4, COLUMN())) = 12, 14.3999999999999, IF(INDIRECT(ADDRESS(ROW() - 4, COLUMN())) = 13, 15.2999999999999,0)))))))))))))</f>
        <v>#VALUE!</v>
      </c>
      <c r="AA8" s="88" t="str">
        <f> IF(INDIRECT(ADDRESS(ROW() - 4, COLUMN())) = 1, 19.6, IF(INDIRECT(ADDRESS(ROW() - 4, COLUMN())) = 2, 21.07, IF(INDIRECT(ADDRESS(ROW() - 4, COLUMN())) = 3, 22.54, IF(INDIRECT(ADDRESS(ROW() - 4, COLUMN())) = 4, 24.5, IF(INDIRECT(ADDRESS(ROW() - 4, COLUMN())) = 5, 25.97, IF(INDIRECT(ADDRESS(ROW() - 4, COLUMN())) = 6, 27.4399999999999, IF(INDIRECT(ADDRESS(ROW() - 4, COLUMN())) = 7, 29.4, IF(INDIRECT(ADDRESS(ROW() - 4, COLUMN())) = 8, 31.36, IF(INDIRECT(ADDRESS(ROW() - 4, COLUMN())) = 9, 33.32, IF(INDIRECT(ADDRESS(ROW() - 4, COLUMN())) = 10, 35.28, IF(INDIRECT(ADDRESS(ROW() - 4, COLUMN())) = 11, 37.24, IF(INDIRECT(ADDRESS(ROW() - 4, COLUMN())) = 12, 39.2, IF(INDIRECT(ADDRESS(ROW() - 4, COLUMN())) = 13, 41.65,0)))))))))))))</f>
        <v>#VALUE!</v>
      </c>
      <c r="AB8" s="88" t="str">
        <f> IF(INDIRECT(ADDRESS(ROW() - 4, COLUMN())) = 1, 1.144, IF(INDIRECT(ADDRESS(ROW() - 4, COLUMN())) = 2, 1.2298, IF(INDIRECT(ADDRESS(ROW() - 4, COLUMN())) = 3, 1.31559999999999, IF(INDIRECT(ADDRESS(ROW() - 4, COLUMN())) = 4, 1.43, IF(INDIRECT(ADDRESS(ROW() - 4, COLUMN())) = 5, 1.5158, IF(INDIRECT(ADDRESS(ROW() - 4, COLUMN())) = 6, 1.6016, IF(INDIRECT(ADDRESS(ROW() - 4, COLUMN())) = 7, 1.716, IF(INDIRECT(ADDRESS(ROW() - 4, COLUMN())) = 8, 1.8304, IF(INDIRECT(ADDRESS(ROW() - 4, COLUMN())) = 9, 1.9448, IF(INDIRECT(ADDRESS(ROW() - 4, COLUMN())) = 10, 2.05919999999999, IF(INDIRECT(ADDRESS(ROW() - 4, COLUMN())) = 11, 2.1736, IF(INDIRECT(ADDRESS(ROW() - 4, COLUMN())) = 12, 2.288, IF(INDIRECT(ADDRESS(ROW() - 4, COLUMN())) = 13, 2.431,0)))))))))))))</f>
        <v>#VALUE!</v>
      </c>
      <c r="AF8" s="88" t="str">
        <f> IF(INDIRECT(ADDRESS(ROW() - 4, COLUMN())) = 1, 0.808, IF(INDIRECT(ADDRESS(ROW() - 4, COLUMN())) = 2, 0.868599999999999, IF(INDIRECT(ADDRESS(ROW() - 4, COLUMN())) = 3, 0.9292, IF(INDIRECT(ADDRESS(ROW() - 4, COLUMN())) = 4, 1.01, IF(INDIRECT(ADDRESS(ROW() - 4, COLUMN())) = 5, 1.0706, IF(INDIRECT(ADDRESS(ROW() - 4, COLUMN())) = 6, 1.1312, IF(INDIRECT(ADDRESS(ROW() - 4, COLUMN())) = 7, 1.212, IF(INDIRECT(ADDRESS(ROW() - 4, COLUMN())) = 8, 1.2928, IF(INDIRECT(ADDRESS(ROW() - 4, COLUMN())) = 9, 1.3736, IF(INDIRECT(ADDRESS(ROW() - 4, COLUMN())) = 10, 1.4544, IF(INDIRECT(ADDRESS(ROW() - 4, COLUMN())) = 11, 1.5352, IF(INDIRECT(ADDRESS(ROW() - 4, COLUMN())) = 12, 1.616, IF(INDIRECT(ADDRESS(ROW() - 4, COLUMN())) = 13, 1.717,0)))))))))))))</f>
        <v>#VALUE!</v>
      </c>
      <c r="AG8" s="88" t="str">
        <f> IF(INDIRECT(ADDRESS(ROW() - 4, COLUMN())) = 1, 4.39999999999999, IF(INDIRECT(ADDRESS(ROW() - 4, COLUMN())) = 2, 4.73, IF(INDIRECT(ADDRESS(ROW() - 4, COLUMN())) = 3, 5.06, IF(INDIRECT(ADDRESS(ROW() - 4, COLUMN())) = 4, 5.5, IF(INDIRECT(ADDRESS(ROW() - 4, COLUMN())) = 5, 5.83, IF(INDIRECT(ADDRESS(ROW() - 4, COLUMN())) = 6, 6.16, IF(INDIRECT(ADDRESS(ROW() - 4, COLUMN())) = 7, 6.6, IF(INDIRECT(ADDRESS(ROW() - 4, COLUMN())) = 8, 7.04, IF(INDIRECT(ADDRESS(ROW() - 4, COLUMN())) = 9, 7.48, IF(INDIRECT(ADDRESS(ROW() - 4, COLUMN())) = 10, 7.92, IF(INDIRECT(ADDRESS(ROW() - 4, COLUMN())) = 11, 8.36, IF(INDIRECT(ADDRESS(ROW() - 4, COLUMN())) = 12, 8.79999999999999, IF(INDIRECT(ADDRESS(ROW() - 4, COLUMN())) = 13, 9.35,0)))))))))))))</f>
        <v>#VALUE!</v>
      </c>
      <c r="AH8" s="88" t="str">
        <f> IF(INDIRECT(ADDRESS(ROW() - 4, COLUMN())) = 1, 6.67, IF(INDIRECT(ADDRESS(ROW() - 4, COLUMN())) = 2, 7.1702, IF(INDIRECT(ADDRESS(ROW() - 4, COLUMN())) = 3, 7.6705, IF(INDIRECT(ADDRESS(ROW() - 4, COLUMN())) = 4, 8.3375, IF(INDIRECT(ADDRESS(ROW() - 4, COLUMN())) = 5, 8.8377, IF(INDIRECT(ADDRESS(ROW() - 4, COLUMN())) = 6, 9.338, IF(INDIRECT(ADDRESS(ROW() - 4, COLUMN())) = 7, 10.005, IF(INDIRECT(ADDRESS(ROW() - 4, COLUMN())) = 8, 10.6719999999999, IF(INDIRECT(ADDRESS(ROW() - 4, COLUMN())) = 9, 11.339, IF(INDIRECT(ADDRESS(ROW() - 4, COLUMN())) = 10, 12.006, IF(INDIRECT(ADDRESS(ROW() - 4, COLUMN())) = 11, 12.673, IF(INDIRECT(ADDRESS(ROW() - 4, COLUMN())) = 12, 13.34, IF(INDIRECT(ADDRESS(ROW() - 4, COLUMN())) = 13, 14.1737,0)))))))))))))</f>
        <v>#VALUE!</v>
      </c>
      <c r="AI8" s="88" t="str">
        <f> IF(INDIRECT(ADDRESS(ROW() - 4, COLUMN())) = 1, 14.3999999999999, IF(INDIRECT(ADDRESS(ROW() - 4, COLUMN())) = 2, 15.4799999999999, IF(INDIRECT(ADDRESS(ROW() - 4, COLUMN())) = 3, 16.56, IF(INDIRECT(ADDRESS(ROW() - 4, COLUMN())) = 4, 18, IF(INDIRECT(ADDRESS(ROW() - 4, COLUMN())) = 5, 19.08, IF(INDIRECT(ADDRESS(ROW() - 4, COLUMN())) = 6, 20.16, IF(INDIRECT(ADDRESS(ROW() - 4, COLUMN())) = 7, 21.6, IF(INDIRECT(ADDRESS(ROW() - 4, COLUMN())) = 8, 23.04, IF(INDIRECT(ADDRESS(ROW() - 4, COLUMN())) = 9, 24.48, IF(INDIRECT(ADDRESS(ROW() - 4, COLUMN())) = 10, 25.9199999999999, IF(INDIRECT(ADDRESS(ROW() - 4, COLUMN())) = 11, 27.36, IF(INDIRECT(ADDRESS(ROW() - 4, COLUMN())) = 12, 28.7999999999999, IF(INDIRECT(ADDRESS(ROW() - 4, COLUMN())) = 13, 30.5999999999999,0)))))))))))))</f>
        <v>#VALUE!</v>
      </c>
      <c r="AJ8" s="88" t="str">
        <f t="shared" ref="AJ8:AK8" si="16"> IF(INDIRECT(ADDRESS(ROW() - 4, COLUMN())) = 1, 12, IF(INDIRECT(ADDRESS(ROW() - 4, COLUMN())) = 2, 12.9, IF(INDIRECT(ADDRESS(ROW() - 4, COLUMN())) = 3, 13.8, IF(INDIRECT(ADDRESS(ROW() - 4, COLUMN())) = 4, 15, IF(INDIRECT(ADDRESS(ROW() - 4, COLUMN())) = 5, 15.9, IF(INDIRECT(ADDRESS(ROW() - 4, COLUMN())) = 6, 16.8, IF(INDIRECT(ADDRESS(ROW() - 4, COLUMN())) = 7, 18, IF(INDIRECT(ADDRESS(ROW() - 4, COLUMN())) = 8, 19.2, IF(INDIRECT(ADDRESS(ROW() - 4, COLUMN())) = 9, 20.4, IF(INDIRECT(ADDRESS(ROW() - 4, COLUMN())) = 10, 21.6, IF(INDIRECT(ADDRESS(ROW() - 4, COLUMN())) = 11, 22.8, IF(INDIRECT(ADDRESS(ROW() - 4, COLUMN())) = 12, 24, IF(INDIRECT(ADDRESS(ROW() - 4, COLUMN())) = 13, 25.5,0)))))))))))))</f>
        <v>#VALUE!</v>
      </c>
      <c r="AK8" s="88" t="str">
        <f t="shared" si="16"/>
        <v>#VALUE!</v>
      </c>
      <c r="AL8" s="88" t="str">
        <f> IF(INDIRECT(ADDRESS(ROW() - 4, COLUMN())) = 1, 10.8, IF(INDIRECT(ADDRESS(ROW() - 4, COLUMN())) = 2, 11.61, IF(INDIRECT(ADDRESS(ROW() - 4, COLUMN())) = 3, 12.42, IF(INDIRECT(ADDRESS(ROW() - 4, COLUMN())) = 4, 13.5, IF(INDIRECT(ADDRESS(ROW() - 4, COLUMN())) = 5, 14.31, IF(INDIRECT(ADDRESS(ROW() - 4, COLUMN())) = 6, 15.12, IF(INDIRECT(ADDRESS(ROW() - 4, COLUMN())) = 7, 16.2, IF(INDIRECT(ADDRESS(ROW() - 4, COLUMN())) = 8, 17.28, IF(INDIRECT(ADDRESS(ROW() - 4, COLUMN())) = 9, 18.36, IF(INDIRECT(ADDRESS(ROW() - 4, COLUMN())) = 10, 19.4399999999999, IF(INDIRECT(ADDRESS(ROW() - 4, COLUMN())) = 11, 20.52, IF(INDIRECT(ADDRESS(ROW() - 4, COLUMN())) = 12, 21.6, IF(INDIRECT(ADDRESS(ROW() - 4, COLUMN())) = 13, 22.95,0))))))))))))) * IF(INDIRECT(ADDRESS(ROW() - (8 + TemplateStats!$B$2 + TemplateStats!$B$3), 3)) = "C0", 1, 1.2)</f>
        <v>#VALUE!</v>
      </c>
      <c r="AM8" s="88" t="str">
        <f> IF(INDIRECT(ADDRESS(ROW() - 4, COLUMN())) = 1, 1.714, IF(INDIRECT(ADDRESS(ROW() - 4, COLUMN())) = 2, 1.84299999999999, IF(INDIRECT(ADDRESS(ROW() - 4, COLUMN())) = 3, 1.97099999999999, IF(INDIRECT(ADDRESS(ROW() - 4, COLUMN())) = 4, 2.143, IF(INDIRECT(ADDRESS(ROW() - 4, COLUMN())) = 5, 2.271, IF(INDIRECT(ADDRESS(ROW() - 4, COLUMN())) = 6, 2.4, IF(INDIRECT(ADDRESS(ROW() - 4, COLUMN())) = 7, 2.571, IF(INDIRECT(ADDRESS(ROW() - 4, COLUMN())) = 8, 2.743, IF(INDIRECT(ADDRESS(ROW() - 4, COLUMN())) = 9, 2.91399999999999, IF(INDIRECT(ADDRESS(ROW() - 4, COLUMN())) = 10, 3.086, IF(INDIRECT(ADDRESS(ROW() - 4, COLUMN())) = 11, 3.257, IF(INDIRECT(ADDRESS(ROW() - 4, COLUMN())) = 12, 3.429, IF(INDIRECT(ADDRESS(ROW() - 4, COLUMN())) = 13, 3.643,0)))))))))))))</f>
        <v>#VALUE!</v>
      </c>
      <c r="AN8" s="88" t="str">
        <f> IF(INDIRECT(ADDRESS(ROW() - 4, COLUMN())) = 1, 2.017, IF(INDIRECT(ADDRESS(ROW() - 4, COLUMN())) = 2, 2.168, IF(INDIRECT(ADDRESS(ROW() - 4, COLUMN())) = 3, 2.319, IF(INDIRECT(ADDRESS(ROW() - 4, COLUMN())) = 4, 2.521, IF(INDIRECT(ADDRESS(ROW() - 4, COLUMN())) = 5, 2.672, IF(INDIRECT(ADDRESS(ROW() - 4, COLUMN())) = 6, 2.823, IF(INDIRECT(ADDRESS(ROW() - 4, COLUMN())) = 7, 3.025, IF(INDIRECT(ADDRESS(ROW() - 4, COLUMN())) = 8, 3.227, IF(INDIRECT(ADDRESS(ROW() - 4, COLUMN())) = 9, 3.429, IF(INDIRECT(ADDRESS(ROW() - 4, COLUMN())) = 10, 3.63, IF(INDIRECT(ADDRESS(ROW() - 4, COLUMN())) = 11, 3.832, IF(INDIRECT(ADDRESS(ROW() - 4, COLUMN())) = 12, 4.034, IF(INDIRECT(ADDRESS(ROW() - 4, COLUMN())) = 13, 4.286,0)))))))))))))</f>
        <v>#VALUE!</v>
      </c>
      <c r="AO8" s="88">
        <f>4</f>
        <v>4</v>
      </c>
      <c r="AP8" s="88" t="str">
        <f> IF(INDIRECT(ADDRESS(ROW() - 4, COLUMN())) = 1, 3, IF(INDIRECT(ADDRESS(ROW() - 4, COLUMN())) = 2, 3.225, IF(INDIRECT(ADDRESS(ROW() - 4, COLUMN())) = 3, 3.45, IF(INDIRECT(ADDRESS(ROW() - 4, COLUMN())) = 4, 3.75, IF(INDIRECT(ADDRESS(ROW() - 4, COLUMN())) = 5, 3.975, IF(INDIRECT(ADDRESS(ROW() - 4, COLUMN())) = 6, 4.2, IF(INDIRECT(ADDRESS(ROW() - 4, COLUMN())) = 7, 4.5, IF(INDIRECT(ADDRESS(ROW() - 4, COLUMN())) = 8, 4.8, IF(INDIRECT(ADDRESS(ROW() - 4, COLUMN())) = 9, 5.1, IF(INDIRECT(ADDRESS(ROW() - 4, COLUMN())) = 10, 5.4, IF(INDIRECT(ADDRESS(ROW() - 4, COLUMN())) = 11, 5.7, IF(INDIRECT(ADDRESS(ROW() - 4, COLUMN())) = 12, 6, IF(INDIRECT(ADDRESS(ROW() - 4, COLUMN())) = 13, 6.375,0)))))))))))))</f>
        <v>#VALUE!</v>
      </c>
      <c r="AQ8" s="88">
        <f>20</f>
        <v>20</v>
      </c>
      <c r="AR8" s="88">
        <f>6</f>
        <v>6</v>
      </c>
      <c r="AS8" s="88" t="str">
        <f> IF(INDIRECT(ADDRESS(ROW() - 4, COLUMN())) = 1, 12.168, IF(INDIRECT(ADDRESS(ROW() - 4, COLUMN())) = 2, 13.081, IF(INDIRECT(ADDRESS(ROW() - 4, COLUMN())) = 3, 13.993, IF(INDIRECT(ADDRESS(ROW() - 4, COLUMN())) = 4, 15.21, IF(INDIRECT(ADDRESS(ROW() - 4, COLUMN())) = 5, 16.123, IF(INDIRECT(ADDRESS(ROW() - 4, COLUMN())) = 6, 17.035, IF(INDIRECT(ADDRESS(ROW() - 4, COLUMN())) = 7, 18.252, IF(INDIRECT(ADDRESS(ROW() - 4, COLUMN())) = 8, 19.469, IF(INDIRECT(ADDRESS(ROW() - 4, COLUMN())) = 9, 20.686, IF(INDIRECT(ADDRESS(ROW() - 4, COLUMN())) = 10, 21.902, IF(INDIRECT(ADDRESS(ROW() - 4, COLUMN())) = 11, 23.119, IF(INDIRECT(ADDRESS(ROW() - 4, COLUMN())) = 12, 24.336, IF(INDIRECT(ADDRESS(ROW() - 4, COLUMN())) = 13, 25.857,0)))))))))))))</f>
        <v>#VALUE!</v>
      </c>
      <c r="AT8" s="88" t="str">
        <f> IF(INDIRECT(ADDRESS(ROW() - 4, COLUMN())) = 1, 2.432, IF(INDIRECT(ADDRESS(ROW() - 4, COLUMN())) = 2, 2.614, IF(INDIRECT(ADDRESS(ROW() - 4, COLUMN())) = 3, 2.79699999999999, IF(INDIRECT(ADDRESS(ROW() - 4, COLUMN())) = 4, 3.04, IF(INDIRECT(ADDRESS(ROW() - 4, COLUMN())) = 5, 3.222, IF(INDIRECT(ADDRESS(ROW() - 4, COLUMN())) = 6, 3.405, IF(INDIRECT(ADDRESS(ROW() - 4, COLUMN())) = 7, 3.64799999999999, IF(INDIRECT(ADDRESS(ROW() - 4, COLUMN())) = 8, 3.891, IF(INDIRECT(ADDRESS(ROW() - 4, COLUMN())) = 9, 4.134, IF(INDIRECT(ADDRESS(ROW() - 4, COLUMN())) = 10, 4.378, IF(INDIRECT(ADDRESS(ROW() - 4, COLUMN())) = 11, 4.621, IF(INDIRECT(ADDRESS(ROW() - 4, COLUMN())) = 12, 4.864, IF(INDIRECT(ADDRESS(ROW() - 4, COLUMN())) = 13, 5.16799999999999,0)))))))))))))</f>
        <v>#VALUE!</v>
      </c>
      <c r="AV8" s="88" t="str">
        <f> IF(INDIRECT(ADDRESS(ROW() - 4, COLUMN())) = 1, 8, IF(INDIRECT(ADDRESS(ROW() - 4, COLUMN())) = 2, 8.6, IF(INDIRECT(ADDRESS(ROW() - 4, COLUMN())) = 3, 9.2, IF(INDIRECT(ADDRESS(ROW() - 4, COLUMN())) = 4, 10, IF(INDIRECT(ADDRESS(ROW() - 4, COLUMN())) = 5, 10.6, IF(INDIRECT(ADDRESS(ROW() - 4, COLUMN())) = 6, 11.2, IF(INDIRECT(ADDRESS(ROW() - 4, COLUMN())) = 7, 12, IF(INDIRECT(ADDRESS(ROW() - 4, COLUMN())) = 8, 12.8, IF(INDIRECT(ADDRESS(ROW() - 4, COLUMN())) = 9, 13.6, IF(INDIRECT(ADDRESS(ROW() - 4, COLUMN())) = 10, 14.3999999999999, IF(INDIRECT(ADDRESS(ROW() - 4, COLUMN())) = 11, 15.2, IF(INDIRECT(ADDRESS(ROW() - 4, COLUMN())) = 12, 16, IF(INDIRECT(ADDRESS(ROW() - 4, COLUMN())) = 13, 17,0)))))))))))))</f>
        <v>#VALUE!</v>
      </c>
      <c r="AW8" s="88" t="str">
        <f> IF(INDIRECT(ADDRESS(ROW() - 4, COLUMN())) = 1, 5.2, IF(INDIRECT(ADDRESS(ROW() - 4, COLUMN())) = 2, 5.59, IF(INDIRECT(ADDRESS(ROW() - 4, COLUMN())) = 3, 5.97999999999999, IF(INDIRECT(ADDRESS(ROW() - 4, COLUMN())) = 4, 6.5, IF(INDIRECT(ADDRESS(ROW() - 4, COLUMN())) = 5, 6.89, IF(INDIRECT(ADDRESS(ROW() - 4, COLUMN())) = 6, 7.28, IF(INDIRECT(ADDRESS(ROW() - 4, COLUMN())) = 7, 7.8, IF(INDIRECT(ADDRESS(ROW() - 4, COLUMN())) = 8, 8.32, IF(INDIRECT(ADDRESS(ROW() - 4, COLUMN())) = 9, 8.84, IF(INDIRECT(ADDRESS(ROW() - 4, COLUMN())) = 10, 9.36, IF(INDIRECT(ADDRESS(ROW() - 4, COLUMN())) = 11, 9.87999999999999, IF(INDIRECT(ADDRESS(ROW() - 4, COLUMN())) = 12, 10.4, IF(INDIRECT(ADDRESS(ROW() - 4, COLUMN())) = 13, 11.05,0)))))))))))))</f>
        <v>#VALUE!</v>
      </c>
      <c r="AX8" s="88" t="str">
        <f> IF(INDIRECT(ADDRESS(ROW() - 4, COLUMN())) = 1, 0.8, IF(INDIRECT(ADDRESS(ROW() - 4, COLUMN())) = 2, 0.86, IF(INDIRECT(ADDRESS(ROW() - 4, COLUMN())) = 3, 0.919999999999999, IF(INDIRECT(ADDRESS(ROW() - 4, COLUMN())) = 4, 1, IF(INDIRECT(ADDRESS(ROW() - 4, COLUMN())) = 5, 1.06, IF(INDIRECT(ADDRESS(ROW() - 4, COLUMN())) = 6, 1.11999999999999, IF(INDIRECT(ADDRESS(ROW() - 4, COLUMN())) = 7, 1.2, IF(INDIRECT(ADDRESS(ROW() - 4, COLUMN())) = 8, 1.28, IF(INDIRECT(ADDRESS(ROW() - 4, COLUMN())) = 9, 1.35999999999999, IF(INDIRECT(ADDRESS(ROW() - 4, COLUMN())) = 10, 1.44, IF(INDIRECT(ADDRESS(ROW() - 4, COLUMN())) = 11, 1.52, IF(INDIRECT(ADDRESS(ROW() - 4, COLUMN())) = 12, 1.6, IF(INDIRECT(ADDRESS(ROW() - 4, COLUMN())) = 13, 1.7,0)))))))))))))</f>
        <v>#VALUE!</v>
      </c>
      <c r="AY8" s="88">
        <f>2.5</f>
        <v>2.5</v>
      </c>
      <c r="AZ8" s="88" t="str">
        <f> IF(INDIRECT(ADDRESS(ROW() - 4, COLUMN())) = 1, 10, IF(INDIRECT(ADDRESS(ROW() - 4, COLUMN())) = 2, 10.75, IF(INDIRECT(ADDRESS(ROW() - 4, COLUMN())) = 3, 11.5, IF(INDIRECT(ADDRESS(ROW() - 4, COLUMN())) = 4, 12.5, IF(INDIRECT(ADDRESS(ROW() - 4, COLUMN())) = 5, 13.25, IF(INDIRECT(ADDRESS(ROW() - 4, COLUMN())) = 6, 14, IF(INDIRECT(ADDRESS(ROW() - 4, COLUMN())) = 7, 15, IF(INDIRECT(ADDRESS(ROW() - 4, COLUMN())) = 8, 16, IF(INDIRECT(ADDRESS(ROW() - 4, COLUMN())) = 9, 17, IF(INDIRECT(ADDRESS(ROW() - 4, COLUMN())) = 10, 18, IF(INDIRECT(ADDRESS(ROW() - 4, COLUMN())) = 11, 19, IF(INDIRECT(ADDRESS(ROW() - 4, COLUMN())) = 12, 20, IF(INDIRECT(ADDRESS(ROW() - 4, COLUMN())) = 13, 21.25,0)))))))))))))</f>
        <v>#VALUE!</v>
      </c>
      <c r="BA8" s="88" t="str">
        <f> IF(INDIRECT(ADDRESS(ROW() - 4, COLUMN())) = 1, 16, IF(INDIRECT(ADDRESS(ROW() - 4, COLUMN())) = 2, 17.2, IF(INDIRECT(ADDRESS(ROW() - 4, COLUMN())) = 3, 18.4, IF(INDIRECT(ADDRESS(ROW() - 4, COLUMN())) = 4, 20, IF(INDIRECT(ADDRESS(ROW() - 4, COLUMN())) = 5, 21.2, IF(INDIRECT(ADDRESS(ROW() - 4, COLUMN())) = 6, 22.4, IF(INDIRECT(ADDRESS(ROW() - 4, COLUMN())) = 7, 24, IF(INDIRECT(ADDRESS(ROW() - 4, COLUMN())) = 8, 25.6, IF(INDIRECT(ADDRESS(ROW() - 4, COLUMN())) = 9, 27.2, IF(INDIRECT(ADDRESS(ROW() - 4, COLUMN())) = 10, 28.7999999999999, IF(INDIRECT(ADDRESS(ROW() - 4, COLUMN())) = 11, 30.4, IF(INDIRECT(ADDRESS(ROW() - 4, COLUMN())) = 12, 32, IF(INDIRECT(ADDRESS(ROW() - 4, COLUMN())) = 13, 34,0)))))))))))))</f>
        <v>#VALUE!</v>
      </c>
      <c r="BB8" s="88">
        <f>20</f>
        <v>20</v>
      </c>
      <c r="BC8" s="88">
        <f>7</f>
        <v>7</v>
      </c>
      <c r="BD8" s="88">
        <f>25</f>
        <v>25</v>
      </c>
      <c r="BE8" s="88" t="str">
        <f>"16"</f>
        <v>16</v>
      </c>
      <c r="BF8" s="88" t="str">
        <f>IF(OR(INDIRECT(ADDRESS(ROW() - (8 + TemplateStats!$B$2 + TemplateStats!$B$3), 3)) = "C6", INDIRECT(ADDRESS(ROW() - (8 + TemplateStats!$B$2 + TemplateStats!$B$3), 3)) = "C5", INDIRECT(ADDRESS(ROW() - (8 + TemplateStats!$B$2 + TemplateStats!$B$3), 3)) = "C4"), 50, 30)</f>
        <v>#VALUE!</v>
      </c>
      <c r="BI8" s="88" t="str">
        <f> IF(INDIRECT(ADDRESS(ROW() - 4, COLUMN())) = 1, 4.8, IF(INDIRECT(ADDRESS(ROW() - 4, COLUMN())) = 2, 5.16, IF(INDIRECT(ADDRESS(ROW() - 4, COLUMN())) = 3, 5.52, IF(INDIRECT(ADDRESS(ROW() - 4, COLUMN())) = 4, 6, IF(INDIRECT(ADDRESS(ROW() - 4, COLUMN())) = 5, 6.36, IF(INDIRECT(ADDRESS(ROW() - 4, COLUMN())) = 6, 6.72, IF(INDIRECT(ADDRESS(ROW() - 4, COLUMN())) = 7, 7.19999999999999, IF(INDIRECT(ADDRESS(ROW() - 4, COLUMN())) = 8, 7.68, IF(INDIRECT(ADDRESS(ROW() - 4, COLUMN())) = 9, 8.16, IF(INDIRECT(ADDRESS(ROW() - 4, COLUMN())) = 10, 8.64, IF(INDIRECT(ADDRESS(ROW() - 4, COLUMN())) = 11, 9.12, IF(INDIRECT(ADDRESS(ROW() - 4, COLUMN())) = 12, 9.6, IF(INDIRECT(ADDRESS(ROW() - 4, COLUMN())) = 13, 10.2,0)))))))))))))</f>
        <v>#VALUE!</v>
      </c>
      <c r="BJ8" s="88">
        <f>2</f>
        <v>2</v>
      </c>
    </row>
    <row r="9">
      <c r="A9" s="4" t="s">
        <v>165</v>
      </c>
      <c r="H9" s="195"/>
      <c r="I9" s="195"/>
      <c r="J9" s="195"/>
      <c r="K9" s="195"/>
      <c r="AE9" s="88">
        <f>120</f>
        <v>120</v>
      </c>
      <c r="AP9" s="88">
        <f>75</f>
        <v>75</v>
      </c>
      <c r="AU9" s="88">
        <f>300</f>
        <v>300</v>
      </c>
    </row>
    <row r="10">
      <c r="A10" s="4" t="s">
        <v>115</v>
      </c>
      <c r="D10" s="88" t="str">
        <f> IF(INDIRECT(ADDRESS(ROW() - 6, COLUMN())) = 1, 1540, IF(INDIRECT(ADDRESS(ROW() - 6, COLUMN())) = 2, 1694, IF(INDIRECT(ADDRESS(ROW() - 6, COLUMN())) = 3, 1861000000002, IF(INDIRECT(ADDRESS(ROW() - 6, COLUMN())) = 4, 204100, IF(INDIRECT(ADDRESS(ROW() - 6, COLUMN())) = 5, 2233, IF(INDIRECT(ADDRESS(ROW() - 6, COLUMN())) = 6, 2438, IF(INDIRECT(ADDRESS(ROW() - 6, COLUMN())) = 7, 2657, IF(INDIRECT(ADDRESS(ROW() - 6, COLUMN())) = 8, 2888, IF(INDIRECT(ADDRESS(ROW() - 6, COLUMN())) = 9, 3132, IF(INDIRECT(ADDRESS(ROW() - 6, COLUMN())) = 10, 3388, IF(INDIRECT(ADDRESS(ROW() - 6, COLUMN())) = 11, 3658, IF(INDIRECT(ADDRESS(ROW() - 6, COLUMN())) = 12, 3940, IF(INDIRECT(ADDRESS(ROW() - 6, COLUMN())) = 13, 4236,0)))))))))))))</f>
        <v>#VALUE!</v>
      </c>
      <c r="E10" s="88" t="str">
        <f> IF(INDIRECT(ADDRESS(ROW() - 6, COLUMN())) = 1, 154, IF(INDIRECT(ADDRESS(ROW() - 6, COLUMN())) = 2, 169, IF(INDIRECT(ADDRESS(ROW() - 6, COLUMN())) = 3, 186999999998, IF(INDIRECT(ADDRESS(ROW() - 6, COLUMN())) = 4, 20410, IF(INDIRECT(ADDRESS(ROW() - 6, COLUMN())) = 5, 223, IF(INDIRECT(ADDRESS(ROW() - 6, COLUMN())) = 6, 243, IF(INDIRECT(ADDRESS(ROW() - 6, COLUMN())) = 7, 265, IF(INDIRECT(ADDRESS(ROW() - 6, COLUMN())) = 8, 288, IF(INDIRECT(ADDRESS(ROW() - 6, COLUMN())) = 9, 313, IF(INDIRECT(ADDRESS(ROW() - 6, COLUMN())) = 10, 338, IF(INDIRECT(ADDRESS(ROW() - 6, COLUMN())) = 11, 365, IF(INDIRECT(ADDRESS(ROW() - 6, COLUMN())) = 12, 394, IF(INDIRECT(ADDRESS(ROW() - 6, COLUMN())) = 13, 423,0)))))))))))))</f>
        <v>#VALUE!</v>
      </c>
      <c r="H10" s="196" t="str">
        <f> IF(INDIRECT(ADDRESS(ROW() - 6, COLUMN())) = 1, 385, IF(INDIRECT(ADDRESS(ROW() - 6, COLUMN())) = 2, 423, IF(INDIRECT(ADDRESS(ROW() - 6, COLUMN())) = 3, 465, IF(INDIRECT(ADDRESS(ROW() - 6, COLUMN())) = 4, 510, IF(INDIRECT(ADDRESS(ROW() - 6, COLUMN())) = 5, 558, IF(INDIRECT(ADDRESS(ROW() - 6, COLUMN())) = 6, 609, IF(INDIRECT(ADDRESS(ROW() - 6, COLUMN())) = 7, 664, IF(INDIRECT(ADDRESS(ROW() - 6, COLUMN())) = 8, 722, IF(INDIRECT(ADDRESS(ROW() - 6, COLUMN())) = 9, 783, IF(INDIRECT(ADDRESS(ROW() - 6, COLUMN())) = 10, 847, IF(INDIRECT(ADDRESS(ROW() - 6, COLUMN())) = 11, 914, IF(INDIRECT(ADDRESS(ROW() - 6, COLUMN())) = 12, 985, IF(INDIRECT(ADDRESS(ROW() - 6, COLUMN())) = 13, 1059,0)))))))))))))</f>
        <v>#VALUE!</v>
      </c>
      <c r="I10" s="196" t="str">
        <f> IF(INDIRECT(ADDRESS(ROW() - 6, COLUMN())) = 1, 72, IF(INDIRECT(ADDRESS(ROW() - 6, COLUMN())) = 2, 79, IF(INDIRECT(ADDRESS(ROW() - 6, COLUMN())) = 3, 87, IF(INDIRECT(ADDRESS(ROW() - 6, COLUMN())) = 4, 95, IF(INDIRECT(ADDRESS(ROW() - 6, COLUMN())) = 5, 104, IF(INDIRECT(ADDRESS(ROW() - 6, COLUMN())) = 6, 114, IF(INDIRECT(ADDRESS(ROW() - 6, COLUMN())) = 7, 124, IF(INDIRECT(ADDRESS(ROW() - 6, COLUMN())) = 8, 135, IF(INDIRECT(ADDRESS(ROW() - 6, COLUMN())) = 9, 146, IF(INDIRECT(ADDRESS(ROW() - 6, COLUMN())) = 10, 158, IF(INDIRECT(ADDRESS(ROW() - 6, COLUMN())) = 11, 171, IF(INDIRECT(ADDRESS(ROW() - 6, COLUMN())) = 12, 184, IF(INDIRECT(ADDRESS(ROW() - 6, COLUMN())) = 13, 198,0)))))))))))))</f>
        <v>#VALUE!</v>
      </c>
      <c r="J10" s="196" t="str">
        <f> IF(INDIRECT(ADDRESS(ROW() - 6, COLUMN())) = 1, 72, IF(INDIRECT(ADDRESS(ROW() - 6, COLUMN())) = 2, 79, IF(INDIRECT(ADDRESS(ROW() - 6, COLUMN())) = 3, 87, IF(INDIRECT(ADDRESS(ROW() - 6, COLUMN())) = 4, 95, IF(INDIRECT(ADDRESS(ROW() - 6, COLUMN())) = 5, 104, IF(INDIRECT(ADDRESS(ROW() - 6, COLUMN())) = 6, 114, IF(INDIRECT(ADDRESS(ROW() - 6, COLUMN())) = 7, 124, IF(INDIRECT(ADDRESS(ROW() - 6, COLUMN())) = 8, 135, IF(INDIRECT(ADDRESS(ROW() - 6, COLUMN())) = 9, 146, IF(INDIRECT(ADDRESS(ROW() - 6, COLUMN())) = 10, 158, IF(INDIRECT(ADDRESS(ROW() - 6, COLUMN())) = 11, 171, IF(INDIRECT(ADDRESS(ROW() - 6, COLUMN())) = 12, 184, IF(INDIRECT(ADDRESS(ROW() - 6, COLUMN())) = 13, 198,0))))))))))))) * 4</f>
        <v>#VALUE!</v>
      </c>
      <c r="K10" s="196" t="str">
        <f> IF(INDIRECT(ADDRESS(ROW() - 6, COLUMN())) = 1, 1694, IF(INDIRECT(ADDRESS(ROW() - 6, COLUMN())) = 2, 1863, IF(INDIRECT(ADDRESS(ROW() - 6, COLUMN())) = 3, 2047, IF(INDIRECT(ADDRESS(ROW() - 6, COLUMN())) = 4, 224500, IF(INDIRECT(ADDRESS(ROW() - 6, COLUMN())) = 5, 2456, IF(INDIRECT(ADDRESS(ROW() - 6, COLUMN())) = 6, 2682, IF(INDIRECT(ADDRESS(ROW() - 6, COLUMN())) = 7, 2922, IF(INDIRECT(ADDRESS(ROW() - 6, COLUMN())) = 8, 3176, IF(INDIRECT(ADDRESS(ROW() - 6, COLUMN())) = 9, 3445, IF(INDIRECT(ADDRESS(ROW() - 6, COLUMN())) = 10, 3727, IF(INDIRECT(ADDRESS(ROW() - 6, COLUMN())) = 11, 4024, IF(INDIRECT(ADDRESS(ROW() - 6, COLUMN())) = 12, 4334, IF(INDIRECT(ADDRESS(ROW() - 6, COLUMN())) = 13, 4659,0)))))))))))))</f>
        <v>#VALUE!</v>
      </c>
      <c r="L10" s="88" t="str">
        <f> IF(INDIRECT(ADDRESS(ROW() - 6, COLUMN())) = 1, 1232, IF(INDIRECT(ADDRESS(ROW() - 6, COLUMN())) = 2, 1355, IF(INDIRECT(ADDRESS(ROW() - 6, COLUMN())) = 3, 1489, IF(INDIRECT(ADDRESS(ROW() - 6, COLUMN())) = 4, 1633, IF(INDIRECT(ADDRESS(ROW() - 6, COLUMN())) = 5, 1787, IF(INDIRECT(ADDRESS(ROW() - 6, COLUMN())) = 6, 1951, IF(INDIRECT(ADDRESS(ROW() - 6, COLUMN())) = 7, 2126, IF(INDIRECT(ADDRESS(ROW() - 6, COLUMN())) = 8, 2310, IF(INDIRECT(ADDRESS(ROW() - 6, COLUMN())) = 9, 2506, IF(INDIRECT(ADDRESS(ROW() - 6, COLUMN())) = 10, 2711, IF(INDIRECT(ADDRESS(ROW() - 6, COLUMN())) = 11, 2927, IF(INDIRECT(ADDRESS(ROW() - 6, COLUMN())) = 12, 3153, IF(INDIRECT(ADDRESS(ROW() - 6, COLUMN())) = 13, 3389,0)))))))))))))</f>
        <v>#VALUE!</v>
      </c>
      <c r="M10" s="88" t="str">
        <f> IF(INDIRECT(ADDRESS(ROW() - 6, COLUMN())) = 1, 577, IF(INDIRECT(ADDRESS(ROW() - 6, COLUMN())) = 2, 635, IF(INDIRECT(ADDRESS(ROW() - 6, COLUMN())) = 3, 697, IF(INDIRECT(ADDRESS(ROW() - 6, COLUMN())) = 4, 765, IF(INDIRECT(ADDRESS(ROW() - 6, COLUMN())) = 5, 837, IF(INDIRECT(ADDRESS(ROW() - 6, COLUMN())) = 6, 914, IF(INDIRECT(ADDRESS(ROW() - 6, COLUMN())) = 7, 995, IF(INDIRECT(ADDRESS(ROW() - 6, COLUMN())) = 8, 1082, IF(INDIRECT(ADDRESS(ROW() - 6, COLUMN())) = 9, 1174, IF(INDIRECT(ADDRESS(ROW() - 6, COLUMN())) = 10, 1270, IF(INDIRECT(ADDRESS(ROW() - 6, COLUMN())) = 11, 1371, IF(INDIRECT(ADDRESS(ROW() - 6, COLUMN())) = 12, 1477, IF(INDIRECT(ADDRESS(ROW() - 6, COLUMN())) = 13, 1587,0)))))))))))))</f>
        <v>#VALUE!</v>
      </c>
      <c r="O10" s="88" t="str">
        <f> IF(INDIRECT(ADDRESS(ROW() - 6, COLUMN())) = 1, 769, IF(INDIRECT(ADDRESS(ROW() - 6, COLUMN())) = 2, 846, IF(INDIRECT(ADDRESS(ROW() - 6, COLUMN())) = 3, 930, IF(INDIRECT(ADDRESS(ROW() - 6, COLUMN())) = 4, 1020, IF(INDIRECT(ADDRESS(ROW() - 6, COLUMN())) = 5, 1116, IF(INDIRECT(ADDRESS(ROW() - 6, COLUMN())) = 6, 1218, IF(INDIRECT(ADDRESS(ROW() - 6, COLUMN())) = 7, 1327, IF(INDIRECT(ADDRESS(ROW() - 6, COLUMN())) = 8, 1443, IF(INDIRECT(ADDRESS(ROW() - 6, COLUMN())) = 9, 1565, IF(INDIRECT(ADDRESS(ROW() - 6, COLUMN())) = 10, 1693, IF(INDIRECT(ADDRESS(ROW() - 6, COLUMN())) = 11, 1828, IF(INDIRECT(ADDRESS(ROW() - 6, COLUMN())) = 12, 1969, IF(INDIRECT(ADDRESS(ROW() - 6, COLUMN())) = 13, 2117,0)))))))))))))</f>
        <v>#VALUE!</v>
      </c>
      <c r="P10" s="88" t="str">
        <f> IF(INDIRECT(ADDRESS(ROW() - 6, COLUMN())) = 1, 102, IF(INDIRECT(ADDRESS(ROW() - 6, COLUMN())) = 2, 112, IF(INDIRECT(ADDRESS(ROW() - 6, COLUMN())) = 3, 124, IF(INDIRECT(ADDRESS(ROW() - 6, COLUMN())) = 4, 136, IF(INDIRECT(ADDRESS(ROW() - 6, COLUMN())) = 5, 148, IF(INDIRECT(ADDRESS(ROW() - 6, COLUMN())) = 6, 162, IF(INDIRECT(ADDRESS(ROW() - 6, COLUMN())) = 7, 177, IF(INDIRECT(ADDRESS(ROW() - 6, COLUMN())) = 8, 192, IF(INDIRECT(ADDRESS(ROW() - 6, COLUMN())) = 9, 208, IF(INDIRECT(ADDRESS(ROW() - 6, COLUMN())) = 10, 225, IF(INDIRECT(ADDRESS(ROW() - 6, COLUMN())) = 11, 243, IF(INDIRECT(ADDRESS(ROW() - 6, COLUMN())) = 12, 262, IF(INDIRECT(ADDRESS(ROW() - 6, COLUMN())) = 13, 282,0)))))))))))))</f>
        <v>#VALUE!</v>
      </c>
      <c r="Q10" s="88" t="str">
        <f> IF(INDIRECT(ADDRESS(ROW() - 6, COLUMN())) = 1, 450, IF(INDIRECT(ADDRESS(ROW() - 6, COLUMN())) = 2, 495, IF(INDIRECT(ADDRESS(ROW() - 6, COLUMN())) = 3, 544, IF(INDIRECT(ADDRESS(ROW() - 6, COLUMN())) = 4, 597, IF(INDIRECT(ADDRESS(ROW() - 6, COLUMN())) = 5, 653, IF(INDIRECT(ADDRESS(ROW() - 6, COLUMN())) = 6, 713, IF(INDIRECT(ADDRESS(ROW() - 6, COLUMN())) = 7, 777, IF(INDIRECT(ADDRESS(ROW() - 6, COLUMN())) = 8, 844, IF(INDIRECT(ADDRESS(ROW() - 6, COLUMN())) = 9, 916, IF(INDIRECT(ADDRESS(ROW() - 6, COLUMN())) = 10, 991, IF(INDIRECT(ADDRESS(ROW() - 6, COLUMN())) = 11, 1070, IF(INDIRECT(ADDRESS(ROW() - 6, COLUMN())) = 12, 1152, IF(INDIRECT(ADDRESS(ROW() - 6, COLUMN())) = 13, 1239,0)))))))))))))</f>
        <v>#VALUE!</v>
      </c>
      <c r="R10" s="88" t="str">
        <f> IF(INDIRECT(ADDRESS(ROW() - 6, COLUMN())) = 1, 577, IF(INDIRECT(ADDRESS(ROW() - 6, COLUMN())) = 2, 635, IF(INDIRECT(ADDRESS(ROW() - 6, COLUMN())) = 3, 697, IF(INDIRECT(ADDRESS(ROW() - 6, COLUMN())) = 4, 765, IF(INDIRECT(ADDRESS(ROW() - 6, COLUMN())) = 5, 837, IF(INDIRECT(ADDRESS(ROW() - 6, COLUMN())) = 6, 914, IF(INDIRECT(ADDRESS(ROW() - 6, COLUMN())) = 7, 995, IF(INDIRECT(ADDRESS(ROW() - 6, COLUMN())) = 8, 1082, IF(INDIRECT(ADDRESS(ROW() - 6, COLUMN())) = 9, 1174, IF(INDIRECT(ADDRESS(ROW() - 6, COLUMN())) = 10, 1270, IF(INDIRECT(ADDRESS(ROW() - 6, COLUMN())) = 11, 1371, IF(INDIRECT(ADDRESS(ROW() - 6, COLUMN())) = 12, 1477, IF(INDIRECT(ADDRESS(ROW() - 6, COLUMN())) = 13, 1587,0)))))))))))))</f>
        <v>#VALUE!</v>
      </c>
      <c r="S10" s="88" t="str">
        <f> IF(INDIRECT(ADDRESS(ROW() - 6, COLUMN())) = 1, 67, IF(INDIRECT(ADDRESS(ROW() - 6, COLUMN())) = 2, 74, IF(INDIRECT(ADDRESS(ROW() - 6, COLUMN())) = 3, 81, IF(INDIRECT(ADDRESS(ROW() - 6, COLUMN())) = 4, 89, IF(INDIRECT(ADDRESS(ROW() - 6, COLUMN())) = 5, 97, IF(INDIRECT(ADDRESS(ROW() - 6, COLUMN())) = 6, 106, IF(INDIRECT(ADDRESS(ROW() - 6, COLUMN())) = 7, 116, IF(INDIRECT(ADDRESS(ROW() - 6, COLUMN())) = 8, 126, IF(INDIRECT(ADDRESS(ROW() - 6, COLUMN())) = 9, 137, IF(INDIRECT(ADDRESS(ROW() - 6, COLUMN())) = 10, 148, IF(INDIRECT(ADDRESS(ROW() - 6, COLUMN())) = 11, 160, IF(INDIRECT(ADDRESS(ROW() - 6, COLUMN())) = 12, 172, IF(INDIRECT(ADDRESS(ROW() - 6, COLUMN())) = 13, 185,0)))))))))))))</f>
        <v>#VALUE!</v>
      </c>
      <c r="T10" s="88" t="str">
        <f> IF(INDIRECT(ADDRESS(ROW() - 6, COLUMN())) = 1, 692, IF(INDIRECT(ADDRESS(ROW() - 6, COLUMN())) = 2, 762, IF(INDIRECT(ADDRESS(ROW() - 6, COLUMN())) = 3, 837, IF(INDIRECT(ADDRESS(ROW() - 6, COLUMN())) = 4, 918, IF(INDIRECT(ADDRESS(ROW() - 6, COLUMN())) = 5, 1004, IF(INDIRECT(ADDRESS(ROW() - 6, COLUMN())) = 6, 1096, IF(INDIRECT(ADDRESS(ROW() - 6, COLUMN())) = 7, 1195, IF(INDIRECT(ADDRESS(ROW() - 6, COLUMN())) = 8, 1299, IF(INDIRECT(ADDRESS(ROW() - 6, COLUMN())) = 9, 1408, IF(INDIRECT(ADDRESS(ROW() - 6, COLUMN())) = 10, 1524, IF(INDIRECT(ADDRESS(ROW() - 6, COLUMN())) = 11, 1645, IF(INDIRECT(ADDRESS(ROW() - 6, COLUMN())) = 12, 1772, IF(INDIRECT(ADDRESS(ROW() - 6, COLUMN())) = 13, 1905,0))))))))))))) * IF(OR(INDIRECT(ADDRESS(ROW() - (10 + TemplateStats!$B$2 + TemplateStats!$B$3), 3)) = "C0", INDIRECT(ADDRESS(ROW() - (10 + TemplateStats!$B$2 + TemplateStats!$B$3), 3)) = "C1"), 1, 1.15)</f>
        <v>#VALUE!</v>
      </c>
      <c r="U10" s="88" t="str">
        <f> IF(INDIRECT(ADDRESS(ROW() - 6, COLUMN())) = 1, 692, IF(INDIRECT(ADDRESS(ROW() - 6, COLUMN())) = 2, 762, IF(INDIRECT(ADDRESS(ROW() - 6, COLUMN())) = 3, 837, IF(INDIRECT(ADDRESS(ROW() - 6, COLUMN())) = 4, 918, IF(INDIRECT(ADDRESS(ROW() - 6, COLUMN())) = 5, 1004, IF(INDIRECT(ADDRESS(ROW() - 6, COLUMN())) = 6, 1096, IF(INDIRECT(ADDRESS(ROW() - 6, COLUMN())) = 7, 1195, IF(INDIRECT(ADDRESS(ROW() - 6, COLUMN())) = 8, 1299, IF(INDIRECT(ADDRESS(ROW() - 6, COLUMN())) = 9, 1408, IF(INDIRECT(ADDRESS(ROW() - 6, COLUMN())) = 10, 1524, IF(INDIRECT(ADDRESS(ROW() - 6, COLUMN())) = 11, 1645, IF(INDIRECT(ADDRESS(ROW() - 6, COLUMN())) = 12, 1772, IF(INDIRECT(ADDRESS(ROW() - 6, COLUMN())) = 13, 1905,0))))))))))))) * 1.75 * IF(OR(INDIRECT(ADDRESS(ROW() - (10 + TemplateStats!$B$2 + TemplateStats!$B$3), 3)) = "C0", INDIRECT(ADDRESS(ROW() - (10 + TemplateStats!$B$2 + TemplateStats!$B$3), 3)) = "C1"), 1, 1.15)</f>
        <v>#VALUE!</v>
      </c>
      <c r="V10" s="88" t="str">
        <f> IF(INDIRECT(ADDRESS(ROW() - 6, COLUMN())) = 1, 513, IF(INDIRECT(ADDRESS(ROW() - 6, COLUMN())) = 2, 564, IF(INDIRECT(ADDRESS(ROW() - 6, COLUMN())) = 3, 620, IF(INDIRECT(ADDRESS(ROW() - 6, COLUMN())) = 4, 680, IF(INDIRECT(ADDRESS(ROW() - 6, COLUMN())) = 5, 744, IF(INDIRECT(ADDRESS(ROW() - 6, COLUMN())) = 6, 812, IF(INDIRECT(ADDRESS(ROW() - 6, COLUMN())) = 7, 885, IF(INDIRECT(ADDRESS(ROW() - 6, COLUMN())) = 8, 962, IF(INDIRECT(ADDRESS(ROW() - 6, COLUMN())) = 9, 1043, IF(INDIRECT(ADDRESS(ROW() - 6, COLUMN())) = 10, 1129, IF(INDIRECT(ADDRESS(ROW() - 6, COLUMN())) = 11, 1218, IF(INDIRECT(ADDRESS(ROW() - 6, COLUMN())) = 12, 1313, IF(INDIRECT(ADDRESS(ROW() - 6, COLUMN())) = 13, 1411,0)))))))))))))</f>
        <v>#VALUE!</v>
      </c>
      <c r="W10" s="88" t="str">
        <f> IF(INDIRECT(ADDRESS(ROW() - 6, COLUMN())) = 1, 500, IF(INDIRECT(ADDRESS(ROW() - 6, COLUMN())) = 2, 550, IF(INDIRECT(ADDRESS(ROW() - 6, COLUMN())) = 3, 604, IF(INDIRECT(ADDRESS(ROW() - 6, COLUMN())) = 4, 663, IF(INDIRECT(ADDRESS(ROW() - 6, COLUMN())) = 5, 725, IF(INDIRECT(ADDRESS(ROW() - 6, COLUMN())) = 6, 792, IF(INDIRECT(ADDRESS(ROW() - 6, COLUMN())) = 7, 863, IF(INDIRECT(ADDRESS(ROW() - 6, COLUMN())) = 8, 938, IF(INDIRECT(ADDRESS(ROW() - 6, COLUMN())) = 9, 1017, IF(INDIRECT(ADDRESS(ROW() - 6, COLUMN())) = 10, 1101, IF(INDIRECT(ADDRESS(ROW() - 6, COLUMN())) = 11, 1188, IF(INDIRECT(ADDRESS(ROW() - 6, COLUMN())) = 12, 1280, IF(INDIRECT(ADDRESS(ROW() - 6, COLUMN())) = 13, 1376,0)))))))))))))</f>
        <v>#VALUE!</v>
      </c>
      <c r="X10" s="88" t="str">
        <f> IF(INDIRECT(ADDRESS(ROW() - 6, COLUMN())) = 1, 588, IF(INDIRECT(ADDRESS(ROW() - 6, COLUMN())) = 2, 647, IF(INDIRECT(ADDRESS(ROW() - 6, COLUMN())) = 3, 711, IF(INDIRECT(ADDRESS(ROW() - 6, COLUMN())) = 4, 780, IF(INDIRECT(ADDRESS(ROW() - 6, COLUMN())) = 5, 853, IF(INDIRECT(ADDRESS(ROW() - 6, COLUMN())) = 6, 932, IF(INDIRECT(ADDRESS(ROW() - 6, COLUMN())) = 7, 1015, IF(INDIRECT(ADDRESS(ROW() - 6, COLUMN())) = 8, 1104, IF(INDIRECT(ADDRESS(ROW() - 6, COLUMN())) = 9, 1197, IF(INDIRECT(ADDRESS(ROW() - 6, COLUMN())) = 10, 1295, IF(INDIRECT(ADDRESS(ROW() - 6, COLUMN())) = 11, 1398, IF(INDIRECT(ADDRESS(ROW() - 6, COLUMN())) = 12, 1506, IF(INDIRECT(ADDRESS(ROW() - 6, COLUMN())) = 13, 1619,0)))))))))))))</f>
        <v>#VALUE!</v>
      </c>
      <c r="Y10" s="88" t="str">
        <f> IF(INDIRECT(ADDRESS(ROW() - 6, COLUMN())) = 1, 692, IF(INDIRECT(ADDRESS(ROW() - 6, COLUMN())) = 2, 762, IF(INDIRECT(ADDRESS(ROW() - 6, COLUMN())) = 3, 837, IF(INDIRECT(ADDRESS(ROW() - 6, COLUMN())) = 4, 918, IF(INDIRECT(ADDRESS(ROW() - 6, COLUMN())) = 5, 1004, IF(INDIRECT(ADDRESS(ROW() - 6, COLUMN())) = 6, 1096, IF(INDIRECT(ADDRESS(ROW() - 6, COLUMN())) = 7, 1195, IF(INDIRECT(ADDRESS(ROW() - 6, COLUMN())) = 8, 1299, IF(INDIRECT(ADDRESS(ROW() - 6, COLUMN())) = 9, 1408, IF(INDIRECT(ADDRESS(ROW() - 6, COLUMN())) = 10, 1524, IF(INDIRECT(ADDRESS(ROW() - 6, COLUMN())) = 11, 1645, IF(INDIRECT(ADDRESS(ROW() - 6, COLUMN())) = 12, 1772, IF(INDIRECT(ADDRESS(ROW() - 6, COLUMN())) = 13, 1905,0)))))))))))))</f>
        <v>#VALUE!</v>
      </c>
      <c r="Z10" s="88" t="str">
        <f> IF(INDIRECT(ADDRESS(ROW() - 6, COLUMN())) = 1, 693, IF(INDIRECT(ADDRESS(ROW() - 6, COLUMN())) = 2, 762, IF(INDIRECT(ADDRESS(ROW() - 6, COLUMN())) = 3, 837, IF(INDIRECT(ADDRESS(ROW() - 6, COLUMN())) = 4, 918, IF(INDIRECT(ADDRESS(ROW() - 6, COLUMN())) = 5, 1005, IF(INDIRECT(ADDRESS(ROW() - 6, COLUMN())) = 6, 1097, IF(INDIRECT(ADDRESS(ROW() - 6, COLUMN())) = 7, 1196, IF(INDIRECT(ADDRESS(ROW() - 6, COLUMN())) = 8, 1300, IF(INDIRECT(ADDRESS(ROW() - 6, COLUMN())) = 9, 1409, IF(INDIRECT(ADDRESS(ROW() - 6, COLUMN())) = 10, 1525, IF(INDIRECT(ADDRESS(ROW() - 6, COLUMN())) = 11, 1646, IF(INDIRECT(ADDRESS(ROW() - 6, COLUMN())) = 12, 1773, IF(INDIRECT(ADDRESS(ROW() - 6, COLUMN())) = 13, 1906,0)))))))))))))</f>
        <v>#VALUE!</v>
      </c>
      <c r="AA10" s="88" t="str">
        <f> IF(INDIRECT(ADDRESS(ROW() - 6, COLUMN())) = 1, 1887, IF(INDIRECT(ADDRESS(ROW() - 6, COLUMN())) = 2, 2076, IF(INDIRECT(ADDRESS(ROW() - 6, COLUMN())) = 3, 2280, IF(INDIRECT(ADDRESS(ROW() - 6, COLUMN())) = 4, 2500, IF(INDIRECT(ADDRESS(ROW() - 6, COLUMN())) = 5, 2736, IF(INDIRECT(ADDRESS(ROW() - 6, COLUMN())) = 6, 2988, IF(INDIRECT(ADDRESS(ROW() - 6, COLUMN())) = 7, 3255, IF(INDIRECT(ADDRESS(ROW() - 6, COLUMN())) = 8, 3539, IF(INDIRECT(ADDRESS(ROW() - 6, COLUMN())) = 9, 3838, IF(INDIRECT(ADDRESS(ROW() - 6, COLUMN())) = 10, 4152, IF(INDIRECT(ADDRESS(ROW() - 6, COLUMN())) = 11, 4482, IF(INDIRECT(ADDRESS(ROW() - 6, COLUMN())) = 12, 4829, IF(INDIRECT(ADDRESS(ROW() - 6, COLUMN())) = 13, 5190,0)))))))))))))</f>
        <v>#VALUE!</v>
      </c>
      <c r="AB10" s="88" t="str">
        <f> IF(INDIRECT(ADDRESS(ROW() - 6, COLUMN())) = 1, 110, IF(INDIRECT(ADDRESS(ROW() - 6, COLUMN())) = 2, 121, IF(INDIRECT(ADDRESS(ROW() - 6, COLUMN())) = 3, 132, IF(INDIRECT(ADDRESS(ROW() - 6, COLUMN())) = 4, 145, IF(INDIRECT(ADDRESS(ROW() - 6, COLUMN())) = 5, 159, IF(INDIRECT(ADDRESS(ROW() - 6, COLUMN())) = 6, 174, IF(INDIRECT(ADDRESS(ROW() - 6, COLUMN())) = 7, 189, IF(INDIRECT(ADDRESS(ROW() - 6, COLUMN())) = 8, 206, IF(INDIRECT(ADDRESS(ROW() - 6, COLUMN())) = 9, 223, IF(INDIRECT(ADDRESS(ROW() - 6, COLUMN())) = 10, 242, IF(INDIRECT(ADDRESS(ROW() - 6, COLUMN())) = 11, 261, IF(INDIRECT(ADDRESS(ROW() - 6, COLUMN())) = 12, 281, IF(INDIRECT(ADDRESS(ROW() - 6, COLUMN())) = 13, 302,0)))))))))))))</f>
        <v>#VALUE!</v>
      </c>
      <c r="AC10" s="88" t="str">
        <f> IF(INDIRECT(ADDRESS(ROW() - 6, COLUMN())) = 1, 577, IF(INDIRECT(ADDRESS(ROW() - 6, COLUMN())) = 2, 635, IF(INDIRECT(ADDRESS(ROW() - 6, COLUMN())) = 3, 697, IF(INDIRECT(ADDRESS(ROW() - 6, COLUMN())) = 4, 76500, IF(INDIRECT(ADDRESS(ROW() - 6, COLUMN())) = 5, 837, IF(INDIRECT(ADDRESS(ROW() - 6, COLUMN())) = 6, 914, IF(INDIRECT(ADDRESS(ROW() - 6, COLUMN())) = 7, 995, IF(INDIRECT(ADDRESS(ROW() - 6, COLUMN())) = 8, 1082, IF(INDIRECT(ADDRESS(ROW() - 6, COLUMN())) = 9, 1174, IF(INDIRECT(ADDRESS(ROW() - 6, COLUMN())) = 10, 1270, IF(INDIRECT(ADDRESS(ROW() - 6, COLUMN())) = 11, 1371, IF(INDIRECT(ADDRESS(ROW() - 6, COLUMN())) = 12, 1477, IF(INDIRECT(ADDRESS(ROW() - 6, COLUMN())) = 13, 1587,0)))))))))))))</f>
        <v>#VALUE!</v>
      </c>
      <c r="AD10" s="88" t="str">
        <f> IF(INDIRECT(ADDRESS(ROW() - 6, COLUMN())) = 1, 500, IF(INDIRECT(ADDRESS(ROW() - 6, COLUMN())) = 2, 550, IF(INDIRECT(ADDRESS(ROW() - 6, COLUMN())) = 3, 604, IF(INDIRECT(ADDRESS(ROW() - 6, COLUMN())) = 4, 663, IF(INDIRECT(ADDRESS(ROW() - 6, COLUMN())) = 5, 725, IF(INDIRECT(ADDRESS(ROW() - 6, COLUMN())) = 6, 792, IF(INDIRECT(ADDRESS(ROW() - 6, COLUMN())) = 7, 863, IF(INDIRECT(ADDRESS(ROW() - 6, COLUMN())) = 8, 938, IF(INDIRECT(ADDRESS(ROW() - 6, COLUMN())) = 9, 1017, IF(INDIRECT(ADDRESS(ROW() - 6, COLUMN())) = 10, 1100, IF(INDIRECT(ADDRESS(ROW() - 6, COLUMN())) = 11, 1188, IF(INDIRECT(ADDRESS(ROW() - 6, COLUMN())) = 12, 1280, IF(INDIRECT(ADDRESS(ROW() - 6, COLUMN())) = 13, 1376,0)))))))))))))</f>
        <v>#VALUE!</v>
      </c>
      <c r="AE10" s="88">
        <f>300</f>
        <v>300</v>
      </c>
      <c r="AF10" s="88" t="str">
        <f> IF(INDIRECT(ADDRESS(ROW() - 6, COLUMN())) = 1, 77, IF(INDIRECT(ADDRESS(ROW() - 6, COLUMN())) = 2, 84, IF(INDIRECT(ADDRESS(ROW() - 6, COLUMN())) = 3, 93, IF(INDIRECT(ADDRESS(ROW() - 6, COLUMN())) = 4, 102, IF(INDIRECT(ADDRESS(ROW() - 6, COLUMN())) = 5, 111, IF(INDIRECT(ADDRESS(ROW() - 6, COLUMN())) = 6, 121, IF(INDIRECT(ADDRESS(ROW() - 6, COLUMN())) = 7, 132, IF(INDIRECT(ADDRESS(ROW() - 6, COLUMN())) = 8, 144, IF(INDIRECT(ADDRESS(ROW() - 6, COLUMN())) = 9, 156, IF(INDIRECT(ADDRESS(ROW() - 6, COLUMN())) = 10, 169, IF(INDIRECT(ADDRESS(ROW() - 6, COLUMN())) = 11, 182, IF(INDIRECT(ADDRESS(ROW() - 6, COLUMN())) = 12, 197, IF(INDIRECT(ADDRESS(ROW() - 6, COLUMN())) = 13, 211,0)))))))))))))</f>
        <v>#VALUE!</v>
      </c>
      <c r="AG10" s="88" t="str">
        <f> IF(INDIRECT(ADDRESS(ROW() - 6, COLUMN())) = 1, 423, IF(INDIRECT(ADDRESS(ROW() - 6, COLUMN())) = 2, 466, IF(INDIRECT(ADDRESS(ROW() - 6, COLUMN())) = 3, 511, IF(INDIRECT(ADDRESS(ROW() - 6, COLUMN())) = 4, 561, IF(INDIRECT(ADDRESS(ROW() - 6, COLUMN())) = 5, 614, IF(INDIRECT(ADDRESS(ROW() - 6, COLUMN())) = 6, 670, IF(INDIRECT(ADDRESS(ROW() - 6, COLUMN())) = 7, 730, IF(INDIRECT(ADDRESS(ROW() - 6, COLUMN())) = 8, 794, IF(INDIRECT(ADDRESS(ROW() - 6, COLUMN())) = 9, 861, IF(INDIRECT(ADDRESS(ROW() - 6, COLUMN())) = 10, 932, IF(INDIRECT(ADDRESS(ROW() - 6, COLUMN())) = 11, 1006, IF(INDIRECT(ADDRESS(ROW() - 6, COLUMN())) = 12, 1084, IF(INDIRECT(ADDRESS(ROW() - 6, COLUMN())) = 13, 1165,0)))))))))))))</f>
        <v>#VALUE!</v>
      </c>
      <c r="AH10" s="88" t="str">
        <f> IF(INDIRECT(ADDRESS(ROW() - 6, COLUMN())) = 1, 641, IF(INDIRECT(ADDRESS(ROW() - 6, COLUMN())) = 2, 706, IF(INDIRECT(ADDRESS(ROW() - 6, COLUMN())) = 3, 775, IF(INDIRECT(ADDRESS(ROW() - 6, COLUMN())) = 4, 850, IF(INDIRECT(ADDRESS(ROW() - 6, COLUMN())) = 5, 930, IF(INDIRECT(ADDRESS(ROW() - 6, COLUMN())) = 6, 1016, IF(INDIRECT(ADDRESS(ROW() - 6, COLUMN())) = 7, 1107, IF(INDIRECT(ADDRESS(ROW() - 6, COLUMN())) = 8, 1203, IF(INDIRECT(ADDRESS(ROW() - 6, COLUMN())) = 9, 1305, IF(INDIRECT(ADDRESS(ROW() - 6, COLUMN())) = 10, 1412, IF(INDIRECT(ADDRESS(ROW() - 6, COLUMN())) = 11, 1524, IF(INDIRECT(ADDRESS(ROW() - 6, COLUMN())) = 12, 1642, IF(INDIRECT(ADDRESS(ROW() - 6, COLUMN())) = 13, 1765,0)))))))))))))</f>
        <v>#VALUE!</v>
      </c>
      <c r="AI10" s="88" t="str">
        <f> IF(INDIRECT(ADDRESS(ROW() - 6, COLUMN())) = 1, 1386, IF(INDIRECT(ADDRESS(ROW() - 6, COLUMN())) = 2, 1525, IF(INDIRECT(ADDRESS(ROW() - 6, COLUMN())) = 3, 1675, IF(INDIRECT(ADDRESS(ROW() - 6, COLUMN())) = 4, 1837, IF(INDIRECT(ADDRESS(ROW() - 6, COLUMN())) = 5, 2010, IF(INDIRECT(ADDRESS(ROW() - 6, COLUMN())) = 6, 2195, IF(INDIRECT(ADDRESS(ROW() - 6, COLUMN())) = 7, 2391, IF(INDIRECT(ADDRESS(ROW() - 6, COLUMN())) = 8, 2599, IF(INDIRECT(ADDRESS(ROW() - 6, COLUMN())) = 9, 2819, IF(INDIRECT(ADDRESS(ROW() - 6, COLUMN())) = 10, 3050, IF(INDIRECT(ADDRESS(ROW() - 6, COLUMN())) = 11, 3292, IF(INDIRECT(ADDRESS(ROW() - 6, COLUMN())) = 12, 3547, IF(INDIRECT(ADDRESS(ROW() - 6, COLUMN())) = 13, 3812,0)))))))))))))</f>
        <v>#VALUE!</v>
      </c>
      <c r="AJ10" s="88" t="str">
        <f> IF(INDIRECT(ADDRESS(ROW() - 6, COLUMN())) = 1, 1155, IF(INDIRECT(ADDRESS(ROW() - 6, COLUMN())) = 2, 1270, IF(INDIRECT(ADDRESS(ROW() - 6, COLUMN())) = 3, 1396, IF(INDIRECT(ADDRESS(ROW() - 6, COLUMN())) = 4, 1531, IF(INDIRECT(ADDRESS(ROW() - 6, COLUMN())) = 5, 1675, IF(INDIRECT(ADDRESS(ROW() - 6, COLUMN())) = 6, 1829, IF(INDIRECT(ADDRESS(ROW() - 6, COLUMN())) = 7, 1993, IF(INDIRECT(ADDRESS(ROW() - 6, COLUMN())) = 8, 2166, IF(INDIRECT(ADDRESS(ROW() - 6, COLUMN())) = 9, 2349, IF(INDIRECT(ADDRESS(ROW() - 6, COLUMN())) = 10, 2542, IF(INDIRECT(ADDRESS(ROW() - 6, COLUMN())) = 11, 2744, IF(INDIRECT(ADDRESS(ROW() - 6, COLUMN())) = 12, 2956, IF(INDIRECT(ADDRESS(ROW() - 6, COLUMN())) = 13, 3177,0)))))))))))))</f>
        <v>#VALUE!</v>
      </c>
      <c r="AK10" s="88" t="str">
        <f> IF(INDIRECT(ADDRESS(ROW() - 6, COLUMN())) = 1, 1155, IF(INDIRECT(ADDRESS(ROW() - 6, COLUMN())) = 2, 1271, IF(INDIRECT(ADDRESS(ROW() - 6, COLUMN())) = 3, 1396, IF(INDIRECT(ADDRESS(ROW() - 6, COLUMN())) = 4, 1531, IF(INDIRECT(ADDRESS(ROW() - 6, COLUMN())) = 5, 1675, IF(INDIRECT(ADDRESS(ROW() - 6, COLUMN())) = 6, 1829, IF(INDIRECT(ADDRESS(ROW() - 6, COLUMN())) = 7, 1993, IF(INDIRECT(ADDRESS(ROW() - 6, COLUMN())) = 8, 2166, IF(INDIRECT(ADDRESS(ROW() - 6, COLUMN())) = 9, 2349, IF(INDIRECT(ADDRESS(ROW() - 6, COLUMN())) = 10, 2542, IF(INDIRECT(ADDRESS(ROW() - 6, COLUMN())) = 11, 2744, IF(INDIRECT(ADDRESS(ROW() - 6, COLUMN())) = 12, 2956, IF(INDIRECT(ADDRESS(ROW() - 6, COLUMN())) = 13, 3178,0)))))))))))))</f>
        <v>#VALUE!</v>
      </c>
      <c r="AL10" s="88" t="str">
        <f> IF(INDIRECT(ADDRESS(ROW() - 6, COLUMN())) = 1, 1040, IF(INDIRECT(ADDRESS(ROW() - 6, COLUMN())) = 2, 1144, IF(INDIRECT(ADDRESS(ROW() - 6, COLUMN())) = 3, 1256, IF(INDIRECT(ADDRESS(ROW() - 6, COLUMN())) = 4, 1378, IF(INDIRECT(ADDRESS(ROW() - 6, COLUMN())) = 5, 1508, IF(INDIRECT(ADDRESS(ROW() - 6, COLUMN())) = 6, 1646, IF(INDIRECT(ADDRESS(ROW() - 6, COLUMN())) = 7, 1794, IF(INDIRECT(ADDRESS(ROW() - 6, COLUMN())) = 8, 1950, IF(INDIRECT(ADDRESS(ROW() - 6, COLUMN())) = 9, 2114, IF(INDIRECT(ADDRESS(ROW() - 6, COLUMN())) = 10, 2288, IF(INDIRECT(ADDRESS(ROW() - 6, COLUMN())) = 11, 2470, IF(INDIRECT(ADDRESS(ROW() - 6, COLUMN())) = 12, 2660, IF(INDIRECT(ADDRESS(ROW() - 6, COLUMN())) = 13, 2860,0))))))))))))) * IF(INDIRECT(ADDRESS(ROW() - (10 + TemplateStats!$B$2 + TemplateStats!$B$3), 3)) = "C0", 1, 1.2)</f>
        <v>#VALUE!</v>
      </c>
      <c r="AM10" s="88" t="str">
        <f> IF(INDIRECT(ADDRESS(ROW() - 6, COLUMN())) = 1, 165.07991, IF(INDIRECT(ADDRESS(ROW() - 6, COLUMN())) = 2, 181.59019, IF(INDIRECT(ADDRESS(ROW() - 6, COLUMN())) = 3, 199.47635, IF(INDIRECT(ADDRESS(ROW() - 6, COLUMN())) = 4, 218.73834, IF(INDIRECT(ADDRESS(ROW() - 6, COLUMN())) = 5, 239.37621, IF(INDIRECT(ADDRESS(ROW() - 6, COLUMN())) = 6, 261.38992, IF(INDIRECT(ADDRESS(ROW() - 6, COLUMN())) = 7, 284.779479999999, IF(INDIRECT(ADDRESS(ROW() - 6, COLUMN())) = 8, 309.54492, IF(INDIRECT(ADDRESS(ROW() - 6, COLUMN())) = 9, 335.68619, IF(INDIRECT(ADDRESS(ROW() - 6, COLUMN())) = 10, 363.20334, IF(INDIRECT(ADDRESS(ROW() - 6, COLUMN())) = 11, 392.09634, IF(INDIRECT(ADDRESS(ROW() - 6, COLUMN())) = 12, 422.3652, IF(INDIRECT(ADDRESS(ROW() - 6, COLUMN())) = 13, 454.00992,0)))))))))))))</f>
        <v>#VALUE!</v>
      </c>
      <c r="AN10" s="88" t="str">
        <f> IF(INDIRECT(ADDRESS(ROW() - 6, COLUMN())) = 1, 194.21231, IF(INDIRECT(ADDRESS(ROW() - 6, COLUMN())) = 2, 213.63625, IF(INDIRECT(ADDRESS(ROW() - 6, COLUMN())) = 3, 234.67883, IF(INDIRECT(ADDRESS(ROW() - 6, COLUMN())) = 4, 257.34009, IF(INDIRECT(ADDRESS(ROW() - 6, COLUMN())) = 5, 281.62, IF(INDIRECT(ADDRESS(ROW() - 6, COLUMN())) = 6, 307.51859, IF(INDIRECT(ADDRESS(ROW() - 6, COLUMN())) = 7, 335.0358, IF(INDIRECT(ADDRESS(ROW() - 6, COLUMN())) = 8, 364.17169, IF(INDIRECT(ADDRESS(ROW() - 6, COLUMN())) = 9, 394.92627, IF(INDIRECT(ADDRESS(ROW() - 6, COLUMN())) = 10, 427.29947, IF(INDIRECT(ADDRESS(ROW() - 6, COLUMN())) = 11, 461.29135, IF(INDIRECT(ADDRESS(ROW() - 6, COLUMN())) = 12, 496.90189, IF(INDIRECT(ADDRESS(ROW() - 6, COLUMN())) = 13, 534.131099999999,0)))))))))))))</f>
        <v>#VALUE!</v>
      </c>
      <c r="AP10" s="88" t="str">
        <f> IF(INDIRECT(ADDRESS(ROW() - 6, COLUMN())) = 1, 288.89081, IF(INDIRECT(ADDRESS(ROW() - 6, COLUMN())) = 2, 317.78391, IF(INDIRECT(ADDRESS(ROW() - 6, COLUMN())) = 3, 349.08475, IF(INDIRECT(ADDRESS(ROW() - 6, COLUMN())) = 4, 382.79337, IF(INDIRECT(ADDRESS(ROW() - 6, COLUMN())) = 5, 418.90976, IF(INDIRECT(ADDRESS(ROW() - 6, COLUMN())) = 6, 457.43387, IF(INDIRECT(ADDRESS(ROW() - 6, COLUMN())) = 7, 498.36575, IF(INDIRECT(ADDRESS(ROW() - 6, COLUMN())) = 8, 541.70538, IF(INDIRECT(ADDRESS(ROW() - 6, COLUMN())) = 9, 587.45282, IF(INDIRECT(ADDRESS(ROW() - 6, COLUMN())) = 10, 635.60797, IF(INDIRECT(ADDRESS(ROW() - 6, COLUMN())) = 11, 686.1709, IF(INDIRECT(ADDRESS(ROW() - 6, COLUMN())) = 12, 739.14154, IF(INDIRECT(ADDRESS(ROW() - 6, COLUMN())) = 13, 794.52002,0)))))))))))))</f>
        <v>#VALUE!</v>
      </c>
      <c r="AS10" s="88" t="str">
        <f> IF(INDIRECT(ADDRESS(ROW() - 6, COLUMN())) = 1, 1172.03552, IF(INDIRECT(ADDRESS(ROW() - 6, COLUMN())) = 2, 1289.25537, IF(INDIRECT(ADDRESS(ROW() - 6, COLUMN())) = 3, 1416.24353, IF(INDIRECT(ADDRESS(ROW() - 6, COLUMN())) = 4, 155300, IF(INDIRECT(ADDRESS(ROW() - 6, COLUMN())) = 5, 1699.52478, IF(INDIRECT(ADDRESS(ROW() - 6, COLUMN())) = 6, 1855.81787, IF(INDIRECT(ADDRESS(ROW() - 6, COLUMN())) = 7, 2021.87939, IF(INDIRECT(ADDRESS(ROW() - 6, COLUMN())) = 8, 2197.70922999999, IF(INDIRECT(ADDRESS(ROW() - 6, COLUMN())) = 9, 2383.30713, IF(INDIRECT(ADDRESS(ROW() - 6, COLUMN())) = 10, 2578.67358, IF(INDIRECT(ADDRESS(ROW() - 6, COLUMN())) = 11, 2783.80834999999, IF(INDIRECT(ADDRESS(ROW() - 6, COLUMN())) = 12, 2998.71143, IF(INDIRECT(ADDRESS(ROW() - 6, COLUMN())) = 13, 3223.38281,0)))))))))))))</f>
        <v>#VALUE!</v>
      </c>
      <c r="AT10" s="88" t="str">
        <f> IF(INDIRECT(ADDRESS(ROW() - 6, COLUMN())) = 1, 233.95428, IF(INDIRECT(ADDRESS(ROW() - 6, COLUMN())) = 2, 257.35297, IF(INDIRECT(ADDRESS(ROW() - 6, COLUMN())) = 3, 282.70154, IF(INDIRECT(ADDRESS(ROW() - 6, COLUMN())) = 4, 31000, IF(INDIRECT(ADDRESS(ROW() - 6, COLUMN())) = 5, 339.24835, IF(INDIRECT(ADDRESS(ROW() - 6, COLUMN())) = 6, 370.44659, IF(INDIRECT(ADDRESS(ROW() - 6, COLUMN())) = 7, 403.59473, IF(INDIRECT(ADDRESS(ROW() - 6, COLUMN())) = 8, 438.69275, IF(INDIRECT(ADDRESS(ROW() - 6, COLUMN())) = 9, 475.74066, IF(INDIRECT(ADDRESS(ROW() - 6, COLUMN())) = 10, 514.73846, IF(INDIRECT(ADDRESS(ROW() - 6, COLUMN())) = 11, 555.686159999999, IF(INDIRECT(ADDRESS(ROW() - 6, COLUMN())) = 12, 598.58374, IF(INDIRECT(ADDRESS(ROW() - 6, COLUMN())) = 13, 643.43121,0)))))))))))))</f>
        <v>#VALUE!</v>
      </c>
      <c r="AU10" s="88">
        <f>0</f>
        <v>0</v>
      </c>
      <c r="AV10" s="88" t="str">
        <f> IF(INDIRECT(ADDRESS(ROW() - 6, COLUMN())) = 1, 770.37549, IF(INDIRECT(ADDRESS(ROW() - 6, COLUMN())) = 2, 847.42377, IF(INDIRECT(ADDRESS(ROW() - 6, COLUMN())) = 3, 930.8927, IF(INDIRECT(ADDRESS(ROW() - 6, COLUMN())) = 4, 1020.78235, IF(INDIRECT(ADDRESS(ROW() - 6, COLUMN())) = 5, 1117.09265, IF(INDIRECT(ADDRESS(ROW() - 6, COLUMN())) = 6, 1219.82360999999, IF(INDIRECT(ADDRESS(ROW() - 6, COLUMN())) = 7, 1328.97533999999, IF(INDIRECT(ADDRESS(ROW() - 6, COLUMN())) = 8, 1444.54773, IF(INDIRECT(ADDRESS(ROW() - 6, COLUMN())) = 9, 1566.54077, IF(INDIRECT(ADDRESS(ROW() - 6, COLUMN())) = 10, 1694.95459, IF(INDIRECT(ADDRESS(ROW() - 6, COLUMN())) = 11, 1829.78906, IF(INDIRECT(ADDRESS(ROW() - 6, COLUMN())) = 12, 1971.04419, IF(INDIRECT(ADDRESS(ROW() - 6, COLUMN())) = 13, 2118.71997,0)))))))))))))
</f>
        <v>#VALUE!</v>
      </c>
      <c r="AW10" s="88" t="str">
        <f> IF(INDIRECT(ADDRESS(ROW() - 6, COLUMN())) = 1, 500.74408, IF(INDIRECT(ADDRESS(ROW() - 6, COLUMN())) = 2, 550.825439999999, IF(INDIRECT(ADDRESS(ROW() - 6, COLUMN())) = 3, 605.08026, IF(INDIRECT(ADDRESS(ROW() - 6, COLUMN())) = 4, 663.50854, IF(INDIRECT(ADDRESS(ROW() - 6, COLUMN())) = 5, 726.11023, IF(INDIRECT(ADDRESS(ROW() - 6, COLUMN())) = 6, 792.88538, IF(INDIRECT(ADDRESS(ROW() - 6, COLUMN())) = 7, 863.83398, IF(INDIRECT(ADDRESS(ROW() - 6, COLUMN())) = 8, 938.95605, IF(INDIRECT(ADDRESS(ROW() - 6, COLUMN())) = 9, 1018.25153, IF(INDIRECT(ADDRESS(ROW() - 6, COLUMN())) = 10, 1101.72046, IF(INDIRECT(ADDRESS(ROW() - 6, COLUMN())) = 11, 1189.36292, IF(INDIRECT(ADDRESS(ROW() - 6, COLUMN())) = 12, 1281.17870999999, IF(INDIRECT(ADDRESS(ROW() - 6, COLUMN())) = 13, 1377.16797,0)))))))))))))</f>
        <v>#VALUE!</v>
      </c>
      <c r="AX10" s="88" t="str">
        <f> IF(INDIRECT(ADDRESS(ROW() - 6, COLUMN())) = 1, 77.03752, IF(INDIRECT(ADDRESS(ROW() - 6, COLUMN())) = 2, 84.74235, IF(INDIRECT(ADDRESS(ROW() - 6, COLUMN())) = 3, 93.08924, IF(INDIRECT(ADDRESS(ROW() - 6, COLUMN())) = 4, 102.0782, IF(INDIRECT(ADDRESS(ROW() - 6, COLUMN())) = 5, 111.70923, IF(INDIRECT(ADDRESS(ROW() - 6, COLUMN())) = 6, 121.98233, IF(INDIRECT(ADDRESS(ROW() - 6, COLUMN())) = 7, 132.89749, IF(INDIRECT(ADDRESS(ROW() - 6, COLUMN())) = 8, 144.45473, IF(INDIRECT(ADDRESS(ROW() - 6, COLUMN())) = 9, 156.65404, IF(INDIRECT(ADDRESS(ROW() - 6, COLUMN())) = 10, 169.495409999999, IF(INDIRECT(ADDRESS(ROW() - 6, COLUMN())) = 11, 182.97885, IF(INDIRECT(ADDRESS(ROW() - 6, COLUMN())) = 12, 197.10435, IF(INDIRECT(ADDRESS(ROW() - 6, COLUMN())) = 13, 211.87193,0)))))))))))))</f>
        <v>#VALUE!</v>
      </c>
      <c r="AY10" s="10">
        <f>0</f>
        <v>0</v>
      </c>
      <c r="AZ10" s="88" t="str">
        <f> IF(INDIRECT(ADDRESS(ROW() - 6, COLUMN())) = 1, 962.23132, IF(INDIRECT(ADDRESS(ROW() - 6, COLUMN())) = 2, 1058.4679, IF(INDIRECT(ADDRESS(ROW() - 6, COLUMN())) = 3, 1162.72412, IF(INDIRECT(ADDRESS(ROW() - 6, COLUMN())) = 4, 127500, IF(INDIRECT(ADDRESS(ROW() - 6, COLUMN())) = 5, 1395.29565, IF(INDIRECT(ADDRESS(ROW() - 6, COLUMN())) = 6, 1523.61096, IF(INDIRECT(ADDRESS(ROW() - 6, COLUMN())) = 7, 1659.94604, IF(INDIRECT(ADDRESS(ROW() - 6, COLUMN())) = 8, 1804.30078, IF(INDIRECT(ADDRESS(ROW() - 6, COLUMN())) = 9, 1956.67528999999, IF(INDIRECT(ADDRESS(ROW() - 6, COLUMN())) = 10, 2117.06934, IF(INDIRECT(ADDRESS(ROW() - 6, COLUMN())) = 11, 2285.4834, IF(INDIRECT(ADDRESS(ROW() - 6, COLUMN())) = 12, 2461.91699, IF(INDIRECT(ADDRESS(ROW() - 6, COLUMN())) = 13, 2646.37035999999,0)))))))))))))</f>
        <v>#VALUE!</v>
      </c>
      <c r="BA10" s="88" t="str">
        <f> IF(INDIRECT(ADDRESS(ROW() - 6, COLUMN())) = 1, 1541.07959, IF(INDIRECT(ADDRESS(ROW() - 6, COLUMN())) = 2, 1695.20886, IF(INDIRECT(ADDRESS(ROW() - 6, COLUMN())) = 3, 1862.18237, IF(INDIRECT(ADDRESS(ROW() - 6, COLUMN())) = 4, 204200, IF(INDIRECT(ADDRESS(ROW() - 6, COLUMN())) = 5, 2234.66161999999, IF(INDIRECT(ADDRESS(ROW() - 6, COLUMN())) = 6, 2440.16748, IF(INDIRECT(ADDRESS(ROW() - 6, COLUMN())) = 7, 2658.51758, IF(INDIRECT(ADDRESS(ROW() - 6, COLUMN())) = 8, 2889.71167, IF(INDIRECT(ADDRESS(ROW() - 6, COLUMN())) = 9, 3133.74976, IF(INDIRECT(ADDRESS(ROW() - 6, COLUMN())) = 10, 3390.63208, IF(INDIRECT(ADDRESS(ROW() - 6, COLUMN())) = 11, 3660.3584, IF(INDIRECT(ADDRESS(ROW() - 6, COLUMN())) = 12, 3942.92896, IF(INDIRECT(ADDRESS(ROW() - 6, COLUMN())) = 13, 4238.34375,0)))))))))))))</f>
        <v>#VALUE!</v>
      </c>
      <c r="BG10" s="88" t="str">
        <f> IF(INDIRECT(ADDRESS(ROW() - 6, COLUMN())) = 1, 160848.633, IF(INDIRECT(ADDRESS(ROW() - 6, COLUMN())) = 2, 176935.729999999, IF(INDIRECT(ADDRESS(ROW() - 6, COLUMN())) = 3, 194363.416, IF(INDIRECT(ADDRESS(ROW() - 6, COLUMN())) = 4, 213131.689, IF(INDIRECT(ADDRESS(ROW() - 6, COLUMN())) = 5, 233240.576, IF(INDIRECT(ADDRESS(ROW() - 6, COLUMN())) = 6, 254690.039, IF(INDIRECT(ADDRESS(ROW() - 6, COLUMN())) = 7, 277480.103, IF(INDIRECT(ADDRESS(ROW() - 6, COLUMN())) = 8, 301610.741999999, IF(INDIRECT(ADDRESS(ROW() - 6, COLUMN())) = 9, 327081.982, IF(INDIRECT(ADDRESS(ROW() - 6, COLUMN())) = 10, 353893.823, IF(INDIRECT(ADDRESS(ROW() - 6, COLUMN())) = 11, 382046.24, IF(INDIRECT(ADDRESS(ROW() - 6, COLUMN())) = 12, 411539.258, IF(INDIRECT(ADDRESS(ROW() - 6, COLUMN())) = 13, 442372.851999999,0))))))))))))) / 100</f>
        <v>#VALUE!</v>
      </c>
      <c r="BH10" s="88" t="str">
        <f> IF(INDIRECT(ADDRESS(ROW() - 6, COLUMN())) = 1, 5744.71, IF(INDIRECT(ADDRESS(ROW() - 6, COLUMN())) = 2, 6319.261, IF(INDIRECT(ADDRESS(ROW() - 6, COLUMN())) = 3, 6941.691, IF(INDIRECT(ADDRESS(ROW() - 6, COLUMN())) = 4, 7612, IF(INDIRECT(ADDRESS(ROW() - 6, COLUMN())) = 5, 8330.189, IF(INDIRECT(ADDRESS(ROW() - 6, COLUMN())) = 6, 9096.256, IF(INDIRECT(ADDRESS(ROW() - 6, COLUMN())) = 7, 9910.204, IF(INDIRECT(ADDRESS(ROW() - 6, COLUMN())) = 8, 10772.0299999999, IF(INDIRECT(ADDRESS(ROW() - 6, COLUMN())) = 9, 11681.735, IF(INDIRECT(ADDRESS(ROW() - 6, COLUMN())) = 10, 12639.32, IF(INDIRECT(ADDRESS(ROW() - 6, COLUMN())) = 11, 13644.783, IF(INDIRECT(ADDRESS(ROW() - 6, COLUMN())) = 12, 14698.1259999999, IF(INDIRECT(ADDRESS(ROW() - 6, COLUMN())) = 13, 15799.35,0))))))))))))) / 100</f>
        <v>#VALUE!</v>
      </c>
      <c r="BI10" s="88" t="str">
        <f> IF(INDIRECT(ADDRESS(ROW() - 6, COLUMN())) = 1, 46222.5309999999, IF(INDIRECT(ADDRESS(ROW() - 6, COLUMN())) = 2, 50845.425, IF(INDIRECT(ADDRESS(ROW() - 6, COLUMN())) = 3, 55853.5639999999, IF(INDIRECT(ADDRESS(ROW() - 6, COLUMN())) = 4, 61246.942, IF(INDIRECT(ADDRESS(ROW() - 6, COLUMN())) = 5, 67025.562, IF(INDIRECT(ADDRESS(ROW() - 6, COLUMN())) = 6, 73189.423, IF(INDIRECT(ADDRESS(ROW() - 6, COLUMN())) = 7, 79738.519, IF(INDIRECT(ADDRESS(ROW() - 6, COLUMN())) = 8, 86672.864, IF(INDIRECT(ADDRESS(ROW() - 6, COLUMN())) = 9, 93992.45, IF(INDIRECT(ADDRESS(ROW() - 6, COLUMN())) = 10, 101697.277999999, IF(INDIRECT(ADDRESS(ROW() - 6, COLUMN())) = 11, 109787.340999999, IF(INDIRECT(ADDRESS(ROW() - 6, COLUMN())) = 12, 118262.646, IF(INDIRECT(ADDRESS(ROW() - 6, COLUMN())) = 13, 127123.206,0))))))))))))) / 100</f>
        <v>#VALUE!</v>
      </c>
    </row>
    <row r="11">
      <c r="A11" s="4" t="s">
        <v>515</v>
      </c>
      <c r="B11" s="10">
        <f t="shared" ref="B11:C11" si="17">1</f>
        <v>1</v>
      </c>
      <c r="C11" s="10">
        <f t="shared" si="17"/>
        <v>1</v>
      </c>
      <c r="D11" s="10">
        <f>4</f>
        <v>4</v>
      </c>
      <c r="E11" s="88">
        <f>1</f>
        <v>1</v>
      </c>
      <c r="F11" s="10">
        <f>4</f>
        <v>4</v>
      </c>
      <c r="G11" s="10">
        <f t="shared" ref="G11:H11" si="18">1</f>
        <v>1</v>
      </c>
      <c r="H11" s="199">
        <f t="shared" si="18"/>
        <v>1</v>
      </c>
      <c r="I11" s="199">
        <f t="shared" ref="I11:K11" si="19">4</f>
        <v>4</v>
      </c>
      <c r="J11" s="199">
        <f t="shared" si="19"/>
        <v>4</v>
      </c>
      <c r="K11" s="199">
        <f t="shared" si="19"/>
        <v>4</v>
      </c>
      <c r="L11" s="10">
        <f t="shared" ref="L11:O11" si="20">1</f>
        <v>1</v>
      </c>
      <c r="M11" s="10">
        <f t="shared" si="20"/>
        <v>1</v>
      </c>
      <c r="N11" s="10">
        <f t="shared" si="20"/>
        <v>1</v>
      </c>
      <c r="O11" s="10">
        <f t="shared" si="20"/>
        <v>1</v>
      </c>
      <c r="P11" s="10">
        <f>4</f>
        <v>4</v>
      </c>
      <c r="Q11" s="88">
        <f t="shared" ref="Q11:R11" si="21">1</f>
        <v>1</v>
      </c>
      <c r="R11" s="88">
        <f t="shared" si="21"/>
        <v>1</v>
      </c>
      <c r="S11" s="88">
        <f>4</f>
        <v>4</v>
      </c>
      <c r="T11" s="88">
        <f t="shared" ref="T11:AB11" si="22">1</f>
        <v>1</v>
      </c>
      <c r="U11" s="88">
        <f t="shared" si="22"/>
        <v>1</v>
      </c>
      <c r="V11" s="88">
        <f t="shared" si="22"/>
        <v>1</v>
      </c>
      <c r="W11" s="88">
        <f t="shared" si="22"/>
        <v>1</v>
      </c>
      <c r="X11" s="88">
        <f t="shared" si="22"/>
        <v>1</v>
      </c>
      <c r="Y11" s="88">
        <f t="shared" si="22"/>
        <v>1</v>
      </c>
      <c r="Z11" s="88">
        <f t="shared" si="22"/>
        <v>1</v>
      </c>
      <c r="AA11" s="88">
        <f t="shared" si="22"/>
        <v>1</v>
      </c>
      <c r="AB11" s="88">
        <f t="shared" si="22"/>
        <v>1</v>
      </c>
      <c r="AC11" s="88">
        <f>4</f>
        <v>4</v>
      </c>
      <c r="AD11" s="88">
        <f>1</f>
        <v>1</v>
      </c>
      <c r="AE11" s="88">
        <f t="shared" ref="AE11:AF11" si="23">4</f>
        <v>4</v>
      </c>
      <c r="AF11" s="88">
        <f t="shared" si="23"/>
        <v>4</v>
      </c>
      <c r="AG11" s="88">
        <f t="shared" ref="AG11:AM11" si="24">1</f>
        <v>1</v>
      </c>
      <c r="AH11" s="88">
        <f t="shared" si="24"/>
        <v>1</v>
      </c>
      <c r="AI11" s="88">
        <f t="shared" si="24"/>
        <v>1</v>
      </c>
      <c r="AJ11" s="88">
        <f t="shared" si="24"/>
        <v>1</v>
      </c>
      <c r="AK11" s="88">
        <f t="shared" si="24"/>
        <v>1</v>
      </c>
      <c r="AL11" s="88">
        <f t="shared" si="24"/>
        <v>1</v>
      </c>
      <c r="AM11" s="88">
        <f t="shared" si="24"/>
        <v>1</v>
      </c>
      <c r="AN11" s="88">
        <f>4</f>
        <v>4</v>
      </c>
      <c r="AO11" s="88">
        <f t="shared" ref="AO11:AR11" si="25">1</f>
        <v>1</v>
      </c>
      <c r="AP11" s="88">
        <f t="shared" si="25"/>
        <v>1</v>
      </c>
      <c r="AQ11" s="88">
        <f t="shared" si="25"/>
        <v>1</v>
      </c>
      <c r="AR11" s="88">
        <f t="shared" si="25"/>
        <v>1</v>
      </c>
      <c r="AS11" s="88">
        <f>4</f>
        <v>4</v>
      </c>
      <c r="AT11" s="88">
        <f t="shared" ref="AT11:AU11" si="26">1</f>
        <v>1</v>
      </c>
      <c r="AU11" s="88">
        <f t="shared" si="26"/>
        <v>1</v>
      </c>
      <c r="AV11" s="88">
        <f>4</f>
        <v>4</v>
      </c>
      <c r="AW11" s="88">
        <f t="shared" ref="AW11:BF11" si="27">1</f>
        <v>1</v>
      </c>
      <c r="AX11" s="88">
        <f t="shared" si="27"/>
        <v>1</v>
      </c>
      <c r="AY11" s="10">
        <f t="shared" si="27"/>
        <v>1</v>
      </c>
      <c r="AZ11" s="88">
        <f t="shared" si="27"/>
        <v>1</v>
      </c>
      <c r="BA11" s="88">
        <f t="shared" si="27"/>
        <v>1</v>
      </c>
      <c r="BB11" s="88">
        <f t="shared" si="27"/>
        <v>1</v>
      </c>
      <c r="BC11" s="88">
        <f t="shared" si="27"/>
        <v>1</v>
      </c>
      <c r="BD11" s="88">
        <f t="shared" si="27"/>
        <v>1</v>
      </c>
      <c r="BE11" s="88">
        <f t="shared" si="27"/>
        <v>1</v>
      </c>
      <c r="BF11" s="88">
        <f t="shared" si="27"/>
        <v>1</v>
      </c>
      <c r="BG11" s="88">
        <f>4</f>
        <v>4</v>
      </c>
      <c r="BH11" s="88">
        <f t="shared" ref="BH11:BJ11" si="28">1</f>
        <v>1</v>
      </c>
      <c r="BI11" s="88">
        <f t="shared" si="28"/>
        <v>1</v>
      </c>
      <c r="BJ11" s="88">
        <f t="shared" si="28"/>
        <v>1</v>
      </c>
    </row>
    <row r="12">
      <c r="H12" s="195"/>
      <c r="I12" s="195"/>
      <c r="J12" s="195"/>
      <c r="K12" s="195"/>
    </row>
    <row r="13">
      <c r="H13" s="195"/>
      <c r="I13" s="195"/>
      <c r="J13" s="195"/>
      <c r="K13" s="195"/>
    </row>
    <row r="14">
      <c r="H14" s="195"/>
      <c r="I14" s="195"/>
      <c r="J14" s="195"/>
      <c r="K14" s="195"/>
    </row>
    <row r="15">
      <c r="H15" s="195"/>
      <c r="I15" s="195"/>
      <c r="J15" s="195"/>
      <c r="K15" s="195"/>
    </row>
    <row r="16">
      <c r="H16" s="195"/>
      <c r="I16" s="195"/>
      <c r="J16" s="195"/>
      <c r="K16" s="195"/>
    </row>
    <row r="17">
      <c r="H17" s="195"/>
      <c r="I17" s="195"/>
      <c r="J17" s="195"/>
      <c r="K17" s="195"/>
      <c r="Q17" s="202"/>
    </row>
    <row r="18">
      <c r="H18" s="195"/>
      <c r="I18" s="195"/>
      <c r="J18" s="195"/>
      <c r="K18" s="195"/>
    </row>
    <row r="19">
      <c r="H19" s="195"/>
      <c r="I19" s="195"/>
      <c r="J19" s="195"/>
      <c r="K19" s="195"/>
    </row>
    <row r="20">
      <c r="H20" s="195"/>
      <c r="I20" s="195"/>
      <c r="J20" s="195"/>
      <c r="K20" s="195"/>
    </row>
    <row r="21">
      <c r="H21" s="195"/>
      <c r="I21" s="195"/>
      <c r="J21" s="195"/>
      <c r="K21" s="195"/>
    </row>
    <row r="22">
      <c r="H22" s="195"/>
      <c r="I22" s="195"/>
      <c r="J22" s="195"/>
      <c r="K22" s="195"/>
    </row>
    <row r="23">
      <c r="H23" s="195"/>
      <c r="I23" s="195"/>
      <c r="J23" s="195"/>
      <c r="K23" s="195"/>
    </row>
    <row r="24">
      <c r="H24" s="195"/>
      <c r="I24" s="195"/>
      <c r="J24" s="195"/>
      <c r="K24" s="195"/>
    </row>
    <row r="25">
      <c r="H25" s="195"/>
      <c r="I25" s="195"/>
      <c r="J25" s="195"/>
      <c r="K25" s="195"/>
    </row>
    <row r="26">
      <c r="H26" s="195"/>
      <c r="I26" s="195"/>
      <c r="J26" s="195"/>
      <c r="K26" s="195"/>
    </row>
    <row r="27">
      <c r="H27" s="195"/>
      <c r="I27" s="195"/>
      <c r="J27" s="195"/>
      <c r="K27" s="195"/>
    </row>
    <row r="28">
      <c r="H28" s="195"/>
      <c r="I28" s="195"/>
      <c r="J28" s="195"/>
      <c r="K28" s="195"/>
    </row>
    <row r="29">
      <c r="H29" s="195"/>
      <c r="I29" s="195"/>
      <c r="J29" s="195"/>
      <c r="K29" s="195"/>
    </row>
    <row r="30">
      <c r="H30" s="195"/>
      <c r="I30" s="195"/>
      <c r="J30" s="195"/>
      <c r="K30" s="195"/>
    </row>
    <row r="31">
      <c r="H31" s="195"/>
      <c r="I31" s="195"/>
      <c r="J31" s="195"/>
      <c r="K31" s="195"/>
    </row>
    <row r="32">
      <c r="H32" s="195"/>
      <c r="I32" s="195"/>
      <c r="J32" s="195"/>
      <c r="K32" s="195"/>
    </row>
    <row r="33">
      <c r="H33" s="195"/>
      <c r="I33" s="195"/>
      <c r="J33" s="195"/>
      <c r="K33" s="195"/>
    </row>
    <row r="34">
      <c r="H34" s="195"/>
      <c r="I34" s="195"/>
      <c r="J34" s="195"/>
      <c r="K34" s="195"/>
    </row>
    <row r="35">
      <c r="H35" s="195"/>
      <c r="I35" s="195"/>
      <c r="J35" s="195"/>
      <c r="K35" s="195"/>
    </row>
    <row r="36">
      <c r="H36" s="195"/>
      <c r="I36" s="195"/>
      <c r="J36" s="195"/>
      <c r="K36" s="195"/>
    </row>
    <row r="37">
      <c r="H37" s="195"/>
      <c r="I37" s="195"/>
      <c r="J37" s="195"/>
      <c r="K37" s="195"/>
    </row>
    <row r="38">
      <c r="H38" s="195"/>
      <c r="I38" s="195"/>
      <c r="J38" s="195"/>
      <c r="K38" s="195"/>
    </row>
    <row r="39">
      <c r="H39" s="195"/>
      <c r="I39" s="195"/>
      <c r="J39" s="195"/>
      <c r="K39" s="195"/>
    </row>
    <row r="40">
      <c r="H40" s="195"/>
      <c r="I40" s="195"/>
      <c r="J40" s="195"/>
      <c r="K40" s="195"/>
    </row>
    <row r="41">
      <c r="H41" s="195"/>
      <c r="I41" s="195"/>
      <c r="J41" s="195"/>
      <c r="K41" s="195"/>
    </row>
    <row r="42">
      <c r="H42" s="195"/>
      <c r="I42" s="195"/>
      <c r="J42" s="195"/>
      <c r="K42" s="195"/>
    </row>
    <row r="43">
      <c r="H43" s="195"/>
      <c r="I43" s="195"/>
      <c r="J43" s="195"/>
      <c r="K43" s="195"/>
    </row>
    <row r="44">
      <c r="H44" s="195"/>
      <c r="I44" s="195"/>
      <c r="J44" s="195"/>
      <c r="K44" s="195"/>
    </row>
    <row r="45">
      <c r="H45" s="195"/>
      <c r="I45" s="195"/>
      <c r="J45" s="195"/>
      <c r="K45" s="195"/>
    </row>
    <row r="46">
      <c r="H46" s="195"/>
      <c r="I46" s="195"/>
      <c r="J46" s="195"/>
      <c r="K46" s="195"/>
    </row>
    <row r="47">
      <c r="H47" s="195"/>
      <c r="I47" s="195"/>
      <c r="J47" s="195"/>
      <c r="K47" s="195"/>
    </row>
    <row r="48">
      <c r="H48" s="195"/>
      <c r="I48" s="195"/>
      <c r="J48" s="195"/>
      <c r="K48" s="195"/>
    </row>
    <row r="49">
      <c r="H49" s="195"/>
      <c r="I49" s="195"/>
      <c r="J49" s="195"/>
      <c r="K49" s="195"/>
    </row>
    <row r="50">
      <c r="H50" s="195"/>
      <c r="I50" s="195"/>
      <c r="J50" s="195"/>
      <c r="K50" s="195"/>
    </row>
    <row r="51">
      <c r="H51" s="195"/>
      <c r="I51" s="195"/>
      <c r="J51" s="195"/>
      <c r="K51" s="195"/>
    </row>
    <row r="52">
      <c r="H52" s="195"/>
      <c r="I52" s="195"/>
      <c r="J52" s="195"/>
      <c r="K52" s="195"/>
    </row>
    <row r="53">
      <c r="H53" s="195"/>
      <c r="I53" s="195"/>
      <c r="J53" s="195"/>
      <c r="K53" s="195"/>
    </row>
    <row r="54">
      <c r="H54" s="195"/>
      <c r="I54" s="195"/>
      <c r="J54" s="195"/>
      <c r="K54" s="195"/>
    </row>
    <row r="55">
      <c r="H55" s="195"/>
      <c r="I55" s="195"/>
      <c r="J55" s="195"/>
      <c r="K55" s="195"/>
    </row>
    <row r="56">
      <c r="H56" s="195"/>
      <c r="I56" s="195"/>
      <c r="J56" s="195"/>
      <c r="K56" s="195"/>
    </row>
    <row r="57">
      <c r="H57" s="195"/>
      <c r="I57" s="195"/>
      <c r="J57" s="195"/>
      <c r="K57" s="195"/>
    </row>
    <row r="58">
      <c r="H58" s="195"/>
      <c r="I58" s="195"/>
      <c r="J58" s="195"/>
      <c r="K58" s="195"/>
    </row>
    <row r="59">
      <c r="H59" s="195"/>
      <c r="I59" s="195"/>
      <c r="J59" s="195"/>
      <c r="K59" s="195"/>
    </row>
    <row r="60">
      <c r="H60" s="195"/>
      <c r="I60" s="195"/>
      <c r="J60" s="195"/>
      <c r="K60" s="195"/>
    </row>
    <row r="61">
      <c r="H61" s="195"/>
      <c r="I61" s="195"/>
      <c r="J61" s="195"/>
      <c r="K61" s="195"/>
    </row>
    <row r="62">
      <c r="H62" s="195"/>
      <c r="I62" s="195"/>
      <c r="J62" s="195"/>
      <c r="K62" s="195"/>
    </row>
    <row r="63">
      <c r="H63" s="195"/>
      <c r="I63" s="195"/>
      <c r="J63" s="195"/>
      <c r="K63" s="195"/>
    </row>
    <row r="64">
      <c r="H64" s="195"/>
      <c r="I64" s="195"/>
      <c r="J64" s="195"/>
      <c r="K64" s="195"/>
    </row>
    <row r="65">
      <c r="H65" s="195"/>
      <c r="I65" s="195"/>
      <c r="J65" s="195"/>
      <c r="K65" s="195"/>
    </row>
    <row r="66">
      <c r="H66" s="195"/>
      <c r="I66" s="195"/>
      <c r="J66" s="195"/>
      <c r="K66" s="195"/>
    </row>
    <row r="67">
      <c r="H67" s="195"/>
      <c r="I67" s="195"/>
      <c r="J67" s="195"/>
      <c r="K67" s="195"/>
    </row>
    <row r="68">
      <c r="H68" s="195"/>
      <c r="I68" s="195"/>
      <c r="J68" s="195"/>
      <c r="K68" s="195"/>
    </row>
    <row r="69">
      <c r="H69" s="195"/>
      <c r="I69" s="195"/>
      <c r="J69" s="195"/>
      <c r="K69" s="195"/>
    </row>
    <row r="70">
      <c r="H70" s="195"/>
      <c r="I70" s="195"/>
      <c r="J70" s="195"/>
      <c r="K70" s="195"/>
    </row>
    <row r="71">
      <c r="H71" s="195"/>
      <c r="I71" s="195"/>
      <c r="J71" s="195"/>
      <c r="K71" s="195"/>
    </row>
    <row r="72">
      <c r="H72" s="195"/>
      <c r="I72" s="195"/>
      <c r="J72" s="195"/>
      <c r="K72" s="195"/>
    </row>
    <row r="73">
      <c r="H73" s="195"/>
      <c r="I73" s="195"/>
      <c r="J73" s="195"/>
      <c r="K73" s="195"/>
    </row>
    <row r="74">
      <c r="H74" s="195"/>
      <c r="I74" s="195"/>
      <c r="J74" s="195"/>
      <c r="K74" s="195"/>
    </row>
    <row r="75">
      <c r="H75" s="195"/>
      <c r="I75" s="195"/>
      <c r="J75" s="195"/>
      <c r="K75" s="195"/>
    </row>
    <row r="76">
      <c r="H76" s="195"/>
      <c r="I76" s="195"/>
      <c r="J76" s="195"/>
      <c r="K76" s="195"/>
    </row>
    <row r="77">
      <c r="H77" s="195"/>
      <c r="I77" s="195"/>
      <c r="J77" s="195"/>
      <c r="K77" s="195"/>
    </row>
    <row r="78">
      <c r="H78" s="195"/>
      <c r="I78" s="195"/>
      <c r="J78" s="195"/>
      <c r="K78" s="195"/>
    </row>
    <row r="79">
      <c r="H79" s="195"/>
      <c r="I79" s="195"/>
      <c r="J79" s="195"/>
      <c r="K79" s="195"/>
    </row>
    <row r="80">
      <c r="H80" s="195"/>
      <c r="I80" s="195"/>
      <c r="J80" s="195"/>
      <c r="K80" s="195"/>
    </row>
    <row r="81">
      <c r="H81" s="195"/>
      <c r="I81" s="195"/>
      <c r="J81" s="195"/>
      <c r="K81" s="195"/>
    </row>
    <row r="82">
      <c r="H82" s="195"/>
      <c r="I82" s="195"/>
      <c r="J82" s="195"/>
      <c r="K82" s="195"/>
    </row>
    <row r="83">
      <c r="H83" s="195"/>
      <c r="I83" s="195"/>
      <c r="J83" s="195"/>
      <c r="K83" s="195"/>
    </row>
    <row r="84">
      <c r="H84" s="195"/>
      <c r="I84" s="195"/>
      <c r="J84" s="195"/>
      <c r="K84" s="195"/>
    </row>
    <row r="85">
      <c r="H85" s="195"/>
      <c r="I85" s="195"/>
      <c r="J85" s="195"/>
      <c r="K85" s="195"/>
    </row>
    <row r="86">
      <c r="H86" s="195"/>
      <c r="I86" s="195"/>
      <c r="J86" s="195"/>
      <c r="K86" s="195"/>
    </row>
    <row r="87">
      <c r="H87" s="195"/>
      <c r="I87" s="195"/>
      <c r="J87" s="195"/>
      <c r="K87" s="195"/>
    </row>
    <row r="88">
      <c r="H88" s="195"/>
      <c r="I88" s="195"/>
      <c r="J88" s="195"/>
      <c r="K88" s="195"/>
    </row>
    <row r="89">
      <c r="H89" s="195"/>
      <c r="I89" s="195"/>
      <c r="J89" s="195"/>
      <c r="K89" s="195"/>
    </row>
    <row r="90">
      <c r="H90" s="195"/>
      <c r="I90" s="195"/>
      <c r="J90" s="195"/>
      <c r="K90" s="195"/>
    </row>
    <row r="91">
      <c r="H91" s="195"/>
      <c r="I91" s="195"/>
      <c r="J91" s="195"/>
      <c r="K91" s="195"/>
    </row>
    <row r="92">
      <c r="H92" s="195"/>
      <c r="I92" s="195"/>
      <c r="J92" s="195"/>
      <c r="K92" s="195"/>
    </row>
    <row r="93">
      <c r="H93" s="195"/>
      <c r="I93" s="195"/>
      <c r="J93" s="195"/>
      <c r="K93" s="195"/>
    </row>
    <row r="94">
      <c r="H94" s="195"/>
      <c r="I94" s="195"/>
      <c r="J94" s="195"/>
      <c r="K94" s="195"/>
    </row>
    <row r="95">
      <c r="H95" s="195"/>
      <c r="I95" s="195"/>
      <c r="J95" s="195"/>
      <c r="K95" s="195"/>
    </row>
    <row r="96">
      <c r="H96" s="195"/>
      <c r="I96" s="195"/>
      <c r="J96" s="195"/>
      <c r="K96" s="195"/>
    </row>
    <row r="97">
      <c r="H97" s="195"/>
      <c r="I97" s="195"/>
      <c r="J97" s="195"/>
      <c r="K97" s="195"/>
    </row>
    <row r="98">
      <c r="H98" s="195"/>
      <c r="I98" s="195"/>
      <c r="J98" s="195"/>
      <c r="K98" s="195"/>
    </row>
    <row r="99">
      <c r="H99" s="195"/>
      <c r="I99" s="195"/>
      <c r="J99" s="195"/>
      <c r="K99" s="195"/>
    </row>
    <row r="100">
      <c r="H100" s="195"/>
      <c r="I100" s="195"/>
      <c r="J100" s="195"/>
      <c r="K100" s="195"/>
    </row>
    <row r="101">
      <c r="H101" s="195"/>
      <c r="I101" s="195"/>
      <c r="J101" s="195"/>
      <c r="K101" s="195"/>
    </row>
    <row r="102">
      <c r="H102" s="195"/>
      <c r="I102" s="195"/>
      <c r="J102" s="195"/>
      <c r="K102" s="195"/>
    </row>
    <row r="103">
      <c r="H103" s="195"/>
      <c r="I103" s="195"/>
      <c r="J103" s="195"/>
      <c r="K103" s="195"/>
    </row>
    <row r="104">
      <c r="H104" s="195"/>
      <c r="I104" s="195"/>
      <c r="J104" s="195"/>
      <c r="K104" s="195"/>
    </row>
    <row r="105">
      <c r="H105" s="195"/>
      <c r="I105" s="195"/>
      <c r="J105" s="195"/>
      <c r="K105" s="195"/>
    </row>
    <row r="106">
      <c r="H106" s="195"/>
      <c r="I106" s="195"/>
      <c r="J106" s="195"/>
      <c r="K106" s="195"/>
    </row>
    <row r="107">
      <c r="H107" s="195"/>
      <c r="I107" s="195"/>
      <c r="J107" s="195"/>
      <c r="K107" s="195"/>
    </row>
    <row r="108">
      <c r="H108" s="195"/>
      <c r="I108" s="195"/>
      <c r="J108" s="195"/>
      <c r="K108" s="195"/>
    </row>
    <row r="109">
      <c r="H109" s="195"/>
      <c r="I109" s="195"/>
      <c r="J109" s="195"/>
      <c r="K109" s="195"/>
    </row>
    <row r="110">
      <c r="H110" s="195"/>
      <c r="I110" s="195"/>
      <c r="J110" s="195"/>
      <c r="K110" s="195"/>
    </row>
    <row r="111">
      <c r="H111" s="195"/>
      <c r="I111" s="195"/>
      <c r="J111" s="195"/>
      <c r="K111" s="195"/>
    </row>
    <row r="112">
      <c r="H112" s="195"/>
      <c r="I112" s="195"/>
      <c r="J112" s="195"/>
      <c r="K112" s="195"/>
    </row>
    <row r="113">
      <c r="H113" s="195"/>
      <c r="I113" s="195"/>
      <c r="J113" s="195"/>
      <c r="K113" s="195"/>
    </row>
    <row r="114">
      <c r="H114" s="195"/>
      <c r="I114" s="195"/>
      <c r="J114" s="195"/>
      <c r="K114" s="195"/>
    </row>
    <row r="115">
      <c r="H115" s="195"/>
      <c r="I115" s="195"/>
      <c r="J115" s="195"/>
      <c r="K115" s="195"/>
    </row>
    <row r="116">
      <c r="H116" s="195"/>
      <c r="I116" s="195"/>
      <c r="J116" s="195"/>
      <c r="K116" s="195"/>
    </row>
    <row r="117">
      <c r="H117" s="195"/>
      <c r="I117" s="195"/>
      <c r="J117" s="195"/>
      <c r="K117" s="195"/>
    </row>
    <row r="118">
      <c r="H118" s="195"/>
      <c r="I118" s="195"/>
      <c r="J118" s="195"/>
      <c r="K118" s="195"/>
    </row>
    <row r="119">
      <c r="H119" s="195"/>
      <c r="I119" s="195"/>
      <c r="J119" s="195"/>
      <c r="K119" s="195"/>
    </row>
    <row r="120">
      <c r="H120" s="195"/>
      <c r="I120" s="195"/>
      <c r="J120" s="195"/>
      <c r="K120" s="195"/>
    </row>
    <row r="121">
      <c r="H121" s="195"/>
      <c r="I121" s="195"/>
      <c r="J121" s="195"/>
      <c r="K121" s="195"/>
    </row>
    <row r="122">
      <c r="H122" s="195"/>
      <c r="I122" s="195"/>
      <c r="J122" s="195"/>
      <c r="K122" s="195"/>
    </row>
    <row r="123">
      <c r="H123" s="195"/>
      <c r="I123" s="195"/>
      <c r="J123" s="195"/>
      <c r="K123" s="195"/>
    </row>
    <row r="124">
      <c r="H124" s="195"/>
      <c r="I124" s="195"/>
      <c r="J124" s="195"/>
      <c r="K124" s="195"/>
    </row>
    <row r="125">
      <c r="H125" s="195"/>
      <c r="I125" s="195"/>
      <c r="J125" s="195"/>
      <c r="K125" s="195"/>
    </row>
    <row r="126">
      <c r="H126" s="195"/>
      <c r="I126" s="195"/>
      <c r="J126" s="195"/>
      <c r="K126" s="195"/>
    </row>
    <row r="127">
      <c r="H127" s="195"/>
      <c r="I127" s="195"/>
      <c r="J127" s="195"/>
      <c r="K127" s="195"/>
    </row>
    <row r="128">
      <c r="H128" s="195"/>
      <c r="I128" s="195"/>
      <c r="J128" s="195"/>
      <c r="K128" s="195"/>
    </row>
    <row r="129">
      <c r="H129" s="195"/>
      <c r="I129" s="195"/>
      <c r="J129" s="195"/>
      <c r="K129" s="195"/>
    </row>
    <row r="130">
      <c r="H130" s="195"/>
      <c r="I130" s="195"/>
      <c r="J130" s="195"/>
      <c r="K130" s="195"/>
    </row>
    <row r="131">
      <c r="H131" s="195"/>
      <c r="I131" s="195"/>
      <c r="J131" s="195"/>
      <c r="K131" s="195"/>
    </row>
    <row r="132">
      <c r="H132" s="195"/>
      <c r="I132" s="195"/>
      <c r="J132" s="195"/>
      <c r="K132" s="195"/>
    </row>
    <row r="133">
      <c r="H133" s="195"/>
      <c r="I133" s="195"/>
      <c r="J133" s="195"/>
      <c r="K133" s="195"/>
    </row>
    <row r="134">
      <c r="H134" s="195"/>
      <c r="I134" s="195"/>
      <c r="J134" s="195"/>
      <c r="K134" s="195"/>
    </row>
    <row r="135">
      <c r="H135" s="195"/>
      <c r="I135" s="195"/>
      <c r="J135" s="195"/>
      <c r="K135" s="195"/>
    </row>
    <row r="136">
      <c r="H136" s="195"/>
      <c r="I136" s="195"/>
      <c r="J136" s="195"/>
      <c r="K136" s="195"/>
    </row>
    <row r="137">
      <c r="H137" s="195"/>
      <c r="I137" s="195"/>
      <c r="J137" s="195"/>
      <c r="K137" s="195"/>
    </row>
    <row r="138">
      <c r="H138" s="195"/>
      <c r="I138" s="195"/>
      <c r="J138" s="195"/>
      <c r="K138" s="195"/>
    </row>
    <row r="139">
      <c r="H139" s="195"/>
      <c r="I139" s="195"/>
      <c r="J139" s="195"/>
      <c r="K139" s="195"/>
    </row>
    <row r="140">
      <c r="H140" s="195"/>
      <c r="I140" s="195"/>
      <c r="J140" s="195"/>
      <c r="K140" s="195"/>
    </row>
    <row r="141">
      <c r="H141" s="195"/>
      <c r="I141" s="195"/>
      <c r="J141" s="195"/>
      <c r="K141" s="195"/>
    </row>
    <row r="142">
      <c r="H142" s="195"/>
      <c r="I142" s="195"/>
      <c r="J142" s="195"/>
      <c r="K142" s="195"/>
    </row>
    <row r="143">
      <c r="H143" s="195"/>
      <c r="I143" s="195"/>
      <c r="J143" s="195"/>
      <c r="K143" s="195"/>
    </row>
    <row r="144">
      <c r="H144" s="195"/>
      <c r="I144" s="195"/>
      <c r="J144" s="195"/>
      <c r="K144" s="195"/>
    </row>
    <row r="145">
      <c r="H145" s="195"/>
      <c r="I145" s="195"/>
      <c r="J145" s="195"/>
      <c r="K145" s="195"/>
    </row>
    <row r="146">
      <c r="H146" s="195"/>
      <c r="I146" s="195"/>
      <c r="J146" s="195"/>
      <c r="K146" s="195"/>
    </row>
    <row r="147">
      <c r="H147" s="195"/>
      <c r="I147" s="195"/>
      <c r="J147" s="195"/>
      <c r="K147" s="195"/>
    </row>
    <row r="148">
      <c r="H148" s="195"/>
      <c r="I148" s="195"/>
      <c r="J148" s="195"/>
      <c r="K148" s="195"/>
    </row>
    <row r="149">
      <c r="H149" s="195"/>
      <c r="I149" s="195"/>
      <c r="J149" s="195"/>
      <c r="K149" s="195"/>
    </row>
    <row r="150">
      <c r="H150" s="195"/>
      <c r="I150" s="195"/>
      <c r="J150" s="195"/>
      <c r="K150" s="195"/>
    </row>
    <row r="151">
      <c r="H151" s="195"/>
      <c r="I151" s="195"/>
      <c r="J151" s="195"/>
      <c r="K151" s="195"/>
    </row>
    <row r="152">
      <c r="H152" s="195"/>
      <c r="I152" s="195"/>
      <c r="J152" s="195"/>
      <c r="K152" s="195"/>
    </row>
    <row r="153">
      <c r="H153" s="195"/>
      <c r="I153" s="195"/>
      <c r="J153" s="195"/>
      <c r="K153" s="195"/>
    </row>
    <row r="154">
      <c r="H154" s="195"/>
      <c r="I154" s="195"/>
      <c r="J154" s="195"/>
      <c r="K154" s="195"/>
    </row>
    <row r="155">
      <c r="H155" s="195"/>
      <c r="I155" s="195"/>
      <c r="J155" s="195"/>
      <c r="K155" s="195"/>
    </row>
    <row r="156">
      <c r="H156" s="195"/>
      <c r="I156" s="195"/>
      <c r="J156" s="195"/>
      <c r="K156" s="195"/>
    </row>
    <row r="157">
      <c r="H157" s="195"/>
      <c r="I157" s="195"/>
      <c r="J157" s="195"/>
      <c r="K157" s="195"/>
    </row>
    <row r="158">
      <c r="H158" s="195"/>
      <c r="I158" s="195"/>
      <c r="J158" s="195"/>
      <c r="K158" s="195"/>
    </row>
    <row r="159">
      <c r="H159" s="195"/>
      <c r="I159" s="195"/>
      <c r="J159" s="195"/>
      <c r="K159" s="195"/>
    </row>
    <row r="160">
      <c r="H160" s="195"/>
      <c r="I160" s="195"/>
      <c r="J160" s="195"/>
      <c r="K160" s="195"/>
    </row>
    <row r="161">
      <c r="H161" s="195"/>
      <c r="I161" s="195"/>
      <c r="J161" s="195"/>
      <c r="K161" s="195"/>
    </row>
    <row r="162">
      <c r="H162" s="195"/>
      <c r="I162" s="195"/>
      <c r="J162" s="195"/>
      <c r="K162" s="195"/>
    </row>
    <row r="163">
      <c r="H163" s="195"/>
      <c r="I163" s="195"/>
      <c r="J163" s="195"/>
      <c r="K163" s="195"/>
    </row>
    <row r="164">
      <c r="H164" s="195"/>
      <c r="I164" s="195"/>
      <c r="J164" s="195"/>
      <c r="K164" s="195"/>
    </row>
    <row r="165">
      <c r="H165" s="195"/>
      <c r="I165" s="195"/>
      <c r="J165" s="195"/>
      <c r="K165" s="195"/>
    </row>
    <row r="166">
      <c r="H166" s="195"/>
      <c r="I166" s="195"/>
      <c r="J166" s="195"/>
      <c r="K166" s="195"/>
    </row>
    <row r="167">
      <c r="H167" s="195"/>
      <c r="I167" s="195"/>
      <c r="J167" s="195"/>
      <c r="K167" s="195"/>
    </row>
    <row r="168">
      <c r="H168" s="195"/>
      <c r="I168" s="195"/>
      <c r="J168" s="195"/>
      <c r="K168" s="195"/>
    </row>
    <row r="169">
      <c r="H169" s="195"/>
      <c r="I169" s="195"/>
      <c r="J169" s="195"/>
      <c r="K169" s="195"/>
    </row>
    <row r="170">
      <c r="H170" s="195"/>
      <c r="I170" s="195"/>
      <c r="J170" s="195"/>
      <c r="K170" s="195"/>
    </row>
    <row r="171">
      <c r="H171" s="195"/>
      <c r="I171" s="195"/>
      <c r="J171" s="195"/>
      <c r="K171" s="195"/>
    </row>
    <row r="172">
      <c r="H172" s="195"/>
      <c r="I172" s="195"/>
      <c r="J172" s="195"/>
      <c r="K172" s="195"/>
    </row>
    <row r="173">
      <c r="H173" s="195"/>
      <c r="I173" s="195"/>
      <c r="J173" s="195"/>
      <c r="K173" s="195"/>
    </row>
    <row r="174">
      <c r="H174" s="195"/>
      <c r="I174" s="195"/>
      <c r="J174" s="195"/>
      <c r="K174" s="195"/>
    </row>
    <row r="175">
      <c r="H175" s="195"/>
      <c r="I175" s="195"/>
      <c r="J175" s="195"/>
      <c r="K175" s="195"/>
    </row>
    <row r="176">
      <c r="H176" s="195"/>
      <c r="I176" s="195"/>
      <c r="J176" s="195"/>
      <c r="K176" s="195"/>
    </row>
    <row r="177">
      <c r="H177" s="195"/>
      <c r="I177" s="195"/>
      <c r="J177" s="195"/>
      <c r="K177" s="195"/>
    </row>
    <row r="178">
      <c r="H178" s="195"/>
      <c r="I178" s="195"/>
      <c r="J178" s="195"/>
      <c r="K178" s="195"/>
    </row>
    <row r="179">
      <c r="H179" s="195"/>
      <c r="I179" s="195"/>
      <c r="J179" s="195"/>
      <c r="K179" s="195"/>
    </row>
    <row r="180">
      <c r="H180" s="195"/>
      <c r="I180" s="195"/>
      <c r="J180" s="195"/>
      <c r="K180" s="195"/>
    </row>
    <row r="181">
      <c r="H181" s="195"/>
      <c r="I181" s="195"/>
      <c r="J181" s="195"/>
      <c r="K181" s="195"/>
    </row>
    <row r="182">
      <c r="H182" s="195"/>
      <c r="I182" s="195"/>
      <c r="J182" s="195"/>
      <c r="K182" s="195"/>
    </row>
    <row r="183">
      <c r="H183" s="195"/>
      <c r="I183" s="195"/>
      <c r="J183" s="195"/>
      <c r="K183" s="195"/>
    </row>
    <row r="184">
      <c r="H184" s="195"/>
      <c r="I184" s="195"/>
      <c r="J184" s="195"/>
      <c r="K184" s="195"/>
    </row>
    <row r="185">
      <c r="H185" s="195"/>
      <c r="I185" s="195"/>
      <c r="J185" s="195"/>
      <c r="K185" s="195"/>
    </row>
    <row r="186">
      <c r="H186" s="195"/>
      <c r="I186" s="195"/>
      <c r="J186" s="195"/>
      <c r="K186" s="195"/>
    </row>
    <row r="187">
      <c r="H187" s="195"/>
      <c r="I187" s="195"/>
      <c r="J187" s="195"/>
      <c r="K187" s="195"/>
    </row>
    <row r="188">
      <c r="H188" s="195"/>
      <c r="I188" s="195"/>
      <c r="J188" s="195"/>
      <c r="K188" s="195"/>
    </row>
    <row r="189">
      <c r="H189" s="195"/>
      <c r="I189" s="195"/>
      <c r="J189" s="195"/>
      <c r="K189" s="195"/>
    </row>
    <row r="190">
      <c r="H190" s="195"/>
      <c r="I190" s="195"/>
      <c r="J190" s="195"/>
      <c r="K190" s="195"/>
    </row>
    <row r="191">
      <c r="H191" s="195"/>
      <c r="I191" s="195"/>
      <c r="J191" s="195"/>
      <c r="K191" s="195"/>
    </row>
    <row r="192">
      <c r="H192" s="195"/>
      <c r="I192" s="195"/>
      <c r="J192" s="195"/>
      <c r="K192" s="195"/>
    </row>
    <row r="193">
      <c r="H193" s="195"/>
      <c r="I193" s="195"/>
      <c r="J193" s="195"/>
      <c r="K193" s="195"/>
    </row>
    <row r="194">
      <c r="H194" s="195"/>
      <c r="I194" s="195"/>
      <c r="J194" s="195"/>
      <c r="K194" s="195"/>
    </row>
    <row r="195">
      <c r="H195" s="195"/>
      <c r="I195" s="195"/>
      <c r="J195" s="195"/>
      <c r="K195" s="195"/>
    </row>
    <row r="196">
      <c r="H196" s="195"/>
      <c r="I196" s="195"/>
      <c r="J196" s="195"/>
      <c r="K196" s="195"/>
    </row>
    <row r="197">
      <c r="H197" s="195"/>
      <c r="I197" s="195"/>
      <c r="J197" s="195"/>
      <c r="K197" s="195"/>
    </row>
    <row r="198">
      <c r="H198" s="195"/>
      <c r="I198" s="195"/>
      <c r="J198" s="195"/>
      <c r="K198" s="195"/>
    </row>
    <row r="199">
      <c r="H199" s="195"/>
      <c r="I199" s="195"/>
      <c r="J199" s="195"/>
      <c r="K199" s="195"/>
    </row>
    <row r="200">
      <c r="H200" s="195"/>
      <c r="I200" s="195"/>
      <c r="J200" s="195"/>
      <c r="K200" s="195"/>
    </row>
    <row r="201">
      <c r="H201" s="195"/>
      <c r="I201" s="195"/>
      <c r="J201" s="195"/>
      <c r="K201" s="195"/>
    </row>
    <row r="202">
      <c r="H202" s="195"/>
      <c r="I202" s="195"/>
      <c r="J202" s="195"/>
      <c r="K202" s="195"/>
    </row>
    <row r="203">
      <c r="H203" s="195"/>
      <c r="I203" s="195"/>
      <c r="J203" s="195"/>
      <c r="K203" s="195"/>
    </row>
    <row r="204">
      <c r="H204" s="195"/>
      <c r="I204" s="195"/>
      <c r="J204" s="195"/>
      <c r="K204" s="195"/>
    </row>
    <row r="205">
      <c r="H205" s="195"/>
      <c r="I205" s="195"/>
      <c r="J205" s="195"/>
      <c r="K205" s="195"/>
    </row>
    <row r="206">
      <c r="H206" s="195"/>
      <c r="I206" s="195"/>
      <c r="J206" s="195"/>
      <c r="K206" s="195"/>
    </row>
    <row r="207">
      <c r="H207" s="195"/>
      <c r="I207" s="195"/>
      <c r="J207" s="195"/>
      <c r="K207" s="195"/>
    </row>
    <row r="208">
      <c r="H208" s="195"/>
      <c r="I208" s="195"/>
      <c r="J208" s="195"/>
      <c r="K208" s="195"/>
    </row>
    <row r="209">
      <c r="H209" s="195"/>
      <c r="I209" s="195"/>
      <c r="J209" s="195"/>
      <c r="K209" s="195"/>
    </row>
    <row r="210">
      <c r="H210" s="195"/>
      <c r="I210" s="195"/>
      <c r="J210" s="195"/>
      <c r="K210" s="195"/>
    </row>
    <row r="211">
      <c r="H211" s="195"/>
      <c r="I211" s="195"/>
      <c r="J211" s="195"/>
      <c r="K211" s="195"/>
    </row>
    <row r="212">
      <c r="H212" s="195"/>
      <c r="I212" s="195"/>
      <c r="J212" s="195"/>
      <c r="K212" s="195"/>
    </row>
    <row r="213">
      <c r="H213" s="195"/>
      <c r="I213" s="195"/>
      <c r="J213" s="195"/>
      <c r="K213" s="195"/>
    </row>
    <row r="214">
      <c r="H214" s="195"/>
      <c r="I214" s="195"/>
      <c r="J214" s="195"/>
      <c r="K214" s="195"/>
    </row>
    <row r="215">
      <c r="H215" s="195"/>
      <c r="I215" s="195"/>
      <c r="J215" s="195"/>
      <c r="K215" s="195"/>
    </row>
    <row r="216">
      <c r="H216" s="195"/>
      <c r="I216" s="195"/>
      <c r="J216" s="195"/>
      <c r="K216" s="195"/>
    </row>
    <row r="217">
      <c r="H217" s="195"/>
      <c r="I217" s="195"/>
      <c r="J217" s="195"/>
      <c r="K217" s="195"/>
    </row>
    <row r="218">
      <c r="H218" s="195"/>
      <c r="I218" s="195"/>
      <c r="J218" s="195"/>
      <c r="K218" s="195"/>
    </row>
    <row r="219">
      <c r="H219" s="195"/>
      <c r="I219" s="195"/>
      <c r="J219" s="195"/>
      <c r="K219" s="195"/>
    </row>
    <row r="220">
      <c r="H220" s="195"/>
      <c r="I220" s="195"/>
      <c r="J220" s="195"/>
      <c r="K220" s="195"/>
    </row>
    <row r="221">
      <c r="H221" s="195"/>
      <c r="I221" s="195"/>
      <c r="J221" s="195"/>
      <c r="K221" s="195"/>
    </row>
    <row r="222">
      <c r="H222" s="195"/>
      <c r="I222" s="195"/>
      <c r="J222" s="195"/>
      <c r="K222" s="195"/>
    </row>
    <row r="223">
      <c r="H223" s="195"/>
      <c r="I223" s="195"/>
      <c r="J223" s="195"/>
      <c r="K223" s="195"/>
    </row>
    <row r="224">
      <c r="H224" s="195"/>
      <c r="I224" s="195"/>
      <c r="J224" s="195"/>
      <c r="K224" s="195"/>
    </row>
    <row r="225">
      <c r="H225" s="195"/>
      <c r="I225" s="195"/>
      <c r="J225" s="195"/>
      <c r="K225" s="195"/>
    </row>
    <row r="226">
      <c r="H226" s="195"/>
      <c r="I226" s="195"/>
      <c r="J226" s="195"/>
      <c r="K226" s="195"/>
    </row>
    <row r="227">
      <c r="H227" s="195"/>
      <c r="I227" s="195"/>
      <c r="J227" s="195"/>
      <c r="K227" s="195"/>
    </row>
    <row r="228">
      <c r="H228" s="195"/>
      <c r="I228" s="195"/>
      <c r="J228" s="195"/>
      <c r="K228" s="195"/>
    </row>
    <row r="229">
      <c r="H229" s="195"/>
      <c r="I229" s="195"/>
      <c r="J229" s="195"/>
      <c r="K229" s="195"/>
    </row>
    <row r="230">
      <c r="H230" s="195"/>
      <c r="I230" s="195"/>
      <c r="J230" s="195"/>
      <c r="K230" s="195"/>
    </row>
    <row r="231">
      <c r="H231" s="195"/>
      <c r="I231" s="195"/>
      <c r="J231" s="195"/>
      <c r="K231" s="195"/>
    </row>
    <row r="232">
      <c r="H232" s="195"/>
      <c r="I232" s="195"/>
      <c r="J232" s="195"/>
      <c r="K232" s="195"/>
    </row>
    <row r="233">
      <c r="H233" s="195"/>
      <c r="I233" s="195"/>
      <c r="J233" s="195"/>
      <c r="K233" s="195"/>
    </row>
    <row r="234">
      <c r="H234" s="195"/>
      <c r="I234" s="195"/>
      <c r="J234" s="195"/>
      <c r="K234" s="195"/>
    </row>
    <row r="235">
      <c r="H235" s="195"/>
      <c r="I235" s="195"/>
      <c r="J235" s="195"/>
      <c r="K235" s="195"/>
    </row>
    <row r="236">
      <c r="H236" s="195"/>
      <c r="I236" s="195"/>
      <c r="J236" s="195"/>
      <c r="K236" s="195"/>
    </row>
    <row r="237">
      <c r="H237" s="195"/>
      <c r="I237" s="195"/>
      <c r="J237" s="195"/>
      <c r="K237" s="195"/>
    </row>
    <row r="238">
      <c r="H238" s="195"/>
      <c r="I238" s="195"/>
      <c r="J238" s="195"/>
      <c r="K238" s="195"/>
    </row>
    <row r="239">
      <c r="H239" s="195"/>
      <c r="I239" s="195"/>
      <c r="J239" s="195"/>
      <c r="K239" s="195"/>
    </row>
    <row r="240">
      <c r="H240" s="195"/>
      <c r="I240" s="195"/>
      <c r="J240" s="195"/>
      <c r="K240" s="195"/>
    </row>
    <row r="241">
      <c r="H241" s="195"/>
      <c r="I241" s="195"/>
      <c r="J241" s="195"/>
      <c r="K241" s="195"/>
    </row>
    <row r="242">
      <c r="H242" s="195"/>
      <c r="I242" s="195"/>
      <c r="J242" s="195"/>
      <c r="K242" s="195"/>
    </row>
    <row r="243">
      <c r="H243" s="195"/>
      <c r="I243" s="195"/>
      <c r="J243" s="195"/>
      <c r="K243" s="195"/>
    </row>
    <row r="244">
      <c r="H244" s="195"/>
      <c r="I244" s="195"/>
      <c r="J244" s="195"/>
      <c r="K244" s="195"/>
    </row>
    <row r="245">
      <c r="H245" s="195"/>
      <c r="I245" s="195"/>
      <c r="J245" s="195"/>
      <c r="K245" s="195"/>
    </row>
    <row r="246">
      <c r="H246" s="195"/>
      <c r="I246" s="195"/>
      <c r="J246" s="195"/>
      <c r="K246" s="195"/>
    </row>
    <row r="247">
      <c r="H247" s="195"/>
      <c r="I247" s="195"/>
      <c r="J247" s="195"/>
      <c r="K247" s="195"/>
    </row>
    <row r="248">
      <c r="H248" s="195"/>
      <c r="I248" s="195"/>
      <c r="J248" s="195"/>
      <c r="K248" s="195"/>
    </row>
    <row r="249">
      <c r="H249" s="195"/>
      <c r="I249" s="195"/>
      <c r="J249" s="195"/>
      <c r="K249" s="195"/>
    </row>
    <row r="250">
      <c r="H250" s="195"/>
      <c r="I250" s="195"/>
      <c r="J250" s="195"/>
      <c r="K250" s="195"/>
    </row>
    <row r="251">
      <c r="H251" s="195"/>
      <c r="I251" s="195"/>
      <c r="J251" s="195"/>
      <c r="K251" s="195"/>
    </row>
    <row r="252">
      <c r="H252" s="195"/>
      <c r="I252" s="195"/>
      <c r="J252" s="195"/>
      <c r="K252" s="195"/>
    </row>
    <row r="253">
      <c r="H253" s="195"/>
      <c r="I253" s="195"/>
      <c r="J253" s="195"/>
      <c r="K253" s="195"/>
    </row>
    <row r="254">
      <c r="H254" s="195"/>
      <c r="I254" s="195"/>
      <c r="J254" s="195"/>
      <c r="K254" s="195"/>
    </row>
    <row r="255">
      <c r="H255" s="195"/>
      <c r="I255" s="195"/>
      <c r="J255" s="195"/>
      <c r="K255" s="195"/>
    </row>
    <row r="256">
      <c r="H256" s="195"/>
      <c r="I256" s="195"/>
      <c r="J256" s="195"/>
      <c r="K256" s="195"/>
    </row>
    <row r="257">
      <c r="H257" s="195"/>
      <c r="I257" s="195"/>
      <c r="J257" s="195"/>
      <c r="K257" s="195"/>
    </row>
    <row r="258">
      <c r="H258" s="195"/>
      <c r="I258" s="195"/>
      <c r="J258" s="195"/>
      <c r="K258" s="195"/>
    </row>
    <row r="259">
      <c r="H259" s="195"/>
      <c r="I259" s="195"/>
      <c r="J259" s="195"/>
      <c r="K259" s="195"/>
    </row>
    <row r="260">
      <c r="H260" s="195"/>
      <c r="I260" s="195"/>
      <c r="J260" s="195"/>
      <c r="K260" s="195"/>
    </row>
    <row r="261">
      <c r="H261" s="195"/>
      <c r="I261" s="195"/>
      <c r="J261" s="195"/>
      <c r="K261" s="195"/>
    </row>
    <row r="262">
      <c r="H262" s="195"/>
      <c r="I262" s="195"/>
      <c r="J262" s="195"/>
      <c r="K262" s="195"/>
    </row>
    <row r="263">
      <c r="H263" s="195"/>
      <c r="I263" s="195"/>
      <c r="J263" s="195"/>
      <c r="K263" s="195"/>
    </row>
    <row r="264">
      <c r="H264" s="195"/>
      <c r="I264" s="195"/>
      <c r="J264" s="195"/>
      <c r="K264" s="195"/>
    </row>
    <row r="265">
      <c r="H265" s="195"/>
      <c r="I265" s="195"/>
      <c r="J265" s="195"/>
      <c r="K265" s="195"/>
    </row>
    <row r="266">
      <c r="H266" s="195"/>
      <c r="I266" s="195"/>
      <c r="J266" s="195"/>
      <c r="K266" s="195"/>
    </row>
    <row r="267">
      <c r="H267" s="195"/>
      <c r="I267" s="195"/>
      <c r="J267" s="195"/>
      <c r="K267" s="195"/>
    </row>
    <row r="268">
      <c r="H268" s="195"/>
      <c r="I268" s="195"/>
      <c r="J268" s="195"/>
      <c r="K268" s="195"/>
    </row>
    <row r="269">
      <c r="H269" s="195"/>
      <c r="I269" s="195"/>
      <c r="J269" s="195"/>
      <c r="K269" s="195"/>
    </row>
    <row r="270">
      <c r="H270" s="195"/>
      <c r="I270" s="195"/>
      <c r="J270" s="195"/>
      <c r="K270" s="195"/>
    </row>
    <row r="271">
      <c r="H271" s="195"/>
      <c r="I271" s="195"/>
      <c r="J271" s="195"/>
      <c r="K271" s="195"/>
    </row>
    <row r="272">
      <c r="H272" s="195"/>
      <c r="I272" s="195"/>
      <c r="J272" s="195"/>
      <c r="K272" s="195"/>
    </row>
    <row r="273">
      <c r="H273" s="195"/>
      <c r="I273" s="195"/>
      <c r="J273" s="195"/>
      <c r="K273" s="195"/>
    </row>
    <row r="274">
      <c r="H274" s="195"/>
      <c r="I274" s="195"/>
      <c r="J274" s="195"/>
      <c r="K274" s="195"/>
    </row>
    <row r="275">
      <c r="H275" s="195"/>
      <c r="I275" s="195"/>
      <c r="J275" s="195"/>
      <c r="K275" s="195"/>
    </row>
    <row r="276">
      <c r="H276" s="195"/>
      <c r="I276" s="195"/>
      <c r="J276" s="195"/>
      <c r="K276" s="195"/>
    </row>
    <row r="277">
      <c r="H277" s="195"/>
      <c r="I277" s="195"/>
      <c r="J277" s="195"/>
      <c r="K277" s="195"/>
    </row>
    <row r="278">
      <c r="H278" s="195"/>
      <c r="I278" s="195"/>
      <c r="J278" s="195"/>
      <c r="K278" s="195"/>
    </row>
    <row r="279">
      <c r="H279" s="195"/>
      <c r="I279" s="195"/>
      <c r="J279" s="195"/>
      <c r="K279" s="195"/>
    </row>
    <row r="280">
      <c r="H280" s="195"/>
      <c r="I280" s="195"/>
      <c r="J280" s="195"/>
      <c r="K280" s="195"/>
    </row>
    <row r="281">
      <c r="H281" s="195"/>
      <c r="I281" s="195"/>
      <c r="J281" s="195"/>
      <c r="K281" s="195"/>
    </row>
    <row r="282">
      <c r="H282" s="195"/>
      <c r="I282" s="195"/>
      <c r="J282" s="195"/>
      <c r="K282" s="195"/>
    </row>
    <row r="283">
      <c r="H283" s="195"/>
      <c r="I283" s="195"/>
      <c r="J283" s="195"/>
      <c r="K283" s="195"/>
    </row>
    <row r="284">
      <c r="H284" s="195"/>
      <c r="I284" s="195"/>
      <c r="J284" s="195"/>
      <c r="K284" s="195"/>
    </row>
    <row r="285">
      <c r="H285" s="195"/>
      <c r="I285" s="195"/>
      <c r="J285" s="195"/>
      <c r="K285" s="195"/>
    </row>
    <row r="286">
      <c r="H286" s="195"/>
      <c r="I286" s="195"/>
      <c r="J286" s="195"/>
      <c r="K286" s="195"/>
    </row>
    <row r="287">
      <c r="H287" s="195"/>
      <c r="I287" s="195"/>
      <c r="J287" s="195"/>
      <c r="K287" s="195"/>
    </row>
    <row r="288">
      <c r="H288" s="195"/>
      <c r="I288" s="195"/>
      <c r="J288" s="195"/>
      <c r="K288" s="195"/>
    </row>
    <row r="289">
      <c r="H289" s="195"/>
      <c r="I289" s="195"/>
      <c r="J289" s="195"/>
      <c r="K289" s="195"/>
    </row>
    <row r="290">
      <c r="H290" s="195"/>
      <c r="I290" s="195"/>
      <c r="J290" s="195"/>
      <c r="K290" s="195"/>
    </row>
    <row r="291">
      <c r="H291" s="195"/>
      <c r="I291" s="195"/>
      <c r="J291" s="195"/>
      <c r="K291" s="195"/>
    </row>
    <row r="292">
      <c r="H292" s="195"/>
      <c r="I292" s="195"/>
      <c r="J292" s="195"/>
      <c r="K292" s="195"/>
    </row>
    <row r="293">
      <c r="H293" s="195"/>
      <c r="I293" s="195"/>
      <c r="J293" s="195"/>
      <c r="K293" s="195"/>
    </row>
    <row r="294">
      <c r="H294" s="195"/>
      <c r="I294" s="195"/>
      <c r="J294" s="195"/>
      <c r="K294" s="195"/>
    </row>
    <row r="295">
      <c r="H295" s="195"/>
      <c r="I295" s="195"/>
      <c r="J295" s="195"/>
      <c r="K295" s="195"/>
    </row>
    <row r="296">
      <c r="H296" s="195"/>
      <c r="I296" s="195"/>
      <c r="J296" s="195"/>
      <c r="K296" s="195"/>
    </row>
    <row r="297">
      <c r="H297" s="195"/>
      <c r="I297" s="195"/>
      <c r="J297" s="195"/>
      <c r="K297" s="195"/>
    </row>
    <row r="298">
      <c r="H298" s="195"/>
      <c r="I298" s="195"/>
      <c r="J298" s="195"/>
      <c r="K298" s="195"/>
    </row>
    <row r="299">
      <c r="H299" s="195"/>
      <c r="I299" s="195"/>
      <c r="J299" s="195"/>
      <c r="K299" s="195"/>
    </row>
    <row r="300">
      <c r="H300" s="195"/>
      <c r="I300" s="195"/>
      <c r="J300" s="195"/>
      <c r="K300" s="195"/>
    </row>
    <row r="301">
      <c r="H301" s="195"/>
      <c r="I301" s="195"/>
      <c r="J301" s="195"/>
      <c r="K301" s="195"/>
    </row>
    <row r="302">
      <c r="H302" s="195"/>
      <c r="I302" s="195"/>
      <c r="J302" s="195"/>
      <c r="K302" s="195"/>
    </row>
    <row r="303">
      <c r="H303" s="195"/>
      <c r="I303" s="195"/>
      <c r="J303" s="195"/>
      <c r="K303" s="195"/>
    </row>
    <row r="304">
      <c r="H304" s="195"/>
      <c r="I304" s="195"/>
      <c r="J304" s="195"/>
      <c r="K304" s="195"/>
    </row>
    <row r="305">
      <c r="H305" s="195"/>
      <c r="I305" s="195"/>
      <c r="J305" s="195"/>
      <c r="K305" s="195"/>
    </row>
    <row r="306">
      <c r="H306" s="195"/>
      <c r="I306" s="195"/>
      <c r="J306" s="195"/>
      <c r="K306" s="195"/>
    </row>
    <row r="307">
      <c r="H307" s="195"/>
      <c r="I307" s="195"/>
      <c r="J307" s="195"/>
      <c r="K307" s="195"/>
    </row>
    <row r="308">
      <c r="H308" s="195"/>
      <c r="I308" s="195"/>
      <c r="J308" s="195"/>
      <c r="K308" s="195"/>
    </row>
    <row r="309">
      <c r="H309" s="195"/>
      <c r="I309" s="195"/>
      <c r="J309" s="195"/>
      <c r="K309" s="195"/>
    </row>
    <row r="310">
      <c r="H310" s="195"/>
      <c r="I310" s="195"/>
      <c r="J310" s="195"/>
      <c r="K310" s="195"/>
    </row>
    <row r="311">
      <c r="H311" s="195"/>
      <c r="I311" s="195"/>
      <c r="J311" s="195"/>
      <c r="K311" s="195"/>
    </row>
    <row r="312">
      <c r="H312" s="195"/>
      <c r="I312" s="195"/>
      <c r="J312" s="195"/>
      <c r="K312" s="195"/>
    </row>
    <row r="313">
      <c r="H313" s="195"/>
      <c r="I313" s="195"/>
      <c r="J313" s="195"/>
      <c r="K313" s="195"/>
    </row>
    <row r="314">
      <c r="H314" s="195"/>
      <c r="I314" s="195"/>
      <c r="J314" s="195"/>
      <c r="K314" s="195"/>
    </row>
    <row r="315">
      <c r="H315" s="195"/>
      <c r="I315" s="195"/>
      <c r="J315" s="195"/>
      <c r="K315" s="195"/>
    </row>
    <row r="316">
      <c r="H316" s="195"/>
      <c r="I316" s="195"/>
      <c r="J316" s="195"/>
      <c r="K316" s="195"/>
    </row>
    <row r="317">
      <c r="H317" s="195"/>
      <c r="I317" s="195"/>
      <c r="J317" s="195"/>
      <c r="K317" s="195"/>
    </row>
    <row r="318">
      <c r="H318" s="195"/>
      <c r="I318" s="195"/>
      <c r="J318" s="195"/>
      <c r="K318" s="195"/>
    </row>
    <row r="319">
      <c r="H319" s="195"/>
      <c r="I319" s="195"/>
      <c r="J319" s="195"/>
      <c r="K319" s="195"/>
    </row>
    <row r="320">
      <c r="H320" s="195"/>
      <c r="I320" s="195"/>
      <c r="J320" s="195"/>
      <c r="K320" s="195"/>
    </row>
    <row r="321">
      <c r="H321" s="195"/>
      <c r="I321" s="195"/>
      <c r="J321" s="195"/>
      <c r="K321" s="195"/>
    </row>
    <row r="322">
      <c r="H322" s="195"/>
      <c r="I322" s="195"/>
      <c r="J322" s="195"/>
      <c r="K322" s="195"/>
    </row>
    <row r="323">
      <c r="H323" s="195"/>
      <c r="I323" s="195"/>
      <c r="J323" s="195"/>
      <c r="K323" s="195"/>
    </row>
    <row r="324">
      <c r="H324" s="195"/>
      <c r="I324" s="195"/>
      <c r="J324" s="195"/>
      <c r="K324" s="195"/>
    </row>
    <row r="325">
      <c r="H325" s="195"/>
      <c r="I325" s="195"/>
      <c r="J325" s="195"/>
      <c r="K325" s="195"/>
    </row>
    <row r="326">
      <c r="H326" s="195"/>
      <c r="I326" s="195"/>
      <c r="J326" s="195"/>
      <c r="K326" s="195"/>
    </row>
    <row r="327">
      <c r="H327" s="195"/>
      <c r="I327" s="195"/>
      <c r="J327" s="195"/>
      <c r="K327" s="195"/>
    </row>
    <row r="328">
      <c r="H328" s="195"/>
      <c r="I328" s="195"/>
      <c r="J328" s="195"/>
      <c r="K328" s="195"/>
    </row>
    <row r="329">
      <c r="H329" s="195"/>
      <c r="I329" s="195"/>
      <c r="J329" s="195"/>
      <c r="K329" s="195"/>
    </row>
    <row r="330">
      <c r="H330" s="195"/>
      <c r="I330" s="195"/>
      <c r="J330" s="195"/>
      <c r="K330" s="195"/>
    </row>
    <row r="331">
      <c r="H331" s="195"/>
      <c r="I331" s="195"/>
      <c r="J331" s="195"/>
      <c r="K331" s="195"/>
    </row>
    <row r="332">
      <c r="H332" s="195"/>
      <c r="I332" s="195"/>
      <c r="J332" s="195"/>
      <c r="K332" s="195"/>
    </row>
    <row r="333">
      <c r="H333" s="195"/>
      <c r="I333" s="195"/>
      <c r="J333" s="195"/>
      <c r="K333" s="195"/>
    </row>
    <row r="334">
      <c r="H334" s="195"/>
      <c r="I334" s="195"/>
      <c r="J334" s="195"/>
      <c r="K334" s="195"/>
    </row>
    <row r="335">
      <c r="H335" s="195"/>
      <c r="I335" s="195"/>
      <c r="J335" s="195"/>
      <c r="K335" s="195"/>
    </row>
    <row r="336">
      <c r="H336" s="195"/>
      <c r="I336" s="195"/>
      <c r="J336" s="195"/>
      <c r="K336" s="195"/>
    </row>
    <row r="337">
      <c r="H337" s="195"/>
      <c r="I337" s="195"/>
      <c r="J337" s="195"/>
      <c r="K337" s="195"/>
    </row>
    <row r="338">
      <c r="H338" s="195"/>
      <c r="I338" s="195"/>
      <c r="J338" s="195"/>
      <c r="K338" s="195"/>
    </row>
    <row r="339">
      <c r="H339" s="195"/>
      <c r="I339" s="195"/>
      <c r="J339" s="195"/>
      <c r="K339" s="195"/>
    </row>
    <row r="340">
      <c r="H340" s="195"/>
      <c r="I340" s="195"/>
      <c r="J340" s="195"/>
      <c r="K340" s="195"/>
    </row>
    <row r="341">
      <c r="H341" s="195"/>
      <c r="I341" s="195"/>
      <c r="J341" s="195"/>
      <c r="K341" s="195"/>
    </row>
    <row r="342">
      <c r="H342" s="195"/>
      <c r="I342" s="195"/>
      <c r="J342" s="195"/>
      <c r="K342" s="195"/>
    </row>
    <row r="343">
      <c r="H343" s="195"/>
      <c r="I343" s="195"/>
      <c r="J343" s="195"/>
      <c r="K343" s="195"/>
    </row>
    <row r="344">
      <c r="H344" s="195"/>
      <c r="I344" s="195"/>
      <c r="J344" s="195"/>
      <c r="K344" s="195"/>
    </row>
    <row r="345">
      <c r="H345" s="195"/>
      <c r="I345" s="195"/>
      <c r="J345" s="195"/>
      <c r="K345" s="195"/>
    </row>
    <row r="346">
      <c r="H346" s="195"/>
      <c r="I346" s="195"/>
      <c r="J346" s="195"/>
      <c r="K346" s="195"/>
    </row>
    <row r="347">
      <c r="H347" s="195"/>
      <c r="I347" s="195"/>
      <c r="J347" s="195"/>
      <c r="K347" s="195"/>
    </row>
    <row r="348">
      <c r="H348" s="195"/>
      <c r="I348" s="195"/>
      <c r="J348" s="195"/>
      <c r="K348" s="195"/>
    </row>
    <row r="349">
      <c r="H349" s="195"/>
      <c r="I349" s="195"/>
      <c r="J349" s="195"/>
      <c r="K349" s="195"/>
    </row>
    <row r="350">
      <c r="H350" s="195"/>
      <c r="I350" s="195"/>
      <c r="J350" s="195"/>
      <c r="K350" s="195"/>
    </row>
    <row r="351">
      <c r="H351" s="195"/>
      <c r="I351" s="195"/>
      <c r="J351" s="195"/>
      <c r="K351" s="195"/>
    </row>
    <row r="352">
      <c r="H352" s="195"/>
      <c r="I352" s="195"/>
      <c r="J352" s="195"/>
      <c r="K352" s="195"/>
    </row>
    <row r="353">
      <c r="H353" s="195"/>
      <c r="I353" s="195"/>
      <c r="J353" s="195"/>
      <c r="K353" s="195"/>
    </row>
    <row r="354">
      <c r="H354" s="195"/>
      <c r="I354" s="195"/>
      <c r="J354" s="195"/>
      <c r="K354" s="195"/>
    </row>
    <row r="355">
      <c r="H355" s="195"/>
      <c r="I355" s="195"/>
      <c r="J355" s="195"/>
      <c r="K355" s="195"/>
    </row>
    <row r="356">
      <c r="H356" s="195"/>
      <c r="I356" s="195"/>
      <c r="J356" s="195"/>
      <c r="K356" s="195"/>
    </row>
    <row r="357">
      <c r="H357" s="195"/>
      <c r="I357" s="195"/>
      <c r="J357" s="195"/>
      <c r="K357" s="195"/>
    </row>
    <row r="358">
      <c r="H358" s="195"/>
      <c r="I358" s="195"/>
      <c r="J358" s="195"/>
      <c r="K358" s="195"/>
    </row>
    <row r="359">
      <c r="H359" s="195"/>
      <c r="I359" s="195"/>
      <c r="J359" s="195"/>
      <c r="K359" s="195"/>
    </row>
    <row r="360">
      <c r="H360" s="195"/>
      <c r="I360" s="195"/>
      <c r="J360" s="195"/>
      <c r="K360" s="195"/>
    </row>
    <row r="361">
      <c r="H361" s="195"/>
      <c r="I361" s="195"/>
      <c r="J361" s="195"/>
      <c r="K361" s="195"/>
    </row>
    <row r="362">
      <c r="H362" s="195"/>
      <c r="I362" s="195"/>
      <c r="J362" s="195"/>
      <c r="K362" s="195"/>
    </row>
    <row r="363">
      <c r="H363" s="195"/>
      <c r="I363" s="195"/>
      <c r="J363" s="195"/>
      <c r="K363" s="195"/>
    </row>
    <row r="364">
      <c r="H364" s="195"/>
      <c r="I364" s="195"/>
      <c r="J364" s="195"/>
      <c r="K364" s="195"/>
    </row>
    <row r="365">
      <c r="H365" s="195"/>
      <c r="I365" s="195"/>
      <c r="J365" s="195"/>
      <c r="K365" s="195"/>
    </row>
    <row r="366">
      <c r="H366" s="195"/>
      <c r="I366" s="195"/>
      <c r="J366" s="195"/>
      <c r="K366" s="195"/>
    </row>
    <row r="367">
      <c r="H367" s="195"/>
      <c r="I367" s="195"/>
      <c r="J367" s="195"/>
      <c r="K367" s="195"/>
    </row>
    <row r="368">
      <c r="H368" s="195"/>
      <c r="I368" s="195"/>
      <c r="J368" s="195"/>
      <c r="K368" s="195"/>
    </row>
    <row r="369">
      <c r="H369" s="195"/>
      <c r="I369" s="195"/>
      <c r="J369" s="195"/>
      <c r="K369" s="195"/>
    </row>
    <row r="370">
      <c r="H370" s="195"/>
      <c r="I370" s="195"/>
      <c r="J370" s="195"/>
      <c r="K370" s="195"/>
    </row>
    <row r="371">
      <c r="H371" s="195"/>
      <c r="I371" s="195"/>
      <c r="J371" s="195"/>
      <c r="K371" s="195"/>
    </row>
    <row r="372">
      <c r="H372" s="195"/>
      <c r="I372" s="195"/>
      <c r="J372" s="195"/>
      <c r="K372" s="195"/>
    </row>
    <row r="373">
      <c r="H373" s="195"/>
      <c r="I373" s="195"/>
      <c r="J373" s="195"/>
      <c r="K373" s="195"/>
    </row>
    <row r="374">
      <c r="H374" s="195"/>
      <c r="I374" s="195"/>
      <c r="J374" s="195"/>
      <c r="K374" s="195"/>
    </row>
    <row r="375">
      <c r="H375" s="195"/>
      <c r="I375" s="195"/>
      <c r="J375" s="195"/>
      <c r="K375" s="195"/>
    </row>
    <row r="376">
      <c r="H376" s="195"/>
      <c r="I376" s="195"/>
      <c r="J376" s="195"/>
      <c r="K376" s="195"/>
    </row>
    <row r="377">
      <c r="H377" s="195"/>
      <c r="I377" s="195"/>
      <c r="J377" s="195"/>
      <c r="K377" s="195"/>
    </row>
    <row r="378">
      <c r="H378" s="195"/>
      <c r="I378" s="195"/>
      <c r="J378" s="195"/>
      <c r="K378" s="195"/>
    </row>
    <row r="379">
      <c r="H379" s="195"/>
      <c r="I379" s="195"/>
      <c r="J379" s="195"/>
      <c r="K379" s="195"/>
    </row>
    <row r="380">
      <c r="H380" s="195"/>
      <c r="I380" s="195"/>
      <c r="J380" s="195"/>
      <c r="K380" s="195"/>
    </row>
    <row r="381">
      <c r="H381" s="195"/>
      <c r="I381" s="195"/>
      <c r="J381" s="195"/>
      <c r="K381" s="195"/>
    </row>
    <row r="382">
      <c r="H382" s="195"/>
      <c r="I382" s="195"/>
      <c r="J382" s="195"/>
      <c r="K382" s="195"/>
    </row>
    <row r="383">
      <c r="H383" s="195"/>
      <c r="I383" s="195"/>
      <c r="J383" s="195"/>
      <c r="K383" s="195"/>
    </row>
    <row r="384">
      <c r="H384" s="195"/>
      <c r="I384" s="195"/>
      <c r="J384" s="195"/>
      <c r="K384" s="195"/>
    </row>
    <row r="385">
      <c r="H385" s="195"/>
      <c r="I385" s="195"/>
      <c r="J385" s="195"/>
      <c r="K385" s="195"/>
    </row>
    <row r="386">
      <c r="H386" s="195"/>
      <c r="I386" s="195"/>
      <c r="J386" s="195"/>
      <c r="K386" s="195"/>
    </row>
    <row r="387">
      <c r="H387" s="195"/>
      <c r="I387" s="195"/>
      <c r="J387" s="195"/>
      <c r="K387" s="195"/>
    </row>
    <row r="388">
      <c r="H388" s="195"/>
      <c r="I388" s="195"/>
      <c r="J388" s="195"/>
      <c r="K388" s="195"/>
    </row>
    <row r="389">
      <c r="H389" s="195"/>
      <c r="I389" s="195"/>
      <c r="J389" s="195"/>
      <c r="K389" s="195"/>
    </row>
    <row r="390">
      <c r="H390" s="195"/>
      <c r="I390" s="195"/>
      <c r="J390" s="195"/>
      <c r="K390" s="195"/>
    </row>
    <row r="391">
      <c r="H391" s="195"/>
      <c r="I391" s="195"/>
      <c r="J391" s="195"/>
      <c r="K391" s="195"/>
    </row>
    <row r="392">
      <c r="H392" s="195"/>
      <c r="I392" s="195"/>
      <c r="J392" s="195"/>
      <c r="K392" s="195"/>
    </row>
    <row r="393">
      <c r="H393" s="195"/>
      <c r="I393" s="195"/>
      <c r="J393" s="195"/>
      <c r="K393" s="195"/>
    </row>
    <row r="394">
      <c r="H394" s="195"/>
      <c r="I394" s="195"/>
      <c r="J394" s="195"/>
      <c r="K394" s="195"/>
    </row>
    <row r="395">
      <c r="H395" s="195"/>
      <c r="I395" s="195"/>
      <c r="J395" s="195"/>
      <c r="K395" s="195"/>
    </row>
    <row r="396">
      <c r="H396" s="195"/>
      <c r="I396" s="195"/>
      <c r="J396" s="195"/>
      <c r="K396" s="195"/>
    </row>
    <row r="397">
      <c r="H397" s="195"/>
      <c r="I397" s="195"/>
      <c r="J397" s="195"/>
      <c r="K397" s="195"/>
    </row>
    <row r="398">
      <c r="H398" s="195"/>
      <c r="I398" s="195"/>
      <c r="J398" s="195"/>
      <c r="K398" s="195"/>
    </row>
    <row r="399">
      <c r="H399" s="195"/>
      <c r="I399" s="195"/>
      <c r="J399" s="195"/>
      <c r="K399" s="195"/>
    </row>
    <row r="400">
      <c r="H400" s="195"/>
      <c r="I400" s="195"/>
      <c r="J400" s="195"/>
      <c r="K400" s="195"/>
    </row>
    <row r="401">
      <c r="H401" s="195"/>
      <c r="I401" s="195"/>
      <c r="J401" s="195"/>
      <c r="K401" s="195"/>
    </row>
    <row r="402">
      <c r="H402" s="195"/>
      <c r="I402" s="195"/>
      <c r="J402" s="195"/>
      <c r="K402" s="195"/>
    </row>
    <row r="403">
      <c r="H403" s="195"/>
      <c r="I403" s="195"/>
      <c r="J403" s="195"/>
      <c r="K403" s="195"/>
    </row>
    <row r="404">
      <c r="H404" s="195"/>
      <c r="I404" s="195"/>
      <c r="J404" s="195"/>
      <c r="K404" s="195"/>
    </row>
    <row r="405">
      <c r="H405" s="195"/>
      <c r="I405" s="195"/>
      <c r="J405" s="195"/>
      <c r="K405" s="195"/>
    </row>
    <row r="406">
      <c r="H406" s="195"/>
      <c r="I406" s="195"/>
      <c r="J406" s="195"/>
      <c r="K406" s="195"/>
    </row>
    <row r="407">
      <c r="H407" s="195"/>
      <c r="I407" s="195"/>
      <c r="J407" s="195"/>
      <c r="K407" s="195"/>
    </row>
    <row r="408">
      <c r="H408" s="195"/>
      <c r="I408" s="195"/>
      <c r="J408" s="195"/>
      <c r="K408" s="195"/>
    </row>
    <row r="409">
      <c r="H409" s="195"/>
      <c r="I409" s="195"/>
      <c r="J409" s="195"/>
      <c r="K409" s="195"/>
    </row>
    <row r="410">
      <c r="H410" s="195"/>
      <c r="I410" s="195"/>
      <c r="J410" s="195"/>
      <c r="K410" s="195"/>
    </row>
    <row r="411">
      <c r="H411" s="195"/>
      <c r="I411" s="195"/>
      <c r="J411" s="195"/>
      <c r="K411" s="195"/>
    </row>
    <row r="412">
      <c r="H412" s="195"/>
      <c r="I412" s="195"/>
      <c r="J412" s="195"/>
      <c r="K412" s="195"/>
    </row>
    <row r="413">
      <c r="H413" s="195"/>
      <c r="I413" s="195"/>
      <c r="J413" s="195"/>
      <c r="K413" s="195"/>
    </row>
    <row r="414">
      <c r="H414" s="195"/>
      <c r="I414" s="195"/>
      <c r="J414" s="195"/>
      <c r="K414" s="195"/>
    </row>
    <row r="415">
      <c r="H415" s="195"/>
      <c r="I415" s="195"/>
      <c r="J415" s="195"/>
      <c r="K415" s="195"/>
    </row>
    <row r="416">
      <c r="H416" s="195"/>
      <c r="I416" s="195"/>
      <c r="J416" s="195"/>
      <c r="K416" s="195"/>
    </row>
    <row r="417">
      <c r="H417" s="195"/>
      <c r="I417" s="195"/>
      <c r="J417" s="195"/>
      <c r="K417" s="195"/>
    </row>
    <row r="418">
      <c r="H418" s="195"/>
      <c r="I418" s="195"/>
      <c r="J418" s="195"/>
      <c r="K418" s="195"/>
    </row>
    <row r="419">
      <c r="H419" s="195"/>
      <c r="I419" s="195"/>
      <c r="J419" s="195"/>
      <c r="K419" s="195"/>
    </row>
    <row r="420">
      <c r="H420" s="195"/>
      <c r="I420" s="195"/>
      <c r="J420" s="195"/>
      <c r="K420" s="195"/>
    </row>
    <row r="421">
      <c r="H421" s="195"/>
      <c r="I421" s="195"/>
      <c r="J421" s="195"/>
      <c r="K421" s="195"/>
    </row>
    <row r="422">
      <c r="H422" s="195"/>
      <c r="I422" s="195"/>
      <c r="J422" s="195"/>
      <c r="K422" s="195"/>
    </row>
    <row r="423">
      <c r="H423" s="195"/>
      <c r="I423" s="195"/>
      <c r="J423" s="195"/>
      <c r="K423" s="195"/>
    </row>
    <row r="424">
      <c r="H424" s="195"/>
      <c r="I424" s="195"/>
      <c r="J424" s="195"/>
      <c r="K424" s="195"/>
    </row>
    <row r="425">
      <c r="H425" s="195"/>
      <c r="I425" s="195"/>
      <c r="J425" s="195"/>
      <c r="K425" s="195"/>
    </row>
    <row r="426">
      <c r="H426" s="195"/>
      <c r="I426" s="195"/>
      <c r="J426" s="195"/>
      <c r="K426" s="195"/>
    </row>
    <row r="427">
      <c r="H427" s="195"/>
      <c r="I427" s="195"/>
      <c r="J427" s="195"/>
      <c r="K427" s="195"/>
    </row>
    <row r="428">
      <c r="H428" s="195"/>
      <c r="I428" s="195"/>
      <c r="J428" s="195"/>
      <c r="K428" s="195"/>
    </row>
    <row r="429">
      <c r="H429" s="195"/>
      <c r="I429" s="195"/>
      <c r="J429" s="195"/>
      <c r="K429" s="195"/>
    </row>
    <row r="430">
      <c r="H430" s="195"/>
      <c r="I430" s="195"/>
      <c r="J430" s="195"/>
      <c r="K430" s="195"/>
    </row>
    <row r="431">
      <c r="H431" s="195"/>
      <c r="I431" s="195"/>
      <c r="J431" s="195"/>
      <c r="K431" s="195"/>
    </row>
    <row r="432">
      <c r="H432" s="195"/>
      <c r="I432" s="195"/>
      <c r="J432" s="195"/>
      <c r="K432" s="195"/>
    </row>
    <row r="433">
      <c r="H433" s="195"/>
      <c r="I433" s="195"/>
      <c r="J433" s="195"/>
      <c r="K433" s="195"/>
    </row>
    <row r="434">
      <c r="H434" s="195"/>
      <c r="I434" s="195"/>
      <c r="J434" s="195"/>
      <c r="K434" s="195"/>
    </row>
    <row r="435">
      <c r="H435" s="195"/>
      <c r="I435" s="195"/>
      <c r="J435" s="195"/>
      <c r="K435" s="195"/>
    </row>
    <row r="436">
      <c r="H436" s="195"/>
      <c r="I436" s="195"/>
      <c r="J436" s="195"/>
      <c r="K436" s="195"/>
    </row>
    <row r="437">
      <c r="H437" s="195"/>
      <c r="I437" s="195"/>
      <c r="J437" s="195"/>
      <c r="K437" s="195"/>
    </row>
    <row r="438">
      <c r="H438" s="195"/>
      <c r="I438" s="195"/>
      <c r="J438" s="195"/>
      <c r="K438" s="195"/>
    </row>
    <row r="439">
      <c r="H439" s="195"/>
      <c r="I439" s="195"/>
      <c r="J439" s="195"/>
      <c r="K439" s="195"/>
    </row>
    <row r="440">
      <c r="H440" s="195"/>
      <c r="I440" s="195"/>
      <c r="J440" s="195"/>
      <c r="K440" s="195"/>
    </row>
    <row r="441">
      <c r="H441" s="195"/>
      <c r="I441" s="195"/>
      <c r="J441" s="195"/>
      <c r="K441" s="195"/>
    </row>
    <row r="442">
      <c r="H442" s="195"/>
      <c r="I442" s="195"/>
      <c r="J442" s="195"/>
      <c r="K442" s="195"/>
    </row>
    <row r="443">
      <c r="H443" s="195"/>
      <c r="I443" s="195"/>
      <c r="J443" s="195"/>
      <c r="K443" s="195"/>
    </row>
    <row r="444">
      <c r="H444" s="195"/>
      <c r="I444" s="195"/>
      <c r="J444" s="195"/>
      <c r="K444" s="195"/>
    </row>
    <row r="445">
      <c r="H445" s="195"/>
      <c r="I445" s="195"/>
      <c r="J445" s="195"/>
      <c r="K445" s="195"/>
    </row>
    <row r="446">
      <c r="H446" s="195"/>
      <c r="I446" s="195"/>
      <c r="J446" s="195"/>
      <c r="K446" s="195"/>
    </row>
    <row r="447">
      <c r="H447" s="195"/>
      <c r="I447" s="195"/>
      <c r="J447" s="195"/>
      <c r="K447" s="195"/>
    </row>
    <row r="448">
      <c r="H448" s="195"/>
      <c r="I448" s="195"/>
      <c r="J448" s="195"/>
      <c r="K448" s="195"/>
    </row>
    <row r="449">
      <c r="H449" s="195"/>
      <c r="I449" s="195"/>
      <c r="J449" s="195"/>
      <c r="K449" s="195"/>
    </row>
    <row r="450">
      <c r="H450" s="195"/>
      <c r="I450" s="195"/>
      <c r="J450" s="195"/>
      <c r="K450" s="195"/>
    </row>
    <row r="451">
      <c r="H451" s="195"/>
      <c r="I451" s="195"/>
      <c r="J451" s="195"/>
      <c r="K451" s="195"/>
    </row>
    <row r="452">
      <c r="H452" s="195"/>
      <c r="I452" s="195"/>
      <c r="J452" s="195"/>
      <c r="K452" s="195"/>
    </row>
    <row r="453">
      <c r="H453" s="195"/>
      <c r="I453" s="195"/>
      <c r="J453" s="195"/>
      <c r="K453" s="195"/>
    </row>
    <row r="454">
      <c r="H454" s="195"/>
      <c r="I454" s="195"/>
      <c r="J454" s="195"/>
      <c r="K454" s="195"/>
    </row>
    <row r="455">
      <c r="H455" s="195"/>
      <c r="I455" s="195"/>
      <c r="J455" s="195"/>
      <c r="K455" s="195"/>
    </row>
    <row r="456">
      <c r="H456" s="195"/>
      <c r="I456" s="195"/>
      <c r="J456" s="195"/>
      <c r="K456" s="195"/>
    </row>
    <row r="457">
      <c r="H457" s="195"/>
      <c r="I457" s="195"/>
      <c r="J457" s="195"/>
      <c r="K457" s="195"/>
    </row>
    <row r="458">
      <c r="H458" s="195"/>
      <c r="I458" s="195"/>
      <c r="J458" s="195"/>
      <c r="K458" s="195"/>
    </row>
    <row r="459">
      <c r="H459" s="195"/>
      <c r="I459" s="195"/>
      <c r="J459" s="195"/>
      <c r="K459" s="195"/>
    </row>
    <row r="460">
      <c r="H460" s="195"/>
      <c r="I460" s="195"/>
      <c r="J460" s="195"/>
      <c r="K460" s="195"/>
    </row>
    <row r="461">
      <c r="H461" s="195"/>
      <c r="I461" s="195"/>
      <c r="J461" s="195"/>
      <c r="K461" s="195"/>
    </row>
    <row r="462">
      <c r="H462" s="195"/>
      <c r="I462" s="195"/>
      <c r="J462" s="195"/>
      <c r="K462" s="195"/>
    </row>
    <row r="463">
      <c r="H463" s="195"/>
      <c r="I463" s="195"/>
      <c r="J463" s="195"/>
      <c r="K463" s="195"/>
    </row>
    <row r="464">
      <c r="H464" s="195"/>
      <c r="I464" s="195"/>
      <c r="J464" s="195"/>
      <c r="K464" s="195"/>
    </row>
    <row r="465">
      <c r="H465" s="195"/>
      <c r="I465" s="195"/>
      <c r="J465" s="195"/>
      <c r="K465" s="195"/>
    </row>
    <row r="466">
      <c r="H466" s="195"/>
      <c r="I466" s="195"/>
      <c r="J466" s="195"/>
      <c r="K466" s="195"/>
    </row>
    <row r="467">
      <c r="H467" s="195"/>
      <c r="I467" s="195"/>
      <c r="J467" s="195"/>
      <c r="K467" s="195"/>
    </row>
    <row r="468">
      <c r="H468" s="195"/>
      <c r="I468" s="195"/>
      <c r="J468" s="195"/>
      <c r="K468" s="195"/>
    </row>
    <row r="469">
      <c r="H469" s="195"/>
      <c r="I469" s="195"/>
      <c r="J469" s="195"/>
      <c r="K469" s="195"/>
    </row>
    <row r="470">
      <c r="H470" s="195"/>
      <c r="I470" s="195"/>
      <c r="J470" s="195"/>
      <c r="K470" s="195"/>
    </row>
    <row r="471">
      <c r="H471" s="195"/>
      <c r="I471" s="195"/>
      <c r="J471" s="195"/>
      <c r="K471" s="195"/>
    </row>
    <row r="472">
      <c r="H472" s="195"/>
      <c r="I472" s="195"/>
      <c r="J472" s="195"/>
      <c r="K472" s="195"/>
    </row>
    <row r="473">
      <c r="H473" s="195"/>
      <c r="I473" s="195"/>
      <c r="J473" s="195"/>
      <c r="K473" s="195"/>
    </row>
    <row r="474">
      <c r="H474" s="195"/>
      <c r="I474" s="195"/>
      <c r="J474" s="195"/>
      <c r="K474" s="195"/>
    </row>
    <row r="475">
      <c r="H475" s="195"/>
      <c r="I475" s="195"/>
      <c r="J475" s="195"/>
      <c r="K475" s="195"/>
    </row>
    <row r="476">
      <c r="H476" s="195"/>
      <c r="I476" s="195"/>
      <c r="J476" s="195"/>
      <c r="K476" s="195"/>
    </row>
    <row r="477">
      <c r="H477" s="195"/>
      <c r="I477" s="195"/>
      <c r="J477" s="195"/>
      <c r="K477" s="195"/>
    </row>
    <row r="478">
      <c r="H478" s="195"/>
      <c r="I478" s="195"/>
      <c r="J478" s="195"/>
      <c r="K478" s="195"/>
    </row>
    <row r="479">
      <c r="H479" s="195"/>
      <c r="I479" s="195"/>
      <c r="J479" s="195"/>
      <c r="K479" s="195"/>
    </row>
    <row r="480">
      <c r="H480" s="195"/>
      <c r="I480" s="195"/>
      <c r="J480" s="195"/>
      <c r="K480" s="195"/>
    </row>
    <row r="481">
      <c r="H481" s="195"/>
      <c r="I481" s="195"/>
      <c r="J481" s="195"/>
      <c r="K481" s="195"/>
    </row>
    <row r="482">
      <c r="H482" s="195"/>
      <c r="I482" s="195"/>
      <c r="J482" s="195"/>
      <c r="K482" s="195"/>
    </row>
    <row r="483">
      <c r="H483" s="195"/>
      <c r="I483" s="195"/>
      <c r="J483" s="195"/>
      <c r="K483" s="195"/>
    </row>
    <row r="484">
      <c r="H484" s="195"/>
      <c r="I484" s="195"/>
      <c r="J484" s="195"/>
      <c r="K484" s="195"/>
    </row>
    <row r="485">
      <c r="H485" s="195"/>
      <c r="I485" s="195"/>
      <c r="J485" s="195"/>
      <c r="K485" s="195"/>
    </row>
    <row r="486">
      <c r="H486" s="195"/>
      <c r="I486" s="195"/>
      <c r="J486" s="195"/>
      <c r="K486" s="195"/>
    </row>
    <row r="487">
      <c r="H487" s="195"/>
      <c r="I487" s="195"/>
      <c r="J487" s="195"/>
      <c r="K487" s="195"/>
    </row>
    <row r="488">
      <c r="H488" s="195"/>
      <c r="I488" s="195"/>
      <c r="J488" s="195"/>
      <c r="K488" s="195"/>
    </row>
    <row r="489">
      <c r="H489" s="195"/>
      <c r="I489" s="195"/>
      <c r="J489" s="195"/>
      <c r="K489" s="195"/>
    </row>
    <row r="490">
      <c r="H490" s="195"/>
      <c r="I490" s="195"/>
      <c r="J490" s="195"/>
      <c r="K490" s="195"/>
    </row>
    <row r="491">
      <c r="H491" s="195"/>
      <c r="I491" s="195"/>
      <c r="J491" s="195"/>
      <c r="K491" s="195"/>
    </row>
    <row r="492">
      <c r="H492" s="195"/>
      <c r="I492" s="195"/>
      <c r="J492" s="195"/>
      <c r="K492" s="195"/>
    </row>
    <row r="493">
      <c r="H493" s="195"/>
      <c r="I493" s="195"/>
      <c r="J493" s="195"/>
      <c r="K493" s="195"/>
    </row>
    <row r="494">
      <c r="H494" s="195"/>
      <c r="I494" s="195"/>
      <c r="J494" s="195"/>
      <c r="K494" s="195"/>
    </row>
    <row r="495">
      <c r="H495" s="195"/>
      <c r="I495" s="195"/>
      <c r="J495" s="195"/>
      <c r="K495" s="195"/>
    </row>
    <row r="496">
      <c r="H496" s="195"/>
      <c r="I496" s="195"/>
      <c r="J496" s="195"/>
      <c r="K496" s="195"/>
    </row>
    <row r="497">
      <c r="H497" s="195"/>
      <c r="I497" s="195"/>
      <c r="J497" s="195"/>
      <c r="K497" s="195"/>
    </row>
    <row r="498">
      <c r="H498" s="195"/>
      <c r="I498" s="195"/>
      <c r="J498" s="195"/>
      <c r="K498" s="195"/>
    </row>
    <row r="499">
      <c r="H499" s="195"/>
      <c r="I499" s="195"/>
      <c r="J499" s="195"/>
      <c r="K499" s="195"/>
    </row>
    <row r="500">
      <c r="H500" s="195"/>
      <c r="I500" s="195"/>
      <c r="J500" s="195"/>
      <c r="K500" s="195"/>
    </row>
    <row r="501">
      <c r="H501" s="195"/>
      <c r="I501" s="195"/>
      <c r="J501" s="195"/>
      <c r="K501" s="195"/>
    </row>
    <row r="502">
      <c r="H502" s="195"/>
      <c r="I502" s="195"/>
      <c r="J502" s="195"/>
      <c r="K502" s="195"/>
    </row>
    <row r="503">
      <c r="H503" s="195"/>
      <c r="I503" s="195"/>
      <c r="J503" s="195"/>
      <c r="K503" s="195"/>
    </row>
    <row r="504">
      <c r="H504" s="195"/>
      <c r="I504" s="195"/>
      <c r="J504" s="195"/>
      <c r="K504" s="195"/>
    </row>
    <row r="505">
      <c r="H505" s="195"/>
      <c r="I505" s="195"/>
      <c r="J505" s="195"/>
      <c r="K505" s="195"/>
    </row>
    <row r="506">
      <c r="H506" s="195"/>
      <c r="I506" s="195"/>
      <c r="J506" s="195"/>
      <c r="K506" s="195"/>
    </row>
    <row r="507">
      <c r="H507" s="195"/>
      <c r="I507" s="195"/>
      <c r="J507" s="195"/>
      <c r="K507" s="195"/>
    </row>
    <row r="508">
      <c r="H508" s="195"/>
      <c r="I508" s="195"/>
      <c r="J508" s="195"/>
      <c r="K508" s="195"/>
    </row>
    <row r="509">
      <c r="H509" s="195"/>
      <c r="I509" s="195"/>
      <c r="J509" s="195"/>
      <c r="K509" s="195"/>
    </row>
    <row r="510">
      <c r="H510" s="195"/>
      <c r="I510" s="195"/>
      <c r="J510" s="195"/>
      <c r="K510" s="195"/>
    </row>
    <row r="511">
      <c r="H511" s="195"/>
      <c r="I511" s="195"/>
      <c r="J511" s="195"/>
      <c r="K511" s="195"/>
    </row>
    <row r="512">
      <c r="H512" s="195"/>
      <c r="I512" s="195"/>
      <c r="J512" s="195"/>
      <c r="K512" s="195"/>
    </row>
    <row r="513">
      <c r="H513" s="195"/>
      <c r="I513" s="195"/>
      <c r="J513" s="195"/>
      <c r="K513" s="195"/>
    </row>
    <row r="514">
      <c r="H514" s="195"/>
      <c r="I514" s="195"/>
      <c r="J514" s="195"/>
      <c r="K514" s="195"/>
    </row>
    <row r="515">
      <c r="H515" s="195"/>
      <c r="I515" s="195"/>
      <c r="J515" s="195"/>
      <c r="K515" s="195"/>
    </row>
    <row r="516">
      <c r="H516" s="195"/>
      <c r="I516" s="195"/>
      <c r="J516" s="195"/>
      <c r="K516" s="195"/>
    </row>
    <row r="517">
      <c r="H517" s="195"/>
      <c r="I517" s="195"/>
      <c r="J517" s="195"/>
      <c r="K517" s="195"/>
    </row>
    <row r="518">
      <c r="H518" s="195"/>
      <c r="I518" s="195"/>
      <c r="J518" s="195"/>
      <c r="K518" s="195"/>
    </row>
    <row r="519">
      <c r="H519" s="195"/>
      <c r="I519" s="195"/>
      <c r="J519" s="195"/>
      <c r="K519" s="195"/>
    </row>
    <row r="520">
      <c r="H520" s="195"/>
      <c r="I520" s="195"/>
      <c r="J520" s="195"/>
      <c r="K520" s="195"/>
    </row>
    <row r="521">
      <c r="H521" s="195"/>
      <c r="I521" s="195"/>
      <c r="J521" s="195"/>
      <c r="K521" s="195"/>
    </row>
    <row r="522">
      <c r="H522" s="195"/>
      <c r="I522" s="195"/>
      <c r="J522" s="195"/>
      <c r="K522" s="195"/>
    </row>
    <row r="523">
      <c r="H523" s="195"/>
      <c r="I523" s="195"/>
      <c r="J523" s="195"/>
      <c r="K523" s="195"/>
    </row>
    <row r="524">
      <c r="H524" s="195"/>
      <c r="I524" s="195"/>
      <c r="J524" s="195"/>
      <c r="K524" s="195"/>
    </row>
    <row r="525">
      <c r="H525" s="195"/>
      <c r="I525" s="195"/>
      <c r="J525" s="195"/>
      <c r="K525" s="195"/>
    </row>
    <row r="526">
      <c r="H526" s="195"/>
      <c r="I526" s="195"/>
      <c r="J526" s="195"/>
      <c r="K526" s="195"/>
    </row>
    <row r="527">
      <c r="H527" s="195"/>
      <c r="I527" s="195"/>
      <c r="J527" s="195"/>
      <c r="K527" s="195"/>
    </row>
    <row r="528">
      <c r="H528" s="195"/>
      <c r="I528" s="195"/>
      <c r="J528" s="195"/>
      <c r="K528" s="195"/>
    </row>
    <row r="529">
      <c r="H529" s="195"/>
      <c r="I529" s="195"/>
      <c r="J529" s="195"/>
      <c r="K529" s="195"/>
    </row>
    <row r="530">
      <c r="H530" s="195"/>
      <c r="I530" s="195"/>
      <c r="J530" s="195"/>
      <c r="K530" s="195"/>
    </row>
    <row r="531">
      <c r="H531" s="195"/>
      <c r="I531" s="195"/>
      <c r="J531" s="195"/>
      <c r="K531" s="195"/>
    </row>
    <row r="532">
      <c r="H532" s="195"/>
      <c r="I532" s="195"/>
      <c r="J532" s="195"/>
      <c r="K532" s="195"/>
    </row>
    <row r="533">
      <c r="H533" s="195"/>
      <c r="I533" s="195"/>
      <c r="J533" s="195"/>
      <c r="K533" s="195"/>
    </row>
    <row r="534">
      <c r="H534" s="195"/>
      <c r="I534" s="195"/>
      <c r="J534" s="195"/>
      <c r="K534" s="195"/>
    </row>
    <row r="535">
      <c r="H535" s="195"/>
      <c r="I535" s="195"/>
      <c r="J535" s="195"/>
      <c r="K535" s="195"/>
    </row>
    <row r="536">
      <c r="H536" s="195"/>
      <c r="I536" s="195"/>
      <c r="J536" s="195"/>
      <c r="K536" s="195"/>
    </row>
    <row r="537">
      <c r="H537" s="195"/>
      <c r="I537" s="195"/>
      <c r="J537" s="195"/>
      <c r="K537" s="195"/>
    </row>
    <row r="538">
      <c r="H538" s="195"/>
      <c r="I538" s="195"/>
      <c r="J538" s="195"/>
      <c r="K538" s="195"/>
    </row>
    <row r="539">
      <c r="H539" s="195"/>
      <c r="I539" s="195"/>
      <c r="J539" s="195"/>
      <c r="K539" s="195"/>
    </row>
    <row r="540">
      <c r="H540" s="195"/>
      <c r="I540" s="195"/>
      <c r="J540" s="195"/>
      <c r="K540" s="195"/>
    </row>
    <row r="541">
      <c r="H541" s="195"/>
      <c r="I541" s="195"/>
      <c r="J541" s="195"/>
      <c r="K541" s="195"/>
    </row>
    <row r="542">
      <c r="H542" s="195"/>
      <c r="I542" s="195"/>
      <c r="J542" s="195"/>
      <c r="K542" s="195"/>
    </row>
    <row r="543">
      <c r="H543" s="195"/>
      <c r="I543" s="195"/>
      <c r="J543" s="195"/>
      <c r="K543" s="195"/>
    </row>
    <row r="544">
      <c r="H544" s="195"/>
      <c r="I544" s="195"/>
      <c r="J544" s="195"/>
      <c r="K544" s="195"/>
    </row>
    <row r="545">
      <c r="H545" s="195"/>
      <c r="I545" s="195"/>
      <c r="J545" s="195"/>
      <c r="K545" s="195"/>
    </row>
    <row r="546">
      <c r="H546" s="195"/>
      <c r="I546" s="195"/>
      <c r="J546" s="195"/>
      <c r="K546" s="195"/>
    </row>
    <row r="547">
      <c r="H547" s="195"/>
      <c r="I547" s="195"/>
      <c r="J547" s="195"/>
      <c r="K547" s="195"/>
    </row>
    <row r="548">
      <c r="H548" s="195"/>
      <c r="I548" s="195"/>
      <c r="J548" s="195"/>
      <c r="K548" s="195"/>
    </row>
    <row r="549">
      <c r="H549" s="195"/>
      <c r="I549" s="195"/>
      <c r="J549" s="195"/>
      <c r="K549" s="195"/>
    </row>
    <row r="550">
      <c r="H550" s="195"/>
      <c r="I550" s="195"/>
      <c r="J550" s="195"/>
      <c r="K550" s="195"/>
    </row>
    <row r="551">
      <c r="H551" s="195"/>
      <c r="I551" s="195"/>
      <c r="J551" s="195"/>
      <c r="K551" s="195"/>
    </row>
    <row r="552">
      <c r="H552" s="195"/>
      <c r="I552" s="195"/>
      <c r="J552" s="195"/>
      <c r="K552" s="195"/>
    </row>
    <row r="553">
      <c r="H553" s="195"/>
      <c r="I553" s="195"/>
      <c r="J553" s="195"/>
      <c r="K553" s="195"/>
    </row>
    <row r="554">
      <c r="H554" s="195"/>
      <c r="I554" s="195"/>
      <c r="J554" s="195"/>
      <c r="K554" s="195"/>
    </row>
    <row r="555">
      <c r="H555" s="195"/>
      <c r="I555" s="195"/>
      <c r="J555" s="195"/>
      <c r="K555" s="195"/>
    </row>
    <row r="556">
      <c r="H556" s="195"/>
      <c r="I556" s="195"/>
      <c r="J556" s="195"/>
      <c r="K556" s="195"/>
    </row>
    <row r="557">
      <c r="H557" s="195"/>
      <c r="I557" s="195"/>
      <c r="J557" s="195"/>
      <c r="K557" s="195"/>
    </row>
    <row r="558">
      <c r="H558" s="195"/>
      <c r="I558" s="195"/>
      <c r="J558" s="195"/>
      <c r="K558" s="195"/>
    </row>
    <row r="559">
      <c r="H559" s="195"/>
      <c r="I559" s="195"/>
      <c r="J559" s="195"/>
      <c r="K559" s="195"/>
    </row>
    <row r="560">
      <c r="H560" s="195"/>
      <c r="I560" s="195"/>
      <c r="J560" s="195"/>
      <c r="K560" s="195"/>
    </row>
    <row r="561">
      <c r="H561" s="195"/>
      <c r="I561" s="195"/>
      <c r="J561" s="195"/>
      <c r="K561" s="195"/>
    </row>
    <row r="562">
      <c r="H562" s="195"/>
      <c r="I562" s="195"/>
      <c r="J562" s="195"/>
      <c r="K562" s="195"/>
    </row>
    <row r="563">
      <c r="H563" s="195"/>
      <c r="I563" s="195"/>
      <c r="J563" s="195"/>
      <c r="K563" s="195"/>
    </row>
    <row r="564">
      <c r="H564" s="195"/>
      <c r="I564" s="195"/>
      <c r="J564" s="195"/>
      <c r="K564" s="195"/>
    </row>
    <row r="565">
      <c r="H565" s="195"/>
      <c r="I565" s="195"/>
      <c r="J565" s="195"/>
      <c r="K565" s="195"/>
    </row>
    <row r="566">
      <c r="H566" s="195"/>
      <c r="I566" s="195"/>
      <c r="J566" s="195"/>
      <c r="K566" s="195"/>
    </row>
    <row r="567">
      <c r="H567" s="195"/>
      <c r="I567" s="195"/>
      <c r="J567" s="195"/>
      <c r="K567" s="195"/>
    </row>
    <row r="568">
      <c r="H568" s="195"/>
      <c r="I568" s="195"/>
      <c r="J568" s="195"/>
      <c r="K568" s="195"/>
    </row>
    <row r="569">
      <c r="H569" s="195"/>
      <c r="I569" s="195"/>
      <c r="J569" s="195"/>
      <c r="K569" s="195"/>
    </row>
    <row r="570">
      <c r="H570" s="195"/>
      <c r="I570" s="195"/>
      <c r="J570" s="195"/>
      <c r="K570" s="195"/>
    </row>
    <row r="571">
      <c r="H571" s="195"/>
      <c r="I571" s="195"/>
      <c r="J571" s="195"/>
      <c r="K571" s="195"/>
    </row>
    <row r="572">
      <c r="H572" s="195"/>
      <c r="I572" s="195"/>
      <c r="J572" s="195"/>
      <c r="K572" s="195"/>
    </row>
    <row r="573">
      <c r="H573" s="195"/>
      <c r="I573" s="195"/>
      <c r="J573" s="195"/>
      <c r="K573" s="195"/>
    </row>
    <row r="574">
      <c r="H574" s="195"/>
      <c r="I574" s="195"/>
      <c r="J574" s="195"/>
      <c r="K574" s="195"/>
    </row>
    <row r="575">
      <c r="H575" s="195"/>
      <c r="I575" s="195"/>
      <c r="J575" s="195"/>
      <c r="K575" s="195"/>
    </row>
    <row r="576">
      <c r="H576" s="195"/>
      <c r="I576" s="195"/>
      <c r="J576" s="195"/>
      <c r="K576" s="195"/>
    </row>
    <row r="577">
      <c r="H577" s="195"/>
      <c r="I577" s="195"/>
      <c r="J577" s="195"/>
      <c r="K577" s="195"/>
    </row>
    <row r="578">
      <c r="H578" s="195"/>
      <c r="I578" s="195"/>
      <c r="J578" s="195"/>
      <c r="K578" s="195"/>
    </row>
    <row r="579">
      <c r="H579" s="195"/>
      <c r="I579" s="195"/>
      <c r="J579" s="195"/>
      <c r="K579" s="195"/>
    </row>
    <row r="580">
      <c r="H580" s="195"/>
      <c r="I580" s="195"/>
      <c r="J580" s="195"/>
      <c r="K580" s="195"/>
    </row>
    <row r="581">
      <c r="H581" s="195"/>
      <c r="I581" s="195"/>
      <c r="J581" s="195"/>
      <c r="K581" s="195"/>
    </row>
    <row r="582">
      <c r="H582" s="195"/>
      <c r="I582" s="195"/>
      <c r="J582" s="195"/>
      <c r="K582" s="195"/>
    </row>
    <row r="583">
      <c r="H583" s="195"/>
      <c r="I583" s="195"/>
      <c r="J583" s="195"/>
      <c r="K583" s="195"/>
    </row>
    <row r="584">
      <c r="H584" s="195"/>
      <c r="I584" s="195"/>
      <c r="J584" s="195"/>
      <c r="K584" s="195"/>
    </row>
    <row r="585">
      <c r="H585" s="195"/>
      <c r="I585" s="195"/>
      <c r="J585" s="195"/>
      <c r="K585" s="195"/>
    </row>
    <row r="586">
      <c r="H586" s="195"/>
      <c r="I586" s="195"/>
      <c r="J586" s="195"/>
      <c r="K586" s="195"/>
    </row>
    <row r="587">
      <c r="H587" s="195"/>
      <c r="I587" s="195"/>
      <c r="J587" s="195"/>
      <c r="K587" s="195"/>
    </row>
    <row r="588">
      <c r="H588" s="195"/>
      <c r="I588" s="195"/>
      <c r="J588" s="195"/>
      <c r="K588" s="195"/>
    </row>
    <row r="589">
      <c r="H589" s="195"/>
      <c r="I589" s="195"/>
      <c r="J589" s="195"/>
      <c r="K589" s="195"/>
    </row>
    <row r="590">
      <c r="H590" s="195"/>
      <c r="I590" s="195"/>
      <c r="J590" s="195"/>
      <c r="K590" s="195"/>
    </row>
    <row r="591">
      <c r="H591" s="195"/>
      <c r="I591" s="195"/>
      <c r="J591" s="195"/>
      <c r="K591" s="195"/>
    </row>
    <row r="592">
      <c r="H592" s="195"/>
      <c r="I592" s="195"/>
      <c r="J592" s="195"/>
      <c r="K592" s="195"/>
    </row>
    <row r="593">
      <c r="H593" s="195"/>
      <c r="I593" s="195"/>
      <c r="J593" s="195"/>
      <c r="K593" s="195"/>
    </row>
    <row r="594">
      <c r="H594" s="195"/>
      <c r="I594" s="195"/>
      <c r="J594" s="195"/>
      <c r="K594" s="195"/>
    </row>
    <row r="595">
      <c r="H595" s="195"/>
      <c r="I595" s="195"/>
      <c r="J595" s="195"/>
      <c r="K595" s="195"/>
    </row>
    <row r="596">
      <c r="H596" s="195"/>
      <c r="I596" s="195"/>
      <c r="J596" s="195"/>
      <c r="K596" s="195"/>
    </row>
    <row r="597">
      <c r="H597" s="195"/>
      <c r="I597" s="195"/>
      <c r="J597" s="195"/>
      <c r="K597" s="195"/>
    </row>
    <row r="598">
      <c r="H598" s="195"/>
      <c r="I598" s="195"/>
      <c r="J598" s="195"/>
      <c r="K598" s="195"/>
    </row>
    <row r="599">
      <c r="H599" s="195"/>
      <c r="I599" s="195"/>
      <c r="J599" s="195"/>
      <c r="K599" s="195"/>
    </row>
    <row r="600">
      <c r="H600" s="195"/>
      <c r="I600" s="195"/>
      <c r="J600" s="195"/>
      <c r="K600" s="195"/>
    </row>
    <row r="601">
      <c r="H601" s="195"/>
      <c r="I601" s="195"/>
      <c r="J601" s="195"/>
      <c r="K601" s="195"/>
    </row>
    <row r="602">
      <c r="H602" s="195"/>
      <c r="I602" s="195"/>
      <c r="J602" s="195"/>
      <c r="K602" s="195"/>
    </row>
    <row r="603">
      <c r="H603" s="195"/>
      <c r="I603" s="195"/>
      <c r="J603" s="195"/>
      <c r="K603" s="195"/>
    </row>
    <row r="604">
      <c r="H604" s="195"/>
      <c r="I604" s="195"/>
      <c r="J604" s="195"/>
      <c r="K604" s="195"/>
    </row>
    <row r="605">
      <c r="H605" s="195"/>
      <c r="I605" s="195"/>
      <c r="J605" s="195"/>
      <c r="K605" s="195"/>
    </row>
    <row r="606">
      <c r="H606" s="195"/>
      <c r="I606" s="195"/>
      <c r="J606" s="195"/>
      <c r="K606" s="195"/>
    </row>
    <row r="607">
      <c r="H607" s="195"/>
      <c r="I607" s="195"/>
      <c r="J607" s="195"/>
      <c r="K607" s="195"/>
    </row>
    <row r="608">
      <c r="H608" s="195"/>
      <c r="I608" s="195"/>
      <c r="J608" s="195"/>
      <c r="K608" s="195"/>
    </row>
    <row r="609">
      <c r="H609" s="195"/>
      <c r="I609" s="195"/>
      <c r="J609" s="195"/>
      <c r="K609" s="195"/>
    </row>
    <row r="610">
      <c r="H610" s="195"/>
      <c r="I610" s="195"/>
      <c r="J610" s="195"/>
      <c r="K610" s="195"/>
    </row>
    <row r="611">
      <c r="H611" s="195"/>
      <c r="I611" s="195"/>
      <c r="J611" s="195"/>
      <c r="K611" s="195"/>
    </row>
    <row r="612">
      <c r="H612" s="195"/>
      <c r="I612" s="195"/>
      <c r="J612" s="195"/>
      <c r="K612" s="195"/>
    </row>
    <row r="613">
      <c r="H613" s="195"/>
      <c r="I613" s="195"/>
      <c r="J613" s="195"/>
      <c r="K613" s="195"/>
    </row>
    <row r="614">
      <c r="H614" s="195"/>
      <c r="I614" s="195"/>
      <c r="J614" s="195"/>
      <c r="K614" s="195"/>
    </row>
    <row r="615">
      <c r="H615" s="195"/>
      <c r="I615" s="195"/>
      <c r="J615" s="195"/>
      <c r="K615" s="195"/>
    </row>
    <row r="616">
      <c r="H616" s="195"/>
      <c r="I616" s="195"/>
      <c r="J616" s="195"/>
      <c r="K616" s="195"/>
    </row>
    <row r="617">
      <c r="H617" s="195"/>
      <c r="I617" s="195"/>
      <c r="J617" s="195"/>
      <c r="K617" s="195"/>
    </row>
    <row r="618">
      <c r="H618" s="195"/>
      <c r="I618" s="195"/>
      <c r="J618" s="195"/>
      <c r="K618" s="195"/>
    </row>
    <row r="619">
      <c r="H619" s="195"/>
      <c r="I619" s="195"/>
      <c r="J619" s="195"/>
      <c r="K619" s="195"/>
    </row>
    <row r="620">
      <c r="H620" s="195"/>
      <c r="I620" s="195"/>
      <c r="J620" s="195"/>
      <c r="K620" s="195"/>
    </row>
    <row r="621">
      <c r="H621" s="195"/>
      <c r="I621" s="195"/>
      <c r="J621" s="195"/>
      <c r="K621" s="195"/>
    </row>
    <row r="622">
      <c r="H622" s="195"/>
      <c r="I622" s="195"/>
      <c r="J622" s="195"/>
      <c r="K622" s="195"/>
    </row>
    <row r="623">
      <c r="H623" s="195"/>
      <c r="I623" s="195"/>
      <c r="J623" s="195"/>
      <c r="K623" s="195"/>
    </row>
    <row r="624">
      <c r="H624" s="195"/>
      <c r="I624" s="195"/>
      <c r="J624" s="195"/>
      <c r="K624" s="195"/>
    </row>
    <row r="625">
      <c r="H625" s="195"/>
      <c r="I625" s="195"/>
      <c r="J625" s="195"/>
      <c r="K625" s="195"/>
    </row>
    <row r="626">
      <c r="H626" s="195"/>
      <c r="I626" s="195"/>
      <c r="J626" s="195"/>
      <c r="K626" s="195"/>
    </row>
    <row r="627">
      <c r="H627" s="195"/>
      <c r="I627" s="195"/>
      <c r="J627" s="195"/>
      <c r="K627" s="195"/>
    </row>
    <row r="628">
      <c r="H628" s="195"/>
      <c r="I628" s="195"/>
      <c r="J628" s="195"/>
      <c r="K628" s="195"/>
    </row>
    <row r="629">
      <c r="H629" s="195"/>
      <c r="I629" s="195"/>
      <c r="J629" s="195"/>
      <c r="K629" s="195"/>
    </row>
    <row r="630">
      <c r="H630" s="195"/>
      <c r="I630" s="195"/>
      <c r="J630" s="195"/>
      <c r="K630" s="195"/>
    </row>
    <row r="631">
      <c r="H631" s="195"/>
      <c r="I631" s="195"/>
      <c r="J631" s="195"/>
      <c r="K631" s="195"/>
    </row>
    <row r="632">
      <c r="H632" s="195"/>
      <c r="I632" s="195"/>
      <c r="J632" s="195"/>
      <c r="K632" s="195"/>
    </row>
    <row r="633">
      <c r="H633" s="195"/>
      <c r="I633" s="195"/>
      <c r="J633" s="195"/>
      <c r="K633" s="195"/>
    </row>
    <row r="634">
      <c r="H634" s="195"/>
      <c r="I634" s="195"/>
      <c r="J634" s="195"/>
      <c r="K634" s="195"/>
    </row>
    <row r="635">
      <c r="H635" s="195"/>
      <c r="I635" s="195"/>
      <c r="J635" s="195"/>
      <c r="K635" s="195"/>
    </row>
    <row r="636">
      <c r="H636" s="195"/>
      <c r="I636" s="195"/>
      <c r="J636" s="195"/>
      <c r="K636" s="195"/>
    </row>
    <row r="637">
      <c r="H637" s="195"/>
      <c r="I637" s="195"/>
      <c r="J637" s="195"/>
      <c r="K637" s="195"/>
    </row>
    <row r="638">
      <c r="H638" s="195"/>
      <c r="I638" s="195"/>
      <c r="J638" s="195"/>
      <c r="K638" s="195"/>
    </row>
    <row r="639">
      <c r="H639" s="195"/>
      <c r="I639" s="195"/>
      <c r="J639" s="195"/>
      <c r="K639" s="195"/>
    </row>
    <row r="640">
      <c r="H640" s="195"/>
      <c r="I640" s="195"/>
      <c r="J640" s="195"/>
      <c r="K640" s="195"/>
    </row>
    <row r="641">
      <c r="H641" s="195"/>
      <c r="I641" s="195"/>
      <c r="J641" s="195"/>
      <c r="K641" s="195"/>
    </row>
    <row r="642">
      <c r="H642" s="195"/>
      <c r="I642" s="195"/>
      <c r="J642" s="195"/>
      <c r="K642" s="195"/>
    </row>
    <row r="643">
      <c r="H643" s="195"/>
      <c r="I643" s="195"/>
      <c r="J643" s="195"/>
      <c r="K643" s="195"/>
    </row>
    <row r="644">
      <c r="H644" s="195"/>
      <c r="I644" s="195"/>
      <c r="J644" s="195"/>
      <c r="K644" s="195"/>
    </row>
    <row r="645">
      <c r="H645" s="195"/>
      <c r="I645" s="195"/>
      <c r="J645" s="195"/>
      <c r="K645" s="195"/>
    </row>
    <row r="646">
      <c r="H646" s="195"/>
      <c r="I646" s="195"/>
      <c r="J646" s="195"/>
      <c r="K646" s="195"/>
    </row>
    <row r="647">
      <c r="H647" s="195"/>
      <c r="I647" s="195"/>
      <c r="J647" s="195"/>
      <c r="K647" s="195"/>
    </row>
    <row r="648">
      <c r="H648" s="195"/>
      <c r="I648" s="195"/>
      <c r="J648" s="195"/>
      <c r="K648" s="195"/>
    </row>
    <row r="649">
      <c r="H649" s="195"/>
      <c r="I649" s="195"/>
      <c r="J649" s="195"/>
      <c r="K649" s="195"/>
    </row>
    <row r="650">
      <c r="H650" s="195"/>
      <c r="I650" s="195"/>
      <c r="J650" s="195"/>
      <c r="K650" s="195"/>
    </row>
    <row r="651">
      <c r="H651" s="195"/>
      <c r="I651" s="195"/>
      <c r="J651" s="195"/>
      <c r="K651" s="195"/>
    </row>
    <row r="652">
      <c r="H652" s="195"/>
      <c r="I652" s="195"/>
      <c r="J652" s="195"/>
      <c r="K652" s="195"/>
    </row>
    <row r="653">
      <c r="H653" s="195"/>
      <c r="I653" s="195"/>
      <c r="J653" s="195"/>
      <c r="K653" s="195"/>
    </row>
    <row r="654">
      <c r="H654" s="195"/>
      <c r="I654" s="195"/>
      <c r="J654" s="195"/>
      <c r="K654" s="195"/>
    </row>
    <row r="655">
      <c r="H655" s="195"/>
      <c r="I655" s="195"/>
      <c r="J655" s="195"/>
      <c r="K655" s="195"/>
    </row>
    <row r="656">
      <c r="H656" s="195"/>
      <c r="I656" s="195"/>
      <c r="J656" s="195"/>
      <c r="K656" s="195"/>
    </row>
    <row r="657">
      <c r="H657" s="195"/>
      <c r="I657" s="195"/>
      <c r="J657" s="195"/>
      <c r="K657" s="195"/>
    </row>
    <row r="658">
      <c r="H658" s="195"/>
      <c r="I658" s="195"/>
      <c r="J658" s="195"/>
      <c r="K658" s="195"/>
    </row>
    <row r="659">
      <c r="H659" s="195"/>
      <c r="I659" s="195"/>
      <c r="J659" s="195"/>
      <c r="K659" s="195"/>
    </row>
    <row r="660">
      <c r="H660" s="195"/>
      <c r="I660" s="195"/>
      <c r="J660" s="195"/>
      <c r="K660" s="195"/>
    </row>
    <row r="661">
      <c r="H661" s="195"/>
      <c r="I661" s="195"/>
      <c r="J661" s="195"/>
      <c r="K661" s="195"/>
    </row>
    <row r="662">
      <c r="H662" s="195"/>
      <c r="I662" s="195"/>
      <c r="J662" s="195"/>
      <c r="K662" s="195"/>
    </row>
    <row r="663">
      <c r="H663" s="195"/>
      <c r="I663" s="195"/>
      <c r="J663" s="195"/>
      <c r="K663" s="195"/>
    </row>
    <row r="664">
      <c r="H664" s="195"/>
      <c r="I664" s="195"/>
      <c r="J664" s="195"/>
      <c r="K664" s="195"/>
    </row>
    <row r="665">
      <c r="H665" s="195"/>
      <c r="I665" s="195"/>
      <c r="J665" s="195"/>
      <c r="K665" s="195"/>
    </row>
    <row r="666">
      <c r="H666" s="195"/>
      <c r="I666" s="195"/>
      <c r="J666" s="195"/>
      <c r="K666" s="195"/>
    </row>
    <row r="667">
      <c r="H667" s="195"/>
      <c r="I667" s="195"/>
      <c r="J667" s="195"/>
      <c r="K667" s="195"/>
    </row>
    <row r="668">
      <c r="H668" s="195"/>
      <c r="I668" s="195"/>
      <c r="J668" s="195"/>
      <c r="K668" s="195"/>
    </row>
    <row r="669">
      <c r="H669" s="195"/>
      <c r="I669" s="195"/>
      <c r="J669" s="195"/>
      <c r="K669" s="195"/>
    </row>
    <row r="670">
      <c r="H670" s="195"/>
      <c r="I670" s="195"/>
      <c r="J670" s="195"/>
      <c r="K670" s="195"/>
    </row>
    <row r="671">
      <c r="H671" s="195"/>
      <c r="I671" s="195"/>
      <c r="J671" s="195"/>
      <c r="K671" s="195"/>
    </row>
    <row r="672">
      <c r="H672" s="195"/>
      <c r="I672" s="195"/>
      <c r="J672" s="195"/>
      <c r="K672" s="195"/>
    </row>
    <row r="673">
      <c r="H673" s="195"/>
      <c r="I673" s="195"/>
      <c r="J673" s="195"/>
      <c r="K673" s="195"/>
    </row>
    <row r="674">
      <c r="H674" s="195"/>
      <c r="I674" s="195"/>
      <c r="J674" s="195"/>
      <c r="K674" s="195"/>
    </row>
    <row r="675">
      <c r="H675" s="195"/>
      <c r="I675" s="195"/>
      <c r="J675" s="195"/>
      <c r="K675" s="195"/>
    </row>
    <row r="676">
      <c r="H676" s="195"/>
      <c r="I676" s="195"/>
      <c r="J676" s="195"/>
      <c r="K676" s="195"/>
    </row>
    <row r="677">
      <c r="H677" s="195"/>
      <c r="I677" s="195"/>
      <c r="J677" s="195"/>
      <c r="K677" s="195"/>
    </row>
    <row r="678">
      <c r="H678" s="195"/>
      <c r="I678" s="195"/>
      <c r="J678" s="195"/>
      <c r="K678" s="195"/>
    </row>
    <row r="679">
      <c r="H679" s="195"/>
      <c r="I679" s="195"/>
      <c r="J679" s="195"/>
      <c r="K679" s="195"/>
    </row>
    <row r="680">
      <c r="H680" s="195"/>
      <c r="I680" s="195"/>
      <c r="J680" s="195"/>
      <c r="K680" s="195"/>
    </row>
    <row r="681">
      <c r="H681" s="195"/>
      <c r="I681" s="195"/>
      <c r="J681" s="195"/>
      <c r="K681" s="195"/>
    </row>
    <row r="682">
      <c r="H682" s="195"/>
      <c r="I682" s="195"/>
      <c r="J682" s="195"/>
      <c r="K682" s="195"/>
    </row>
    <row r="683">
      <c r="H683" s="195"/>
      <c r="I683" s="195"/>
      <c r="J683" s="195"/>
      <c r="K683" s="195"/>
    </row>
    <row r="684">
      <c r="H684" s="195"/>
      <c r="I684" s="195"/>
      <c r="J684" s="195"/>
      <c r="K684" s="195"/>
    </row>
    <row r="685">
      <c r="H685" s="195"/>
      <c r="I685" s="195"/>
      <c r="J685" s="195"/>
      <c r="K685" s="195"/>
    </row>
    <row r="686">
      <c r="H686" s="195"/>
      <c r="I686" s="195"/>
      <c r="J686" s="195"/>
      <c r="K686" s="195"/>
    </row>
    <row r="687">
      <c r="H687" s="195"/>
      <c r="I687" s="195"/>
      <c r="J687" s="195"/>
      <c r="K687" s="195"/>
    </row>
    <row r="688">
      <c r="H688" s="195"/>
      <c r="I688" s="195"/>
      <c r="J688" s="195"/>
      <c r="K688" s="195"/>
    </row>
    <row r="689">
      <c r="H689" s="195"/>
      <c r="I689" s="195"/>
      <c r="J689" s="195"/>
      <c r="K689" s="195"/>
    </row>
    <row r="690">
      <c r="H690" s="195"/>
      <c r="I690" s="195"/>
      <c r="J690" s="195"/>
      <c r="K690" s="195"/>
    </row>
    <row r="691">
      <c r="H691" s="195"/>
      <c r="I691" s="195"/>
      <c r="J691" s="195"/>
      <c r="K691" s="195"/>
    </row>
    <row r="692">
      <c r="H692" s="195"/>
      <c r="I692" s="195"/>
      <c r="J692" s="195"/>
      <c r="K692" s="195"/>
    </row>
    <row r="693">
      <c r="H693" s="195"/>
      <c r="I693" s="195"/>
      <c r="J693" s="195"/>
      <c r="K693" s="195"/>
    </row>
    <row r="694">
      <c r="H694" s="195"/>
      <c r="I694" s="195"/>
      <c r="J694" s="195"/>
      <c r="K694" s="195"/>
    </row>
    <row r="695">
      <c r="H695" s="195"/>
      <c r="I695" s="195"/>
      <c r="J695" s="195"/>
      <c r="K695" s="195"/>
    </row>
    <row r="696">
      <c r="H696" s="195"/>
      <c r="I696" s="195"/>
      <c r="J696" s="195"/>
      <c r="K696" s="195"/>
    </row>
    <row r="697">
      <c r="H697" s="195"/>
      <c r="I697" s="195"/>
      <c r="J697" s="195"/>
      <c r="K697" s="195"/>
    </row>
    <row r="698">
      <c r="H698" s="195"/>
      <c r="I698" s="195"/>
      <c r="J698" s="195"/>
      <c r="K698" s="195"/>
    </row>
    <row r="699">
      <c r="H699" s="195"/>
      <c r="I699" s="195"/>
      <c r="J699" s="195"/>
      <c r="K699" s="195"/>
    </row>
    <row r="700">
      <c r="H700" s="195"/>
      <c r="I700" s="195"/>
      <c r="J700" s="195"/>
      <c r="K700" s="195"/>
    </row>
    <row r="701">
      <c r="H701" s="195"/>
      <c r="I701" s="195"/>
      <c r="J701" s="195"/>
      <c r="K701" s="195"/>
    </row>
    <row r="702">
      <c r="H702" s="195"/>
      <c r="I702" s="195"/>
      <c r="J702" s="195"/>
      <c r="K702" s="195"/>
    </row>
    <row r="703">
      <c r="H703" s="195"/>
      <c r="I703" s="195"/>
      <c r="J703" s="195"/>
      <c r="K703" s="195"/>
    </row>
    <row r="704">
      <c r="H704" s="195"/>
      <c r="I704" s="195"/>
      <c r="J704" s="195"/>
      <c r="K704" s="195"/>
    </row>
    <row r="705">
      <c r="H705" s="195"/>
      <c r="I705" s="195"/>
      <c r="J705" s="195"/>
      <c r="K705" s="195"/>
    </row>
    <row r="706">
      <c r="H706" s="195"/>
      <c r="I706" s="195"/>
      <c r="J706" s="195"/>
      <c r="K706" s="195"/>
    </row>
    <row r="707">
      <c r="H707" s="195"/>
      <c r="I707" s="195"/>
      <c r="J707" s="195"/>
      <c r="K707" s="195"/>
    </row>
    <row r="708">
      <c r="H708" s="195"/>
      <c r="I708" s="195"/>
      <c r="J708" s="195"/>
      <c r="K708" s="195"/>
    </row>
    <row r="709">
      <c r="H709" s="195"/>
      <c r="I709" s="195"/>
      <c r="J709" s="195"/>
      <c r="K709" s="195"/>
    </row>
    <row r="710">
      <c r="H710" s="195"/>
      <c r="I710" s="195"/>
      <c r="J710" s="195"/>
      <c r="K710" s="195"/>
    </row>
    <row r="711">
      <c r="H711" s="195"/>
      <c r="I711" s="195"/>
      <c r="J711" s="195"/>
      <c r="K711" s="195"/>
    </row>
    <row r="712">
      <c r="H712" s="195"/>
      <c r="I712" s="195"/>
      <c r="J712" s="195"/>
      <c r="K712" s="195"/>
    </row>
    <row r="713">
      <c r="H713" s="195"/>
      <c r="I713" s="195"/>
      <c r="J713" s="195"/>
      <c r="K713" s="195"/>
    </row>
    <row r="714">
      <c r="H714" s="195"/>
      <c r="I714" s="195"/>
      <c r="J714" s="195"/>
      <c r="K714" s="195"/>
    </row>
    <row r="715">
      <c r="H715" s="195"/>
      <c r="I715" s="195"/>
      <c r="J715" s="195"/>
      <c r="K715" s="195"/>
    </row>
    <row r="716">
      <c r="H716" s="195"/>
      <c r="I716" s="195"/>
      <c r="J716" s="195"/>
      <c r="K716" s="195"/>
    </row>
    <row r="717">
      <c r="H717" s="195"/>
      <c r="I717" s="195"/>
      <c r="J717" s="195"/>
      <c r="K717" s="195"/>
    </row>
    <row r="718">
      <c r="H718" s="195"/>
      <c r="I718" s="195"/>
      <c r="J718" s="195"/>
      <c r="K718" s="195"/>
    </row>
    <row r="719">
      <c r="H719" s="195"/>
      <c r="I719" s="195"/>
      <c r="J719" s="195"/>
      <c r="K719" s="195"/>
    </row>
    <row r="720">
      <c r="H720" s="195"/>
      <c r="I720" s="195"/>
      <c r="J720" s="195"/>
      <c r="K720" s="195"/>
    </row>
    <row r="721">
      <c r="H721" s="195"/>
      <c r="I721" s="195"/>
      <c r="J721" s="195"/>
      <c r="K721" s="195"/>
    </row>
    <row r="722">
      <c r="H722" s="195"/>
      <c r="I722" s="195"/>
      <c r="J722" s="195"/>
      <c r="K722" s="195"/>
    </row>
    <row r="723">
      <c r="H723" s="195"/>
      <c r="I723" s="195"/>
      <c r="J723" s="195"/>
      <c r="K723" s="195"/>
    </row>
    <row r="724">
      <c r="H724" s="195"/>
      <c r="I724" s="195"/>
      <c r="J724" s="195"/>
      <c r="K724" s="195"/>
    </row>
    <row r="725">
      <c r="H725" s="195"/>
      <c r="I725" s="195"/>
      <c r="J725" s="195"/>
      <c r="K725" s="195"/>
    </row>
    <row r="726">
      <c r="H726" s="195"/>
      <c r="I726" s="195"/>
      <c r="J726" s="195"/>
      <c r="K726" s="195"/>
    </row>
    <row r="727">
      <c r="H727" s="195"/>
      <c r="I727" s="195"/>
      <c r="J727" s="195"/>
      <c r="K727" s="195"/>
    </row>
    <row r="728">
      <c r="H728" s="195"/>
      <c r="I728" s="195"/>
      <c r="J728" s="195"/>
      <c r="K728" s="195"/>
    </row>
    <row r="729">
      <c r="H729" s="195"/>
      <c r="I729" s="195"/>
      <c r="J729" s="195"/>
      <c r="K729" s="195"/>
    </row>
    <row r="730">
      <c r="H730" s="195"/>
      <c r="I730" s="195"/>
      <c r="J730" s="195"/>
      <c r="K730" s="195"/>
    </row>
    <row r="731">
      <c r="H731" s="195"/>
      <c r="I731" s="195"/>
      <c r="J731" s="195"/>
      <c r="K731" s="195"/>
    </row>
    <row r="732">
      <c r="H732" s="195"/>
      <c r="I732" s="195"/>
      <c r="J732" s="195"/>
      <c r="K732" s="195"/>
    </row>
    <row r="733">
      <c r="H733" s="195"/>
      <c r="I733" s="195"/>
      <c r="J733" s="195"/>
      <c r="K733" s="195"/>
    </row>
    <row r="734">
      <c r="H734" s="195"/>
      <c r="I734" s="195"/>
      <c r="J734" s="195"/>
      <c r="K734" s="195"/>
    </row>
    <row r="735">
      <c r="H735" s="195"/>
      <c r="I735" s="195"/>
      <c r="J735" s="195"/>
      <c r="K735" s="195"/>
    </row>
    <row r="736">
      <c r="H736" s="195"/>
      <c r="I736" s="195"/>
      <c r="J736" s="195"/>
      <c r="K736" s="195"/>
    </row>
    <row r="737">
      <c r="H737" s="195"/>
      <c r="I737" s="195"/>
      <c r="J737" s="195"/>
      <c r="K737" s="195"/>
    </row>
    <row r="738">
      <c r="H738" s="195"/>
      <c r="I738" s="195"/>
      <c r="J738" s="195"/>
      <c r="K738" s="195"/>
    </row>
    <row r="739">
      <c r="H739" s="195"/>
      <c r="I739" s="195"/>
      <c r="J739" s="195"/>
      <c r="K739" s="195"/>
    </row>
    <row r="740">
      <c r="H740" s="195"/>
      <c r="I740" s="195"/>
      <c r="J740" s="195"/>
      <c r="K740" s="195"/>
    </row>
    <row r="741">
      <c r="H741" s="195"/>
      <c r="I741" s="195"/>
      <c r="J741" s="195"/>
      <c r="K741" s="195"/>
    </row>
    <row r="742">
      <c r="H742" s="195"/>
      <c r="I742" s="195"/>
      <c r="J742" s="195"/>
      <c r="K742" s="195"/>
    </row>
    <row r="743">
      <c r="H743" s="195"/>
      <c r="I743" s="195"/>
      <c r="J743" s="195"/>
      <c r="K743" s="195"/>
    </row>
    <row r="744">
      <c r="H744" s="195"/>
      <c r="I744" s="195"/>
      <c r="J744" s="195"/>
      <c r="K744" s="195"/>
    </row>
    <row r="745">
      <c r="H745" s="195"/>
      <c r="I745" s="195"/>
      <c r="J745" s="195"/>
      <c r="K745" s="195"/>
    </row>
    <row r="746">
      <c r="H746" s="195"/>
      <c r="I746" s="195"/>
      <c r="J746" s="195"/>
      <c r="K746" s="195"/>
    </row>
    <row r="747">
      <c r="H747" s="195"/>
      <c r="I747" s="195"/>
      <c r="J747" s="195"/>
      <c r="K747" s="195"/>
    </row>
    <row r="748">
      <c r="H748" s="195"/>
      <c r="I748" s="195"/>
      <c r="J748" s="195"/>
      <c r="K748" s="195"/>
    </row>
    <row r="749">
      <c r="H749" s="195"/>
      <c r="I749" s="195"/>
      <c r="J749" s="195"/>
      <c r="K749" s="195"/>
    </row>
    <row r="750">
      <c r="H750" s="195"/>
      <c r="I750" s="195"/>
      <c r="J750" s="195"/>
      <c r="K750" s="195"/>
    </row>
    <row r="751">
      <c r="H751" s="195"/>
      <c r="I751" s="195"/>
      <c r="J751" s="195"/>
      <c r="K751" s="195"/>
    </row>
    <row r="752">
      <c r="H752" s="195"/>
      <c r="I752" s="195"/>
      <c r="J752" s="195"/>
      <c r="K752" s="195"/>
    </row>
    <row r="753">
      <c r="H753" s="195"/>
      <c r="I753" s="195"/>
      <c r="J753" s="195"/>
      <c r="K753" s="195"/>
    </row>
    <row r="754">
      <c r="H754" s="195"/>
      <c r="I754" s="195"/>
      <c r="J754" s="195"/>
      <c r="K754" s="195"/>
    </row>
    <row r="755">
      <c r="H755" s="195"/>
      <c r="I755" s="195"/>
      <c r="J755" s="195"/>
      <c r="K755" s="195"/>
    </row>
    <row r="756">
      <c r="H756" s="195"/>
      <c r="I756" s="195"/>
      <c r="J756" s="195"/>
      <c r="K756" s="195"/>
    </row>
    <row r="757">
      <c r="H757" s="195"/>
      <c r="I757" s="195"/>
      <c r="J757" s="195"/>
      <c r="K757" s="195"/>
    </row>
    <row r="758">
      <c r="H758" s="195"/>
      <c r="I758" s="195"/>
      <c r="J758" s="195"/>
      <c r="K758" s="195"/>
    </row>
    <row r="759">
      <c r="H759" s="195"/>
      <c r="I759" s="195"/>
      <c r="J759" s="195"/>
      <c r="K759" s="195"/>
    </row>
    <row r="760">
      <c r="H760" s="195"/>
      <c r="I760" s="195"/>
      <c r="J760" s="195"/>
      <c r="K760" s="195"/>
    </row>
    <row r="761">
      <c r="H761" s="195"/>
      <c r="I761" s="195"/>
      <c r="J761" s="195"/>
      <c r="K761" s="195"/>
    </row>
    <row r="762">
      <c r="H762" s="195"/>
      <c r="I762" s="195"/>
      <c r="J762" s="195"/>
      <c r="K762" s="195"/>
    </row>
    <row r="763">
      <c r="H763" s="195"/>
      <c r="I763" s="195"/>
      <c r="J763" s="195"/>
      <c r="K763" s="195"/>
    </row>
    <row r="764">
      <c r="H764" s="195"/>
      <c r="I764" s="195"/>
      <c r="J764" s="195"/>
      <c r="K764" s="195"/>
    </row>
    <row r="765">
      <c r="H765" s="195"/>
      <c r="I765" s="195"/>
      <c r="J765" s="195"/>
      <c r="K765" s="195"/>
    </row>
    <row r="766">
      <c r="H766" s="195"/>
      <c r="I766" s="195"/>
      <c r="J766" s="195"/>
      <c r="K766" s="195"/>
    </row>
    <row r="767">
      <c r="H767" s="195"/>
      <c r="I767" s="195"/>
      <c r="J767" s="195"/>
      <c r="K767" s="195"/>
    </row>
    <row r="768">
      <c r="H768" s="195"/>
      <c r="I768" s="195"/>
      <c r="J768" s="195"/>
      <c r="K768" s="195"/>
    </row>
    <row r="769">
      <c r="H769" s="195"/>
      <c r="I769" s="195"/>
      <c r="J769" s="195"/>
      <c r="K769" s="195"/>
    </row>
    <row r="770">
      <c r="H770" s="195"/>
      <c r="I770" s="195"/>
      <c r="J770" s="195"/>
      <c r="K770" s="195"/>
    </row>
    <row r="771">
      <c r="H771" s="195"/>
      <c r="I771" s="195"/>
      <c r="J771" s="195"/>
      <c r="K771" s="195"/>
    </row>
    <row r="772">
      <c r="H772" s="195"/>
      <c r="I772" s="195"/>
      <c r="J772" s="195"/>
      <c r="K772" s="195"/>
    </row>
    <row r="773">
      <c r="H773" s="195"/>
      <c r="I773" s="195"/>
      <c r="J773" s="195"/>
      <c r="K773" s="195"/>
    </row>
    <row r="774">
      <c r="H774" s="195"/>
      <c r="I774" s="195"/>
      <c r="J774" s="195"/>
      <c r="K774" s="195"/>
    </row>
    <row r="775">
      <c r="H775" s="195"/>
      <c r="I775" s="195"/>
      <c r="J775" s="195"/>
      <c r="K775" s="195"/>
    </row>
    <row r="776">
      <c r="H776" s="195"/>
      <c r="I776" s="195"/>
      <c r="J776" s="195"/>
      <c r="K776" s="195"/>
    </row>
    <row r="777">
      <c r="H777" s="195"/>
      <c r="I777" s="195"/>
      <c r="J777" s="195"/>
      <c r="K777" s="195"/>
    </row>
    <row r="778">
      <c r="H778" s="195"/>
      <c r="I778" s="195"/>
      <c r="J778" s="195"/>
      <c r="K778" s="195"/>
    </row>
    <row r="779">
      <c r="H779" s="195"/>
      <c r="I779" s="195"/>
      <c r="J779" s="195"/>
      <c r="K779" s="195"/>
    </row>
    <row r="780">
      <c r="H780" s="195"/>
      <c r="I780" s="195"/>
      <c r="J780" s="195"/>
      <c r="K780" s="195"/>
    </row>
    <row r="781">
      <c r="H781" s="195"/>
      <c r="I781" s="195"/>
      <c r="J781" s="195"/>
      <c r="K781" s="195"/>
    </row>
    <row r="782">
      <c r="H782" s="195"/>
      <c r="I782" s="195"/>
      <c r="J782" s="195"/>
      <c r="K782" s="195"/>
    </row>
    <row r="783">
      <c r="H783" s="195"/>
      <c r="I783" s="195"/>
      <c r="J783" s="195"/>
      <c r="K783" s="195"/>
    </row>
    <row r="784">
      <c r="H784" s="195"/>
      <c r="I784" s="195"/>
      <c r="J784" s="195"/>
      <c r="K784" s="195"/>
    </row>
    <row r="785">
      <c r="H785" s="195"/>
      <c r="I785" s="195"/>
      <c r="J785" s="195"/>
      <c r="K785" s="195"/>
    </row>
    <row r="786">
      <c r="H786" s="195"/>
      <c r="I786" s="195"/>
      <c r="J786" s="195"/>
      <c r="K786" s="195"/>
    </row>
    <row r="787">
      <c r="H787" s="195"/>
      <c r="I787" s="195"/>
      <c r="J787" s="195"/>
      <c r="K787" s="195"/>
    </row>
    <row r="788">
      <c r="H788" s="195"/>
      <c r="I788" s="195"/>
      <c r="J788" s="195"/>
      <c r="K788" s="195"/>
    </row>
    <row r="789">
      <c r="H789" s="195"/>
      <c r="I789" s="195"/>
      <c r="J789" s="195"/>
      <c r="K789" s="195"/>
    </row>
    <row r="790">
      <c r="H790" s="195"/>
      <c r="I790" s="195"/>
      <c r="J790" s="195"/>
      <c r="K790" s="195"/>
    </row>
    <row r="791">
      <c r="H791" s="195"/>
      <c r="I791" s="195"/>
      <c r="J791" s="195"/>
      <c r="K791" s="195"/>
    </row>
    <row r="792">
      <c r="H792" s="195"/>
      <c r="I792" s="195"/>
      <c r="J792" s="195"/>
      <c r="K792" s="195"/>
    </row>
    <row r="793">
      <c r="H793" s="195"/>
      <c r="I793" s="195"/>
      <c r="J793" s="195"/>
      <c r="K793" s="195"/>
    </row>
    <row r="794">
      <c r="H794" s="195"/>
      <c r="I794" s="195"/>
      <c r="J794" s="195"/>
      <c r="K794" s="195"/>
    </row>
    <row r="795">
      <c r="H795" s="195"/>
      <c r="I795" s="195"/>
      <c r="J795" s="195"/>
      <c r="K795" s="195"/>
    </row>
    <row r="796">
      <c r="H796" s="195"/>
      <c r="I796" s="195"/>
      <c r="J796" s="195"/>
      <c r="K796" s="195"/>
    </row>
    <row r="797">
      <c r="H797" s="195"/>
      <c r="I797" s="195"/>
      <c r="J797" s="195"/>
      <c r="K797" s="195"/>
    </row>
    <row r="798">
      <c r="H798" s="195"/>
      <c r="I798" s="195"/>
      <c r="J798" s="195"/>
      <c r="K798" s="195"/>
    </row>
    <row r="799">
      <c r="H799" s="195"/>
      <c r="I799" s="195"/>
      <c r="J799" s="195"/>
      <c r="K799" s="195"/>
    </row>
    <row r="800">
      <c r="H800" s="195"/>
      <c r="I800" s="195"/>
      <c r="J800" s="195"/>
      <c r="K800" s="195"/>
    </row>
    <row r="801">
      <c r="H801" s="195"/>
      <c r="I801" s="195"/>
      <c r="J801" s="195"/>
      <c r="K801" s="195"/>
    </row>
    <row r="802">
      <c r="H802" s="195"/>
      <c r="I802" s="195"/>
      <c r="J802" s="195"/>
      <c r="K802" s="195"/>
    </row>
    <row r="803">
      <c r="H803" s="195"/>
      <c r="I803" s="195"/>
      <c r="J803" s="195"/>
      <c r="K803" s="195"/>
    </row>
    <row r="804">
      <c r="H804" s="195"/>
      <c r="I804" s="195"/>
      <c r="J804" s="195"/>
      <c r="K804" s="195"/>
    </row>
    <row r="805">
      <c r="H805" s="195"/>
      <c r="I805" s="195"/>
      <c r="J805" s="195"/>
      <c r="K805" s="195"/>
    </row>
    <row r="806">
      <c r="H806" s="195"/>
      <c r="I806" s="195"/>
      <c r="J806" s="195"/>
      <c r="K806" s="195"/>
    </row>
    <row r="807">
      <c r="H807" s="195"/>
      <c r="I807" s="195"/>
      <c r="J807" s="195"/>
      <c r="K807" s="195"/>
    </row>
    <row r="808">
      <c r="H808" s="195"/>
      <c r="I808" s="195"/>
      <c r="J808" s="195"/>
      <c r="K808" s="195"/>
    </row>
    <row r="809">
      <c r="H809" s="195"/>
      <c r="I809" s="195"/>
      <c r="J809" s="195"/>
      <c r="K809" s="195"/>
    </row>
    <row r="810">
      <c r="H810" s="195"/>
      <c r="I810" s="195"/>
      <c r="J810" s="195"/>
      <c r="K810" s="195"/>
    </row>
    <row r="811">
      <c r="H811" s="195"/>
      <c r="I811" s="195"/>
      <c r="J811" s="195"/>
      <c r="K811" s="195"/>
    </row>
    <row r="812">
      <c r="H812" s="195"/>
      <c r="I812" s="195"/>
      <c r="J812" s="195"/>
      <c r="K812" s="195"/>
    </row>
    <row r="813">
      <c r="H813" s="195"/>
      <c r="I813" s="195"/>
      <c r="J813" s="195"/>
      <c r="K813" s="195"/>
    </row>
    <row r="814">
      <c r="H814" s="195"/>
      <c r="I814" s="195"/>
      <c r="J814" s="195"/>
      <c r="K814" s="195"/>
    </row>
    <row r="815">
      <c r="H815" s="195"/>
      <c r="I815" s="195"/>
      <c r="J815" s="195"/>
      <c r="K815" s="195"/>
    </row>
    <row r="816">
      <c r="H816" s="195"/>
      <c r="I816" s="195"/>
      <c r="J816" s="195"/>
      <c r="K816" s="195"/>
    </row>
    <row r="817">
      <c r="H817" s="195"/>
      <c r="I817" s="195"/>
      <c r="J817" s="195"/>
      <c r="K817" s="195"/>
    </row>
    <row r="818">
      <c r="H818" s="195"/>
      <c r="I818" s="195"/>
      <c r="J818" s="195"/>
      <c r="K818" s="195"/>
    </row>
    <row r="819">
      <c r="H819" s="195"/>
      <c r="I819" s="195"/>
      <c r="J819" s="195"/>
      <c r="K819" s="195"/>
    </row>
    <row r="820">
      <c r="H820" s="195"/>
      <c r="I820" s="195"/>
      <c r="J820" s="195"/>
      <c r="K820" s="195"/>
    </row>
    <row r="821">
      <c r="H821" s="195"/>
      <c r="I821" s="195"/>
      <c r="J821" s="195"/>
      <c r="K821" s="195"/>
    </row>
    <row r="822">
      <c r="H822" s="195"/>
      <c r="I822" s="195"/>
      <c r="J822" s="195"/>
      <c r="K822" s="195"/>
    </row>
    <row r="823">
      <c r="H823" s="195"/>
      <c r="I823" s="195"/>
      <c r="J823" s="195"/>
      <c r="K823" s="195"/>
    </row>
    <row r="824">
      <c r="H824" s="195"/>
      <c r="I824" s="195"/>
      <c r="J824" s="195"/>
      <c r="K824" s="195"/>
    </row>
    <row r="825">
      <c r="H825" s="195"/>
      <c r="I825" s="195"/>
      <c r="J825" s="195"/>
      <c r="K825" s="195"/>
    </row>
    <row r="826">
      <c r="H826" s="195"/>
      <c r="I826" s="195"/>
      <c r="J826" s="195"/>
      <c r="K826" s="195"/>
    </row>
    <row r="827">
      <c r="H827" s="195"/>
      <c r="I827" s="195"/>
      <c r="J827" s="195"/>
      <c r="K827" s="195"/>
    </row>
    <row r="828">
      <c r="H828" s="195"/>
      <c r="I828" s="195"/>
      <c r="J828" s="195"/>
      <c r="K828" s="195"/>
    </row>
    <row r="829">
      <c r="H829" s="195"/>
      <c r="I829" s="195"/>
      <c r="J829" s="195"/>
      <c r="K829" s="195"/>
    </row>
    <row r="830">
      <c r="H830" s="195"/>
      <c r="I830" s="195"/>
      <c r="J830" s="195"/>
      <c r="K830" s="195"/>
    </row>
    <row r="831">
      <c r="H831" s="195"/>
      <c r="I831" s="195"/>
      <c r="J831" s="195"/>
      <c r="K831" s="195"/>
    </row>
    <row r="832">
      <c r="H832" s="195"/>
      <c r="I832" s="195"/>
      <c r="J832" s="195"/>
      <c r="K832" s="195"/>
    </row>
    <row r="833">
      <c r="H833" s="195"/>
      <c r="I833" s="195"/>
      <c r="J833" s="195"/>
      <c r="K833" s="195"/>
    </row>
    <row r="834">
      <c r="H834" s="195"/>
      <c r="I834" s="195"/>
      <c r="J834" s="195"/>
      <c r="K834" s="195"/>
    </row>
    <row r="835">
      <c r="H835" s="195"/>
      <c r="I835" s="195"/>
      <c r="J835" s="195"/>
      <c r="K835" s="195"/>
    </row>
    <row r="836">
      <c r="H836" s="195"/>
      <c r="I836" s="195"/>
      <c r="J836" s="195"/>
      <c r="K836" s="195"/>
    </row>
    <row r="837">
      <c r="H837" s="195"/>
      <c r="I837" s="195"/>
      <c r="J837" s="195"/>
      <c r="K837" s="195"/>
    </row>
    <row r="838">
      <c r="H838" s="195"/>
      <c r="I838" s="195"/>
      <c r="J838" s="195"/>
      <c r="K838" s="195"/>
    </row>
    <row r="839">
      <c r="H839" s="195"/>
      <c r="I839" s="195"/>
      <c r="J839" s="195"/>
      <c r="K839" s="195"/>
    </row>
    <row r="840">
      <c r="H840" s="195"/>
      <c r="I840" s="195"/>
      <c r="J840" s="195"/>
      <c r="K840" s="195"/>
    </row>
    <row r="841">
      <c r="H841" s="195"/>
      <c r="I841" s="195"/>
      <c r="J841" s="195"/>
      <c r="K841" s="195"/>
    </row>
    <row r="842">
      <c r="H842" s="195"/>
      <c r="I842" s="195"/>
      <c r="J842" s="195"/>
      <c r="K842" s="195"/>
    </row>
    <row r="843">
      <c r="H843" s="195"/>
      <c r="I843" s="195"/>
      <c r="J843" s="195"/>
      <c r="K843" s="195"/>
    </row>
    <row r="844">
      <c r="H844" s="195"/>
      <c r="I844" s="195"/>
      <c r="J844" s="195"/>
      <c r="K844" s="195"/>
    </row>
    <row r="845">
      <c r="H845" s="195"/>
      <c r="I845" s="195"/>
      <c r="J845" s="195"/>
      <c r="K845" s="195"/>
    </row>
    <row r="846">
      <c r="H846" s="195"/>
      <c r="I846" s="195"/>
      <c r="J846" s="195"/>
      <c r="K846" s="195"/>
    </row>
    <row r="847">
      <c r="H847" s="195"/>
      <c r="I847" s="195"/>
      <c r="J847" s="195"/>
      <c r="K847" s="195"/>
    </row>
    <row r="848">
      <c r="H848" s="195"/>
      <c r="I848" s="195"/>
      <c r="J848" s="195"/>
      <c r="K848" s="195"/>
    </row>
    <row r="849">
      <c r="H849" s="195"/>
      <c r="I849" s="195"/>
      <c r="J849" s="195"/>
      <c r="K849" s="195"/>
    </row>
    <row r="850">
      <c r="H850" s="195"/>
      <c r="I850" s="195"/>
      <c r="J850" s="195"/>
      <c r="K850" s="195"/>
    </row>
    <row r="851">
      <c r="H851" s="195"/>
      <c r="I851" s="195"/>
      <c r="J851" s="195"/>
      <c r="K851" s="195"/>
    </row>
    <row r="852">
      <c r="H852" s="195"/>
      <c r="I852" s="195"/>
      <c r="J852" s="195"/>
      <c r="K852" s="195"/>
    </row>
    <row r="853">
      <c r="H853" s="195"/>
      <c r="I853" s="195"/>
      <c r="J853" s="195"/>
      <c r="K853" s="195"/>
    </row>
    <row r="854">
      <c r="H854" s="195"/>
      <c r="I854" s="195"/>
      <c r="J854" s="195"/>
      <c r="K854" s="195"/>
    </row>
    <row r="855">
      <c r="H855" s="195"/>
      <c r="I855" s="195"/>
      <c r="J855" s="195"/>
      <c r="K855" s="195"/>
    </row>
    <row r="856">
      <c r="H856" s="195"/>
      <c r="I856" s="195"/>
      <c r="J856" s="195"/>
      <c r="K856" s="195"/>
    </row>
    <row r="857">
      <c r="H857" s="195"/>
      <c r="I857" s="195"/>
      <c r="J857" s="195"/>
      <c r="K857" s="195"/>
    </row>
    <row r="858">
      <c r="H858" s="195"/>
      <c r="I858" s="195"/>
      <c r="J858" s="195"/>
      <c r="K858" s="195"/>
    </row>
    <row r="859">
      <c r="H859" s="195"/>
      <c r="I859" s="195"/>
      <c r="J859" s="195"/>
      <c r="K859" s="195"/>
    </row>
    <row r="860">
      <c r="H860" s="195"/>
      <c r="I860" s="195"/>
      <c r="J860" s="195"/>
      <c r="K860" s="195"/>
    </row>
    <row r="861">
      <c r="H861" s="195"/>
      <c r="I861" s="195"/>
      <c r="J861" s="195"/>
      <c r="K861" s="195"/>
    </row>
    <row r="862">
      <c r="H862" s="195"/>
      <c r="I862" s="195"/>
      <c r="J862" s="195"/>
      <c r="K862" s="195"/>
    </row>
    <row r="863">
      <c r="H863" s="195"/>
      <c r="I863" s="195"/>
      <c r="J863" s="195"/>
      <c r="K863" s="195"/>
    </row>
    <row r="864">
      <c r="H864" s="195"/>
      <c r="I864" s="195"/>
      <c r="J864" s="195"/>
      <c r="K864" s="195"/>
    </row>
    <row r="865">
      <c r="H865" s="195"/>
      <c r="I865" s="195"/>
      <c r="J865" s="195"/>
      <c r="K865" s="195"/>
    </row>
    <row r="866">
      <c r="H866" s="195"/>
      <c r="I866" s="195"/>
      <c r="J866" s="195"/>
      <c r="K866" s="195"/>
    </row>
    <row r="867">
      <c r="H867" s="195"/>
      <c r="I867" s="195"/>
      <c r="J867" s="195"/>
      <c r="K867" s="195"/>
    </row>
    <row r="868">
      <c r="H868" s="195"/>
      <c r="I868" s="195"/>
      <c r="J868" s="195"/>
      <c r="K868" s="195"/>
    </row>
    <row r="869">
      <c r="H869" s="195"/>
      <c r="I869" s="195"/>
      <c r="J869" s="195"/>
      <c r="K869" s="195"/>
    </row>
    <row r="870">
      <c r="H870" s="195"/>
      <c r="I870" s="195"/>
      <c r="J870" s="195"/>
      <c r="K870" s="195"/>
    </row>
    <row r="871">
      <c r="H871" s="195"/>
      <c r="I871" s="195"/>
      <c r="J871" s="195"/>
      <c r="K871" s="195"/>
    </row>
    <row r="872">
      <c r="H872" s="195"/>
      <c r="I872" s="195"/>
      <c r="J872" s="195"/>
      <c r="K872" s="195"/>
    </row>
    <row r="873">
      <c r="H873" s="195"/>
      <c r="I873" s="195"/>
      <c r="J873" s="195"/>
      <c r="K873" s="195"/>
    </row>
    <row r="874">
      <c r="H874" s="195"/>
      <c r="I874" s="195"/>
      <c r="J874" s="195"/>
      <c r="K874" s="195"/>
    </row>
    <row r="875">
      <c r="H875" s="195"/>
      <c r="I875" s="195"/>
      <c r="J875" s="195"/>
      <c r="K875" s="195"/>
    </row>
    <row r="876">
      <c r="H876" s="195"/>
      <c r="I876" s="195"/>
      <c r="J876" s="195"/>
      <c r="K876" s="195"/>
    </row>
    <row r="877">
      <c r="H877" s="195"/>
      <c r="I877" s="195"/>
      <c r="J877" s="195"/>
      <c r="K877" s="195"/>
    </row>
    <row r="878">
      <c r="H878" s="195"/>
      <c r="I878" s="195"/>
      <c r="J878" s="195"/>
      <c r="K878" s="195"/>
    </row>
    <row r="879">
      <c r="H879" s="195"/>
      <c r="I879" s="195"/>
      <c r="J879" s="195"/>
      <c r="K879" s="195"/>
    </row>
    <row r="880">
      <c r="H880" s="195"/>
      <c r="I880" s="195"/>
      <c r="J880" s="195"/>
      <c r="K880" s="195"/>
    </row>
    <row r="881">
      <c r="H881" s="195"/>
      <c r="I881" s="195"/>
      <c r="J881" s="195"/>
      <c r="K881" s="195"/>
    </row>
    <row r="882">
      <c r="H882" s="195"/>
      <c r="I882" s="195"/>
      <c r="J882" s="195"/>
      <c r="K882" s="195"/>
    </row>
    <row r="883">
      <c r="H883" s="195"/>
      <c r="I883" s="195"/>
      <c r="J883" s="195"/>
      <c r="K883" s="195"/>
    </row>
    <row r="884">
      <c r="H884" s="195"/>
      <c r="I884" s="195"/>
      <c r="J884" s="195"/>
      <c r="K884" s="195"/>
    </row>
    <row r="885">
      <c r="H885" s="195"/>
      <c r="I885" s="195"/>
      <c r="J885" s="195"/>
      <c r="K885" s="195"/>
    </row>
    <row r="886">
      <c r="H886" s="195"/>
      <c r="I886" s="195"/>
      <c r="J886" s="195"/>
      <c r="K886" s="195"/>
    </row>
    <row r="887">
      <c r="H887" s="195"/>
      <c r="I887" s="195"/>
      <c r="J887" s="195"/>
      <c r="K887" s="195"/>
    </row>
    <row r="888">
      <c r="H888" s="195"/>
      <c r="I888" s="195"/>
      <c r="J888" s="195"/>
      <c r="K888" s="195"/>
    </row>
    <row r="889">
      <c r="H889" s="195"/>
      <c r="I889" s="195"/>
      <c r="J889" s="195"/>
      <c r="K889" s="195"/>
    </row>
    <row r="890">
      <c r="H890" s="195"/>
      <c r="I890" s="195"/>
      <c r="J890" s="195"/>
      <c r="K890" s="195"/>
    </row>
    <row r="891">
      <c r="H891" s="195"/>
      <c r="I891" s="195"/>
      <c r="J891" s="195"/>
      <c r="K891" s="195"/>
    </row>
    <row r="892">
      <c r="H892" s="195"/>
      <c r="I892" s="195"/>
      <c r="J892" s="195"/>
      <c r="K892" s="195"/>
    </row>
    <row r="893">
      <c r="H893" s="195"/>
      <c r="I893" s="195"/>
      <c r="J893" s="195"/>
      <c r="K893" s="195"/>
    </row>
    <row r="894">
      <c r="H894" s="195"/>
      <c r="I894" s="195"/>
      <c r="J894" s="195"/>
      <c r="K894" s="195"/>
    </row>
    <row r="895">
      <c r="H895" s="195"/>
      <c r="I895" s="195"/>
      <c r="J895" s="195"/>
      <c r="K895" s="195"/>
    </row>
    <row r="896">
      <c r="H896" s="195"/>
      <c r="I896" s="195"/>
      <c r="J896" s="195"/>
      <c r="K896" s="195"/>
    </row>
    <row r="897">
      <c r="H897" s="195"/>
      <c r="I897" s="195"/>
      <c r="J897" s="195"/>
      <c r="K897" s="195"/>
    </row>
    <row r="898">
      <c r="H898" s="195"/>
      <c r="I898" s="195"/>
      <c r="J898" s="195"/>
      <c r="K898" s="195"/>
    </row>
    <row r="899">
      <c r="H899" s="195"/>
      <c r="I899" s="195"/>
      <c r="J899" s="195"/>
      <c r="K899" s="195"/>
    </row>
    <row r="900">
      <c r="H900" s="195"/>
      <c r="I900" s="195"/>
      <c r="J900" s="195"/>
      <c r="K900" s="195"/>
    </row>
    <row r="901">
      <c r="H901" s="195"/>
      <c r="I901" s="195"/>
      <c r="J901" s="195"/>
      <c r="K901" s="195"/>
    </row>
    <row r="902">
      <c r="H902" s="195"/>
      <c r="I902" s="195"/>
      <c r="J902" s="195"/>
      <c r="K902" s="195"/>
    </row>
    <row r="903">
      <c r="H903" s="195"/>
      <c r="I903" s="195"/>
      <c r="J903" s="195"/>
      <c r="K903" s="195"/>
    </row>
    <row r="904">
      <c r="H904" s="195"/>
      <c r="I904" s="195"/>
      <c r="J904" s="195"/>
      <c r="K904" s="195"/>
    </row>
    <row r="905">
      <c r="H905" s="195"/>
      <c r="I905" s="195"/>
      <c r="J905" s="195"/>
      <c r="K905" s="195"/>
    </row>
    <row r="906">
      <c r="H906" s="195"/>
      <c r="I906" s="195"/>
      <c r="J906" s="195"/>
      <c r="K906" s="195"/>
    </row>
    <row r="907">
      <c r="H907" s="195"/>
      <c r="I907" s="195"/>
      <c r="J907" s="195"/>
      <c r="K907" s="195"/>
    </row>
    <row r="908">
      <c r="H908" s="195"/>
      <c r="I908" s="195"/>
      <c r="J908" s="195"/>
      <c r="K908" s="195"/>
    </row>
    <row r="909">
      <c r="H909" s="195"/>
      <c r="I909" s="195"/>
      <c r="J909" s="195"/>
      <c r="K909" s="195"/>
    </row>
    <row r="910">
      <c r="H910" s="195"/>
      <c r="I910" s="195"/>
      <c r="J910" s="195"/>
      <c r="K910" s="195"/>
    </row>
    <row r="911">
      <c r="H911" s="195"/>
      <c r="I911" s="195"/>
      <c r="J911" s="195"/>
      <c r="K911" s="195"/>
    </row>
    <row r="912">
      <c r="H912" s="195"/>
      <c r="I912" s="195"/>
      <c r="J912" s="195"/>
      <c r="K912" s="195"/>
    </row>
    <row r="913">
      <c r="H913" s="195"/>
      <c r="I913" s="195"/>
      <c r="J913" s="195"/>
      <c r="K913" s="195"/>
    </row>
    <row r="914">
      <c r="H914" s="195"/>
      <c r="I914" s="195"/>
      <c r="J914" s="195"/>
      <c r="K914" s="195"/>
    </row>
    <row r="915">
      <c r="H915" s="195"/>
      <c r="I915" s="195"/>
      <c r="J915" s="195"/>
      <c r="K915" s="195"/>
    </row>
    <row r="916">
      <c r="H916" s="195"/>
      <c r="I916" s="195"/>
      <c r="J916" s="195"/>
      <c r="K916" s="195"/>
    </row>
    <row r="917">
      <c r="H917" s="195"/>
      <c r="I917" s="195"/>
      <c r="J917" s="195"/>
      <c r="K917" s="195"/>
    </row>
    <row r="918">
      <c r="H918" s="195"/>
      <c r="I918" s="195"/>
      <c r="J918" s="195"/>
      <c r="K918" s="195"/>
    </row>
    <row r="919">
      <c r="H919" s="195"/>
      <c r="I919" s="195"/>
      <c r="J919" s="195"/>
      <c r="K919" s="195"/>
    </row>
    <row r="920">
      <c r="H920" s="195"/>
      <c r="I920" s="195"/>
      <c r="J920" s="195"/>
      <c r="K920" s="195"/>
    </row>
    <row r="921">
      <c r="H921" s="195"/>
      <c r="I921" s="195"/>
      <c r="J921" s="195"/>
      <c r="K921" s="195"/>
    </row>
    <row r="922">
      <c r="H922" s="195"/>
      <c r="I922" s="195"/>
      <c r="J922" s="195"/>
      <c r="K922" s="195"/>
    </row>
    <row r="923">
      <c r="H923" s="195"/>
      <c r="I923" s="195"/>
      <c r="J923" s="195"/>
      <c r="K923" s="195"/>
    </row>
    <row r="924">
      <c r="H924" s="195"/>
      <c r="I924" s="195"/>
      <c r="J924" s="195"/>
      <c r="K924" s="195"/>
    </row>
    <row r="925">
      <c r="H925" s="195"/>
      <c r="I925" s="195"/>
      <c r="J925" s="195"/>
      <c r="K925" s="195"/>
    </row>
    <row r="926">
      <c r="H926" s="195"/>
      <c r="I926" s="195"/>
      <c r="J926" s="195"/>
      <c r="K926" s="195"/>
    </row>
    <row r="927">
      <c r="H927" s="195"/>
      <c r="I927" s="195"/>
      <c r="J927" s="195"/>
      <c r="K927" s="195"/>
    </row>
    <row r="928">
      <c r="H928" s="195"/>
      <c r="I928" s="195"/>
      <c r="J928" s="195"/>
      <c r="K928" s="195"/>
    </row>
    <row r="929">
      <c r="H929" s="195"/>
      <c r="I929" s="195"/>
      <c r="J929" s="195"/>
      <c r="K929" s="195"/>
    </row>
    <row r="930">
      <c r="H930" s="195"/>
      <c r="I930" s="195"/>
      <c r="J930" s="195"/>
      <c r="K930" s="195"/>
    </row>
    <row r="931">
      <c r="H931" s="195"/>
      <c r="I931" s="195"/>
      <c r="J931" s="195"/>
      <c r="K931" s="195"/>
    </row>
    <row r="932">
      <c r="H932" s="195"/>
      <c r="I932" s="195"/>
      <c r="J932" s="195"/>
      <c r="K932" s="195"/>
    </row>
    <row r="933">
      <c r="H933" s="195"/>
      <c r="I933" s="195"/>
      <c r="J933" s="195"/>
      <c r="K933" s="195"/>
    </row>
    <row r="934">
      <c r="H934" s="195"/>
      <c r="I934" s="195"/>
      <c r="J934" s="195"/>
      <c r="K934" s="195"/>
    </row>
    <row r="935">
      <c r="H935" s="195"/>
      <c r="I935" s="195"/>
      <c r="J935" s="195"/>
      <c r="K935" s="195"/>
    </row>
    <row r="936">
      <c r="H936" s="195"/>
      <c r="I936" s="195"/>
      <c r="J936" s="195"/>
      <c r="K936" s="195"/>
    </row>
    <row r="937">
      <c r="H937" s="195"/>
      <c r="I937" s="195"/>
      <c r="J937" s="195"/>
      <c r="K937" s="195"/>
    </row>
    <row r="938">
      <c r="H938" s="195"/>
      <c r="I938" s="195"/>
      <c r="J938" s="195"/>
      <c r="K938" s="195"/>
    </row>
    <row r="939">
      <c r="H939" s="195"/>
      <c r="I939" s="195"/>
      <c r="J939" s="195"/>
      <c r="K939" s="195"/>
    </row>
    <row r="940">
      <c r="H940" s="195"/>
      <c r="I940" s="195"/>
      <c r="J940" s="195"/>
      <c r="K940" s="195"/>
    </row>
    <row r="941">
      <c r="H941" s="195"/>
      <c r="I941" s="195"/>
      <c r="J941" s="195"/>
      <c r="K941" s="195"/>
    </row>
    <row r="942">
      <c r="H942" s="195"/>
      <c r="I942" s="195"/>
      <c r="J942" s="195"/>
      <c r="K942" s="195"/>
    </row>
    <row r="943">
      <c r="H943" s="195"/>
      <c r="I943" s="195"/>
      <c r="J943" s="195"/>
      <c r="K943" s="195"/>
    </row>
    <row r="944">
      <c r="H944" s="195"/>
      <c r="I944" s="195"/>
      <c r="J944" s="195"/>
      <c r="K944" s="195"/>
    </row>
    <row r="945">
      <c r="H945" s="195"/>
      <c r="I945" s="195"/>
      <c r="J945" s="195"/>
      <c r="K945" s="195"/>
    </row>
    <row r="946">
      <c r="H946" s="195"/>
      <c r="I946" s="195"/>
      <c r="J946" s="195"/>
      <c r="K946" s="195"/>
    </row>
    <row r="947">
      <c r="H947" s="195"/>
      <c r="I947" s="195"/>
      <c r="J947" s="195"/>
      <c r="K947" s="195"/>
    </row>
    <row r="948">
      <c r="H948" s="195"/>
      <c r="I948" s="195"/>
      <c r="J948" s="195"/>
      <c r="K948" s="195"/>
    </row>
    <row r="949">
      <c r="H949" s="195"/>
      <c r="I949" s="195"/>
      <c r="J949" s="195"/>
      <c r="K949" s="195"/>
    </row>
    <row r="950">
      <c r="H950" s="195"/>
      <c r="I950" s="195"/>
      <c r="J950" s="195"/>
      <c r="K950" s="195"/>
    </row>
    <row r="951">
      <c r="H951" s="195"/>
      <c r="I951" s="195"/>
      <c r="J951" s="195"/>
      <c r="K951" s="195"/>
    </row>
    <row r="952">
      <c r="H952" s="195"/>
      <c r="I952" s="195"/>
      <c r="J952" s="195"/>
      <c r="K952" s="195"/>
    </row>
    <row r="953">
      <c r="H953" s="195"/>
      <c r="I953" s="195"/>
      <c r="J953" s="195"/>
      <c r="K953" s="195"/>
    </row>
    <row r="954">
      <c r="H954" s="195"/>
      <c r="I954" s="195"/>
      <c r="J954" s="195"/>
      <c r="K954" s="195"/>
    </row>
    <row r="955">
      <c r="H955" s="195"/>
      <c r="I955" s="195"/>
      <c r="J955" s="195"/>
      <c r="K955" s="195"/>
    </row>
    <row r="956">
      <c r="H956" s="195"/>
      <c r="I956" s="195"/>
      <c r="J956" s="195"/>
      <c r="K956" s="195"/>
    </row>
    <row r="957">
      <c r="H957" s="195"/>
      <c r="I957" s="195"/>
      <c r="J957" s="195"/>
      <c r="K957" s="195"/>
    </row>
    <row r="958">
      <c r="H958" s="195"/>
      <c r="I958" s="195"/>
      <c r="J958" s="195"/>
      <c r="K958" s="195"/>
    </row>
    <row r="959">
      <c r="H959" s="195"/>
      <c r="I959" s="195"/>
      <c r="J959" s="195"/>
      <c r="K959" s="195"/>
    </row>
    <row r="960">
      <c r="H960" s="195"/>
      <c r="I960" s="195"/>
      <c r="J960" s="195"/>
      <c r="K960" s="195"/>
    </row>
    <row r="961">
      <c r="H961" s="195"/>
      <c r="I961" s="195"/>
      <c r="J961" s="195"/>
      <c r="K961" s="195"/>
    </row>
    <row r="962">
      <c r="H962" s="195"/>
      <c r="I962" s="195"/>
      <c r="J962" s="195"/>
      <c r="K962" s="195"/>
    </row>
    <row r="963">
      <c r="H963" s="195"/>
      <c r="I963" s="195"/>
      <c r="J963" s="195"/>
      <c r="K963" s="195"/>
    </row>
    <row r="964">
      <c r="H964" s="195"/>
      <c r="I964" s="195"/>
      <c r="J964" s="195"/>
      <c r="K964" s="195"/>
    </row>
    <row r="965">
      <c r="H965" s="195"/>
      <c r="I965" s="195"/>
      <c r="J965" s="195"/>
      <c r="K965" s="195"/>
    </row>
    <row r="966">
      <c r="H966" s="195"/>
      <c r="I966" s="195"/>
      <c r="J966" s="195"/>
      <c r="K966" s="195"/>
    </row>
    <row r="967">
      <c r="H967" s="195"/>
      <c r="I967" s="195"/>
      <c r="J967" s="195"/>
      <c r="K967" s="195"/>
    </row>
    <row r="968">
      <c r="H968" s="195"/>
      <c r="I968" s="195"/>
      <c r="J968" s="195"/>
      <c r="K968" s="195"/>
    </row>
    <row r="969">
      <c r="H969" s="195"/>
      <c r="I969" s="195"/>
      <c r="J969" s="195"/>
      <c r="K969" s="195"/>
    </row>
    <row r="970">
      <c r="H970" s="195"/>
      <c r="I970" s="195"/>
      <c r="J970" s="195"/>
      <c r="K970" s="195"/>
    </row>
    <row r="971">
      <c r="H971" s="195"/>
      <c r="I971" s="195"/>
      <c r="J971" s="195"/>
      <c r="K971" s="195"/>
    </row>
    <row r="972">
      <c r="H972" s="195"/>
      <c r="I972" s="195"/>
      <c r="J972" s="195"/>
      <c r="K972" s="195"/>
    </row>
    <row r="973">
      <c r="H973" s="195"/>
      <c r="I973" s="195"/>
      <c r="J973" s="195"/>
      <c r="K973" s="195"/>
    </row>
    <row r="974">
      <c r="H974" s="195"/>
      <c r="I974" s="195"/>
      <c r="J974" s="195"/>
      <c r="K974" s="195"/>
    </row>
    <row r="975">
      <c r="H975" s="195"/>
      <c r="I975" s="195"/>
      <c r="J975" s="195"/>
      <c r="K975" s="195"/>
    </row>
    <row r="976">
      <c r="H976" s="195"/>
      <c r="I976" s="195"/>
      <c r="J976" s="195"/>
      <c r="K976" s="195"/>
    </row>
    <row r="977">
      <c r="H977" s="195"/>
      <c r="I977" s="195"/>
      <c r="J977" s="195"/>
      <c r="K977" s="195"/>
    </row>
    <row r="978">
      <c r="H978" s="195"/>
      <c r="I978" s="195"/>
      <c r="J978" s="195"/>
      <c r="K978" s="195"/>
    </row>
    <row r="979">
      <c r="H979" s="195"/>
      <c r="I979" s="195"/>
      <c r="J979" s="195"/>
      <c r="K979" s="195"/>
    </row>
    <row r="980">
      <c r="H980" s="195"/>
      <c r="I980" s="195"/>
      <c r="J980" s="195"/>
      <c r="K980" s="195"/>
    </row>
    <row r="981">
      <c r="H981" s="195"/>
      <c r="I981" s="195"/>
      <c r="J981" s="195"/>
      <c r="K981" s="195"/>
    </row>
    <row r="982">
      <c r="H982" s="195"/>
      <c r="I982" s="195"/>
      <c r="J982" s="195"/>
      <c r="K982" s="195"/>
    </row>
    <row r="983">
      <c r="H983" s="195"/>
      <c r="I983" s="195"/>
      <c r="J983" s="195"/>
      <c r="K983" s="195"/>
    </row>
    <row r="984">
      <c r="H984" s="195"/>
      <c r="I984" s="195"/>
      <c r="J984" s="195"/>
      <c r="K984" s="195"/>
    </row>
    <row r="985">
      <c r="H985" s="195"/>
      <c r="I985" s="195"/>
      <c r="J985" s="195"/>
      <c r="K985" s="195"/>
    </row>
    <row r="986">
      <c r="H986" s="195"/>
      <c r="I986" s="195"/>
      <c r="J986" s="195"/>
      <c r="K986" s="195"/>
    </row>
    <row r="987">
      <c r="H987" s="195"/>
      <c r="I987" s="195"/>
      <c r="J987" s="195"/>
      <c r="K987" s="195"/>
    </row>
    <row r="988">
      <c r="H988" s="195"/>
      <c r="I988" s="195"/>
      <c r="J988" s="195"/>
      <c r="K988" s="195"/>
    </row>
    <row r="989">
      <c r="H989" s="195"/>
      <c r="I989" s="195"/>
      <c r="J989" s="195"/>
      <c r="K989" s="195"/>
    </row>
    <row r="990">
      <c r="H990" s="195"/>
      <c r="I990" s="195"/>
      <c r="J990" s="195"/>
      <c r="K990" s="195"/>
    </row>
    <row r="991">
      <c r="H991" s="195"/>
      <c r="I991" s="195"/>
      <c r="J991" s="195"/>
      <c r="K991" s="195"/>
    </row>
    <row r="992">
      <c r="H992" s="195"/>
      <c r="I992" s="195"/>
      <c r="J992" s="195"/>
      <c r="K992" s="195"/>
    </row>
    <row r="993">
      <c r="H993" s="195"/>
      <c r="I993" s="195"/>
      <c r="J993" s="195"/>
      <c r="K993" s="195"/>
    </row>
    <row r="994">
      <c r="H994" s="195"/>
      <c r="I994" s="195"/>
      <c r="J994" s="195"/>
      <c r="K994" s="195"/>
    </row>
    <row r="995">
      <c r="H995" s="195"/>
      <c r="I995" s="195"/>
      <c r="J995" s="195"/>
      <c r="K995" s="195"/>
    </row>
    <row r="996">
      <c r="H996" s="195"/>
      <c r="I996" s="195"/>
      <c r="J996" s="195"/>
      <c r="K996" s="195"/>
    </row>
    <row r="997">
      <c r="H997" s="195"/>
      <c r="I997" s="195"/>
      <c r="J997" s="195"/>
      <c r="K997" s="195"/>
    </row>
    <row r="998">
      <c r="H998" s="195"/>
      <c r="I998" s="195"/>
      <c r="J998" s="195"/>
      <c r="K998" s="195"/>
    </row>
    <row r="999">
      <c r="H999" s="195"/>
      <c r="I999" s="195"/>
      <c r="J999" s="195"/>
      <c r="K999" s="195"/>
    </row>
    <row r="1000">
      <c r="H1000" s="195"/>
      <c r="I1000" s="195"/>
      <c r="J1000" s="195"/>
      <c r="K1000" s="195"/>
    </row>
    <row r="1001">
      <c r="H1001" s="195"/>
      <c r="I1001" s="195"/>
      <c r="J1001" s="195"/>
      <c r="K1001" s="195"/>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8.67"/>
    <col customWidth="1" min="2" max="2" width="18.56"/>
    <col customWidth="1" min="3" max="3" width="18.78"/>
    <col customWidth="1" min="4" max="4" width="13.0"/>
    <col customWidth="1" min="125" max="125" width="14.78"/>
    <col customWidth="1" min="126" max="126" width="22.44"/>
  </cols>
  <sheetData>
    <row r="2">
      <c r="A2" s="4" t="s">
        <v>69</v>
      </c>
      <c r="B2" s="4" t="s">
        <v>516</v>
      </c>
      <c r="C2" s="4" t="s">
        <v>517</v>
      </c>
      <c r="D2" s="4" t="s">
        <v>518</v>
      </c>
      <c r="E2" s="4" t="s">
        <v>519</v>
      </c>
      <c r="F2" s="4" t="s">
        <v>520</v>
      </c>
      <c r="G2" s="4" t="s">
        <v>521</v>
      </c>
      <c r="H2" s="4" t="s">
        <v>522</v>
      </c>
      <c r="I2" s="4" t="s">
        <v>523</v>
      </c>
      <c r="J2" s="4" t="s">
        <v>524</v>
      </c>
      <c r="K2" s="4" t="s">
        <v>525</v>
      </c>
      <c r="L2" s="4" t="s">
        <v>526</v>
      </c>
      <c r="M2" s="4" t="s">
        <v>527</v>
      </c>
      <c r="N2" s="4" t="s">
        <v>528</v>
      </c>
      <c r="O2" s="4" t="s">
        <v>529</v>
      </c>
      <c r="P2" s="4" t="s">
        <v>530</v>
      </c>
      <c r="Q2" s="4" t="s">
        <v>531</v>
      </c>
      <c r="R2" s="4" t="s">
        <v>532</v>
      </c>
      <c r="S2" s="4" t="s">
        <v>533</v>
      </c>
      <c r="T2" s="4" t="s">
        <v>534</v>
      </c>
      <c r="U2" s="4" t="s">
        <v>535</v>
      </c>
      <c r="V2" s="4" t="s">
        <v>536</v>
      </c>
      <c r="W2" s="4" t="s">
        <v>537</v>
      </c>
      <c r="X2" s="4" t="s">
        <v>538</v>
      </c>
      <c r="Y2" s="4" t="s">
        <v>539</v>
      </c>
      <c r="Z2" s="4" t="s">
        <v>540</v>
      </c>
      <c r="AA2" s="4" t="s">
        <v>541</v>
      </c>
      <c r="AB2" s="4" t="s">
        <v>542</v>
      </c>
      <c r="AC2" s="4" t="s">
        <v>543</v>
      </c>
      <c r="AD2" s="4" t="s">
        <v>544</v>
      </c>
      <c r="AE2" s="4" t="s">
        <v>545</v>
      </c>
      <c r="AF2" s="4" t="s">
        <v>546</v>
      </c>
      <c r="AG2" s="4" t="s">
        <v>547</v>
      </c>
      <c r="AH2" s="4" t="s">
        <v>548</v>
      </c>
      <c r="AI2" s="4" t="s">
        <v>549</v>
      </c>
      <c r="AJ2" s="4" t="s">
        <v>550</v>
      </c>
      <c r="AK2" s="4" t="s">
        <v>551</v>
      </c>
      <c r="AL2" s="4" t="s">
        <v>552</v>
      </c>
      <c r="AM2" s="4" t="s">
        <v>553</v>
      </c>
      <c r="AN2" s="4" t="s">
        <v>554</v>
      </c>
      <c r="AO2" s="4" t="s">
        <v>555</v>
      </c>
      <c r="AP2" s="4" t="s">
        <v>556</v>
      </c>
      <c r="AQ2" s="4" t="s">
        <v>557</v>
      </c>
      <c r="AR2" s="4" t="s">
        <v>558</v>
      </c>
      <c r="AS2" s="4" t="s">
        <v>559</v>
      </c>
      <c r="AT2" s="4" t="s">
        <v>560</v>
      </c>
      <c r="AU2" s="4" t="s">
        <v>561</v>
      </c>
      <c r="AV2" s="4" t="s">
        <v>562</v>
      </c>
      <c r="AW2" s="4" t="s">
        <v>563</v>
      </c>
      <c r="AX2" s="4" t="s">
        <v>564</v>
      </c>
      <c r="AY2" s="4" t="s">
        <v>565</v>
      </c>
      <c r="AZ2" s="4" t="s">
        <v>566</v>
      </c>
      <c r="BA2" s="4" t="s">
        <v>567</v>
      </c>
      <c r="BB2" s="4" t="s">
        <v>568</v>
      </c>
      <c r="BC2" s="4" t="s">
        <v>569</v>
      </c>
      <c r="BD2" s="4" t="s">
        <v>570</v>
      </c>
      <c r="BE2" s="4" t="s">
        <v>571</v>
      </c>
      <c r="BF2" s="4" t="s">
        <v>572</v>
      </c>
      <c r="BG2" s="4" t="s">
        <v>573</v>
      </c>
      <c r="BH2" s="4" t="s">
        <v>574</v>
      </c>
      <c r="BI2" s="4" t="s">
        <v>575</v>
      </c>
      <c r="BJ2" s="4" t="s">
        <v>576</v>
      </c>
      <c r="BK2" s="4" t="s">
        <v>577</v>
      </c>
      <c r="BL2" s="4" t="s">
        <v>578</v>
      </c>
      <c r="BM2" s="4" t="s">
        <v>579</v>
      </c>
      <c r="BN2" s="4" t="s">
        <v>580</v>
      </c>
      <c r="BO2" s="4" t="s">
        <v>581</v>
      </c>
      <c r="BP2" s="4" t="s">
        <v>582</v>
      </c>
      <c r="BQ2" s="4" t="s">
        <v>583</v>
      </c>
      <c r="BR2" s="4" t="s">
        <v>584</v>
      </c>
      <c r="BS2" s="4" t="s">
        <v>585</v>
      </c>
      <c r="BT2" s="4" t="s">
        <v>586</v>
      </c>
      <c r="BU2" s="4" t="s">
        <v>587</v>
      </c>
      <c r="BV2" s="4" t="s">
        <v>588</v>
      </c>
      <c r="BW2" s="4" t="s">
        <v>589</v>
      </c>
      <c r="BX2" s="4" t="s">
        <v>590</v>
      </c>
      <c r="BY2" s="4" t="s">
        <v>591</v>
      </c>
      <c r="BZ2" s="4" t="s">
        <v>592</v>
      </c>
      <c r="CA2" s="4" t="s">
        <v>593</v>
      </c>
      <c r="CB2" s="4" t="s">
        <v>594</v>
      </c>
      <c r="CC2" s="4" t="s">
        <v>595</v>
      </c>
      <c r="CD2" s="4" t="s">
        <v>596</v>
      </c>
      <c r="CE2" s="4" t="s">
        <v>597</v>
      </c>
      <c r="CF2" s="4" t="s">
        <v>598</v>
      </c>
      <c r="CG2" s="4" t="s">
        <v>599</v>
      </c>
      <c r="CH2" s="4" t="s">
        <v>600</v>
      </c>
      <c r="CI2" s="4" t="s">
        <v>601</v>
      </c>
      <c r="CJ2" s="4" t="s">
        <v>602</v>
      </c>
      <c r="CK2" s="4" t="s">
        <v>603</v>
      </c>
      <c r="CL2" s="4" t="s">
        <v>604</v>
      </c>
      <c r="CM2" s="4" t="s">
        <v>605</v>
      </c>
      <c r="CN2" s="4" t="s">
        <v>606</v>
      </c>
      <c r="CO2" s="4" t="s">
        <v>607</v>
      </c>
      <c r="CP2" s="4" t="s">
        <v>608</v>
      </c>
      <c r="CQ2" s="4" t="s">
        <v>609</v>
      </c>
      <c r="CR2" s="4" t="s">
        <v>610</v>
      </c>
      <c r="CS2" s="4" t="s">
        <v>611</v>
      </c>
      <c r="CT2" s="4" t="s">
        <v>612</v>
      </c>
      <c r="CU2" s="4" t="s">
        <v>613</v>
      </c>
      <c r="CV2" s="4" t="s">
        <v>614</v>
      </c>
      <c r="CW2" s="4" t="s">
        <v>615</v>
      </c>
      <c r="CX2" s="4" t="s">
        <v>616</v>
      </c>
      <c r="CY2" s="4" t="s">
        <v>617</v>
      </c>
      <c r="CZ2" s="4" t="s">
        <v>618</v>
      </c>
      <c r="DA2" s="4" t="s">
        <v>619</v>
      </c>
      <c r="DB2" s="4" t="s">
        <v>620</v>
      </c>
      <c r="DC2" s="4" t="s">
        <v>621</v>
      </c>
      <c r="DD2" s="4" t="s">
        <v>622</v>
      </c>
      <c r="DE2" s="4" t="s">
        <v>623</v>
      </c>
      <c r="DF2" s="4" t="s">
        <v>624</v>
      </c>
      <c r="DG2" s="4" t="s">
        <v>625</v>
      </c>
      <c r="DH2" s="4" t="s">
        <v>626</v>
      </c>
      <c r="DI2" s="4" t="s">
        <v>627</v>
      </c>
      <c r="DJ2" s="4" t="s">
        <v>628</v>
      </c>
      <c r="DK2" s="4" t="s">
        <v>629</v>
      </c>
      <c r="DL2" s="4" t="s">
        <v>630</v>
      </c>
      <c r="DM2" s="4" t="s">
        <v>631</v>
      </c>
      <c r="DN2" s="4" t="s">
        <v>632</v>
      </c>
      <c r="DO2" s="4" t="s">
        <v>633</v>
      </c>
      <c r="DP2" s="4" t="s">
        <v>634</v>
      </c>
      <c r="DQ2" s="4" t="s">
        <v>635</v>
      </c>
      <c r="DR2" s="4" t="s">
        <v>636</v>
      </c>
      <c r="DS2" s="4" t="s">
        <v>637</v>
      </c>
      <c r="DT2" s="4" t="s">
        <v>638</v>
      </c>
      <c r="DU2" s="4" t="s">
        <v>639</v>
      </c>
      <c r="DV2" s="4" t="s">
        <v>640</v>
      </c>
      <c r="DW2" s="4" t="s">
        <v>641</v>
      </c>
      <c r="DX2" s="4" t="s">
        <v>642</v>
      </c>
      <c r="DY2" s="4" t="s">
        <v>643</v>
      </c>
      <c r="DZ2" s="4" t="s">
        <v>644</v>
      </c>
      <c r="EA2" s="4" t="s">
        <v>645</v>
      </c>
      <c r="EB2" s="4" t="s">
        <v>646</v>
      </c>
      <c r="EC2" s="4" t="s">
        <v>647</v>
      </c>
      <c r="ED2" s="4" t="s">
        <v>648</v>
      </c>
      <c r="EE2" s="4" t="s">
        <v>649</v>
      </c>
      <c r="EF2" s="4" t="s">
        <v>650</v>
      </c>
      <c r="EG2" s="4" t="s">
        <v>651</v>
      </c>
      <c r="EH2" s="4" t="s">
        <v>652</v>
      </c>
      <c r="EI2" s="4" t="s">
        <v>653</v>
      </c>
      <c r="EJ2" s="4" t="s">
        <v>654</v>
      </c>
      <c r="EK2" s="4" t="s">
        <v>655</v>
      </c>
      <c r="EL2" s="4" t="s">
        <v>656</v>
      </c>
      <c r="EM2" s="4" t="s">
        <v>657</v>
      </c>
      <c r="EN2" s="4" t="s">
        <v>658</v>
      </c>
      <c r="EO2" s="4" t="s">
        <v>659</v>
      </c>
      <c r="EP2" s="4" t="s">
        <v>660</v>
      </c>
      <c r="EQ2" s="4" t="s">
        <v>661</v>
      </c>
      <c r="ER2" s="4" t="s">
        <v>662</v>
      </c>
      <c r="ES2" s="4" t="s">
        <v>663</v>
      </c>
      <c r="ET2" s="4" t="s">
        <v>664</v>
      </c>
      <c r="EU2" s="4" t="s">
        <v>665</v>
      </c>
      <c r="EV2" s="4" t="s">
        <v>666</v>
      </c>
      <c r="EW2" s="4" t="s">
        <v>667</v>
      </c>
      <c r="EX2" s="4" t="s">
        <v>668</v>
      </c>
      <c r="EY2" s="4" t="s">
        <v>669</v>
      </c>
    </row>
    <row r="3">
      <c r="A3" s="4" t="s">
        <v>398</v>
      </c>
      <c r="B3" s="10">
        <f t="shared" ref="B3:C3" si="1">608</f>
        <v>608</v>
      </c>
      <c r="C3" s="10">
        <f t="shared" si="1"/>
        <v>608</v>
      </c>
      <c r="D3" s="10">
        <f>454</f>
        <v>454</v>
      </c>
      <c r="E3" s="88">
        <f>354</f>
        <v>354</v>
      </c>
      <c r="F3" s="88">
        <f>401</f>
        <v>401</v>
      </c>
      <c r="G3" s="88">
        <f>620</f>
        <v>620</v>
      </c>
      <c r="H3" s="88">
        <f>510</f>
        <v>510</v>
      </c>
      <c r="I3" s="88">
        <f>565</f>
        <v>565</v>
      </c>
      <c r="J3" s="88">
        <f>454</f>
        <v>454</v>
      </c>
      <c r="K3" s="88">
        <f>565</f>
        <v>565</v>
      </c>
      <c r="L3" s="88">
        <f>510</f>
        <v>510</v>
      </c>
      <c r="M3" s="88">
        <f t="shared" ref="M3:N3" si="2">565</f>
        <v>565</v>
      </c>
      <c r="N3" s="88">
        <f t="shared" si="2"/>
        <v>565</v>
      </c>
      <c r="O3" s="88">
        <f>454</f>
        <v>454</v>
      </c>
      <c r="P3" s="88">
        <f>565</f>
        <v>565</v>
      </c>
      <c r="Q3" s="88">
        <f>510</f>
        <v>510</v>
      </c>
      <c r="R3" s="88">
        <f>565</f>
        <v>565</v>
      </c>
      <c r="S3" s="88">
        <f>608</f>
        <v>608</v>
      </c>
      <c r="T3" s="88">
        <f t="shared" ref="T3:U3" si="3">674</f>
        <v>674</v>
      </c>
      <c r="U3" s="88">
        <f t="shared" si="3"/>
        <v>674</v>
      </c>
      <c r="V3" s="88">
        <f>608</f>
        <v>608</v>
      </c>
      <c r="W3" s="88">
        <f>741</f>
        <v>741</v>
      </c>
      <c r="X3" s="88">
        <f>354</f>
        <v>354</v>
      </c>
      <c r="Y3" s="88">
        <f>448</f>
        <v>448</v>
      </c>
      <c r="Z3" s="88">
        <f>401</f>
        <v>401</v>
      </c>
      <c r="AA3" s="88">
        <f>354</f>
        <v>354</v>
      </c>
      <c r="AB3" s="88">
        <f>565</f>
        <v>565</v>
      </c>
      <c r="AC3" s="88">
        <f t="shared" ref="AC3:AE3" si="4">510</f>
        <v>510</v>
      </c>
      <c r="AD3" s="88">
        <f t="shared" si="4"/>
        <v>510</v>
      </c>
      <c r="AE3" s="88">
        <f t="shared" si="4"/>
        <v>510</v>
      </c>
      <c r="AF3" s="88">
        <f>565</f>
        <v>565</v>
      </c>
      <c r="AG3" s="88">
        <f>454</f>
        <v>454</v>
      </c>
      <c r="AH3" s="88">
        <f t="shared" ref="AH3:AI3" si="5">565</f>
        <v>565</v>
      </c>
      <c r="AI3" s="88">
        <f t="shared" si="5"/>
        <v>565</v>
      </c>
      <c r="AJ3" s="88">
        <f t="shared" ref="AJ3:AK3" si="6">510</f>
        <v>510</v>
      </c>
      <c r="AK3" s="88">
        <f t="shared" si="6"/>
        <v>510</v>
      </c>
      <c r="AL3" s="88">
        <f>454</f>
        <v>454</v>
      </c>
      <c r="AM3" s="88">
        <f t="shared" ref="AM3:AO3" si="7">510</f>
        <v>510</v>
      </c>
      <c r="AN3" s="88">
        <f t="shared" si="7"/>
        <v>510</v>
      </c>
      <c r="AO3" s="88">
        <f t="shared" si="7"/>
        <v>510</v>
      </c>
      <c r="AP3" s="88">
        <f t="shared" ref="AP3:AQ3" si="8">454</f>
        <v>454</v>
      </c>
      <c r="AQ3" s="88">
        <f t="shared" si="8"/>
        <v>454</v>
      </c>
      <c r="AR3" s="88">
        <f>565</f>
        <v>565</v>
      </c>
      <c r="AS3" s="88">
        <f>510</f>
        <v>510</v>
      </c>
      <c r="AT3" s="88">
        <f>608</f>
        <v>608</v>
      </c>
      <c r="AU3" s="88">
        <f>674</f>
        <v>674</v>
      </c>
      <c r="AV3" s="88">
        <f>608</f>
        <v>608</v>
      </c>
      <c r="AW3" s="88">
        <f>542</f>
        <v>542</v>
      </c>
      <c r="AX3" s="88">
        <f t="shared" ref="AX3:AY3" si="9">608</f>
        <v>608</v>
      </c>
      <c r="AY3" s="88">
        <f t="shared" si="9"/>
        <v>608</v>
      </c>
      <c r="AZ3" s="88">
        <f>542</f>
        <v>542</v>
      </c>
      <c r="BA3" s="88">
        <f>354</f>
        <v>354</v>
      </c>
      <c r="BB3" s="88">
        <f t="shared" ref="BB3:BC3" si="10">401</f>
        <v>401</v>
      </c>
      <c r="BC3" s="88">
        <f t="shared" si="10"/>
        <v>401</v>
      </c>
      <c r="BD3" s="88">
        <f t="shared" ref="BD3:BE3" si="11">510</f>
        <v>510</v>
      </c>
      <c r="BE3" s="88">
        <f t="shared" si="11"/>
        <v>510</v>
      </c>
      <c r="BF3" s="88">
        <f>565</f>
        <v>565</v>
      </c>
      <c r="BG3" s="88">
        <f>510</f>
        <v>510</v>
      </c>
      <c r="BH3" s="88">
        <f>454</f>
        <v>454</v>
      </c>
      <c r="BI3" s="88">
        <f>510</f>
        <v>510</v>
      </c>
      <c r="BJ3" s="88">
        <f>565</f>
        <v>565</v>
      </c>
      <c r="BK3" s="88">
        <f>510</f>
        <v>510</v>
      </c>
      <c r="BL3" s="88">
        <f>454</f>
        <v>454</v>
      </c>
      <c r="BM3" s="88">
        <f>620</f>
        <v>620</v>
      </c>
      <c r="BN3" s="88">
        <f>510</f>
        <v>510</v>
      </c>
      <c r="BO3" s="88">
        <f t="shared" ref="BO3:BP3" si="12">454</f>
        <v>454</v>
      </c>
      <c r="BP3" s="88">
        <f t="shared" si="12"/>
        <v>454</v>
      </c>
      <c r="BQ3" s="88">
        <f>510</f>
        <v>510</v>
      </c>
      <c r="BR3" s="88">
        <f>565</f>
        <v>565</v>
      </c>
      <c r="BS3" s="88">
        <f>674</f>
        <v>674</v>
      </c>
      <c r="BT3" s="88">
        <f>608</f>
        <v>608</v>
      </c>
      <c r="BU3" s="88">
        <f>542</f>
        <v>542</v>
      </c>
      <c r="BV3" s="88">
        <f t="shared" ref="BV3:BW3" si="13">608</f>
        <v>608</v>
      </c>
      <c r="BW3" s="88">
        <f t="shared" si="13"/>
        <v>608</v>
      </c>
      <c r="BX3" s="88">
        <f>674</f>
        <v>674</v>
      </c>
      <c r="BY3" s="88">
        <f>354</f>
        <v>354</v>
      </c>
      <c r="BZ3" s="88">
        <f>510</f>
        <v>510</v>
      </c>
      <c r="CA3" s="88">
        <f>454</f>
        <v>454</v>
      </c>
      <c r="CB3" s="88">
        <f>565</f>
        <v>565</v>
      </c>
      <c r="CC3" s="88">
        <f>510</f>
        <v>510</v>
      </c>
      <c r="CD3" s="88">
        <f>565</f>
        <v>565</v>
      </c>
      <c r="CE3" s="88">
        <f t="shared" ref="CE3:CH3" si="14">510</f>
        <v>510</v>
      </c>
      <c r="CF3" s="88">
        <f t="shared" si="14"/>
        <v>510</v>
      </c>
      <c r="CG3" s="88">
        <f t="shared" si="14"/>
        <v>510</v>
      </c>
      <c r="CH3" s="88">
        <f t="shared" si="14"/>
        <v>510</v>
      </c>
      <c r="CI3" s="88">
        <f t="shared" ref="CI3:CJ3" si="15">565</f>
        <v>565</v>
      </c>
      <c r="CJ3" s="88">
        <f t="shared" si="15"/>
        <v>565</v>
      </c>
      <c r="CK3" s="88">
        <f t="shared" ref="CK3:CL3" si="16">510</f>
        <v>510</v>
      </c>
      <c r="CL3" s="88">
        <f t="shared" si="16"/>
        <v>510</v>
      </c>
      <c r="CM3" s="88">
        <f>454</f>
        <v>454</v>
      </c>
      <c r="CN3" s="88">
        <f>565</f>
        <v>565</v>
      </c>
      <c r="CO3" s="88">
        <f>608</f>
        <v>608</v>
      </c>
      <c r="CP3" s="88">
        <f>741</f>
        <v>741</v>
      </c>
      <c r="CQ3" s="88">
        <f>674</f>
        <v>674</v>
      </c>
      <c r="CR3" s="88">
        <f>608</f>
        <v>608</v>
      </c>
      <c r="CS3" s="88">
        <f>542</f>
        <v>542</v>
      </c>
      <c r="CT3" s="88">
        <f>401</f>
        <v>401</v>
      </c>
      <c r="CU3" s="88">
        <f>354</f>
        <v>354</v>
      </c>
      <c r="CV3" s="88">
        <f>565</f>
        <v>565</v>
      </c>
      <c r="CW3" s="88">
        <f>454</f>
        <v>454</v>
      </c>
      <c r="CX3" s="88">
        <f t="shared" ref="CX3:CY3" si="17">510</f>
        <v>510</v>
      </c>
      <c r="CY3" s="88">
        <f t="shared" si="17"/>
        <v>510</v>
      </c>
      <c r="CZ3" s="88">
        <f>565</f>
        <v>565</v>
      </c>
      <c r="DA3" s="88">
        <f>510</f>
        <v>510</v>
      </c>
      <c r="DB3" s="88">
        <f>454</f>
        <v>454</v>
      </c>
      <c r="DC3" s="88">
        <f>565</f>
        <v>565</v>
      </c>
      <c r="DD3" s="88">
        <f t="shared" ref="DD3:DE3" si="18">510</f>
        <v>510</v>
      </c>
      <c r="DE3" s="88">
        <f t="shared" si="18"/>
        <v>510</v>
      </c>
      <c r="DF3" s="88">
        <f>454</f>
        <v>454</v>
      </c>
      <c r="DG3" s="88">
        <f>565</f>
        <v>565</v>
      </c>
      <c r="DH3" s="88">
        <f>510</f>
        <v>510</v>
      </c>
      <c r="DI3" s="88">
        <f>565</f>
        <v>565</v>
      </c>
      <c r="DJ3" s="88">
        <f>510</f>
        <v>510</v>
      </c>
      <c r="DK3" s="88">
        <f t="shared" ref="DK3:DM3" si="19">608</f>
        <v>608</v>
      </c>
      <c r="DL3" s="88">
        <f t="shared" si="19"/>
        <v>608</v>
      </c>
      <c r="DM3" s="88">
        <f t="shared" si="19"/>
        <v>608</v>
      </c>
      <c r="DN3" s="88">
        <f>674</f>
        <v>674</v>
      </c>
      <c r="DO3" s="88">
        <f>608</f>
        <v>608</v>
      </c>
      <c r="DP3" s="10">
        <f t="shared" ref="DP3:DQ3" si="20">542</f>
        <v>542</v>
      </c>
      <c r="DQ3" s="10">
        <f t="shared" si="20"/>
        <v>542</v>
      </c>
      <c r="DR3" s="10">
        <f t="shared" ref="DR3:DU3" si="21">510</f>
        <v>510</v>
      </c>
      <c r="DS3" s="10">
        <f t="shared" si="21"/>
        <v>510</v>
      </c>
      <c r="DT3" s="10">
        <f t="shared" si="21"/>
        <v>510</v>
      </c>
      <c r="DU3" s="10">
        <f t="shared" si="21"/>
        <v>510</v>
      </c>
      <c r="DV3" s="88">
        <f>542</f>
        <v>542</v>
      </c>
      <c r="DW3" s="88">
        <f>674</f>
        <v>674</v>
      </c>
      <c r="DX3" s="88">
        <f>510</f>
        <v>510</v>
      </c>
      <c r="DY3" s="88">
        <f>542</f>
        <v>542</v>
      </c>
      <c r="DZ3" s="88">
        <f t="shared" ref="DZ3:EA3" si="22">608</f>
        <v>608</v>
      </c>
      <c r="EA3" s="88">
        <f t="shared" si="22"/>
        <v>608</v>
      </c>
      <c r="EB3" s="88">
        <f>565</f>
        <v>565</v>
      </c>
      <c r="EC3" s="88">
        <f>608</f>
        <v>608</v>
      </c>
      <c r="ED3" s="88">
        <f>565</f>
        <v>565</v>
      </c>
      <c r="EE3" s="88">
        <f>510</f>
        <v>510</v>
      </c>
      <c r="EF3" s="88">
        <f>565</f>
        <v>565</v>
      </c>
      <c r="EG3" s="88">
        <f>510</f>
        <v>510</v>
      </c>
      <c r="EH3" s="88">
        <f>565</f>
        <v>565</v>
      </c>
      <c r="EI3" s="88">
        <f t="shared" ref="EI3:EJ3" si="23">510</f>
        <v>510</v>
      </c>
      <c r="EJ3" s="88">
        <f t="shared" si="23"/>
        <v>510</v>
      </c>
      <c r="EK3" s="88">
        <f>565</f>
        <v>565</v>
      </c>
      <c r="EL3" s="88">
        <f>454</f>
        <v>454</v>
      </c>
      <c r="EM3" s="88">
        <f t="shared" ref="EM3:EN3" si="24">565</f>
        <v>565</v>
      </c>
      <c r="EN3" s="88">
        <f t="shared" si="24"/>
        <v>565</v>
      </c>
      <c r="EO3" s="88">
        <f>510</f>
        <v>510</v>
      </c>
      <c r="EP3" s="88">
        <f>608</f>
        <v>608</v>
      </c>
      <c r="EQ3" s="88">
        <f>672</f>
        <v>672</v>
      </c>
      <c r="ER3" s="88">
        <f>542</f>
        <v>542</v>
      </c>
      <c r="ES3" s="88">
        <f>565</f>
        <v>565</v>
      </c>
      <c r="ET3" s="88">
        <f>454</f>
        <v>454</v>
      </c>
      <c r="EU3" s="88">
        <f>565</f>
        <v>565</v>
      </c>
      <c r="EV3" s="88">
        <f>510</f>
        <v>510</v>
      </c>
      <c r="EW3" s="88">
        <f>565</f>
        <v>565</v>
      </c>
      <c r="EX3" s="88">
        <f>542</f>
        <v>542</v>
      </c>
      <c r="EY3" s="88">
        <f>510</f>
        <v>510</v>
      </c>
    </row>
    <row r="4">
      <c r="A4" s="4" t="s">
        <v>160</v>
      </c>
      <c r="B4" s="10">
        <f t="shared" ref="B4:F4" si="25">0</f>
        <v>0</v>
      </c>
      <c r="C4" s="10">
        <f t="shared" si="25"/>
        <v>0</v>
      </c>
      <c r="D4" s="10">
        <f t="shared" si="25"/>
        <v>0</v>
      </c>
      <c r="E4" s="88">
        <f t="shared" si="25"/>
        <v>0</v>
      </c>
      <c r="F4" s="123">
        <f t="shared" si="25"/>
        <v>0</v>
      </c>
      <c r="G4" s="203">
        <f>13.8</f>
        <v>13.8</v>
      </c>
      <c r="H4" s="88">
        <f t="shared" ref="H4:J4" si="26">0</f>
        <v>0</v>
      </c>
      <c r="I4" s="88">
        <f t="shared" si="26"/>
        <v>0</v>
      </c>
      <c r="J4" s="88">
        <f t="shared" si="26"/>
        <v>0</v>
      </c>
      <c r="K4" s="10" t="str">
        <f>IFERROR(__xludf.DUMMYFUNCTION("27.6 +  ((7 + (REGEXEXTRACT(INDIRECT(ADDRESS(ROW() - 2, COLUMN())), ""[\d]"") - 1) * 1) * $O$4)"),"#N/A")</f>
        <v>#N/A</v>
      </c>
      <c r="L4" s="88">
        <f t="shared" ref="L4:M4" si="27">0</f>
        <v>0</v>
      </c>
      <c r="M4" s="88">
        <f t="shared" si="27"/>
        <v>0</v>
      </c>
      <c r="N4" s="10">
        <f>27.6</f>
        <v>27.6</v>
      </c>
      <c r="O4" s="88">
        <f t="shared" ref="O4:R4" si="28">0</f>
        <v>0</v>
      </c>
      <c r="P4" s="88">
        <f t="shared" si="28"/>
        <v>0</v>
      </c>
      <c r="Q4" s="88">
        <f t="shared" si="28"/>
        <v>0</v>
      </c>
      <c r="R4" s="88">
        <f t="shared" si="28"/>
        <v>0</v>
      </c>
      <c r="S4" s="10">
        <f>49.6</f>
        <v>49.6</v>
      </c>
      <c r="T4" s="88">
        <f t="shared" ref="T4:V4" si="29">0</f>
        <v>0</v>
      </c>
      <c r="U4" s="88">
        <f t="shared" si="29"/>
        <v>0</v>
      </c>
      <c r="V4" s="88">
        <f t="shared" si="29"/>
        <v>0</v>
      </c>
      <c r="W4" s="10">
        <f>16.5</f>
        <v>16.5</v>
      </c>
      <c r="X4" s="88">
        <f t="shared" ref="X4:AA4" si="30">0</f>
        <v>0</v>
      </c>
      <c r="Y4" s="88">
        <f t="shared" si="30"/>
        <v>0</v>
      </c>
      <c r="Z4" s="88">
        <f t="shared" si="30"/>
        <v>0</v>
      </c>
      <c r="AA4" s="88">
        <f t="shared" si="30"/>
        <v>0</v>
      </c>
      <c r="AB4" s="10">
        <f>27.6</f>
        <v>27.6</v>
      </c>
      <c r="AC4" s="10">
        <f t="shared" ref="AC4:AD4" si="31">41.3</f>
        <v>41.3</v>
      </c>
      <c r="AD4" s="10">
        <f t="shared" si="31"/>
        <v>41.3</v>
      </c>
      <c r="AE4" s="88">
        <f t="shared" ref="AE4:AH4" si="32">0</f>
        <v>0</v>
      </c>
      <c r="AF4" s="88">
        <f t="shared" si="32"/>
        <v>0</v>
      </c>
      <c r="AG4" s="88">
        <f t="shared" si="32"/>
        <v>0</v>
      </c>
      <c r="AH4" s="88">
        <f t="shared" si="32"/>
        <v>0</v>
      </c>
      <c r="AI4" s="10">
        <f>27.6</f>
        <v>27.6</v>
      </c>
      <c r="AJ4" s="88">
        <f t="shared" ref="AJ4:AK4" si="33">0</f>
        <v>0</v>
      </c>
      <c r="AK4" s="88">
        <f t="shared" si="33"/>
        <v>0</v>
      </c>
      <c r="AL4" s="10">
        <f>55.1</f>
        <v>55.1</v>
      </c>
      <c r="AM4" s="10">
        <f t="shared" ref="AM4:AN4" si="34">41.3</f>
        <v>41.3</v>
      </c>
      <c r="AN4" s="10">
        <f t="shared" si="34"/>
        <v>41.3</v>
      </c>
      <c r="AO4" s="88">
        <f t="shared" ref="AO4:AP4" si="35">0</f>
        <v>0</v>
      </c>
      <c r="AP4" s="88">
        <f t="shared" si="35"/>
        <v>0</v>
      </c>
      <c r="AQ4" s="10">
        <f>55.1</f>
        <v>55.1</v>
      </c>
      <c r="AR4" s="88">
        <f t="shared" ref="AR4:AW4" si="36">0</f>
        <v>0</v>
      </c>
      <c r="AS4" s="88">
        <f t="shared" si="36"/>
        <v>0</v>
      </c>
      <c r="AT4" s="88">
        <f t="shared" si="36"/>
        <v>0</v>
      </c>
      <c r="AU4" s="88">
        <f t="shared" si="36"/>
        <v>0</v>
      </c>
      <c r="AV4" s="88">
        <f t="shared" si="36"/>
        <v>0</v>
      </c>
      <c r="AW4" s="88">
        <f t="shared" si="36"/>
        <v>0</v>
      </c>
      <c r="AX4" s="10">
        <f>49.6</f>
        <v>49.6</v>
      </c>
      <c r="AY4" s="88" t="str">
        <f>IFERROR(__xludf.DUMMYFUNCTION("20 + (REGEXEXTRACT(INDIRECT(ADDRESS(ROW() - 2, COLUMN())), ""[\d]"") - 1) * 5"),"#N/A")</f>
        <v>#N/A</v>
      </c>
      <c r="AZ4" s="88">
        <f t="shared" ref="AZ4:BA4" si="37">0</f>
        <v>0</v>
      </c>
      <c r="BA4" s="88">
        <f t="shared" si="37"/>
        <v>0</v>
      </c>
      <c r="BB4" s="10">
        <f>35.2</f>
        <v>35.2</v>
      </c>
      <c r="BC4" s="88">
        <f t="shared" ref="BC4:BD4" si="38">0</f>
        <v>0</v>
      </c>
      <c r="BD4" s="88">
        <f t="shared" si="38"/>
        <v>0</v>
      </c>
      <c r="BE4" s="10">
        <f>41.3</f>
        <v>41.3</v>
      </c>
      <c r="BF4" s="88">
        <f>0</f>
        <v>0</v>
      </c>
      <c r="BG4" s="10">
        <f>41.3</f>
        <v>41.3</v>
      </c>
      <c r="BH4" s="88">
        <f>0</f>
        <v>0</v>
      </c>
      <c r="BI4" s="10">
        <f>41.3</f>
        <v>41.3</v>
      </c>
      <c r="BJ4" s="88">
        <f t="shared" ref="BJ4:BN4" si="39">0</f>
        <v>0</v>
      </c>
      <c r="BK4" s="88">
        <f t="shared" si="39"/>
        <v>0</v>
      </c>
      <c r="BL4" s="88">
        <f t="shared" si="39"/>
        <v>0</v>
      </c>
      <c r="BM4" s="88">
        <f t="shared" si="39"/>
        <v>0</v>
      </c>
      <c r="BN4" s="88">
        <f t="shared" si="39"/>
        <v>0</v>
      </c>
      <c r="BO4" s="10">
        <f>55.1</f>
        <v>55.1</v>
      </c>
      <c r="BP4" s="88">
        <f>0</f>
        <v>0</v>
      </c>
      <c r="BQ4" s="10">
        <f>41.3</f>
        <v>41.3</v>
      </c>
      <c r="BR4" s="88">
        <f>0</f>
        <v>0</v>
      </c>
      <c r="BS4" s="88" t="str">
        <f>IFERROR(__xludf.DUMMYFUNCTION("20 + (REGEXEXTRACT(INDIRECT(ADDRESS(ROW() - 2, COLUMN())), ""[\d]"") - 1) * 5"),"#N/A")</f>
        <v>#N/A</v>
      </c>
      <c r="BT4" s="10">
        <f>49.6</f>
        <v>49.6</v>
      </c>
      <c r="BU4" s="88">
        <f t="shared" ref="BU4:BY4" si="40">0</f>
        <v>0</v>
      </c>
      <c r="BV4" s="88">
        <f t="shared" si="40"/>
        <v>0</v>
      </c>
      <c r="BW4" s="88">
        <f t="shared" si="40"/>
        <v>0</v>
      </c>
      <c r="BX4" s="88">
        <f t="shared" si="40"/>
        <v>0</v>
      </c>
      <c r="BY4" s="88">
        <f t="shared" si="40"/>
        <v>0</v>
      </c>
      <c r="BZ4" s="10">
        <f>41.3</f>
        <v>41.3</v>
      </c>
      <c r="CA4" s="88">
        <f>0</f>
        <v>0</v>
      </c>
      <c r="CB4" s="10">
        <f>27.6</f>
        <v>27.6</v>
      </c>
      <c r="CC4" s="88">
        <f>0</f>
        <v>0</v>
      </c>
      <c r="CD4" s="10">
        <f>27.6</f>
        <v>27.6</v>
      </c>
      <c r="CE4" s="88">
        <f t="shared" ref="CE4:CG4" si="41">0</f>
        <v>0</v>
      </c>
      <c r="CF4" s="88">
        <f t="shared" si="41"/>
        <v>0</v>
      </c>
      <c r="CG4" s="88">
        <f t="shared" si="41"/>
        <v>0</v>
      </c>
      <c r="CH4" s="10" t="str">
        <f>IFERROR(__xludf.DUMMYFUNCTION("41.3 +  ((7 + (REGEXEXTRACT(INDIRECT(ADDRESS(ROW() - 2, COLUMN())), ""[\d]"") - 1) * 1) * $O$4)"),"#N/A")</f>
        <v>#N/A</v>
      </c>
      <c r="CI4" s="88">
        <f t="shared" ref="CI4:CL4" si="42">0</f>
        <v>0</v>
      </c>
      <c r="CJ4" s="88">
        <f t="shared" si="42"/>
        <v>0</v>
      </c>
      <c r="CK4" s="88">
        <f t="shared" si="42"/>
        <v>0</v>
      </c>
      <c r="CL4" s="88">
        <f t="shared" si="42"/>
        <v>0</v>
      </c>
      <c r="CM4" s="10">
        <f>55.1</f>
        <v>55.1</v>
      </c>
      <c r="CN4" s="88">
        <f>0</f>
        <v>0</v>
      </c>
      <c r="CO4" s="10">
        <f>49.6</f>
        <v>49.6</v>
      </c>
      <c r="CP4" s="88" t="str">
        <f>IFERROR(__xludf.DUMMYFUNCTION("16 + (REGEXEXTRACT(INDIRECT(ADDRESS(ROW() - 2, COLUMN())), ""[\d]"") - 1) * 4"),"#N/A")</f>
        <v>#N/A</v>
      </c>
      <c r="CQ4" s="88">
        <f>0</f>
        <v>0</v>
      </c>
      <c r="CR4" s="10" t="str">
        <f>IFERROR(__xludf.DUMMYFUNCTION("20 + (REGEXEXTRACT(INDIRECT(ADDRESS(ROW() - 2, COLUMN())), ""[\d]"") - 1) * 5 + 49.6"),"#N/A")</f>
        <v>#N/A</v>
      </c>
      <c r="CS4" s="88">
        <f t="shared" ref="CS4:CU4" si="43">0</f>
        <v>0</v>
      </c>
      <c r="CT4" s="88">
        <f t="shared" si="43"/>
        <v>0</v>
      </c>
      <c r="CU4" s="88">
        <f t="shared" si="43"/>
        <v>0</v>
      </c>
      <c r="CV4" s="10">
        <f>27.6</f>
        <v>27.6</v>
      </c>
      <c r="CW4" s="10">
        <f>55.1</f>
        <v>55.1</v>
      </c>
      <c r="CX4" s="88">
        <f>41.3</f>
        <v>41.3</v>
      </c>
      <c r="CY4" s="88">
        <f t="shared" ref="CY4:DA4" si="44">0</f>
        <v>0</v>
      </c>
      <c r="CZ4" s="88">
        <f t="shared" si="44"/>
        <v>0</v>
      </c>
      <c r="DA4" s="88">
        <f t="shared" si="44"/>
        <v>0</v>
      </c>
      <c r="DB4" s="10">
        <f>55.1</f>
        <v>55.1</v>
      </c>
      <c r="DC4" s="88">
        <f t="shared" ref="DC4:DF4" si="45">0</f>
        <v>0</v>
      </c>
      <c r="DD4" s="88">
        <f t="shared" si="45"/>
        <v>0</v>
      </c>
      <c r="DE4" s="88">
        <f t="shared" si="45"/>
        <v>0</v>
      </c>
      <c r="DF4" s="88">
        <f t="shared" si="45"/>
        <v>0</v>
      </c>
      <c r="DG4" s="10">
        <f>27.6</f>
        <v>27.6</v>
      </c>
      <c r="DH4" s="88">
        <f t="shared" ref="DH4:DL4" si="46">0</f>
        <v>0</v>
      </c>
      <c r="DI4" s="88">
        <f t="shared" si="46"/>
        <v>0</v>
      </c>
      <c r="DJ4" s="88">
        <f t="shared" si="46"/>
        <v>0</v>
      </c>
      <c r="DK4" s="88">
        <f t="shared" si="46"/>
        <v>0</v>
      </c>
      <c r="DL4" s="88">
        <f t="shared" si="46"/>
        <v>0</v>
      </c>
      <c r="DM4" s="10">
        <f>49.6</f>
        <v>49.6</v>
      </c>
      <c r="DN4" s="10">
        <f>33.1</f>
        <v>33.1</v>
      </c>
      <c r="DO4" s="88">
        <f t="shared" ref="DO4:DT4" si="47">0</f>
        <v>0</v>
      </c>
      <c r="DP4" s="88">
        <f t="shared" si="47"/>
        <v>0</v>
      </c>
      <c r="DQ4" s="88">
        <f t="shared" si="47"/>
        <v>0</v>
      </c>
      <c r="DR4" s="88">
        <f t="shared" si="47"/>
        <v>0</v>
      </c>
      <c r="DS4" s="88">
        <f t="shared" si="47"/>
        <v>0</v>
      </c>
      <c r="DT4" s="88">
        <f t="shared" si="47"/>
        <v>0</v>
      </c>
      <c r="DU4" s="10">
        <f>41.3</f>
        <v>41.3</v>
      </c>
      <c r="DV4" s="88">
        <f t="shared" ref="DV4:EC4" si="48">0</f>
        <v>0</v>
      </c>
      <c r="DW4" s="88">
        <f t="shared" si="48"/>
        <v>0</v>
      </c>
      <c r="DX4" s="88">
        <f t="shared" si="48"/>
        <v>0</v>
      </c>
      <c r="DY4" s="88">
        <f t="shared" si="48"/>
        <v>0</v>
      </c>
      <c r="DZ4" s="88">
        <f t="shared" si="48"/>
        <v>0</v>
      </c>
      <c r="EA4" s="88">
        <f t="shared" si="48"/>
        <v>0</v>
      </c>
      <c r="EB4" s="88">
        <f t="shared" si="48"/>
        <v>0</v>
      </c>
      <c r="EC4" s="88">
        <f t="shared" si="48"/>
        <v>0</v>
      </c>
      <c r="ED4" s="88">
        <f>27.6</f>
        <v>27.6</v>
      </c>
      <c r="EE4" s="88">
        <f>0</f>
        <v>0</v>
      </c>
      <c r="EF4" s="88">
        <f>27.6</f>
        <v>27.6</v>
      </c>
      <c r="EG4" s="88">
        <f t="shared" ref="EG4:EH4" si="49">0</f>
        <v>0</v>
      </c>
      <c r="EH4" s="88">
        <f t="shared" si="49"/>
        <v>0</v>
      </c>
      <c r="EI4" s="88">
        <f>41.3</f>
        <v>41.3</v>
      </c>
      <c r="EJ4" s="88">
        <f t="shared" ref="EJ4:EL4" si="50">0</f>
        <v>0</v>
      </c>
      <c r="EK4" s="88">
        <f t="shared" si="50"/>
        <v>0</v>
      </c>
      <c r="EL4" s="88">
        <f t="shared" si="50"/>
        <v>0</v>
      </c>
      <c r="EM4" s="88">
        <f>27.6</f>
        <v>27.6</v>
      </c>
      <c r="EN4" s="88">
        <f>0</f>
        <v>0</v>
      </c>
      <c r="EO4" s="88">
        <f>41.3</f>
        <v>41.3</v>
      </c>
      <c r="EP4" s="88">
        <f>0</f>
        <v>0</v>
      </c>
      <c r="EQ4" s="88" t="str">
        <f>IFERROR(__xludf.DUMMYFUNCTION("16 + (REGEXEXTRACT(INDIRECT(ADDRESS(ROW() - 2, COLUMN())), ""[\d]"") - 1) * 4"),"#N/A")</f>
        <v>#N/A</v>
      </c>
      <c r="ER4" s="88">
        <f t="shared" ref="ER4:ER5" si="70">0</f>
        <v>0</v>
      </c>
      <c r="ES4" s="88">
        <f>27.6</f>
        <v>27.6</v>
      </c>
      <c r="ET4" s="88">
        <f>0</f>
        <v>0</v>
      </c>
      <c r="EU4" s="88">
        <f>27.6</f>
        <v>27.6</v>
      </c>
      <c r="EV4" s="88">
        <f t="shared" ref="EV4:EX4" si="51">0</f>
        <v>0</v>
      </c>
      <c r="EW4" s="88">
        <f t="shared" si="51"/>
        <v>0</v>
      </c>
      <c r="EX4" s="88">
        <f t="shared" si="51"/>
        <v>0</v>
      </c>
      <c r="EY4" s="88">
        <f>41.3</f>
        <v>41.3</v>
      </c>
    </row>
    <row r="5">
      <c r="A5" s="181" t="s">
        <v>423</v>
      </c>
      <c r="B5" s="10">
        <f t="shared" ref="B5:E5" si="52">0</f>
        <v>0</v>
      </c>
      <c r="C5" s="10">
        <f t="shared" si="52"/>
        <v>0</v>
      </c>
      <c r="D5" s="10">
        <f t="shared" si="52"/>
        <v>0</v>
      </c>
      <c r="E5" s="88">
        <f t="shared" si="52"/>
        <v>0</v>
      </c>
      <c r="F5" s="204">
        <f>23.4</f>
        <v>23.4</v>
      </c>
      <c r="G5" s="205">
        <f t="shared" ref="G5:I5" si="53">0</f>
        <v>0</v>
      </c>
      <c r="H5" s="88">
        <f t="shared" si="53"/>
        <v>0</v>
      </c>
      <c r="I5" s="88">
        <f t="shared" si="53"/>
        <v>0</v>
      </c>
      <c r="J5" s="10">
        <f>36.8</f>
        <v>36.8</v>
      </c>
      <c r="K5" s="88" t="str">
        <f>IFERROR(__xludf.DUMMYFUNCTION("((3 + (REGEXEXTRACT(INDIRECT(ADDRESS(ROW() - 3, COLUMN())), ""[\d]"") - 1) * 1) * $O$4)"),"#N/A")</f>
        <v>#N/A</v>
      </c>
      <c r="L5" s="88">
        <f t="shared" ref="L5:S5" si="54">0</f>
        <v>0</v>
      </c>
      <c r="M5" s="88">
        <f t="shared" si="54"/>
        <v>0</v>
      </c>
      <c r="N5" s="88">
        <f t="shared" si="54"/>
        <v>0</v>
      </c>
      <c r="O5" s="88">
        <f t="shared" si="54"/>
        <v>0</v>
      </c>
      <c r="P5" s="88">
        <f t="shared" si="54"/>
        <v>0</v>
      </c>
      <c r="Q5" s="88">
        <f t="shared" si="54"/>
        <v>0</v>
      </c>
      <c r="R5" s="88">
        <f t="shared" si="54"/>
        <v>0</v>
      </c>
      <c r="S5" s="88">
        <f t="shared" si="54"/>
        <v>0</v>
      </c>
      <c r="T5" s="10">
        <f>22.1</f>
        <v>22.1</v>
      </c>
      <c r="U5" s="88" t="str">
        <f>IFERROR(__xludf.DUMMYFUNCTION("8 + (REGEXEXTRACT(INDIRECT(ADDRESS(ROW() - 3, COLUMN())), ""[\d]"") - 1) * 2"),"#N/A")</f>
        <v>#N/A</v>
      </c>
      <c r="V5" s="88">
        <f t="shared" ref="V5:Z5" si="55">0</f>
        <v>0</v>
      </c>
      <c r="W5" s="88">
        <f t="shared" si="55"/>
        <v>0</v>
      </c>
      <c r="X5" s="88">
        <f t="shared" si="55"/>
        <v>0</v>
      </c>
      <c r="Y5" s="88">
        <f t="shared" si="55"/>
        <v>0</v>
      </c>
      <c r="Z5" s="88">
        <f t="shared" si="55"/>
        <v>0</v>
      </c>
      <c r="AA5" s="10">
        <f>31.2</f>
        <v>31.2</v>
      </c>
      <c r="AB5" s="88">
        <f t="shared" ref="AB5:AN5" si="56">0</f>
        <v>0</v>
      </c>
      <c r="AC5" s="88">
        <f t="shared" si="56"/>
        <v>0</v>
      </c>
      <c r="AD5" s="88">
        <f t="shared" si="56"/>
        <v>0</v>
      </c>
      <c r="AE5" s="88">
        <f t="shared" si="56"/>
        <v>0</v>
      </c>
      <c r="AF5" s="88">
        <f t="shared" si="56"/>
        <v>0</v>
      </c>
      <c r="AG5" s="88">
        <f t="shared" si="56"/>
        <v>0</v>
      </c>
      <c r="AH5" s="88">
        <f t="shared" si="56"/>
        <v>0</v>
      </c>
      <c r="AI5" s="88">
        <f t="shared" si="56"/>
        <v>0</v>
      </c>
      <c r="AJ5" s="88">
        <f t="shared" si="56"/>
        <v>0</v>
      </c>
      <c r="AK5" s="88">
        <f t="shared" si="56"/>
        <v>0</v>
      </c>
      <c r="AL5" s="88">
        <f t="shared" si="56"/>
        <v>0</v>
      </c>
      <c r="AM5" s="88">
        <f t="shared" si="56"/>
        <v>0</v>
      </c>
      <c r="AN5" s="88">
        <f t="shared" si="56"/>
        <v>0</v>
      </c>
      <c r="AO5" s="10">
        <f>27.6</f>
        <v>27.6</v>
      </c>
      <c r="AP5" s="88">
        <f t="shared" ref="AP5:AS5" si="57">0</f>
        <v>0</v>
      </c>
      <c r="AQ5" s="88">
        <f t="shared" si="57"/>
        <v>0</v>
      </c>
      <c r="AR5" s="88">
        <f t="shared" si="57"/>
        <v>0</v>
      </c>
      <c r="AS5" s="88">
        <f t="shared" si="57"/>
        <v>0</v>
      </c>
      <c r="AT5" s="10">
        <f>33.1</f>
        <v>33.1</v>
      </c>
      <c r="AU5" s="10">
        <f>22.1</f>
        <v>22.1</v>
      </c>
      <c r="AV5" s="88">
        <f t="shared" ref="AV5:AY5" si="58">0</f>
        <v>0</v>
      </c>
      <c r="AW5" s="88">
        <f t="shared" si="58"/>
        <v>0</v>
      </c>
      <c r="AX5" s="88">
        <f t="shared" si="58"/>
        <v>0</v>
      </c>
      <c r="AY5" s="88">
        <f t="shared" si="58"/>
        <v>0</v>
      </c>
      <c r="AZ5" s="10">
        <f>44.1</f>
        <v>44.1</v>
      </c>
      <c r="BA5" s="88">
        <f t="shared" ref="BA5:BJ5" si="59">0</f>
        <v>0</v>
      </c>
      <c r="BB5" s="88">
        <f t="shared" si="59"/>
        <v>0</v>
      </c>
      <c r="BC5" s="88">
        <f t="shared" si="59"/>
        <v>0</v>
      </c>
      <c r="BD5" s="88">
        <f t="shared" si="59"/>
        <v>0</v>
      </c>
      <c r="BE5" s="88">
        <f t="shared" si="59"/>
        <v>0</v>
      </c>
      <c r="BF5" s="88">
        <f t="shared" si="59"/>
        <v>0</v>
      </c>
      <c r="BG5" s="88">
        <f t="shared" si="59"/>
        <v>0</v>
      </c>
      <c r="BH5" s="88">
        <f t="shared" si="59"/>
        <v>0</v>
      </c>
      <c r="BI5" s="88">
        <f t="shared" si="59"/>
        <v>0</v>
      </c>
      <c r="BJ5" s="88">
        <f t="shared" si="59"/>
        <v>0</v>
      </c>
      <c r="BK5" s="10">
        <f>27.6</f>
        <v>27.6</v>
      </c>
      <c r="BL5" s="88">
        <f t="shared" ref="BL5:BT5" si="60">0</f>
        <v>0</v>
      </c>
      <c r="BM5" s="88">
        <f t="shared" si="60"/>
        <v>0</v>
      </c>
      <c r="BN5" s="88">
        <f t="shared" si="60"/>
        <v>0</v>
      </c>
      <c r="BO5" s="88">
        <f t="shared" si="60"/>
        <v>0</v>
      </c>
      <c r="BP5" s="88">
        <f t="shared" si="60"/>
        <v>0</v>
      </c>
      <c r="BQ5" s="88">
        <f t="shared" si="60"/>
        <v>0</v>
      </c>
      <c r="BR5" s="88">
        <f t="shared" si="60"/>
        <v>0</v>
      </c>
      <c r="BS5" s="88">
        <f t="shared" si="60"/>
        <v>0</v>
      </c>
      <c r="BT5" s="88">
        <f t="shared" si="60"/>
        <v>0</v>
      </c>
      <c r="BU5" s="10">
        <f>44.1</f>
        <v>44.1</v>
      </c>
      <c r="BV5" s="88">
        <f>0</f>
        <v>0</v>
      </c>
      <c r="BW5" s="88" t="str">
        <f>IFERROR(__xludf.DUMMYFUNCTION("4 + (REGEXEXTRACT(INDIRECT(ADDRESS(ROW() - 3, COLUMN())), ""[\d]"") - 1) * 1"),"#N/A")</f>
        <v>#N/A</v>
      </c>
      <c r="BX5" s="88">
        <f t="shared" ref="BX5:CF5" si="61">0</f>
        <v>0</v>
      </c>
      <c r="BY5" s="88">
        <f t="shared" si="61"/>
        <v>0</v>
      </c>
      <c r="BZ5" s="88">
        <f t="shared" si="61"/>
        <v>0</v>
      </c>
      <c r="CA5" s="88">
        <f t="shared" si="61"/>
        <v>0</v>
      </c>
      <c r="CB5" s="88">
        <f t="shared" si="61"/>
        <v>0</v>
      </c>
      <c r="CC5" s="88">
        <f t="shared" si="61"/>
        <v>0</v>
      </c>
      <c r="CD5" s="88">
        <f t="shared" si="61"/>
        <v>0</v>
      </c>
      <c r="CE5" s="88">
        <f t="shared" si="61"/>
        <v>0</v>
      </c>
      <c r="CF5" s="88">
        <f t="shared" si="61"/>
        <v>0</v>
      </c>
      <c r="CG5" s="10">
        <f>27.6</f>
        <v>27.6</v>
      </c>
      <c r="CH5" s="88" t="str">
        <f>IFERROR(__xludf.DUMMYFUNCTION("((3 + (REGEXEXTRACT(INDIRECT(ADDRESS(ROW() - 3, COLUMN())), ""[\d]"") - 1) * 1) * $O$4)"),"#N/A")</f>
        <v>#N/A</v>
      </c>
      <c r="CI5" s="88">
        <f t="shared" ref="CI5:DD5" si="62">0</f>
        <v>0</v>
      </c>
      <c r="CJ5" s="88">
        <f t="shared" si="62"/>
        <v>0</v>
      </c>
      <c r="CK5" s="88">
        <f t="shared" si="62"/>
        <v>0</v>
      </c>
      <c r="CL5" s="88">
        <f t="shared" si="62"/>
        <v>0</v>
      </c>
      <c r="CM5" s="88">
        <f t="shared" si="62"/>
        <v>0</v>
      </c>
      <c r="CN5" s="88">
        <f t="shared" si="62"/>
        <v>0</v>
      </c>
      <c r="CO5" s="88">
        <f t="shared" si="62"/>
        <v>0</v>
      </c>
      <c r="CP5" s="88">
        <f t="shared" si="62"/>
        <v>0</v>
      </c>
      <c r="CQ5" s="88">
        <f t="shared" si="62"/>
        <v>0</v>
      </c>
      <c r="CR5" s="88">
        <f t="shared" si="62"/>
        <v>0</v>
      </c>
      <c r="CS5" s="88">
        <f t="shared" si="62"/>
        <v>0</v>
      </c>
      <c r="CT5" s="88">
        <f t="shared" si="62"/>
        <v>0</v>
      </c>
      <c r="CU5" s="88">
        <f t="shared" si="62"/>
        <v>0</v>
      </c>
      <c r="CV5" s="88">
        <f t="shared" si="62"/>
        <v>0</v>
      </c>
      <c r="CW5" s="88">
        <f t="shared" si="62"/>
        <v>0</v>
      </c>
      <c r="CX5" s="88">
        <f t="shared" si="62"/>
        <v>0</v>
      </c>
      <c r="CY5" s="88">
        <f t="shared" si="62"/>
        <v>0</v>
      </c>
      <c r="CZ5" s="88">
        <f t="shared" si="62"/>
        <v>0</v>
      </c>
      <c r="DA5" s="88">
        <f t="shared" si="62"/>
        <v>0</v>
      </c>
      <c r="DB5" s="88">
        <f t="shared" si="62"/>
        <v>0</v>
      </c>
      <c r="DC5" s="88">
        <f t="shared" si="62"/>
        <v>0</v>
      </c>
      <c r="DD5" s="88">
        <f t="shared" si="62"/>
        <v>0</v>
      </c>
      <c r="DE5" s="10">
        <f>27.6</f>
        <v>27.6</v>
      </c>
      <c r="DF5" s="88">
        <f t="shared" ref="DF5:DN5" si="63">0</f>
        <v>0</v>
      </c>
      <c r="DG5" s="88">
        <f t="shared" si="63"/>
        <v>0</v>
      </c>
      <c r="DH5" s="88">
        <f t="shared" si="63"/>
        <v>0</v>
      </c>
      <c r="DI5" s="88">
        <f t="shared" si="63"/>
        <v>0</v>
      </c>
      <c r="DJ5" s="88">
        <f t="shared" si="63"/>
        <v>0</v>
      </c>
      <c r="DK5" s="88">
        <f t="shared" si="63"/>
        <v>0</v>
      </c>
      <c r="DL5" s="88">
        <f t="shared" si="63"/>
        <v>0</v>
      </c>
      <c r="DM5" s="88">
        <f t="shared" si="63"/>
        <v>0</v>
      </c>
      <c r="DN5" s="88">
        <f t="shared" si="63"/>
        <v>0</v>
      </c>
      <c r="DO5" s="10">
        <f>33.1</f>
        <v>33.1</v>
      </c>
      <c r="DP5" s="88">
        <f>0</f>
        <v>0</v>
      </c>
      <c r="DQ5" s="10">
        <f>44.1</f>
        <v>44.1</v>
      </c>
      <c r="DR5" s="88">
        <f t="shared" ref="DR5:DU5" si="64">0</f>
        <v>0</v>
      </c>
      <c r="DS5" s="88">
        <f t="shared" si="64"/>
        <v>0</v>
      </c>
      <c r="DT5" s="88">
        <f t="shared" si="64"/>
        <v>0</v>
      </c>
      <c r="DU5" s="88">
        <f t="shared" si="64"/>
        <v>0</v>
      </c>
      <c r="DV5" s="88">
        <f t="shared" ref="DV5:DX5" si="65">0</f>
        <v>0</v>
      </c>
      <c r="DW5" s="88">
        <f t="shared" si="65"/>
        <v>0</v>
      </c>
      <c r="DX5" s="88">
        <f t="shared" si="65"/>
        <v>0</v>
      </c>
      <c r="DY5" s="88" t="str">
        <f>IFERROR(__xludf.DUMMYFUNCTION("4 + (REGEXEXTRACT(INDIRECT(ADDRESS(ROW() - 3, COLUMN())), ""[\d]"") - 1) * 1"),"#N/A")</f>
        <v>#N/A</v>
      </c>
      <c r="DZ5" s="88">
        <f t="shared" ref="DZ5:EA5" si="66">33.1</f>
        <v>33.1</v>
      </c>
      <c r="EA5" s="88">
        <f t="shared" si="66"/>
        <v>33.1</v>
      </c>
      <c r="EB5" s="88">
        <f t="shared" ref="EB5:ED5" si="67">0</f>
        <v>0</v>
      </c>
      <c r="EC5" s="88">
        <f t="shared" si="67"/>
        <v>0</v>
      </c>
      <c r="ED5" s="88">
        <f t="shared" si="67"/>
        <v>0</v>
      </c>
      <c r="EE5" s="88">
        <f>27.6</f>
        <v>27.6</v>
      </c>
      <c r="EF5" s="88">
        <f t="shared" ref="EF5:EG5" si="68">0</f>
        <v>0</v>
      </c>
      <c r="EG5" s="88">
        <f t="shared" si="68"/>
        <v>0</v>
      </c>
      <c r="EH5" s="88">
        <f>18.4</f>
        <v>18.4</v>
      </c>
      <c r="EI5" s="88">
        <f>0</f>
        <v>0</v>
      </c>
      <c r="EJ5" s="88">
        <f>27.6</f>
        <v>27.6</v>
      </c>
      <c r="EK5" s="88">
        <f>0</f>
        <v>0</v>
      </c>
      <c r="EL5" s="88">
        <f>36.8</f>
        <v>36.8</v>
      </c>
      <c r="EM5" s="88">
        <f>0</f>
        <v>0</v>
      </c>
      <c r="EN5" s="88">
        <f>18.4</f>
        <v>18.4</v>
      </c>
      <c r="EO5" s="88">
        <f t="shared" ref="EO5:EP5" si="69">0</f>
        <v>0</v>
      </c>
      <c r="EP5" s="88">
        <f t="shared" si="69"/>
        <v>0</v>
      </c>
      <c r="EQ5" s="88">
        <f>22.1</f>
        <v>22.1</v>
      </c>
      <c r="ER5" s="88">
        <f t="shared" si="70"/>
        <v>0</v>
      </c>
      <c r="ES5" s="88">
        <f t="shared" ref="ES5:EY5" si="71">0</f>
        <v>0</v>
      </c>
      <c r="ET5" s="88">
        <f t="shared" si="71"/>
        <v>0</v>
      </c>
      <c r="EU5" s="88">
        <f t="shared" si="71"/>
        <v>0</v>
      </c>
      <c r="EV5" s="88">
        <f t="shared" si="71"/>
        <v>0</v>
      </c>
      <c r="EW5" s="88">
        <f t="shared" si="71"/>
        <v>0</v>
      </c>
      <c r="EX5" s="88">
        <f t="shared" si="71"/>
        <v>0</v>
      </c>
      <c r="EY5" s="88">
        <f t="shared" si="71"/>
        <v>0</v>
      </c>
    </row>
    <row r="6">
      <c r="A6" s="181" t="s">
        <v>424</v>
      </c>
      <c r="B6" s="10">
        <f t="shared" ref="B6:C6" si="72">66.2</f>
        <v>66.2</v>
      </c>
      <c r="C6" s="10">
        <f t="shared" si="72"/>
        <v>66.2</v>
      </c>
      <c r="D6" s="10">
        <f t="shared" ref="D6:G6" si="73">0</f>
        <v>0</v>
      </c>
      <c r="E6" s="88">
        <f t="shared" si="73"/>
        <v>0</v>
      </c>
      <c r="F6" s="123">
        <f t="shared" si="73"/>
        <v>0</v>
      </c>
      <c r="G6" s="205">
        <f t="shared" si="73"/>
        <v>0</v>
      </c>
      <c r="H6" s="10">
        <f>55.1</f>
        <v>55.1</v>
      </c>
      <c r="I6" s="88">
        <f t="shared" ref="I6:Y6" si="74">0</f>
        <v>0</v>
      </c>
      <c r="J6" s="88">
        <f t="shared" si="74"/>
        <v>0</v>
      </c>
      <c r="K6" s="88">
        <f t="shared" si="74"/>
        <v>0</v>
      </c>
      <c r="L6" s="88">
        <f t="shared" si="74"/>
        <v>0</v>
      </c>
      <c r="M6" s="88">
        <f t="shared" si="74"/>
        <v>0</v>
      </c>
      <c r="N6" s="88">
        <f t="shared" si="74"/>
        <v>0</v>
      </c>
      <c r="O6" s="88">
        <f t="shared" si="74"/>
        <v>0</v>
      </c>
      <c r="P6" s="88">
        <f t="shared" si="74"/>
        <v>0</v>
      </c>
      <c r="Q6" s="88">
        <f t="shared" si="74"/>
        <v>0</v>
      </c>
      <c r="R6" s="88">
        <f t="shared" si="74"/>
        <v>0</v>
      </c>
      <c r="S6" s="88">
        <f t="shared" si="74"/>
        <v>0</v>
      </c>
      <c r="T6" s="88">
        <f t="shared" si="74"/>
        <v>0</v>
      </c>
      <c r="U6" s="88">
        <f t="shared" si="74"/>
        <v>0</v>
      </c>
      <c r="V6" s="88">
        <f t="shared" si="74"/>
        <v>0</v>
      </c>
      <c r="W6" s="88">
        <f t="shared" si="74"/>
        <v>0</v>
      </c>
      <c r="X6" s="88">
        <f t="shared" si="74"/>
        <v>0</v>
      </c>
      <c r="Y6" s="88">
        <f t="shared" si="74"/>
        <v>0</v>
      </c>
      <c r="Z6" s="10">
        <f>46.9</f>
        <v>46.9</v>
      </c>
      <c r="AA6" s="88">
        <f t="shared" ref="AA6:AG6" si="75">0</f>
        <v>0</v>
      </c>
      <c r="AB6" s="88">
        <f t="shared" si="75"/>
        <v>0</v>
      </c>
      <c r="AC6" s="88">
        <f t="shared" si="75"/>
        <v>0</v>
      </c>
      <c r="AD6" s="88">
        <f t="shared" si="75"/>
        <v>0</v>
      </c>
      <c r="AE6" s="88">
        <f t="shared" si="75"/>
        <v>0</v>
      </c>
      <c r="AF6" s="88">
        <f t="shared" si="75"/>
        <v>0</v>
      </c>
      <c r="AG6" s="88">
        <f t="shared" si="75"/>
        <v>0</v>
      </c>
      <c r="AH6" s="10">
        <f>36.8</f>
        <v>36.8</v>
      </c>
      <c r="AI6" s="88">
        <f t="shared" ref="AI6:AT6" si="76">0</f>
        <v>0</v>
      </c>
      <c r="AJ6" s="88">
        <f t="shared" si="76"/>
        <v>0</v>
      </c>
      <c r="AK6" s="88">
        <f t="shared" si="76"/>
        <v>0</v>
      </c>
      <c r="AL6" s="88">
        <f t="shared" si="76"/>
        <v>0</v>
      </c>
      <c r="AM6" s="88">
        <f t="shared" si="76"/>
        <v>0</v>
      </c>
      <c r="AN6" s="88">
        <f t="shared" si="76"/>
        <v>0</v>
      </c>
      <c r="AO6" s="88">
        <f t="shared" si="76"/>
        <v>0</v>
      </c>
      <c r="AP6" s="88">
        <f t="shared" si="76"/>
        <v>0</v>
      </c>
      <c r="AQ6" s="88">
        <f t="shared" si="76"/>
        <v>0</v>
      </c>
      <c r="AR6" s="88">
        <f t="shared" si="76"/>
        <v>0</v>
      </c>
      <c r="AS6" s="88">
        <f t="shared" si="76"/>
        <v>0</v>
      </c>
      <c r="AT6" s="88">
        <f t="shared" si="76"/>
        <v>0</v>
      </c>
      <c r="AU6" s="88" t="str">
        <f>IFERROR(__xludf.DUMMYFUNCTION("20 + (REGEXEXTRACT(INDIRECT(ADDRESS(ROW() - 4, COLUMN())), ""[\d]"") - 1) * 5"),"#N/A")</f>
        <v>#N/A</v>
      </c>
      <c r="AV6" s="88">
        <f>0</f>
        <v>0</v>
      </c>
      <c r="AW6" s="10">
        <f>88.2</f>
        <v>88.2</v>
      </c>
      <c r="AX6" s="88">
        <f>0</f>
        <v>0</v>
      </c>
      <c r="AY6" s="10">
        <f>66.2</f>
        <v>66.2</v>
      </c>
      <c r="AZ6" s="88">
        <f t="shared" ref="AZ6:BB6" si="77">0</f>
        <v>0</v>
      </c>
      <c r="BA6" s="88">
        <f t="shared" si="77"/>
        <v>0</v>
      </c>
      <c r="BB6" s="88">
        <f t="shared" si="77"/>
        <v>0</v>
      </c>
      <c r="BC6" s="10">
        <f>46.9</f>
        <v>46.9</v>
      </c>
      <c r="BD6" s="88">
        <f t="shared" ref="BD6:BI6" si="78">0</f>
        <v>0</v>
      </c>
      <c r="BE6" s="88">
        <f t="shared" si="78"/>
        <v>0</v>
      </c>
      <c r="BF6" s="88">
        <f t="shared" si="78"/>
        <v>0</v>
      </c>
      <c r="BG6" s="88">
        <f t="shared" si="78"/>
        <v>0</v>
      </c>
      <c r="BH6" s="88">
        <f t="shared" si="78"/>
        <v>0</v>
      </c>
      <c r="BI6" s="88">
        <f t="shared" si="78"/>
        <v>0</v>
      </c>
      <c r="BJ6" s="10">
        <f>36.8</f>
        <v>36.8</v>
      </c>
      <c r="BK6" s="88">
        <f t="shared" ref="BK6:BW6" si="79">0</f>
        <v>0</v>
      </c>
      <c r="BL6" s="88">
        <f t="shared" si="79"/>
        <v>0</v>
      </c>
      <c r="BM6" s="88">
        <f t="shared" si="79"/>
        <v>0</v>
      </c>
      <c r="BN6" s="88">
        <f t="shared" si="79"/>
        <v>0</v>
      </c>
      <c r="BO6" s="88">
        <f t="shared" si="79"/>
        <v>0</v>
      </c>
      <c r="BP6" s="88">
        <f t="shared" si="79"/>
        <v>0</v>
      </c>
      <c r="BQ6" s="88">
        <f t="shared" si="79"/>
        <v>0</v>
      </c>
      <c r="BR6" s="88">
        <f t="shared" si="79"/>
        <v>0</v>
      </c>
      <c r="BS6" s="88">
        <f t="shared" si="79"/>
        <v>0</v>
      </c>
      <c r="BT6" s="88">
        <f t="shared" si="79"/>
        <v>0</v>
      </c>
      <c r="BU6" s="88">
        <f t="shared" si="79"/>
        <v>0</v>
      </c>
      <c r="BV6" s="88">
        <f t="shared" si="79"/>
        <v>0</v>
      </c>
      <c r="BW6" s="88">
        <f t="shared" si="79"/>
        <v>0</v>
      </c>
      <c r="BX6" s="10">
        <f>44.1</f>
        <v>44.1</v>
      </c>
      <c r="BY6" s="88">
        <f t="shared" ref="BY6:CJ6" si="80">0</f>
        <v>0</v>
      </c>
      <c r="BZ6" s="88">
        <f t="shared" si="80"/>
        <v>0</v>
      </c>
      <c r="CA6" s="88">
        <f t="shared" si="80"/>
        <v>0</v>
      </c>
      <c r="CB6" s="88">
        <f t="shared" si="80"/>
        <v>0</v>
      </c>
      <c r="CC6" s="88">
        <f t="shared" si="80"/>
        <v>0</v>
      </c>
      <c r="CD6" s="88">
        <f t="shared" si="80"/>
        <v>0</v>
      </c>
      <c r="CE6" s="88">
        <f t="shared" si="80"/>
        <v>0</v>
      </c>
      <c r="CF6" s="88">
        <f t="shared" si="80"/>
        <v>0</v>
      </c>
      <c r="CG6" s="88">
        <f t="shared" si="80"/>
        <v>0</v>
      </c>
      <c r="CH6" s="88">
        <f t="shared" si="80"/>
        <v>0</v>
      </c>
      <c r="CI6" s="88">
        <f t="shared" si="80"/>
        <v>0</v>
      </c>
      <c r="CJ6" s="88">
        <f t="shared" si="80"/>
        <v>0</v>
      </c>
      <c r="CK6" s="10">
        <f>55.1</f>
        <v>55.1</v>
      </c>
      <c r="CL6" s="88">
        <f t="shared" ref="CL6:CR6" si="81">0</f>
        <v>0</v>
      </c>
      <c r="CM6" s="88">
        <f t="shared" si="81"/>
        <v>0</v>
      </c>
      <c r="CN6" s="88">
        <f t="shared" si="81"/>
        <v>0</v>
      </c>
      <c r="CO6" s="88">
        <f t="shared" si="81"/>
        <v>0</v>
      </c>
      <c r="CP6" s="88">
        <f t="shared" si="81"/>
        <v>0</v>
      </c>
      <c r="CQ6" s="88">
        <f t="shared" si="81"/>
        <v>0</v>
      </c>
      <c r="CR6" s="88">
        <f t="shared" si="81"/>
        <v>0</v>
      </c>
      <c r="CS6" s="10">
        <f>88.2</f>
        <v>88.2</v>
      </c>
      <c r="CT6" s="88">
        <f t="shared" ref="CT6:DC6" si="82">0</f>
        <v>0</v>
      </c>
      <c r="CU6" s="88">
        <f t="shared" si="82"/>
        <v>0</v>
      </c>
      <c r="CV6" s="88">
        <f t="shared" si="82"/>
        <v>0</v>
      </c>
      <c r="CW6" s="88">
        <f t="shared" si="82"/>
        <v>0</v>
      </c>
      <c r="CX6" s="88">
        <f t="shared" si="82"/>
        <v>0</v>
      </c>
      <c r="CY6" s="88">
        <f t="shared" si="82"/>
        <v>0</v>
      </c>
      <c r="CZ6" s="88">
        <f t="shared" si="82"/>
        <v>0</v>
      </c>
      <c r="DA6" s="88">
        <f t="shared" si="82"/>
        <v>0</v>
      </c>
      <c r="DB6" s="88">
        <f t="shared" si="82"/>
        <v>0</v>
      </c>
      <c r="DC6" s="88">
        <f t="shared" si="82"/>
        <v>0</v>
      </c>
      <c r="DD6" s="10">
        <f>55.1</f>
        <v>55.1</v>
      </c>
      <c r="DE6" s="88">
        <f t="shared" ref="DE6:DG6" si="83">0</f>
        <v>0</v>
      </c>
      <c r="DF6" s="88">
        <f t="shared" si="83"/>
        <v>0</v>
      </c>
      <c r="DG6" s="88">
        <f t="shared" si="83"/>
        <v>0</v>
      </c>
      <c r="DH6" s="10">
        <f>55.1</f>
        <v>55.1</v>
      </c>
      <c r="DI6" s="88">
        <f t="shared" ref="DI6:DJ6" si="84">0</f>
        <v>0</v>
      </c>
      <c r="DJ6" s="88">
        <f t="shared" si="84"/>
        <v>0</v>
      </c>
      <c r="DK6" s="10">
        <f>66.2</f>
        <v>66.2</v>
      </c>
      <c r="DL6" s="88">
        <f t="shared" ref="DL6:DU6" si="85">0</f>
        <v>0</v>
      </c>
      <c r="DM6" s="88">
        <f t="shared" si="85"/>
        <v>0</v>
      </c>
      <c r="DN6" s="88">
        <f t="shared" si="85"/>
        <v>0</v>
      </c>
      <c r="DO6" s="88">
        <f t="shared" si="85"/>
        <v>0</v>
      </c>
      <c r="DP6" s="88">
        <f t="shared" si="85"/>
        <v>0</v>
      </c>
      <c r="DQ6" s="88">
        <f t="shared" si="85"/>
        <v>0</v>
      </c>
      <c r="DR6" s="88">
        <f t="shared" si="85"/>
        <v>0</v>
      </c>
      <c r="DS6" s="88">
        <f t="shared" si="85"/>
        <v>0</v>
      </c>
      <c r="DT6" s="88">
        <f t="shared" si="85"/>
        <v>0</v>
      </c>
      <c r="DU6" s="88">
        <f t="shared" si="85"/>
        <v>0</v>
      </c>
      <c r="DV6" s="88">
        <f t="shared" ref="DV6:DV9" si="89">0</f>
        <v>0</v>
      </c>
      <c r="DW6" s="88">
        <f>44.1</f>
        <v>44.1</v>
      </c>
      <c r="DX6" s="88">
        <f>0</f>
        <v>0</v>
      </c>
      <c r="DY6" s="88">
        <f>88.2</f>
        <v>88.2</v>
      </c>
      <c r="DZ6" s="88">
        <f t="shared" ref="DZ6:EO6" si="86">0</f>
        <v>0</v>
      </c>
      <c r="EA6" s="88">
        <f t="shared" si="86"/>
        <v>0</v>
      </c>
      <c r="EB6" s="88">
        <f t="shared" si="86"/>
        <v>0</v>
      </c>
      <c r="EC6" s="88">
        <f t="shared" si="86"/>
        <v>0</v>
      </c>
      <c r="ED6" s="88">
        <f t="shared" si="86"/>
        <v>0</v>
      </c>
      <c r="EE6" s="88">
        <f t="shared" si="86"/>
        <v>0</v>
      </c>
      <c r="EF6" s="88">
        <f t="shared" si="86"/>
        <v>0</v>
      </c>
      <c r="EG6" s="88">
        <f t="shared" si="86"/>
        <v>0</v>
      </c>
      <c r="EH6" s="88">
        <f t="shared" si="86"/>
        <v>0</v>
      </c>
      <c r="EI6" s="88">
        <f t="shared" si="86"/>
        <v>0</v>
      </c>
      <c r="EJ6" s="88">
        <f t="shared" si="86"/>
        <v>0</v>
      </c>
      <c r="EK6" s="88">
        <f t="shared" si="86"/>
        <v>0</v>
      </c>
      <c r="EL6" s="88">
        <f t="shared" si="86"/>
        <v>0</v>
      </c>
      <c r="EM6" s="88">
        <f t="shared" si="86"/>
        <v>0</v>
      </c>
      <c r="EN6" s="88">
        <f t="shared" si="86"/>
        <v>0</v>
      </c>
      <c r="EO6" s="88">
        <f t="shared" si="86"/>
        <v>0</v>
      </c>
      <c r="EP6" s="88">
        <f>66.2</f>
        <v>66.2</v>
      </c>
      <c r="EQ6" s="88">
        <f>0</f>
        <v>0</v>
      </c>
      <c r="ER6" s="88">
        <f>88.2</f>
        <v>88.2</v>
      </c>
      <c r="ES6" s="88">
        <f t="shared" ref="ES6:EW6" si="87">0</f>
        <v>0</v>
      </c>
      <c r="ET6" s="88">
        <f t="shared" si="87"/>
        <v>0</v>
      </c>
      <c r="EU6" s="88">
        <f t="shared" si="87"/>
        <v>0</v>
      </c>
      <c r="EV6" s="88">
        <f t="shared" si="87"/>
        <v>0</v>
      </c>
      <c r="EW6" s="88">
        <f t="shared" si="87"/>
        <v>0</v>
      </c>
      <c r="EX6" s="88">
        <f>88.2</f>
        <v>88.2</v>
      </c>
      <c r="EY6" s="88">
        <f>0</f>
        <v>0</v>
      </c>
    </row>
    <row r="7">
      <c r="A7" s="181" t="s">
        <v>425</v>
      </c>
      <c r="B7" s="10">
        <f t="shared" ref="B7:DU7" si="88">0</f>
        <v>0</v>
      </c>
      <c r="C7" s="10">
        <f t="shared" si="88"/>
        <v>0</v>
      </c>
      <c r="D7" s="10">
        <f t="shared" si="88"/>
        <v>0</v>
      </c>
      <c r="E7" s="88">
        <f t="shared" si="88"/>
        <v>0</v>
      </c>
      <c r="F7" s="123">
        <f t="shared" si="88"/>
        <v>0</v>
      </c>
      <c r="G7" s="205">
        <f t="shared" si="88"/>
        <v>0</v>
      </c>
      <c r="H7" s="88">
        <f t="shared" si="88"/>
        <v>0</v>
      </c>
      <c r="I7" s="88">
        <f t="shared" si="88"/>
        <v>0</v>
      </c>
      <c r="J7" s="88">
        <f t="shared" si="88"/>
        <v>0</v>
      </c>
      <c r="K7" s="88">
        <f t="shared" si="88"/>
        <v>0</v>
      </c>
      <c r="L7" s="88">
        <f t="shared" si="88"/>
        <v>0</v>
      </c>
      <c r="M7" s="88">
        <f t="shared" si="88"/>
        <v>0</v>
      </c>
      <c r="N7" s="88">
        <f t="shared" si="88"/>
        <v>0</v>
      </c>
      <c r="O7" s="88">
        <f t="shared" si="88"/>
        <v>0</v>
      </c>
      <c r="P7" s="88">
        <f t="shared" si="88"/>
        <v>0</v>
      </c>
      <c r="Q7" s="88">
        <f t="shared" si="88"/>
        <v>0</v>
      </c>
      <c r="R7" s="88">
        <f t="shared" si="88"/>
        <v>0</v>
      </c>
      <c r="S7" s="88">
        <f t="shared" si="88"/>
        <v>0</v>
      </c>
      <c r="T7" s="88">
        <f t="shared" si="88"/>
        <v>0</v>
      </c>
      <c r="U7" s="88">
        <f t="shared" si="88"/>
        <v>0</v>
      </c>
      <c r="V7" s="88">
        <f t="shared" si="88"/>
        <v>0</v>
      </c>
      <c r="W7" s="88">
        <f t="shared" si="88"/>
        <v>0</v>
      </c>
      <c r="X7" s="88">
        <f t="shared" si="88"/>
        <v>0</v>
      </c>
      <c r="Y7" s="88">
        <f t="shared" si="88"/>
        <v>0</v>
      </c>
      <c r="Z7" s="88">
        <f t="shared" si="88"/>
        <v>0</v>
      </c>
      <c r="AA7" s="88">
        <f t="shared" si="88"/>
        <v>0</v>
      </c>
      <c r="AB7" s="88">
        <f t="shared" si="88"/>
        <v>0</v>
      </c>
      <c r="AC7" s="88">
        <f t="shared" si="88"/>
        <v>0</v>
      </c>
      <c r="AD7" s="88">
        <f t="shared" si="88"/>
        <v>0</v>
      </c>
      <c r="AE7" s="88">
        <f t="shared" si="88"/>
        <v>0</v>
      </c>
      <c r="AF7" s="88">
        <f t="shared" si="88"/>
        <v>0</v>
      </c>
      <c r="AG7" s="88">
        <f t="shared" si="88"/>
        <v>0</v>
      </c>
      <c r="AH7" s="88">
        <f t="shared" si="88"/>
        <v>0</v>
      </c>
      <c r="AI7" s="88">
        <f t="shared" si="88"/>
        <v>0</v>
      </c>
      <c r="AJ7" s="88">
        <f t="shared" si="88"/>
        <v>0</v>
      </c>
      <c r="AK7" s="88">
        <f t="shared" si="88"/>
        <v>0</v>
      </c>
      <c r="AL7" s="88">
        <f t="shared" si="88"/>
        <v>0</v>
      </c>
      <c r="AM7" s="88">
        <f t="shared" si="88"/>
        <v>0</v>
      </c>
      <c r="AN7" s="88">
        <f t="shared" si="88"/>
        <v>0</v>
      </c>
      <c r="AO7" s="88">
        <f t="shared" si="88"/>
        <v>0</v>
      </c>
      <c r="AP7" s="88">
        <f t="shared" si="88"/>
        <v>0</v>
      </c>
      <c r="AQ7" s="88">
        <f t="shared" si="88"/>
        <v>0</v>
      </c>
      <c r="AR7" s="88">
        <f t="shared" si="88"/>
        <v>0</v>
      </c>
      <c r="AS7" s="88">
        <f t="shared" si="88"/>
        <v>0</v>
      </c>
      <c r="AT7" s="88">
        <f t="shared" si="88"/>
        <v>0</v>
      </c>
      <c r="AU7" s="88">
        <f t="shared" si="88"/>
        <v>0</v>
      </c>
      <c r="AV7" s="88">
        <f t="shared" si="88"/>
        <v>0</v>
      </c>
      <c r="AW7" s="88">
        <f t="shared" si="88"/>
        <v>0</v>
      </c>
      <c r="AX7" s="88">
        <f t="shared" si="88"/>
        <v>0</v>
      </c>
      <c r="AY7" s="88">
        <f t="shared" si="88"/>
        <v>0</v>
      </c>
      <c r="AZ7" s="88">
        <f t="shared" si="88"/>
        <v>0</v>
      </c>
      <c r="BA7" s="88">
        <f t="shared" si="88"/>
        <v>0</v>
      </c>
      <c r="BB7" s="88">
        <f t="shared" si="88"/>
        <v>0</v>
      </c>
      <c r="BC7" s="88">
        <f t="shared" si="88"/>
        <v>0</v>
      </c>
      <c r="BD7" s="88">
        <f t="shared" si="88"/>
        <v>0</v>
      </c>
      <c r="BE7" s="88">
        <f t="shared" si="88"/>
        <v>0</v>
      </c>
      <c r="BF7" s="88">
        <f t="shared" si="88"/>
        <v>0</v>
      </c>
      <c r="BG7" s="88">
        <f t="shared" si="88"/>
        <v>0</v>
      </c>
      <c r="BH7" s="88">
        <f t="shared" si="88"/>
        <v>0</v>
      </c>
      <c r="BI7" s="88">
        <f t="shared" si="88"/>
        <v>0</v>
      </c>
      <c r="BJ7" s="88">
        <f t="shared" si="88"/>
        <v>0</v>
      </c>
      <c r="BK7" s="88">
        <f t="shared" si="88"/>
        <v>0</v>
      </c>
      <c r="BL7" s="88">
        <f t="shared" si="88"/>
        <v>0</v>
      </c>
      <c r="BM7" s="88">
        <f t="shared" si="88"/>
        <v>0</v>
      </c>
      <c r="BN7" s="88">
        <f t="shared" si="88"/>
        <v>0</v>
      </c>
      <c r="BO7" s="88">
        <f t="shared" si="88"/>
        <v>0</v>
      </c>
      <c r="BP7" s="88">
        <f t="shared" si="88"/>
        <v>0</v>
      </c>
      <c r="BQ7" s="88">
        <f t="shared" si="88"/>
        <v>0</v>
      </c>
      <c r="BR7" s="88">
        <f t="shared" si="88"/>
        <v>0</v>
      </c>
      <c r="BS7" s="88">
        <f t="shared" si="88"/>
        <v>0</v>
      </c>
      <c r="BT7" s="88">
        <f t="shared" si="88"/>
        <v>0</v>
      </c>
      <c r="BU7" s="88">
        <f t="shared" si="88"/>
        <v>0</v>
      </c>
      <c r="BV7" s="88">
        <f t="shared" si="88"/>
        <v>0</v>
      </c>
      <c r="BW7" s="88">
        <f t="shared" si="88"/>
        <v>0</v>
      </c>
      <c r="BX7" s="88">
        <f t="shared" si="88"/>
        <v>0</v>
      </c>
      <c r="BY7" s="88">
        <f t="shared" si="88"/>
        <v>0</v>
      </c>
      <c r="BZ7" s="88">
        <f t="shared" si="88"/>
        <v>0</v>
      </c>
      <c r="CA7" s="88">
        <f t="shared" si="88"/>
        <v>0</v>
      </c>
      <c r="CB7" s="88">
        <f t="shared" si="88"/>
        <v>0</v>
      </c>
      <c r="CC7" s="88">
        <f t="shared" si="88"/>
        <v>0</v>
      </c>
      <c r="CD7" s="88">
        <f t="shared" si="88"/>
        <v>0</v>
      </c>
      <c r="CE7" s="88">
        <f t="shared" si="88"/>
        <v>0</v>
      </c>
      <c r="CF7" s="88">
        <f t="shared" si="88"/>
        <v>0</v>
      </c>
      <c r="CG7" s="88">
        <f t="shared" si="88"/>
        <v>0</v>
      </c>
      <c r="CH7" s="88">
        <f t="shared" si="88"/>
        <v>0</v>
      </c>
      <c r="CI7" s="88">
        <f t="shared" si="88"/>
        <v>0</v>
      </c>
      <c r="CJ7" s="88">
        <f t="shared" si="88"/>
        <v>0</v>
      </c>
      <c r="CK7" s="88">
        <f t="shared" si="88"/>
        <v>0</v>
      </c>
      <c r="CL7" s="88">
        <f t="shared" si="88"/>
        <v>0</v>
      </c>
      <c r="CM7" s="88">
        <f t="shared" si="88"/>
        <v>0</v>
      </c>
      <c r="CN7" s="88">
        <f t="shared" si="88"/>
        <v>0</v>
      </c>
      <c r="CO7" s="88">
        <f t="shared" si="88"/>
        <v>0</v>
      </c>
      <c r="CP7" s="88">
        <f t="shared" si="88"/>
        <v>0</v>
      </c>
      <c r="CQ7" s="88">
        <f t="shared" si="88"/>
        <v>0</v>
      </c>
      <c r="CR7" s="88">
        <f t="shared" si="88"/>
        <v>0</v>
      </c>
      <c r="CS7" s="88">
        <f t="shared" si="88"/>
        <v>0</v>
      </c>
      <c r="CT7" s="88">
        <f t="shared" si="88"/>
        <v>0</v>
      </c>
      <c r="CU7" s="88">
        <f t="shared" si="88"/>
        <v>0</v>
      </c>
      <c r="CV7" s="88">
        <f t="shared" si="88"/>
        <v>0</v>
      </c>
      <c r="CW7" s="88">
        <f t="shared" si="88"/>
        <v>0</v>
      </c>
      <c r="CX7" s="88">
        <f t="shared" si="88"/>
        <v>0</v>
      </c>
      <c r="CY7" s="88">
        <f t="shared" si="88"/>
        <v>0</v>
      </c>
      <c r="CZ7" s="88">
        <f t="shared" si="88"/>
        <v>0</v>
      </c>
      <c r="DA7" s="88">
        <f t="shared" si="88"/>
        <v>0</v>
      </c>
      <c r="DB7" s="88">
        <f t="shared" si="88"/>
        <v>0</v>
      </c>
      <c r="DC7" s="88">
        <f t="shared" si="88"/>
        <v>0</v>
      </c>
      <c r="DD7" s="88">
        <f t="shared" si="88"/>
        <v>0</v>
      </c>
      <c r="DE7" s="88">
        <f t="shared" si="88"/>
        <v>0</v>
      </c>
      <c r="DF7" s="88">
        <f t="shared" si="88"/>
        <v>0</v>
      </c>
      <c r="DG7" s="88">
        <f t="shared" si="88"/>
        <v>0</v>
      </c>
      <c r="DH7" s="88">
        <f t="shared" si="88"/>
        <v>0</v>
      </c>
      <c r="DI7" s="88">
        <f t="shared" si="88"/>
        <v>0</v>
      </c>
      <c r="DJ7" s="88">
        <f t="shared" si="88"/>
        <v>0</v>
      </c>
      <c r="DK7" s="88">
        <f t="shared" si="88"/>
        <v>0</v>
      </c>
      <c r="DL7" s="88">
        <f t="shared" si="88"/>
        <v>0</v>
      </c>
      <c r="DM7" s="88">
        <f t="shared" si="88"/>
        <v>0</v>
      </c>
      <c r="DN7" s="88">
        <f t="shared" si="88"/>
        <v>0</v>
      </c>
      <c r="DO7" s="88">
        <f t="shared" si="88"/>
        <v>0</v>
      </c>
      <c r="DP7" s="88">
        <f t="shared" si="88"/>
        <v>0</v>
      </c>
      <c r="DQ7" s="88">
        <f t="shared" si="88"/>
        <v>0</v>
      </c>
      <c r="DR7" s="88">
        <f t="shared" si="88"/>
        <v>0</v>
      </c>
      <c r="DS7" s="88">
        <f t="shared" si="88"/>
        <v>0</v>
      </c>
      <c r="DT7" s="88">
        <f t="shared" si="88"/>
        <v>0</v>
      </c>
      <c r="DU7" s="88">
        <f t="shared" si="88"/>
        <v>0</v>
      </c>
      <c r="DV7" s="88">
        <f t="shared" si="89"/>
        <v>0</v>
      </c>
      <c r="DW7" s="88">
        <f t="shared" ref="DW7:EY7" si="90">0</f>
        <v>0</v>
      </c>
      <c r="DX7" s="88">
        <f t="shared" si="90"/>
        <v>0</v>
      </c>
      <c r="DY7" s="88">
        <f t="shared" si="90"/>
        <v>0</v>
      </c>
      <c r="DZ7" s="88">
        <f t="shared" si="90"/>
        <v>0</v>
      </c>
      <c r="EA7" s="88">
        <f t="shared" si="90"/>
        <v>0</v>
      </c>
      <c r="EB7" s="88">
        <f t="shared" si="90"/>
        <v>0</v>
      </c>
      <c r="EC7" s="88">
        <f t="shared" si="90"/>
        <v>0</v>
      </c>
      <c r="ED7" s="88">
        <f t="shared" si="90"/>
        <v>0</v>
      </c>
      <c r="EE7" s="88">
        <f t="shared" si="90"/>
        <v>0</v>
      </c>
      <c r="EF7" s="88">
        <f t="shared" si="90"/>
        <v>0</v>
      </c>
      <c r="EG7" s="88">
        <f t="shared" si="90"/>
        <v>0</v>
      </c>
      <c r="EH7" s="88">
        <f t="shared" si="90"/>
        <v>0</v>
      </c>
      <c r="EI7" s="88">
        <f t="shared" si="90"/>
        <v>0</v>
      </c>
      <c r="EJ7" s="88">
        <f t="shared" si="90"/>
        <v>0</v>
      </c>
      <c r="EK7" s="88">
        <f t="shared" si="90"/>
        <v>0</v>
      </c>
      <c r="EL7" s="88">
        <f t="shared" si="90"/>
        <v>0</v>
      </c>
      <c r="EM7" s="88">
        <f t="shared" si="90"/>
        <v>0</v>
      </c>
      <c r="EN7" s="88">
        <f t="shared" si="90"/>
        <v>0</v>
      </c>
      <c r="EO7" s="88">
        <f t="shared" si="90"/>
        <v>0</v>
      </c>
      <c r="EP7" s="88">
        <f t="shared" si="90"/>
        <v>0</v>
      </c>
      <c r="EQ7" s="88">
        <f t="shared" si="90"/>
        <v>0</v>
      </c>
      <c r="ER7" s="88">
        <f t="shared" si="90"/>
        <v>0</v>
      </c>
      <c r="ES7" s="88">
        <f t="shared" si="90"/>
        <v>0</v>
      </c>
      <c r="ET7" s="88">
        <f t="shared" si="90"/>
        <v>0</v>
      </c>
      <c r="EU7" s="88">
        <f t="shared" si="90"/>
        <v>0</v>
      </c>
      <c r="EV7" s="88">
        <f t="shared" si="90"/>
        <v>0</v>
      </c>
      <c r="EW7" s="88">
        <f t="shared" si="90"/>
        <v>0</v>
      </c>
      <c r="EX7" s="88">
        <f t="shared" si="90"/>
        <v>0</v>
      </c>
      <c r="EY7" s="88">
        <f t="shared" si="90"/>
        <v>0</v>
      </c>
    </row>
    <row r="8">
      <c r="A8" s="181" t="s">
        <v>161</v>
      </c>
      <c r="B8" s="10">
        <f t="shared" ref="B8:BO8" si="91">0</f>
        <v>0</v>
      </c>
      <c r="C8" s="10">
        <f t="shared" si="91"/>
        <v>0</v>
      </c>
      <c r="D8" s="10">
        <f t="shared" si="91"/>
        <v>0</v>
      </c>
      <c r="E8" s="88">
        <f t="shared" si="91"/>
        <v>0</v>
      </c>
      <c r="F8" s="123">
        <f t="shared" si="91"/>
        <v>0</v>
      </c>
      <c r="G8" s="205">
        <f t="shared" si="91"/>
        <v>0</v>
      </c>
      <c r="H8" s="88">
        <f t="shared" si="91"/>
        <v>0</v>
      </c>
      <c r="I8" s="88">
        <f t="shared" si="91"/>
        <v>0</v>
      </c>
      <c r="J8" s="88">
        <f t="shared" si="91"/>
        <v>0</v>
      </c>
      <c r="K8" s="88">
        <f t="shared" si="91"/>
        <v>0</v>
      </c>
      <c r="L8" s="88">
        <f t="shared" si="91"/>
        <v>0</v>
      </c>
      <c r="M8" s="88">
        <f t="shared" si="91"/>
        <v>0</v>
      </c>
      <c r="N8" s="88">
        <f t="shared" si="91"/>
        <v>0</v>
      </c>
      <c r="O8" s="88">
        <f t="shared" si="91"/>
        <v>0</v>
      </c>
      <c r="P8" s="88">
        <f t="shared" si="91"/>
        <v>0</v>
      </c>
      <c r="Q8" s="88">
        <f t="shared" si="91"/>
        <v>0</v>
      </c>
      <c r="R8" s="88">
        <f t="shared" si="91"/>
        <v>0</v>
      </c>
      <c r="S8" s="88">
        <f t="shared" si="91"/>
        <v>0</v>
      </c>
      <c r="T8" s="88">
        <f t="shared" si="91"/>
        <v>0</v>
      </c>
      <c r="U8" s="88">
        <f t="shared" si="91"/>
        <v>0</v>
      </c>
      <c r="V8" s="88">
        <f t="shared" si="91"/>
        <v>0</v>
      </c>
      <c r="W8" s="88">
        <f t="shared" si="91"/>
        <v>0</v>
      </c>
      <c r="X8" s="88">
        <f t="shared" si="91"/>
        <v>0</v>
      </c>
      <c r="Y8" s="88">
        <f t="shared" si="91"/>
        <v>0</v>
      </c>
      <c r="Z8" s="88">
        <f t="shared" si="91"/>
        <v>0</v>
      </c>
      <c r="AA8" s="88">
        <f t="shared" si="91"/>
        <v>0</v>
      </c>
      <c r="AB8" s="88">
        <f t="shared" si="91"/>
        <v>0</v>
      </c>
      <c r="AC8" s="88">
        <f t="shared" si="91"/>
        <v>0</v>
      </c>
      <c r="AD8" s="88">
        <f t="shared" si="91"/>
        <v>0</v>
      </c>
      <c r="AE8" s="88">
        <f t="shared" si="91"/>
        <v>0</v>
      </c>
      <c r="AF8" s="88">
        <f t="shared" si="91"/>
        <v>0</v>
      </c>
      <c r="AG8" s="88">
        <f t="shared" si="91"/>
        <v>0</v>
      </c>
      <c r="AH8" s="88">
        <f t="shared" si="91"/>
        <v>0</v>
      </c>
      <c r="AI8" s="88">
        <f t="shared" si="91"/>
        <v>0</v>
      </c>
      <c r="AJ8" s="88">
        <f t="shared" si="91"/>
        <v>0</v>
      </c>
      <c r="AK8" s="88">
        <f t="shared" si="91"/>
        <v>0</v>
      </c>
      <c r="AL8" s="88">
        <f t="shared" si="91"/>
        <v>0</v>
      </c>
      <c r="AM8" s="88">
        <f t="shared" si="91"/>
        <v>0</v>
      </c>
      <c r="AN8" s="88">
        <f t="shared" si="91"/>
        <v>0</v>
      </c>
      <c r="AO8" s="88">
        <f t="shared" si="91"/>
        <v>0</v>
      </c>
      <c r="AP8" s="88">
        <f t="shared" si="91"/>
        <v>0</v>
      </c>
      <c r="AQ8" s="88">
        <f t="shared" si="91"/>
        <v>0</v>
      </c>
      <c r="AR8" s="88">
        <f t="shared" si="91"/>
        <v>0</v>
      </c>
      <c r="AS8" s="88">
        <f t="shared" si="91"/>
        <v>0</v>
      </c>
      <c r="AT8" s="88">
        <f t="shared" si="91"/>
        <v>0</v>
      </c>
      <c r="AU8" s="88">
        <f t="shared" si="91"/>
        <v>0</v>
      </c>
      <c r="AV8" s="88">
        <f t="shared" si="91"/>
        <v>0</v>
      </c>
      <c r="AW8" s="88">
        <f t="shared" si="91"/>
        <v>0</v>
      </c>
      <c r="AX8" s="88">
        <f t="shared" si="91"/>
        <v>0</v>
      </c>
      <c r="AY8" s="88">
        <f t="shared" si="91"/>
        <v>0</v>
      </c>
      <c r="AZ8" s="88">
        <f t="shared" si="91"/>
        <v>0</v>
      </c>
      <c r="BA8" s="88">
        <f t="shared" si="91"/>
        <v>0</v>
      </c>
      <c r="BB8" s="88">
        <f t="shared" si="91"/>
        <v>0</v>
      </c>
      <c r="BC8" s="88">
        <f t="shared" si="91"/>
        <v>0</v>
      </c>
      <c r="BD8" s="88">
        <f t="shared" si="91"/>
        <v>0</v>
      </c>
      <c r="BE8" s="88">
        <f t="shared" si="91"/>
        <v>0</v>
      </c>
      <c r="BF8" s="88">
        <f t="shared" si="91"/>
        <v>0</v>
      </c>
      <c r="BG8" s="88">
        <f t="shared" si="91"/>
        <v>0</v>
      </c>
      <c r="BH8" s="88">
        <f t="shared" si="91"/>
        <v>0</v>
      </c>
      <c r="BI8" s="88">
        <f t="shared" si="91"/>
        <v>0</v>
      </c>
      <c r="BJ8" s="88">
        <f t="shared" si="91"/>
        <v>0</v>
      </c>
      <c r="BK8" s="88">
        <f t="shared" si="91"/>
        <v>0</v>
      </c>
      <c r="BL8" s="88">
        <f t="shared" si="91"/>
        <v>0</v>
      </c>
      <c r="BM8" s="88">
        <f t="shared" si="91"/>
        <v>0</v>
      </c>
      <c r="BN8" s="88">
        <f t="shared" si="91"/>
        <v>0</v>
      </c>
      <c r="BO8" s="88">
        <f t="shared" si="91"/>
        <v>0</v>
      </c>
      <c r="BP8" s="10">
        <f>69</f>
        <v>69</v>
      </c>
      <c r="BQ8" s="88">
        <f t="shared" ref="BQ8:CE8" si="92">0</f>
        <v>0</v>
      </c>
      <c r="BR8" s="88">
        <f t="shared" si="92"/>
        <v>0</v>
      </c>
      <c r="BS8" s="88">
        <f t="shared" si="92"/>
        <v>0</v>
      </c>
      <c r="BT8" s="88">
        <f t="shared" si="92"/>
        <v>0</v>
      </c>
      <c r="BU8" s="88">
        <f t="shared" si="92"/>
        <v>0</v>
      </c>
      <c r="BV8" s="88">
        <f t="shared" si="92"/>
        <v>0</v>
      </c>
      <c r="BW8" s="88">
        <f t="shared" si="92"/>
        <v>0</v>
      </c>
      <c r="BX8" s="88">
        <f t="shared" si="92"/>
        <v>0</v>
      </c>
      <c r="BY8" s="88">
        <f t="shared" si="92"/>
        <v>0</v>
      </c>
      <c r="BZ8" s="88">
        <f t="shared" si="92"/>
        <v>0</v>
      </c>
      <c r="CA8" s="88">
        <f t="shared" si="92"/>
        <v>0</v>
      </c>
      <c r="CB8" s="88">
        <f t="shared" si="92"/>
        <v>0</v>
      </c>
      <c r="CC8" s="88">
        <f t="shared" si="92"/>
        <v>0</v>
      </c>
      <c r="CD8" s="88">
        <f t="shared" si="92"/>
        <v>0</v>
      </c>
      <c r="CE8" s="88">
        <f t="shared" si="92"/>
        <v>0</v>
      </c>
      <c r="CF8" s="10">
        <f>51.7</f>
        <v>51.7</v>
      </c>
      <c r="CG8" s="88">
        <f t="shared" ref="CG8:CR8" si="93">0</f>
        <v>0</v>
      </c>
      <c r="CH8" s="88">
        <f t="shared" si="93"/>
        <v>0</v>
      </c>
      <c r="CI8" s="88">
        <f t="shared" si="93"/>
        <v>0</v>
      </c>
      <c r="CJ8" s="88">
        <f t="shared" si="93"/>
        <v>0</v>
      </c>
      <c r="CK8" s="88">
        <f t="shared" si="93"/>
        <v>0</v>
      </c>
      <c r="CL8" s="88">
        <f t="shared" si="93"/>
        <v>0</v>
      </c>
      <c r="CM8" s="88">
        <f t="shared" si="93"/>
        <v>0</v>
      </c>
      <c r="CN8" s="88">
        <f t="shared" si="93"/>
        <v>0</v>
      </c>
      <c r="CO8" s="88">
        <f t="shared" si="93"/>
        <v>0</v>
      </c>
      <c r="CP8" s="88">
        <f t="shared" si="93"/>
        <v>0</v>
      </c>
      <c r="CQ8" s="88">
        <f t="shared" si="93"/>
        <v>0</v>
      </c>
      <c r="CR8" s="88">
        <f t="shared" si="93"/>
        <v>0</v>
      </c>
      <c r="CS8" s="88" t="str">
        <f>IFERROR(__xludf.DUMMYFUNCTION("28 + (REGEXEXTRACT(INDIRECT(ADDRESS(ROW() - 6, COLUMN())), ""[\d]"") - 1) * 7"),"#N/A")</f>
        <v>#N/A</v>
      </c>
      <c r="CT8" s="88">
        <f t="shared" ref="CT8:DU8" si="94">0</f>
        <v>0</v>
      </c>
      <c r="CU8" s="88">
        <f t="shared" si="94"/>
        <v>0</v>
      </c>
      <c r="CV8" s="88">
        <f t="shared" si="94"/>
        <v>0</v>
      </c>
      <c r="CW8" s="88">
        <f t="shared" si="94"/>
        <v>0</v>
      </c>
      <c r="CX8" s="88">
        <f t="shared" si="94"/>
        <v>0</v>
      </c>
      <c r="CY8" s="88">
        <f t="shared" si="94"/>
        <v>0</v>
      </c>
      <c r="CZ8" s="88">
        <f t="shared" si="94"/>
        <v>0</v>
      </c>
      <c r="DA8" s="88">
        <f t="shared" si="94"/>
        <v>0</v>
      </c>
      <c r="DB8" s="88">
        <f t="shared" si="94"/>
        <v>0</v>
      </c>
      <c r="DC8" s="88">
        <f t="shared" si="94"/>
        <v>0</v>
      </c>
      <c r="DD8" s="88">
        <f t="shared" si="94"/>
        <v>0</v>
      </c>
      <c r="DE8" s="88">
        <f t="shared" si="94"/>
        <v>0</v>
      </c>
      <c r="DF8" s="88">
        <f t="shared" si="94"/>
        <v>0</v>
      </c>
      <c r="DG8" s="88">
        <f t="shared" si="94"/>
        <v>0</v>
      </c>
      <c r="DH8" s="88">
        <f t="shared" si="94"/>
        <v>0</v>
      </c>
      <c r="DI8" s="88">
        <f t="shared" si="94"/>
        <v>0</v>
      </c>
      <c r="DJ8" s="88">
        <f t="shared" si="94"/>
        <v>0</v>
      </c>
      <c r="DK8" s="88">
        <f t="shared" si="94"/>
        <v>0</v>
      </c>
      <c r="DL8" s="88">
        <f t="shared" si="94"/>
        <v>0</v>
      </c>
      <c r="DM8" s="88">
        <f t="shared" si="94"/>
        <v>0</v>
      </c>
      <c r="DN8" s="88">
        <f t="shared" si="94"/>
        <v>0</v>
      </c>
      <c r="DO8" s="88">
        <f t="shared" si="94"/>
        <v>0</v>
      </c>
      <c r="DP8" s="88">
        <f t="shared" si="94"/>
        <v>0</v>
      </c>
      <c r="DQ8" s="88">
        <f t="shared" si="94"/>
        <v>0</v>
      </c>
      <c r="DR8" s="88">
        <f t="shared" si="94"/>
        <v>0</v>
      </c>
      <c r="DS8" s="88">
        <f t="shared" si="94"/>
        <v>0</v>
      </c>
      <c r="DT8" s="88">
        <f t="shared" si="94"/>
        <v>0</v>
      </c>
      <c r="DU8" s="88">
        <f t="shared" si="94"/>
        <v>0</v>
      </c>
      <c r="DV8" s="88">
        <f t="shared" si="89"/>
        <v>0</v>
      </c>
      <c r="DW8" s="88">
        <f t="shared" ref="DW8:EY8" si="95">0</f>
        <v>0</v>
      </c>
      <c r="DX8" s="88">
        <f t="shared" si="95"/>
        <v>0</v>
      </c>
      <c r="DY8" s="88">
        <f t="shared" si="95"/>
        <v>0</v>
      </c>
      <c r="DZ8" s="88">
        <f t="shared" si="95"/>
        <v>0</v>
      </c>
      <c r="EA8" s="88">
        <f t="shared" si="95"/>
        <v>0</v>
      </c>
      <c r="EB8" s="88">
        <f t="shared" si="95"/>
        <v>0</v>
      </c>
      <c r="EC8" s="88">
        <f t="shared" si="95"/>
        <v>0</v>
      </c>
      <c r="ED8" s="88">
        <f t="shared" si="95"/>
        <v>0</v>
      </c>
      <c r="EE8" s="88">
        <f t="shared" si="95"/>
        <v>0</v>
      </c>
      <c r="EF8" s="88">
        <f t="shared" si="95"/>
        <v>0</v>
      </c>
      <c r="EG8" s="88">
        <f t="shared" si="95"/>
        <v>0</v>
      </c>
      <c r="EH8" s="88">
        <f t="shared" si="95"/>
        <v>0</v>
      </c>
      <c r="EI8" s="88">
        <f t="shared" si="95"/>
        <v>0</v>
      </c>
      <c r="EJ8" s="88">
        <f t="shared" si="95"/>
        <v>0</v>
      </c>
      <c r="EK8" s="88">
        <f t="shared" si="95"/>
        <v>0</v>
      </c>
      <c r="EL8" s="88">
        <f t="shared" si="95"/>
        <v>0</v>
      </c>
      <c r="EM8" s="88">
        <f t="shared" si="95"/>
        <v>0</v>
      </c>
      <c r="EN8" s="88">
        <f t="shared" si="95"/>
        <v>0</v>
      </c>
      <c r="EO8" s="88">
        <f t="shared" si="95"/>
        <v>0</v>
      </c>
      <c r="EP8" s="88">
        <f t="shared" si="95"/>
        <v>0</v>
      </c>
      <c r="EQ8" s="88">
        <f t="shared" si="95"/>
        <v>0</v>
      </c>
      <c r="ER8" s="88">
        <f t="shared" si="95"/>
        <v>0</v>
      </c>
      <c r="ES8" s="88">
        <f t="shared" si="95"/>
        <v>0</v>
      </c>
      <c r="ET8" s="88">
        <f t="shared" si="95"/>
        <v>0</v>
      </c>
      <c r="EU8" s="88">
        <f t="shared" si="95"/>
        <v>0</v>
      </c>
      <c r="EV8" s="88">
        <f t="shared" si="95"/>
        <v>0</v>
      </c>
      <c r="EW8" s="88">
        <f t="shared" si="95"/>
        <v>0</v>
      </c>
      <c r="EX8" s="88">
        <f t="shared" si="95"/>
        <v>0</v>
      </c>
      <c r="EY8" s="88">
        <f t="shared" si="95"/>
        <v>0</v>
      </c>
    </row>
    <row r="9">
      <c r="A9" s="181" t="s">
        <v>164</v>
      </c>
      <c r="B9" s="10">
        <f t="shared" ref="B9:K9" si="96">0</f>
        <v>0</v>
      </c>
      <c r="C9" s="10">
        <f t="shared" si="96"/>
        <v>0</v>
      </c>
      <c r="D9" s="10">
        <f t="shared" si="96"/>
        <v>0</v>
      </c>
      <c r="E9" s="88">
        <f t="shared" si="96"/>
        <v>0</v>
      </c>
      <c r="F9" s="123">
        <f t="shared" si="96"/>
        <v>0</v>
      </c>
      <c r="G9" s="205">
        <f t="shared" si="96"/>
        <v>0</v>
      </c>
      <c r="H9" s="88">
        <f t="shared" si="96"/>
        <v>0</v>
      </c>
      <c r="I9" s="88">
        <f t="shared" si="96"/>
        <v>0</v>
      </c>
      <c r="J9" s="88">
        <f t="shared" si="96"/>
        <v>0</v>
      </c>
      <c r="K9" s="88">
        <f t="shared" si="96"/>
        <v>0</v>
      </c>
      <c r="L9" s="10">
        <f>45.9</f>
        <v>45.9</v>
      </c>
      <c r="M9" s="10">
        <f>30.6</f>
        <v>30.6</v>
      </c>
      <c r="N9" s="88">
        <f t="shared" ref="N9:P9" si="97">0</f>
        <v>0</v>
      </c>
      <c r="O9" s="88">
        <f t="shared" si="97"/>
        <v>0</v>
      </c>
      <c r="P9" s="88">
        <f t="shared" si="97"/>
        <v>0</v>
      </c>
      <c r="Q9" s="10">
        <f>45.9</f>
        <v>45.9</v>
      </c>
      <c r="R9" s="88">
        <f t="shared" ref="R9:T9" si="98">0</f>
        <v>0</v>
      </c>
      <c r="S9" s="88">
        <f t="shared" si="98"/>
        <v>0</v>
      </c>
      <c r="T9" s="88">
        <f t="shared" si="98"/>
        <v>0</v>
      </c>
      <c r="U9" s="10">
        <f>36.8</f>
        <v>36.8</v>
      </c>
      <c r="V9" s="10">
        <f>55.1</f>
        <v>55.1</v>
      </c>
      <c r="W9" s="88">
        <f t="shared" ref="W9:AE9" si="99">0</f>
        <v>0</v>
      </c>
      <c r="X9" s="88">
        <f t="shared" si="99"/>
        <v>0</v>
      </c>
      <c r="Y9" s="88">
        <f t="shared" si="99"/>
        <v>0</v>
      </c>
      <c r="Z9" s="88">
        <f t="shared" si="99"/>
        <v>0</v>
      </c>
      <c r="AA9" s="88">
        <f t="shared" si="99"/>
        <v>0</v>
      </c>
      <c r="AB9" s="88">
        <f t="shared" si="99"/>
        <v>0</v>
      </c>
      <c r="AC9" s="88">
        <f t="shared" si="99"/>
        <v>0</v>
      </c>
      <c r="AD9" s="88">
        <f t="shared" si="99"/>
        <v>0</v>
      </c>
      <c r="AE9" s="88">
        <f t="shared" si="99"/>
        <v>0</v>
      </c>
      <c r="AF9" s="10">
        <f>30.6</f>
        <v>30.6</v>
      </c>
      <c r="AG9" s="10">
        <f>61.3</f>
        <v>61.3</v>
      </c>
      <c r="AH9" s="88">
        <f t="shared" ref="AH9:AQ9" si="100">0</f>
        <v>0</v>
      </c>
      <c r="AI9" s="88">
        <f t="shared" si="100"/>
        <v>0</v>
      </c>
      <c r="AJ9" s="88">
        <f t="shared" si="100"/>
        <v>0</v>
      </c>
      <c r="AK9" s="88">
        <f t="shared" si="100"/>
        <v>0</v>
      </c>
      <c r="AL9" s="88">
        <f t="shared" si="100"/>
        <v>0</v>
      </c>
      <c r="AM9" s="88">
        <f t="shared" si="100"/>
        <v>0</v>
      </c>
      <c r="AN9" s="88">
        <f t="shared" si="100"/>
        <v>0</v>
      </c>
      <c r="AO9" s="88">
        <f t="shared" si="100"/>
        <v>0</v>
      </c>
      <c r="AP9" s="88">
        <f t="shared" si="100"/>
        <v>0</v>
      </c>
      <c r="AQ9" s="88">
        <f t="shared" si="100"/>
        <v>0</v>
      </c>
      <c r="AR9" s="10">
        <f>30.6</f>
        <v>30.6</v>
      </c>
      <c r="AS9" s="10">
        <f>45.9</f>
        <v>45.9</v>
      </c>
      <c r="AT9" s="88">
        <f t="shared" ref="AT9:AU9" si="101">0</f>
        <v>0</v>
      </c>
      <c r="AU9" s="88">
        <f t="shared" si="101"/>
        <v>0</v>
      </c>
      <c r="AV9" s="10">
        <f>55.1</f>
        <v>55.1</v>
      </c>
      <c r="AW9" s="88">
        <f t="shared" ref="AW9:AZ9" si="102">0</f>
        <v>0</v>
      </c>
      <c r="AX9" s="88">
        <f t="shared" si="102"/>
        <v>0</v>
      </c>
      <c r="AY9" s="88">
        <f t="shared" si="102"/>
        <v>0</v>
      </c>
      <c r="AZ9" s="88">
        <f t="shared" si="102"/>
        <v>0</v>
      </c>
      <c r="BA9" s="10">
        <f>51.7</f>
        <v>51.7</v>
      </c>
      <c r="BB9" s="88">
        <f t="shared" ref="BB9:BG9" si="103">0</f>
        <v>0</v>
      </c>
      <c r="BC9" s="88">
        <f t="shared" si="103"/>
        <v>0</v>
      </c>
      <c r="BD9" s="88">
        <f t="shared" si="103"/>
        <v>0</v>
      </c>
      <c r="BE9" s="88">
        <f t="shared" si="103"/>
        <v>0</v>
      </c>
      <c r="BF9" s="88">
        <f t="shared" si="103"/>
        <v>0</v>
      </c>
      <c r="BG9" s="88">
        <f t="shared" si="103"/>
        <v>0</v>
      </c>
      <c r="BH9" s="10">
        <f>61.3</f>
        <v>61.3</v>
      </c>
      <c r="BI9" s="88">
        <f t="shared" ref="BI9:BK9" si="104">0</f>
        <v>0</v>
      </c>
      <c r="BJ9" s="88">
        <f t="shared" si="104"/>
        <v>0</v>
      </c>
      <c r="BK9" s="88">
        <f t="shared" si="104"/>
        <v>0</v>
      </c>
      <c r="BL9" s="10">
        <f>61.3</f>
        <v>61.3</v>
      </c>
      <c r="BM9" s="88">
        <f>0</f>
        <v>0</v>
      </c>
      <c r="BN9" s="10">
        <f>45.9</f>
        <v>45.9</v>
      </c>
      <c r="BO9" s="88">
        <f t="shared" ref="BO9:BQ9" si="105">0</f>
        <v>0</v>
      </c>
      <c r="BP9" s="88">
        <f t="shared" si="105"/>
        <v>0</v>
      </c>
      <c r="BQ9" s="88">
        <f t="shared" si="105"/>
        <v>0</v>
      </c>
      <c r="BR9" s="10">
        <f>30.6</f>
        <v>30.6</v>
      </c>
      <c r="BS9" s="88">
        <f t="shared" ref="BS9:BV9" si="106">0</f>
        <v>0</v>
      </c>
      <c r="BT9" s="88">
        <f t="shared" si="106"/>
        <v>0</v>
      </c>
      <c r="BU9" s="88">
        <f t="shared" si="106"/>
        <v>0</v>
      </c>
      <c r="BV9" s="88">
        <f t="shared" si="106"/>
        <v>0</v>
      </c>
      <c r="BW9" s="10">
        <f>55.1</f>
        <v>55.1</v>
      </c>
      <c r="BX9" s="88">
        <f t="shared" ref="BX9:BZ9" si="107">0</f>
        <v>0</v>
      </c>
      <c r="BY9" s="88">
        <f t="shared" si="107"/>
        <v>0</v>
      </c>
      <c r="BZ9" s="88">
        <f t="shared" si="107"/>
        <v>0</v>
      </c>
      <c r="CA9" s="10">
        <f>61.3</f>
        <v>61.3</v>
      </c>
      <c r="CB9" s="88">
        <f t="shared" ref="CB9:CH9" si="108">0</f>
        <v>0</v>
      </c>
      <c r="CC9" s="88">
        <f t="shared" si="108"/>
        <v>0</v>
      </c>
      <c r="CD9" s="88">
        <f t="shared" si="108"/>
        <v>0</v>
      </c>
      <c r="CE9" s="88">
        <f t="shared" si="108"/>
        <v>0</v>
      </c>
      <c r="CF9" s="88">
        <f t="shared" si="108"/>
        <v>0</v>
      </c>
      <c r="CG9" s="88">
        <f t="shared" si="108"/>
        <v>0</v>
      </c>
      <c r="CH9" s="88">
        <f t="shared" si="108"/>
        <v>0</v>
      </c>
      <c r="CI9" s="10">
        <f>30.6</f>
        <v>30.6</v>
      </c>
      <c r="CJ9" s="88">
        <f t="shared" ref="CJ9:CK9" si="109">0</f>
        <v>0</v>
      </c>
      <c r="CK9" s="88">
        <f t="shared" si="109"/>
        <v>0</v>
      </c>
      <c r="CL9" s="10">
        <f>45.9</f>
        <v>45.9</v>
      </c>
      <c r="CM9" s="88">
        <f>0</f>
        <v>0</v>
      </c>
      <c r="CN9" s="10">
        <f>30.6</f>
        <v>30.6</v>
      </c>
      <c r="CO9" s="88">
        <f t="shared" ref="CO9:CP9" si="110">0</f>
        <v>0</v>
      </c>
      <c r="CP9" s="88">
        <f t="shared" si="110"/>
        <v>0</v>
      </c>
      <c r="CQ9" s="10">
        <f>36.8</f>
        <v>36.8</v>
      </c>
      <c r="CR9" s="88">
        <f t="shared" ref="CR9:CY9" si="111">0</f>
        <v>0</v>
      </c>
      <c r="CS9" s="88">
        <f t="shared" si="111"/>
        <v>0</v>
      </c>
      <c r="CT9" s="88">
        <f t="shared" si="111"/>
        <v>0</v>
      </c>
      <c r="CU9" s="88">
        <f t="shared" si="111"/>
        <v>0</v>
      </c>
      <c r="CV9" s="88">
        <f t="shared" si="111"/>
        <v>0</v>
      </c>
      <c r="CW9" s="88">
        <f t="shared" si="111"/>
        <v>0</v>
      </c>
      <c r="CX9" s="88">
        <f t="shared" si="111"/>
        <v>0</v>
      </c>
      <c r="CY9" s="88">
        <f t="shared" si="111"/>
        <v>0</v>
      </c>
      <c r="CZ9" s="10">
        <f>30.6</f>
        <v>30.6</v>
      </c>
      <c r="DA9" s="10">
        <f>45.9</f>
        <v>45.9</v>
      </c>
      <c r="DB9" s="88">
        <f>0</f>
        <v>0</v>
      </c>
      <c r="DC9" s="10">
        <f>30.6</f>
        <v>30.6</v>
      </c>
      <c r="DD9" s="88">
        <f t="shared" ref="DD9:DI9" si="112">0</f>
        <v>0</v>
      </c>
      <c r="DE9" s="88">
        <f t="shared" si="112"/>
        <v>0</v>
      </c>
      <c r="DF9" s="88">
        <f t="shared" si="112"/>
        <v>0</v>
      </c>
      <c r="DG9" s="88">
        <f t="shared" si="112"/>
        <v>0</v>
      </c>
      <c r="DH9" s="88">
        <f t="shared" si="112"/>
        <v>0</v>
      </c>
      <c r="DI9" s="88">
        <f t="shared" si="112"/>
        <v>0</v>
      </c>
      <c r="DJ9" s="10">
        <f>45.9</f>
        <v>45.9</v>
      </c>
      <c r="DK9" s="88">
        <f t="shared" ref="DK9:DU9" si="113">0</f>
        <v>0</v>
      </c>
      <c r="DL9" s="88">
        <f t="shared" si="113"/>
        <v>0</v>
      </c>
      <c r="DM9" s="88">
        <f t="shared" si="113"/>
        <v>0</v>
      </c>
      <c r="DN9" s="88">
        <f t="shared" si="113"/>
        <v>0</v>
      </c>
      <c r="DO9" s="88">
        <f t="shared" si="113"/>
        <v>0</v>
      </c>
      <c r="DP9" s="88">
        <f t="shared" si="113"/>
        <v>0</v>
      </c>
      <c r="DQ9" s="88">
        <f t="shared" si="113"/>
        <v>0</v>
      </c>
      <c r="DR9" s="88">
        <f t="shared" si="113"/>
        <v>0</v>
      </c>
      <c r="DS9" s="88">
        <f t="shared" si="113"/>
        <v>0</v>
      </c>
      <c r="DT9" s="88">
        <f t="shared" si="113"/>
        <v>0</v>
      </c>
      <c r="DU9" s="88">
        <f t="shared" si="113"/>
        <v>0</v>
      </c>
      <c r="DV9" s="88">
        <f t="shared" si="89"/>
        <v>0</v>
      </c>
      <c r="DW9" s="88">
        <f t="shared" ref="DW9:EF9" si="114">0</f>
        <v>0</v>
      </c>
      <c r="DX9" s="88">
        <f t="shared" si="114"/>
        <v>0</v>
      </c>
      <c r="DY9" s="88">
        <f t="shared" si="114"/>
        <v>0</v>
      </c>
      <c r="DZ9" s="88">
        <f t="shared" si="114"/>
        <v>0</v>
      </c>
      <c r="EA9" s="88">
        <f t="shared" si="114"/>
        <v>0</v>
      </c>
      <c r="EB9" s="88">
        <f t="shared" si="114"/>
        <v>0</v>
      </c>
      <c r="EC9" s="88">
        <f t="shared" si="114"/>
        <v>0</v>
      </c>
      <c r="ED9" s="88">
        <f t="shared" si="114"/>
        <v>0</v>
      </c>
      <c r="EE9" s="88">
        <f t="shared" si="114"/>
        <v>0</v>
      </c>
      <c r="EF9" s="88">
        <f t="shared" si="114"/>
        <v>0</v>
      </c>
      <c r="EG9" s="10">
        <f>45.9</f>
        <v>45.9</v>
      </c>
      <c r="EH9" s="88">
        <f t="shared" ref="EH9:EV9" si="115">0</f>
        <v>0</v>
      </c>
      <c r="EI9" s="88">
        <f t="shared" si="115"/>
        <v>0</v>
      </c>
      <c r="EJ9" s="88">
        <f t="shared" si="115"/>
        <v>0</v>
      </c>
      <c r="EK9" s="88">
        <f t="shared" si="115"/>
        <v>0</v>
      </c>
      <c r="EL9" s="88">
        <f t="shared" si="115"/>
        <v>0</v>
      </c>
      <c r="EM9" s="88">
        <f t="shared" si="115"/>
        <v>0</v>
      </c>
      <c r="EN9" s="88">
        <f t="shared" si="115"/>
        <v>0</v>
      </c>
      <c r="EO9" s="88">
        <f t="shared" si="115"/>
        <v>0</v>
      </c>
      <c r="EP9" s="88">
        <f t="shared" si="115"/>
        <v>0</v>
      </c>
      <c r="EQ9" s="88">
        <f t="shared" si="115"/>
        <v>0</v>
      </c>
      <c r="ER9" s="88">
        <f t="shared" si="115"/>
        <v>0</v>
      </c>
      <c r="ES9" s="88">
        <f t="shared" si="115"/>
        <v>0</v>
      </c>
      <c r="ET9" s="88">
        <f t="shared" si="115"/>
        <v>0</v>
      </c>
      <c r="EU9" s="88">
        <f t="shared" si="115"/>
        <v>0</v>
      </c>
      <c r="EV9" s="88">
        <f t="shared" si="115"/>
        <v>0</v>
      </c>
      <c r="EW9" s="88">
        <f>30.6</f>
        <v>30.6</v>
      </c>
      <c r="EX9" s="88">
        <f t="shared" ref="EX9:EY9" si="116">0</f>
        <v>0</v>
      </c>
      <c r="EY9" s="88">
        <f t="shared" si="116"/>
        <v>0</v>
      </c>
    </row>
    <row r="10">
      <c r="A10" s="181" t="s">
        <v>165</v>
      </c>
      <c r="B10" s="10">
        <f t="shared" ref="B10:C10" si="117">0</f>
        <v>0</v>
      </c>
      <c r="C10" s="10">
        <f t="shared" si="117"/>
        <v>0</v>
      </c>
      <c r="D10" s="10">
        <f>221</f>
        <v>221</v>
      </c>
      <c r="E10" s="88">
        <f t="shared" ref="E10:O10" si="118">0</f>
        <v>0</v>
      </c>
      <c r="F10" s="123">
        <f t="shared" si="118"/>
        <v>0</v>
      </c>
      <c r="G10" s="205">
        <f t="shared" si="118"/>
        <v>0</v>
      </c>
      <c r="H10" s="88">
        <f t="shared" si="118"/>
        <v>0</v>
      </c>
      <c r="I10" s="88">
        <f t="shared" si="118"/>
        <v>0</v>
      </c>
      <c r="J10" s="88">
        <f t="shared" si="118"/>
        <v>0</v>
      </c>
      <c r="K10" s="88">
        <f t="shared" si="118"/>
        <v>0</v>
      </c>
      <c r="L10" s="88">
        <f t="shared" si="118"/>
        <v>0</v>
      </c>
      <c r="M10" s="88">
        <f t="shared" si="118"/>
        <v>0</v>
      </c>
      <c r="N10" s="88">
        <f t="shared" si="118"/>
        <v>0</v>
      </c>
      <c r="O10" s="88">
        <f t="shared" si="118"/>
        <v>0</v>
      </c>
      <c r="P10" s="10">
        <f>110</f>
        <v>110</v>
      </c>
      <c r="Q10" s="88">
        <f>0</f>
        <v>0</v>
      </c>
      <c r="R10" s="10">
        <f>110</f>
        <v>110</v>
      </c>
      <c r="S10" s="88">
        <f t="shared" ref="S10:X10" si="119">0</f>
        <v>0</v>
      </c>
      <c r="T10" s="88">
        <f t="shared" si="119"/>
        <v>0</v>
      </c>
      <c r="U10" s="88">
        <f t="shared" si="119"/>
        <v>0</v>
      </c>
      <c r="V10" s="88">
        <f t="shared" si="119"/>
        <v>0</v>
      </c>
      <c r="W10" s="88">
        <f t="shared" si="119"/>
        <v>0</v>
      </c>
      <c r="X10" s="88">
        <f t="shared" si="119"/>
        <v>0</v>
      </c>
      <c r="Y10" s="10">
        <f>94</f>
        <v>94</v>
      </c>
      <c r="Z10" s="88">
        <f t="shared" ref="Z10:AD10" si="120">0</f>
        <v>0</v>
      </c>
      <c r="AA10" s="88">
        <f t="shared" si="120"/>
        <v>0</v>
      </c>
      <c r="AB10" s="88">
        <f t="shared" si="120"/>
        <v>0</v>
      </c>
      <c r="AC10" s="88">
        <f t="shared" si="120"/>
        <v>0</v>
      </c>
      <c r="AD10" s="88">
        <f t="shared" si="120"/>
        <v>0</v>
      </c>
      <c r="AE10" s="10">
        <f>165</f>
        <v>165</v>
      </c>
      <c r="AF10" s="88">
        <f t="shared" ref="AF10:AI10" si="121">0</f>
        <v>0</v>
      </c>
      <c r="AG10" s="88">
        <f t="shared" si="121"/>
        <v>0</v>
      </c>
      <c r="AH10" s="88">
        <f t="shared" si="121"/>
        <v>0</v>
      </c>
      <c r="AI10" s="88">
        <f t="shared" si="121"/>
        <v>0</v>
      </c>
      <c r="AJ10" s="10">
        <f>165</f>
        <v>165</v>
      </c>
      <c r="AK10" s="88">
        <f t="shared" ref="AK10:AU10" si="122">0</f>
        <v>0</v>
      </c>
      <c r="AL10" s="88">
        <f t="shared" si="122"/>
        <v>0</v>
      </c>
      <c r="AM10" s="88">
        <f t="shared" si="122"/>
        <v>0</v>
      </c>
      <c r="AN10" s="88">
        <f t="shared" si="122"/>
        <v>0</v>
      </c>
      <c r="AO10" s="88">
        <f t="shared" si="122"/>
        <v>0</v>
      </c>
      <c r="AP10" s="88">
        <f t="shared" si="122"/>
        <v>0</v>
      </c>
      <c r="AQ10" s="88">
        <f t="shared" si="122"/>
        <v>0</v>
      </c>
      <c r="AR10" s="88">
        <f t="shared" si="122"/>
        <v>0</v>
      </c>
      <c r="AS10" s="88">
        <f t="shared" si="122"/>
        <v>0</v>
      </c>
      <c r="AT10" s="88">
        <f t="shared" si="122"/>
        <v>0</v>
      </c>
      <c r="AU10" s="88">
        <f t="shared" si="122"/>
        <v>0</v>
      </c>
      <c r="AV10" s="88" t="str">
        <f>IFERROR(__xludf.DUMMYFUNCTION("60 + (REGEXEXTRACT(INDIRECT(ADDRESS(ROW() - 8, COLUMN())), ""[\d]"") - 1) * 15"),"#N/A")</f>
        <v>#N/A</v>
      </c>
      <c r="AW10" s="88">
        <f t="shared" ref="AW10:BC10" si="123">0</f>
        <v>0</v>
      </c>
      <c r="AX10" s="88">
        <f t="shared" si="123"/>
        <v>0</v>
      </c>
      <c r="AY10" s="88">
        <f t="shared" si="123"/>
        <v>0</v>
      </c>
      <c r="AZ10" s="88">
        <f t="shared" si="123"/>
        <v>0</v>
      </c>
      <c r="BA10" s="88">
        <f t="shared" si="123"/>
        <v>0</v>
      </c>
      <c r="BB10" s="88">
        <f t="shared" si="123"/>
        <v>0</v>
      </c>
      <c r="BC10" s="88">
        <f t="shared" si="123"/>
        <v>0</v>
      </c>
      <c r="BD10" s="10">
        <f>165</f>
        <v>165</v>
      </c>
      <c r="BE10" s="88">
        <f t="shared" ref="BE10:BL10" si="124">0</f>
        <v>0</v>
      </c>
      <c r="BF10" s="88">
        <f t="shared" si="124"/>
        <v>0</v>
      </c>
      <c r="BG10" s="88">
        <f t="shared" si="124"/>
        <v>0</v>
      </c>
      <c r="BH10" s="88">
        <f t="shared" si="124"/>
        <v>0</v>
      </c>
      <c r="BI10" s="88">
        <f t="shared" si="124"/>
        <v>0</v>
      </c>
      <c r="BJ10" s="88">
        <f t="shared" si="124"/>
        <v>0</v>
      </c>
      <c r="BK10" s="88">
        <f t="shared" si="124"/>
        <v>0</v>
      </c>
      <c r="BL10" s="88">
        <f t="shared" si="124"/>
        <v>0</v>
      </c>
      <c r="BM10" s="10">
        <f>55</f>
        <v>55</v>
      </c>
      <c r="BN10" s="88">
        <f t="shared" ref="BN10:BU10" si="125">0</f>
        <v>0</v>
      </c>
      <c r="BO10" s="88">
        <f t="shared" si="125"/>
        <v>0</v>
      </c>
      <c r="BP10" s="88">
        <f t="shared" si="125"/>
        <v>0</v>
      </c>
      <c r="BQ10" s="88">
        <f t="shared" si="125"/>
        <v>0</v>
      </c>
      <c r="BR10" s="88">
        <f t="shared" si="125"/>
        <v>0</v>
      </c>
      <c r="BS10" s="88">
        <f t="shared" si="125"/>
        <v>0</v>
      </c>
      <c r="BT10" s="88">
        <f t="shared" si="125"/>
        <v>0</v>
      </c>
      <c r="BU10" s="88">
        <f t="shared" si="125"/>
        <v>0</v>
      </c>
      <c r="BV10" s="10">
        <f>198</f>
        <v>198</v>
      </c>
      <c r="BW10" s="88">
        <f t="shared" ref="BW10:BX10" si="126">0</f>
        <v>0</v>
      </c>
      <c r="BX10" s="88">
        <f t="shared" si="126"/>
        <v>0</v>
      </c>
      <c r="BY10" s="10">
        <f>187</f>
        <v>187</v>
      </c>
      <c r="BZ10" s="88">
        <f t="shared" ref="BZ10:CB10" si="127">0</f>
        <v>0</v>
      </c>
      <c r="CA10" s="88">
        <f t="shared" si="127"/>
        <v>0</v>
      </c>
      <c r="CB10" s="88">
        <f t="shared" si="127"/>
        <v>0</v>
      </c>
      <c r="CC10" s="10">
        <f>165</f>
        <v>165</v>
      </c>
      <c r="CD10" s="88">
        <f t="shared" ref="CD10:CT10" si="128">0</f>
        <v>0</v>
      </c>
      <c r="CE10" s="88">
        <f t="shared" si="128"/>
        <v>0</v>
      </c>
      <c r="CF10" s="88">
        <f t="shared" si="128"/>
        <v>0</v>
      </c>
      <c r="CG10" s="88">
        <f t="shared" si="128"/>
        <v>0</v>
      </c>
      <c r="CH10" s="88">
        <f t="shared" si="128"/>
        <v>0</v>
      </c>
      <c r="CI10" s="88">
        <f t="shared" si="128"/>
        <v>0</v>
      </c>
      <c r="CJ10" s="88">
        <f t="shared" si="128"/>
        <v>0</v>
      </c>
      <c r="CK10" s="88">
        <f t="shared" si="128"/>
        <v>0</v>
      </c>
      <c r="CL10" s="88">
        <f t="shared" si="128"/>
        <v>0</v>
      </c>
      <c r="CM10" s="88">
        <f t="shared" si="128"/>
        <v>0</v>
      </c>
      <c r="CN10" s="88">
        <f t="shared" si="128"/>
        <v>0</v>
      </c>
      <c r="CO10" s="88">
        <f t="shared" si="128"/>
        <v>0</v>
      </c>
      <c r="CP10" s="88">
        <f t="shared" si="128"/>
        <v>0</v>
      </c>
      <c r="CQ10" s="88">
        <f t="shared" si="128"/>
        <v>0</v>
      </c>
      <c r="CR10" s="88">
        <f t="shared" si="128"/>
        <v>0</v>
      </c>
      <c r="CS10" s="88">
        <f t="shared" si="128"/>
        <v>0</v>
      </c>
      <c r="CT10" s="88">
        <f t="shared" si="128"/>
        <v>0</v>
      </c>
      <c r="CU10" s="10">
        <f>187</f>
        <v>187</v>
      </c>
      <c r="CV10" s="88">
        <f t="shared" ref="CV10:DE10" si="129">0</f>
        <v>0</v>
      </c>
      <c r="CW10" s="88">
        <f t="shared" si="129"/>
        <v>0</v>
      </c>
      <c r="CX10" s="88">
        <f t="shared" si="129"/>
        <v>0</v>
      </c>
      <c r="CY10" s="88">
        <f t="shared" si="129"/>
        <v>0</v>
      </c>
      <c r="CZ10" s="88">
        <f t="shared" si="129"/>
        <v>0</v>
      </c>
      <c r="DA10" s="88">
        <f t="shared" si="129"/>
        <v>0</v>
      </c>
      <c r="DB10" s="88">
        <f t="shared" si="129"/>
        <v>0</v>
      </c>
      <c r="DC10" s="88">
        <f t="shared" si="129"/>
        <v>0</v>
      </c>
      <c r="DD10" s="88">
        <f t="shared" si="129"/>
        <v>0</v>
      </c>
      <c r="DE10" s="88">
        <f t="shared" si="129"/>
        <v>0</v>
      </c>
      <c r="DF10" s="10">
        <f>221</f>
        <v>221</v>
      </c>
      <c r="DG10" s="88">
        <f t="shared" ref="DG10:DH10" si="130">0</f>
        <v>0</v>
      </c>
      <c r="DH10" s="88">
        <f t="shared" si="130"/>
        <v>0</v>
      </c>
      <c r="DI10" s="10">
        <f>110</f>
        <v>110</v>
      </c>
      <c r="DJ10" s="88">
        <f t="shared" ref="DJ10:DQ10" si="131">0</f>
        <v>0</v>
      </c>
      <c r="DK10" s="88">
        <f t="shared" si="131"/>
        <v>0</v>
      </c>
      <c r="DL10" s="88">
        <f t="shared" si="131"/>
        <v>0</v>
      </c>
      <c r="DM10" s="88">
        <f t="shared" si="131"/>
        <v>0</v>
      </c>
      <c r="DN10" s="88">
        <f t="shared" si="131"/>
        <v>0</v>
      </c>
      <c r="DO10" s="88">
        <f t="shared" si="131"/>
        <v>0</v>
      </c>
      <c r="DP10" s="88">
        <f t="shared" si="131"/>
        <v>0</v>
      </c>
      <c r="DQ10" s="88">
        <f t="shared" si="131"/>
        <v>0</v>
      </c>
      <c r="DR10" s="10">
        <f t="shared" ref="DR10:DT10" si="132">165</f>
        <v>165</v>
      </c>
      <c r="DS10" s="10">
        <f t="shared" si="132"/>
        <v>165</v>
      </c>
      <c r="DT10" s="10">
        <f t="shared" si="132"/>
        <v>165</v>
      </c>
      <c r="DU10" s="88">
        <f>0</f>
        <v>0</v>
      </c>
      <c r="DV10" s="88">
        <f>265</f>
        <v>265</v>
      </c>
      <c r="DW10" s="88">
        <f>0</f>
        <v>0</v>
      </c>
      <c r="DX10" s="88">
        <f>165</f>
        <v>165</v>
      </c>
      <c r="DY10" s="88">
        <f t="shared" ref="DY10:EA10" si="133">0</f>
        <v>0</v>
      </c>
      <c r="DZ10" s="88">
        <f t="shared" si="133"/>
        <v>0</v>
      </c>
      <c r="EA10" s="88">
        <f t="shared" si="133"/>
        <v>0</v>
      </c>
      <c r="EB10" s="88">
        <f>110</f>
        <v>110</v>
      </c>
      <c r="EC10" s="88">
        <f t="shared" ref="EC10:EY10" si="134">0</f>
        <v>0</v>
      </c>
      <c r="ED10" s="88">
        <f t="shared" si="134"/>
        <v>0</v>
      </c>
      <c r="EE10" s="88">
        <f t="shared" si="134"/>
        <v>0</v>
      </c>
      <c r="EF10" s="88">
        <f t="shared" si="134"/>
        <v>0</v>
      </c>
      <c r="EG10" s="88">
        <f t="shared" si="134"/>
        <v>0</v>
      </c>
      <c r="EH10" s="88">
        <f t="shared" si="134"/>
        <v>0</v>
      </c>
      <c r="EI10" s="88">
        <f t="shared" si="134"/>
        <v>0</v>
      </c>
      <c r="EJ10" s="88">
        <f t="shared" si="134"/>
        <v>0</v>
      </c>
      <c r="EK10" s="88">
        <f t="shared" si="134"/>
        <v>0</v>
      </c>
      <c r="EL10" s="88">
        <f t="shared" si="134"/>
        <v>0</v>
      </c>
      <c r="EM10" s="88">
        <f t="shared" si="134"/>
        <v>0</v>
      </c>
      <c r="EN10" s="88">
        <f t="shared" si="134"/>
        <v>0</v>
      </c>
      <c r="EO10" s="88">
        <f t="shared" si="134"/>
        <v>0</v>
      </c>
      <c r="EP10" s="88">
        <f t="shared" si="134"/>
        <v>0</v>
      </c>
      <c r="EQ10" s="88">
        <f t="shared" si="134"/>
        <v>0</v>
      </c>
      <c r="ER10" s="88">
        <f t="shared" si="134"/>
        <v>0</v>
      </c>
      <c r="ES10" s="88">
        <f t="shared" si="134"/>
        <v>0</v>
      </c>
      <c r="ET10" s="88">
        <f t="shared" si="134"/>
        <v>0</v>
      </c>
      <c r="EU10" s="88">
        <f t="shared" si="134"/>
        <v>0</v>
      </c>
      <c r="EV10" s="88">
        <f t="shared" si="134"/>
        <v>0</v>
      </c>
      <c r="EW10" s="88">
        <f t="shared" si="134"/>
        <v>0</v>
      </c>
      <c r="EX10" s="88">
        <f t="shared" si="134"/>
        <v>0</v>
      </c>
      <c r="EY10" s="88">
        <f t="shared" si="134"/>
        <v>0</v>
      </c>
    </row>
    <row r="11">
      <c r="A11" s="181" t="s">
        <v>426</v>
      </c>
      <c r="B11" s="10">
        <f t="shared" ref="B11:DU11" si="135">0</f>
        <v>0</v>
      </c>
      <c r="C11" s="10">
        <f t="shared" si="135"/>
        <v>0</v>
      </c>
      <c r="D11" s="10">
        <f t="shared" si="135"/>
        <v>0</v>
      </c>
      <c r="E11" s="88">
        <f t="shared" si="135"/>
        <v>0</v>
      </c>
      <c r="F11" s="123">
        <f t="shared" si="135"/>
        <v>0</v>
      </c>
      <c r="G11" s="205">
        <f t="shared" si="135"/>
        <v>0</v>
      </c>
      <c r="H11" s="88">
        <f t="shared" si="135"/>
        <v>0</v>
      </c>
      <c r="I11" s="88">
        <f t="shared" si="135"/>
        <v>0</v>
      </c>
      <c r="J11" s="88">
        <f t="shared" si="135"/>
        <v>0</v>
      </c>
      <c r="K11" s="88">
        <f t="shared" si="135"/>
        <v>0</v>
      </c>
      <c r="L11" s="88">
        <f t="shared" si="135"/>
        <v>0</v>
      </c>
      <c r="M11" s="88">
        <f t="shared" si="135"/>
        <v>0</v>
      </c>
      <c r="N11" s="88">
        <f t="shared" si="135"/>
        <v>0</v>
      </c>
      <c r="O11" s="88">
        <f t="shared" si="135"/>
        <v>0</v>
      </c>
      <c r="P11" s="88">
        <f t="shared" si="135"/>
        <v>0</v>
      </c>
      <c r="Q11" s="88">
        <f t="shared" si="135"/>
        <v>0</v>
      </c>
      <c r="R11" s="88">
        <f t="shared" si="135"/>
        <v>0</v>
      </c>
      <c r="S11" s="88">
        <f t="shared" si="135"/>
        <v>0</v>
      </c>
      <c r="T11" s="88">
        <f t="shared" si="135"/>
        <v>0</v>
      </c>
      <c r="U11" s="88">
        <f t="shared" si="135"/>
        <v>0</v>
      </c>
      <c r="V11" s="88">
        <f t="shared" si="135"/>
        <v>0</v>
      </c>
      <c r="W11" s="88">
        <f t="shared" si="135"/>
        <v>0</v>
      </c>
      <c r="X11" s="88">
        <f t="shared" si="135"/>
        <v>0</v>
      </c>
      <c r="Y11" s="88">
        <f t="shared" si="135"/>
        <v>0</v>
      </c>
      <c r="Z11" s="88">
        <f t="shared" si="135"/>
        <v>0</v>
      </c>
      <c r="AA11" s="88">
        <f t="shared" si="135"/>
        <v>0</v>
      </c>
      <c r="AB11" s="88">
        <f t="shared" si="135"/>
        <v>0</v>
      </c>
      <c r="AC11" s="88">
        <f t="shared" si="135"/>
        <v>0</v>
      </c>
      <c r="AD11" s="88">
        <f t="shared" si="135"/>
        <v>0</v>
      </c>
      <c r="AE11" s="88">
        <f t="shared" si="135"/>
        <v>0</v>
      </c>
      <c r="AF11" s="88">
        <f t="shared" si="135"/>
        <v>0</v>
      </c>
      <c r="AG11" s="88">
        <f t="shared" si="135"/>
        <v>0</v>
      </c>
      <c r="AH11" s="88">
        <f t="shared" si="135"/>
        <v>0</v>
      </c>
      <c r="AI11" s="88">
        <f t="shared" si="135"/>
        <v>0</v>
      </c>
      <c r="AJ11" s="88">
        <f t="shared" si="135"/>
        <v>0</v>
      </c>
      <c r="AK11" s="88">
        <f t="shared" si="135"/>
        <v>0</v>
      </c>
      <c r="AL11" s="88">
        <f t="shared" si="135"/>
        <v>0</v>
      </c>
      <c r="AM11" s="88">
        <f t="shared" si="135"/>
        <v>0</v>
      </c>
      <c r="AN11" s="88">
        <f t="shared" si="135"/>
        <v>0</v>
      </c>
      <c r="AO11" s="88">
        <f t="shared" si="135"/>
        <v>0</v>
      </c>
      <c r="AP11" s="88">
        <f t="shared" si="135"/>
        <v>0</v>
      </c>
      <c r="AQ11" s="88">
        <f t="shared" si="135"/>
        <v>0</v>
      </c>
      <c r="AR11" s="88">
        <f t="shared" si="135"/>
        <v>0</v>
      </c>
      <c r="AS11" s="88">
        <f t="shared" si="135"/>
        <v>0</v>
      </c>
      <c r="AT11" s="88">
        <f t="shared" si="135"/>
        <v>0</v>
      </c>
      <c r="AU11" s="88">
        <f t="shared" si="135"/>
        <v>0</v>
      </c>
      <c r="AV11" s="88">
        <f t="shared" si="135"/>
        <v>0</v>
      </c>
      <c r="AW11" s="88">
        <f t="shared" si="135"/>
        <v>0</v>
      </c>
      <c r="AX11" s="88">
        <f t="shared" si="135"/>
        <v>0</v>
      </c>
      <c r="AY11" s="88">
        <f t="shared" si="135"/>
        <v>0</v>
      </c>
      <c r="AZ11" s="88">
        <f t="shared" si="135"/>
        <v>0</v>
      </c>
      <c r="BA11" s="88">
        <f t="shared" si="135"/>
        <v>0</v>
      </c>
      <c r="BB11" s="88">
        <f t="shared" si="135"/>
        <v>0</v>
      </c>
      <c r="BC11" s="88">
        <f t="shared" si="135"/>
        <v>0</v>
      </c>
      <c r="BD11" s="88">
        <f t="shared" si="135"/>
        <v>0</v>
      </c>
      <c r="BE11" s="88">
        <f t="shared" si="135"/>
        <v>0</v>
      </c>
      <c r="BF11" s="88">
        <f t="shared" si="135"/>
        <v>0</v>
      </c>
      <c r="BG11" s="88">
        <f t="shared" si="135"/>
        <v>0</v>
      </c>
      <c r="BH11" s="88">
        <f t="shared" si="135"/>
        <v>0</v>
      </c>
      <c r="BI11" s="88">
        <f t="shared" si="135"/>
        <v>0</v>
      </c>
      <c r="BJ11" s="88">
        <f t="shared" si="135"/>
        <v>0</v>
      </c>
      <c r="BK11" s="88">
        <f t="shared" si="135"/>
        <v>0</v>
      </c>
      <c r="BL11" s="88">
        <f t="shared" si="135"/>
        <v>0</v>
      </c>
      <c r="BM11" s="88">
        <f t="shared" si="135"/>
        <v>0</v>
      </c>
      <c r="BN11" s="88">
        <f t="shared" si="135"/>
        <v>0</v>
      </c>
      <c r="BO11" s="88">
        <f t="shared" si="135"/>
        <v>0</v>
      </c>
      <c r="BP11" s="88">
        <f t="shared" si="135"/>
        <v>0</v>
      </c>
      <c r="BQ11" s="88">
        <f t="shared" si="135"/>
        <v>0</v>
      </c>
      <c r="BR11" s="88">
        <f t="shared" si="135"/>
        <v>0</v>
      </c>
      <c r="BS11" s="88">
        <f t="shared" si="135"/>
        <v>0</v>
      </c>
      <c r="BT11" s="88">
        <f t="shared" si="135"/>
        <v>0</v>
      </c>
      <c r="BU11" s="88">
        <f t="shared" si="135"/>
        <v>0</v>
      </c>
      <c r="BV11" s="88">
        <f t="shared" si="135"/>
        <v>0</v>
      </c>
      <c r="BW11" s="88">
        <f t="shared" si="135"/>
        <v>0</v>
      </c>
      <c r="BX11" s="88">
        <f t="shared" si="135"/>
        <v>0</v>
      </c>
      <c r="BY11" s="88">
        <f t="shared" si="135"/>
        <v>0</v>
      </c>
      <c r="BZ11" s="88">
        <f t="shared" si="135"/>
        <v>0</v>
      </c>
      <c r="CA11" s="88">
        <f t="shared" si="135"/>
        <v>0</v>
      </c>
      <c r="CB11" s="88">
        <f t="shared" si="135"/>
        <v>0</v>
      </c>
      <c r="CC11" s="88">
        <f t="shared" si="135"/>
        <v>0</v>
      </c>
      <c r="CD11" s="88">
        <f t="shared" si="135"/>
        <v>0</v>
      </c>
      <c r="CE11" s="88">
        <f t="shared" si="135"/>
        <v>0</v>
      </c>
      <c r="CF11" s="88">
        <f t="shared" si="135"/>
        <v>0</v>
      </c>
      <c r="CG11" s="88">
        <f t="shared" si="135"/>
        <v>0</v>
      </c>
      <c r="CH11" s="88">
        <f t="shared" si="135"/>
        <v>0</v>
      </c>
      <c r="CI11" s="88">
        <f t="shared" si="135"/>
        <v>0</v>
      </c>
      <c r="CJ11" s="88">
        <f t="shared" si="135"/>
        <v>0</v>
      </c>
      <c r="CK11" s="88">
        <f t="shared" si="135"/>
        <v>0</v>
      </c>
      <c r="CL11" s="88">
        <f t="shared" si="135"/>
        <v>0</v>
      </c>
      <c r="CM11" s="88">
        <f t="shared" si="135"/>
        <v>0</v>
      </c>
      <c r="CN11" s="88">
        <f t="shared" si="135"/>
        <v>0</v>
      </c>
      <c r="CO11" s="88">
        <f t="shared" si="135"/>
        <v>0</v>
      </c>
      <c r="CP11" s="88">
        <f t="shared" si="135"/>
        <v>0</v>
      </c>
      <c r="CQ11" s="88">
        <f t="shared" si="135"/>
        <v>0</v>
      </c>
      <c r="CR11" s="88">
        <f t="shared" si="135"/>
        <v>0</v>
      </c>
      <c r="CS11" s="88">
        <f t="shared" si="135"/>
        <v>0</v>
      </c>
      <c r="CT11" s="88">
        <f t="shared" si="135"/>
        <v>0</v>
      </c>
      <c r="CU11" s="88">
        <f t="shared" si="135"/>
        <v>0</v>
      </c>
      <c r="CV11" s="88">
        <f t="shared" si="135"/>
        <v>0</v>
      </c>
      <c r="CW11" s="88">
        <f t="shared" si="135"/>
        <v>0</v>
      </c>
      <c r="CX11" s="88">
        <f t="shared" si="135"/>
        <v>0</v>
      </c>
      <c r="CY11" s="88">
        <f t="shared" si="135"/>
        <v>0</v>
      </c>
      <c r="CZ11" s="88">
        <f t="shared" si="135"/>
        <v>0</v>
      </c>
      <c r="DA11" s="88">
        <f t="shared" si="135"/>
        <v>0</v>
      </c>
      <c r="DB11" s="88">
        <f t="shared" si="135"/>
        <v>0</v>
      </c>
      <c r="DC11" s="88">
        <f t="shared" si="135"/>
        <v>0</v>
      </c>
      <c r="DD11" s="88">
        <f t="shared" si="135"/>
        <v>0</v>
      </c>
      <c r="DE11" s="88">
        <f t="shared" si="135"/>
        <v>0</v>
      </c>
      <c r="DF11" s="88">
        <f t="shared" si="135"/>
        <v>0</v>
      </c>
      <c r="DG11" s="88">
        <f t="shared" si="135"/>
        <v>0</v>
      </c>
      <c r="DH11" s="88">
        <f t="shared" si="135"/>
        <v>0</v>
      </c>
      <c r="DI11" s="88">
        <f t="shared" si="135"/>
        <v>0</v>
      </c>
      <c r="DJ11" s="88">
        <f t="shared" si="135"/>
        <v>0</v>
      </c>
      <c r="DK11" s="88">
        <f t="shared" si="135"/>
        <v>0</v>
      </c>
      <c r="DL11" s="88">
        <f t="shared" si="135"/>
        <v>0</v>
      </c>
      <c r="DM11" s="88">
        <f t="shared" si="135"/>
        <v>0</v>
      </c>
      <c r="DN11" s="88">
        <f t="shared" si="135"/>
        <v>0</v>
      </c>
      <c r="DO11" s="88">
        <f t="shared" si="135"/>
        <v>0</v>
      </c>
      <c r="DP11" s="88">
        <f t="shared" si="135"/>
        <v>0</v>
      </c>
      <c r="DQ11" s="88">
        <f t="shared" si="135"/>
        <v>0</v>
      </c>
      <c r="DR11" s="88">
        <f t="shared" si="135"/>
        <v>0</v>
      </c>
      <c r="DS11" s="88">
        <f t="shared" si="135"/>
        <v>0</v>
      </c>
      <c r="DT11" s="88">
        <f t="shared" si="135"/>
        <v>0</v>
      </c>
      <c r="DU11" s="88">
        <f t="shared" si="135"/>
        <v>0</v>
      </c>
      <c r="DV11" s="88">
        <f t="shared" ref="DV11:EY11" si="136">0</f>
        <v>0</v>
      </c>
      <c r="DW11" s="88">
        <f t="shared" si="136"/>
        <v>0</v>
      </c>
      <c r="DX11" s="88">
        <f t="shared" si="136"/>
        <v>0</v>
      </c>
      <c r="DY11" s="88">
        <f t="shared" si="136"/>
        <v>0</v>
      </c>
      <c r="DZ11" s="88">
        <f t="shared" si="136"/>
        <v>0</v>
      </c>
      <c r="EA11" s="88">
        <f t="shared" si="136"/>
        <v>0</v>
      </c>
      <c r="EB11" s="88">
        <f t="shared" si="136"/>
        <v>0</v>
      </c>
      <c r="EC11" s="88">
        <f t="shared" si="136"/>
        <v>0</v>
      </c>
      <c r="ED11" s="88">
        <f t="shared" si="136"/>
        <v>0</v>
      </c>
      <c r="EE11" s="88">
        <f t="shared" si="136"/>
        <v>0</v>
      </c>
      <c r="EF11" s="88">
        <f t="shared" si="136"/>
        <v>0</v>
      </c>
      <c r="EG11" s="88">
        <f t="shared" si="136"/>
        <v>0</v>
      </c>
      <c r="EH11" s="88">
        <f t="shared" si="136"/>
        <v>0</v>
      </c>
      <c r="EI11" s="88">
        <f t="shared" si="136"/>
        <v>0</v>
      </c>
      <c r="EJ11" s="88">
        <f t="shared" si="136"/>
        <v>0</v>
      </c>
      <c r="EK11" s="88">
        <f t="shared" si="136"/>
        <v>0</v>
      </c>
      <c r="EL11" s="88">
        <f t="shared" si="136"/>
        <v>0</v>
      </c>
      <c r="EM11" s="88">
        <f t="shared" si="136"/>
        <v>0</v>
      </c>
      <c r="EN11" s="88">
        <f t="shared" si="136"/>
        <v>0</v>
      </c>
      <c r="EO11" s="88">
        <f t="shared" si="136"/>
        <v>0</v>
      </c>
      <c r="EP11" s="88">
        <f t="shared" si="136"/>
        <v>0</v>
      </c>
      <c r="EQ11" s="88">
        <f t="shared" si="136"/>
        <v>0</v>
      </c>
      <c r="ER11" s="88">
        <f t="shared" si="136"/>
        <v>0</v>
      </c>
      <c r="ES11" s="88">
        <f t="shared" si="136"/>
        <v>0</v>
      </c>
      <c r="ET11" s="88">
        <f t="shared" si="136"/>
        <v>0</v>
      </c>
      <c r="EU11" s="88">
        <f t="shared" si="136"/>
        <v>0</v>
      </c>
      <c r="EV11" s="88">
        <f t="shared" si="136"/>
        <v>0</v>
      </c>
      <c r="EW11" s="88">
        <f t="shared" si="136"/>
        <v>0</v>
      </c>
      <c r="EX11" s="88">
        <f t="shared" si="136"/>
        <v>0</v>
      </c>
      <c r="EY11" s="88">
        <f t="shared" si="136"/>
        <v>0</v>
      </c>
    </row>
    <row r="12">
      <c r="A12" s="181" t="s">
        <v>154</v>
      </c>
      <c r="B12" s="10">
        <f>IFERROR(__xludf.DUMMYFUNCTION("20 + (REGEXEXTRACT(INDIRECT(ADDRESS(ROW() - 10, COLUMN())), ""[\d]"") - 1) * 5"),40.0)</f>
        <v>40</v>
      </c>
      <c r="C12" s="10">
        <f>IFERROR(__xludf.DUMMYFUNCTION("20 + (REGEXEXTRACT(INDIRECT(ADDRESS(ROW() - 10, COLUMN())), ""[\d]"") - 1) * 5"),40.0)</f>
        <v>40</v>
      </c>
      <c r="D12" s="10">
        <f>0</f>
        <v>0</v>
      </c>
      <c r="E12" s="10">
        <f>46.9</f>
        <v>46.9</v>
      </c>
      <c r="F12" s="123">
        <f t="shared" ref="F12:W12" si="137">0</f>
        <v>0</v>
      </c>
      <c r="G12" s="205">
        <f t="shared" si="137"/>
        <v>0</v>
      </c>
      <c r="H12" s="88">
        <f t="shared" si="137"/>
        <v>0</v>
      </c>
      <c r="I12" s="88">
        <f t="shared" si="137"/>
        <v>0</v>
      </c>
      <c r="J12" s="88">
        <f t="shared" si="137"/>
        <v>0</v>
      </c>
      <c r="K12" s="88">
        <f t="shared" si="137"/>
        <v>0</v>
      </c>
      <c r="L12" s="88">
        <f t="shared" si="137"/>
        <v>0</v>
      </c>
      <c r="M12" s="88">
        <f t="shared" si="137"/>
        <v>0</v>
      </c>
      <c r="N12" s="88">
        <f t="shared" si="137"/>
        <v>0</v>
      </c>
      <c r="O12" s="88">
        <f t="shared" si="137"/>
        <v>0</v>
      </c>
      <c r="P12" s="88">
        <f t="shared" si="137"/>
        <v>0</v>
      </c>
      <c r="Q12" s="88">
        <f t="shared" si="137"/>
        <v>0</v>
      </c>
      <c r="R12" s="88">
        <f t="shared" si="137"/>
        <v>0</v>
      </c>
      <c r="S12" s="88">
        <f t="shared" si="137"/>
        <v>0</v>
      </c>
      <c r="T12" s="88">
        <f t="shared" si="137"/>
        <v>0</v>
      </c>
      <c r="U12" s="88">
        <f t="shared" si="137"/>
        <v>0</v>
      </c>
      <c r="V12" s="88">
        <f t="shared" si="137"/>
        <v>0</v>
      </c>
      <c r="W12" s="88">
        <f t="shared" si="137"/>
        <v>0</v>
      </c>
      <c r="X12" s="10">
        <f>46.9</f>
        <v>46.9</v>
      </c>
      <c r="Y12" s="88">
        <f t="shared" ref="Y12:AV12" si="138">0</f>
        <v>0</v>
      </c>
      <c r="Z12" s="88">
        <f t="shared" si="138"/>
        <v>0</v>
      </c>
      <c r="AA12" s="88">
        <f t="shared" si="138"/>
        <v>0</v>
      </c>
      <c r="AB12" s="88">
        <f t="shared" si="138"/>
        <v>0</v>
      </c>
      <c r="AC12" s="88">
        <f t="shared" si="138"/>
        <v>0</v>
      </c>
      <c r="AD12" s="88">
        <f t="shared" si="138"/>
        <v>0</v>
      </c>
      <c r="AE12" s="88">
        <f t="shared" si="138"/>
        <v>0</v>
      </c>
      <c r="AF12" s="88">
        <f t="shared" si="138"/>
        <v>0</v>
      </c>
      <c r="AG12" s="88">
        <f t="shared" si="138"/>
        <v>0</v>
      </c>
      <c r="AH12" s="88">
        <f t="shared" si="138"/>
        <v>0</v>
      </c>
      <c r="AI12" s="88">
        <f t="shared" si="138"/>
        <v>0</v>
      </c>
      <c r="AJ12" s="88">
        <f t="shared" si="138"/>
        <v>0</v>
      </c>
      <c r="AK12" s="88">
        <f t="shared" si="138"/>
        <v>0</v>
      </c>
      <c r="AL12" s="88">
        <f t="shared" si="138"/>
        <v>0</v>
      </c>
      <c r="AM12" s="88">
        <f t="shared" si="138"/>
        <v>0</v>
      </c>
      <c r="AN12" s="88">
        <f t="shared" si="138"/>
        <v>0</v>
      </c>
      <c r="AO12" s="88">
        <f t="shared" si="138"/>
        <v>0</v>
      </c>
      <c r="AP12" s="88">
        <f t="shared" si="138"/>
        <v>0</v>
      </c>
      <c r="AQ12" s="88">
        <f t="shared" si="138"/>
        <v>0</v>
      </c>
      <c r="AR12" s="88">
        <f t="shared" si="138"/>
        <v>0</v>
      </c>
      <c r="AS12" s="88">
        <f t="shared" si="138"/>
        <v>0</v>
      </c>
      <c r="AT12" s="88">
        <f t="shared" si="138"/>
        <v>0</v>
      </c>
      <c r="AU12" s="88">
        <f t="shared" si="138"/>
        <v>0</v>
      </c>
      <c r="AV12" s="88">
        <f t="shared" si="138"/>
        <v>0</v>
      </c>
      <c r="AW12" s="88" t="str">
        <f>IFERROR(__xludf.DUMMYFUNCTION("16 + (REGEXEXTRACT(INDIRECT(ADDRESS(ROW() - 10, COLUMN())), ""[\d]"") - 1) * 4"),"#N/A")</f>
        <v>#N/A</v>
      </c>
      <c r="AX12" s="88">
        <f t="shared" ref="AX12:BT12" si="139">0</f>
        <v>0</v>
      </c>
      <c r="AY12" s="88">
        <f t="shared" si="139"/>
        <v>0</v>
      </c>
      <c r="AZ12" s="88">
        <f t="shared" si="139"/>
        <v>0</v>
      </c>
      <c r="BA12" s="88">
        <f t="shared" si="139"/>
        <v>0</v>
      </c>
      <c r="BB12" s="88">
        <f t="shared" si="139"/>
        <v>0</v>
      </c>
      <c r="BC12" s="88">
        <f t="shared" si="139"/>
        <v>0</v>
      </c>
      <c r="BD12" s="88">
        <f t="shared" si="139"/>
        <v>0</v>
      </c>
      <c r="BE12" s="88">
        <f t="shared" si="139"/>
        <v>0</v>
      </c>
      <c r="BF12" s="88">
        <f t="shared" si="139"/>
        <v>0</v>
      </c>
      <c r="BG12" s="88">
        <f t="shared" si="139"/>
        <v>0</v>
      </c>
      <c r="BH12" s="88">
        <f t="shared" si="139"/>
        <v>0</v>
      </c>
      <c r="BI12" s="88">
        <f t="shared" si="139"/>
        <v>0</v>
      </c>
      <c r="BJ12" s="88">
        <f t="shared" si="139"/>
        <v>0</v>
      </c>
      <c r="BK12" s="88">
        <f t="shared" si="139"/>
        <v>0</v>
      </c>
      <c r="BL12" s="88">
        <f t="shared" si="139"/>
        <v>0</v>
      </c>
      <c r="BM12" s="88">
        <f t="shared" si="139"/>
        <v>0</v>
      </c>
      <c r="BN12" s="88">
        <f t="shared" si="139"/>
        <v>0</v>
      </c>
      <c r="BO12" s="88">
        <f t="shared" si="139"/>
        <v>0</v>
      </c>
      <c r="BP12" s="88">
        <f t="shared" si="139"/>
        <v>0</v>
      </c>
      <c r="BQ12" s="88">
        <f t="shared" si="139"/>
        <v>0</v>
      </c>
      <c r="BR12" s="88">
        <f t="shared" si="139"/>
        <v>0</v>
      </c>
      <c r="BS12" s="88">
        <f t="shared" si="139"/>
        <v>0</v>
      </c>
      <c r="BT12" s="88">
        <f t="shared" si="139"/>
        <v>0</v>
      </c>
      <c r="BU12" s="88" t="str">
        <f>IFERROR(__xludf.DUMMYFUNCTION("20 + (REGEXEXTRACT(INDIRECT(ADDRESS(ROW() - 10, COLUMN())), ""[\d]"") - 1) * 5"),"#N/A")</f>
        <v>#N/A</v>
      </c>
      <c r="BV12" s="88">
        <f t="shared" ref="BV12:CD12" si="140">0</f>
        <v>0</v>
      </c>
      <c r="BW12" s="88">
        <f t="shared" si="140"/>
        <v>0</v>
      </c>
      <c r="BX12" s="88">
        <f t="shared" si="140"/>
        <v>0</v>
      </c>
      <c r="BY12" s="88">
        <f t="shared" si="140"/>
        <v>0</v>
      </c>
      <c r="BZ12" s="88">
        <f t="shared" si="140"/>
        <v>0</v>
      </c>
      <c r="CA12" s="88">
        <f t="shared" si="140"/>
        <v>0</v>
      </c>
      <c r="CB12" s="88">
        <f t="shared" si="140"/>
        <v>0</v>
      </c>
      <c r="CC12" s="88">
        <f t="shared" si="140"/>
        <v>0</v>
      </c>
      <c r="CD12" s="88">
        <f t="shared" si="140"/>
        <v>0</v>
      </c>
      <c r="CE12" s="10">
        <f>41.3</f>
        <v>41.3</v>
      </c>
      <c r="CF12" s="88">
        <f t="shared" ref="CF12:CS12" si="141">0</f>
        <v>0</v>
      </c>
      <c r="CG12" s="88">
        <f t="shared" si="141"/>
        <v>0</v>
      </c>
      <c r="CH12" s="88">
        <f t="shared" si="141"/>
        <v>0</v>
      </c>
      <c r="CI12" s="88">
        <f t="shared" si="141"/>
        <v>0</v>
      </c>
      <c r="CJ12" s="88">
        <f t="shared" si="141"/>
        <v>0</v>
      </c>
      <c r="CK12" s="88">
        <f t="shared" si="141"/>
        <v>0</v>
      </c>
      <c r="CL12" s="88">
        <f t="shared" si="141"/>
        <v>0</v>
      </c>
      <c r="CM12" s="88">
        <f t="shared" si="141"/>
        <v>0</v>
      </c>
      <c r="CN12" s="88">
        <f t="shared" si="141"/>
        <v>0</v>
      </c>
      <c r="CO12" s="88">
        <f t="shared" si="141"/>
        <v>0</v>
      </c>
      <c r="CP12" s="88">
        <f t="shared" si="141"/>
        <v>0</v>
      </c>
      <c r="CQ12" s="88">
        <f t="shared" si="141"/>
        <v>0</v>
      </c>
      <c r="CR12" s="88">
        <f t="shared" si="141"/>
        <v>0</v>
      </c>
      <c r="CS12" s="88">
        <f t="shared" si="141"/>
        <v>0</v>
      </c>
      <c r="CT12" s="10">
        <f>35.2</f>
        <v>35.2</v>
      </c>
      <c r="CU12" s="88">
        <f t="shared" ref="CU12:CX12" si="142">0</f>
        <v>0</v>
      </c>
      <c r="CV12" s="88">
        <f t="shared" si="142"/>
        <v>0</v>
      </c>
      <c r="CW12" s="88">
        <f t="shared" si="142"/>
        <v>0</v>
      </c>
      <c r="CX12" s="88">
        <f t="shared" si="142"/>
        <v>0</v>
      </c>
      <c r="CY12" s="10">
        <f>41.3</f>
        <v>41.3</v>
      </c>
      <c r="CZ12" s="88">
        <f t="shared" ref="CZ12:DK12" si="143">0</f>
        <v>0</v>
      </c>
      <c r="DA12" s="88">
        <f t="shared" si="143"/>
        <v>0</v>
      </c>
      <c r="DB12" s="88">
        <f t="shared" si="143"/>
        <v>0</v>
      </c>
      <c r="DC12" s="88">
        <f t="shared" si="143"/>
        <v>0</v>
      </c>
      <c r="DD12" s="88">
        <f t="shared" si="143"/>
        <v>0</v>
      </c>
      <c r="DE12" s="88">
        <f t="shared" si="143"/>
        <v>0</v>
      </c>
      <c r="DF12" s="88">
        <f t="shared" si="143"/>
        <v>0</v>
      </c>
      <c r="DG12" s="88">
        <f t="shared" si="143"/>
        <v>0</v>
      </c>
      <c r="DH12" s="88">
        <f t="shared" si="143"/>
        <v>0</v>
      </c>
      <c r="DI12" s="88">
        <f t="shared" si="143"/>
        <v>0</v>
      </c>
      <c r="DJ12" s="88">
        <f t="shared" si="143"/>
        <v>0</v>
      </c>
      <c r="DK12" s="88">
        <f t="shared" si="143"/>
        <v>0</v>
      </c>
      <c r="DL12" s="10">
        <f>49.6</f>
        <v>49.6</v>
      </c>
      <c r="DM12" s="88">
        <f t="shared" ref="DM12:DO12" si="144">0</f>
        <v>0</v>
      </c>
      <c r="DN12" s="88">
        <f t="shared" si="144"/>
        <v>0</v>
      </c>
      <c r="DO12" s="88">
        <f t="shared" si="144"/>
        <v>0</v>
      </c>
      <c r="DP12" s="88" t="str">
        <f>IFERROR(__xludf.DUMMYFUNCTION("20 + (REGEXEXTRACT(INDIRECT(ADDRESS(ROW() - 10, COLUMN())), ""[\d]"") - 1) * 5 + 66.2"),"#N/A")</f>
        <v>#N/A</v>
      </c>
      <c r="DQ12" s="88">
        <f t="shared" ref="DQ12:DU12" si="145">0</f>
        <v>0</v>
      </c>
      <c r="DR12" s="88">
        <f t="shared" si="145"/>
        <v>0</v>
      </c>
      <c r="DS12" s="88">
        <f t="shared" si="145"/>
        <v>0</v>
      </c>
      <c r="DT12" s="88">
        <f t="shared" si="145"/>
        <v>0</v>
      </c>
      <c r="DU12" s="88">
        <f t="shared" si="145"/>
        <v>0</v>
      </c>
      <c r="DV12" s="88">
        <f t="shared" ref="DV12:EB12" si="146">0</f>
        <v>0</v>
      </c>
      <c r="DW12" s="88">
        <f t="shared" si="146"/>
        <v>0</v>
      </c>
      <c r="DX12" s="88">
        <f t="shared" si="146"/>
        <v>0</v>
      </c>
      <c r="DY12" s="88">
        <f t="shared" si="146"/>
        <v>0</v>
      </c>
      <c r="DZ12" s="88">
        <f t="shared" si="146"/>
        <v>0</v>
      </c>
      <c r="EA12" s="88">
        <f t="shared" si="146"/>
        <v>0</v>
      </c>
      <c r="EB12" s="88">
        <f t="shared" si="146"/>
        <v>0</v>
      </c>
      <c r="EC12" s="88">
        <f>49.6</f>
        <v>49.6</v>
      </c>
      <c r="ED12" s="88">
        <f t="shared" ref="ED12:EJ12" si="147">0</f>
        <v>0</v>
      </c>
      <c r="EE12" s="88">
        <f t="shared" si="147"/>
        <v>0</v>
      </c>
      <c r="EF12" s="88">
        <f t="shared" si="147"/>
        <v>0</v>
      </c>
      <c r="EG12" s="88">
        <f t="shared" si="147"/>
        <v>0</v>
      </c>
      <c r="EH12" s="88">
        <f t="shared" si="147"/>
        <v>0</v>
      </c>
      <c r="EI12" s="88">
        <f t="shared" si="147"/>
        <v>0</v>
      </c>
      <c r="EJ12" s="88">
        <f t="shared" si="147"/>
        <v>0</v>
      </c>
      <c r="EK12" s="88">
        <f>27.6</f>
        <v>27.6</v>
      </c>
      <c r="EL12" s="88">
        <f t="shared" ref="EL12:EQ12" si="148">0</f>
        <v>0</v>
      </c>
      <c r="EM12" s="88">
        <f t="shared" si="148"/>
        <v>0</v>
      </c>
      <c r="EN12" s="88">
        <f t="shared" si="148"/>
        <v>0</v>
      </c>
      <c r="EO12" s="88">
        <f t="shared" si="148"/>
        <v>0</v>
      </c>
      <c r="EP12" s="88">
        <f t="shared" si="148"/>
        <v>0</v>
      </c>
      <c r="EQ12" s="88">
        <f t="shared" si="148"/>
        <v>0</v>
      </c>
      <c r="ER12" s="88" t="str">
        <f>IFERROR(__xludf.DUMMYFUNCTION("16 + (REGEXEXTRACT(INDIRECT(ADDRESS(ROW() - 10, COLUMN())), ""[\d]"") - 1) * 4"),"#N/A")</f>
        <v>#N/A</v>
      </c>
      <c r="ES12" s="88">
        <f>0</f>
        <v>0</v>
      </c>
      <c r="ET12" s="88">
        <f>55.1</f>
        <v>55.1</v>
      </c>
      <c r="EU12" s="88">
        <f>0</f>
        <v>0</v>
      </c>
      <c r="EV12" s="88">
        <f>41.3</f>
        <v>41.3</v>
      </c>
      <c r="EW12" s="88">
        <f t="shared" ref="EW12:EY12" si="149">0</f>
        <v>0</v>
      </c>
      <c r="EX12" s="88">
        <f t="shared" si="149"/>
        <v>0</v>
      </c>
      <c r="EY12" s="88">
        <f t="shared" si="149"/>
        <v>0</v>
      </c>
    </row>
    <row r="13">
      <c r="A13" s="181" t="s">
        <v>189</v>
      </c>
      <c r="B13" s="10">
        <f t="shared" ref="B13:DU13" si="150">0</f>
        <v>0</v>
      </c>
      <c r="C13" s="10">
        <f t="shared" si="150"/>
        <v>0</v>
      </c>
      <c r="D13" s="10">
        <f t="shared" si="150"/>
        <v>0</v>
      </c>
      <c r="E13" s="88">
        <f t="shared" si="150"/>
        <v>0</v>
      </c>
      <c r="F13" s="123">
        <f t="shared" si="150"/>
        <v>0</v>
      </c>
      <c r="G13" s="205">
        <f t="shared" si="150"/>
        <v>0</v>
      </c>
      <c r="H13" s="88">
        <f t="shared" si="150"/>
        <v>0</v>
      </c>
      <c r="I13" s="88">
        <f t="shared" si="150"/>
        <v>0</v>
      </c>
      <c r="J13" s="88">
        <f t="shared" si="150"/>
        <v>0</v>
      </c>
      <c r="K13" s="88">
        <f t="shared" si="150"/>
        <v>0</v>
      </c>
      <c r="L13" s="88">
        <f t="shared" si="150"/>
        <v>0</v>
      </c>
      <c r="M13" s="88">
        <f t="shared" si="150"/>
        <v>0</v>
      </c>
      <c r="N13" s="88">
        <f t="shared" si="150"/>
        <v>0</v>
      </c>
      <c r="O13" s="88">
        <f t="shared" si="150"/>
        <v>0</v>
      </c>
      <c r="P13" s="88">
        <f t="shared" si="150"/>
        <v>0</v>
      </c>
      <c r="Q13" s="88">
        <f t="shared" si="150"/>
        <v>0</v>
      </c>
      <c r="R13" s="88">
        <f t="shared" si="150"/>
        <v>0</v>
      </c>
      <c r="S13" s="88">
        <f t="shared" si="150"/>
        <v>0</v>
      </c>
      <c r="T13" s="88">
        <f t="shared" si="150"/>
        <v>0</v>
      </c>
      <c r="U13" s="88">
        <f t="shared" si="150"/>
        <v>0</v>
      </c>
      <c r="V13" s="88">
        <f t="shared" si="150"/>
        <v>0</v>
      </c>
      <c r="W13" s="88">
        <f t="shared" si="150"/>
        <v>0</v>
      </c>
      <c r="X13" s="88">
        <f t="shared" si="150"/>
        <v>0</v>
      </c>
      <c r="Y13" s="88">
        <f t="shared" si="150"/>
        <v>0</v>
      </c>
      <c r="Z13" s="88">
        <f t="shared" si="150"/>
        <v>0</v>
      </c>
      <c r="AA13" s="88">
        <f t="shared" si="150"/>
        <v>0</v>
      </c>
      <c r="AB13" s="88">
        <f t="shared" si="150"/>
        <v>0</v>
      </c>
      <c r="AC13" s="88">
        <f t="shared" si="150"/>
        <v>0</v>
      </c>
      <c r="AD13" s="88">
        <f t="shared" si="150"/>
        <v>0</v>
      </c>
      <c r="AE13" s="88">
        <f t="shared" si="150"/>
        <v>0</v>
      </c>
      <c r="AF13" s="88">
        <f t="shared" si="150"/>
        <v>0</v>
      </c>
      <c r="AG13" s="88">
        <f t="shared" si="150"/>
        <v>0</v>
      </c>
      <c r="AH13" s="88">
        <f t="shared" si="150"/>
        <v>0</v>
      </c>
      <c r="AI13" s="88">
        <f t="shared" si="150"/>
        <v>0</v>
      </c>
      <c r="AJ13" s="88">
        <f t="shared" si="150"/>
        <v>0</v>
      </c>
      <c r="AK13" s="88">
        <f t="shared" si="150"/>
        <v>0</v>
      </c>
      <c r="AL13" s="88">
        <f t="shared" si="150"/>
        <v>0</v>
      </c>
      <c r="AM13" s="88">
        <f t="shared" si="150"/>
        <v>0</v>
      </c>
      <c r="AN13" s="88">
        <f t="shared" si="150"/>
        <v>0</v>
      </c>
      <c r="AO13" s="88">
        <f t="shared" si="150"/>
        <v>0</v>
      </c>
      <c r="AP13" s="88">
        <f t="shared" si="150"/>
        <v>0</v>
      </c>
      <c r="AQ13" s="88">
        <f t="shared" si="150"/>
        <v>0</v>
      </c>
      <c r="AR13" s="88">
        <f t="shared" si="150"/>
        <v>0</v>
      </c>
      <c r="AS13" s="88">
        <f t="shared" si="150"/>
        <v>0</v>
      </c>
      <c r="AT13" s="88">
        <f t="shared" si="150"/>
        <v>0</v>
      </c>
      <c r="AU13" s="88">
        <f t="shared" si="150"/>
        <v>0</v>
      </c>
      <c r="AV13" s="88">
        <f t="shared" si="150"/>
        <v>0</v>
      </c>
      <c r="AW13" s="88">
        <f t="shared" si="150"/>
        <v>0</v>
      </c>
      <c r="AX13" s="88">
        <f t="shared" si="150"/>
        <v>0</v>
      </c>
      <c r="AY13" s="88">
        <f t="shared" si="150"/>
        <v>0</v>
      </c>
      <c r="AZ13" s="88">
        <f t="shared" si="150"/>
        <v>0</v>
      </c>
      <c r="BA13" s="88">
        <f t="shared" si="150"/>
        <v>0</v>
      </c>
      <c r="BB13" s="88">
        <f t="shared" si="150"/>
        <v>0</v>
      </c>
      <c r="BC13" s="88">
        <f t="shared" si="150"/>
        <v>0</v>
      </c>
      <c r="BD13" s="88">
        <f t="shared" si="150"/>
        <v>0</v>
      </c>
      <c r="BE13" s="88">
        <f t="shared" si="150"/>
        <v>0</v>
      </c>
      <c r="BF13" s="88">
        <f t="shared" si="150"/>
        <v>0</v>
      </c>
      <c r="BG13" s="88">
        <f t="shared" si="150"/>
        <v>0</v>
      </c>
      <c r="BH13" s="88">
        <f t="shared" si="150"/>
        <v>0</v>
      </c>
      <c r="BI13" s="88">
        <f t="shared" si="150"/>
        <v>0</v>
      </c>
      <c r="BJ13" s="88">
        <f t="shared" si="150"/>
        <v>0</v>
      </c>
      <c r="BK13" s="88">
        <f t="shared" si="150"/>
        <v>0</v>
      </c>
      <c r="BL13" s="88">
        <f t="shared" si="150"/>
        <v>0</v>
      </c>
      <c r="BM13" s="88">
        <f t="shared" si="150"/>
        <v>0</v>
      </c>
      <c r="BN13" s="88">
        <f t="shared" si="150"/>
        <v>0</v>
      </c>
      <c r="BO13" s="88">
        <f t="shared" si="150"/>
        <v>0</v>
      </c>
      <c r="BP13" s="88">
        <f t="shared" si="150"/>
        <v>0</v>
      </c>
      <c r="BQ13" s="88">
        <f t="shared" si="150"/>
        <v>0</v>
      </c>
      <c r="BR13" s="88">
        <f t="shared" si="150"/>
        <v>0</v>
      </c>
      <c r="BS13" s="88">
        <f t="shared" si="150"/>
        <v>0</v>
      </c>
      <c r="BT13" s="88">
        <f t="shared" si="150"/>
        <v>0</v>
      </c>
      <c r="BU13" s="88">
        <f t="shared" si="150"/>
        <v>0</v>
      </c>
      <c r="BV13" s="88">
        <f t="shared" si="150"/>
        <v>0</v>
      </c>
      <c r="BW13" s="88">
        <f t="shared" si="150"/>
        <v>0</v>
      </c>
      <c r="BX13" s="88">
        <f t="shared" si="150"/>
        <v>0</v>
      </c>
      <c r="BY13" s="88">
        <f t="shared" si="150"/>
        <v>0</v>
      </c>
      <c r="BZ13" s="88">
        <f t="shared" si="150"/>
        <v>0</v>
      </c>
      <c r="CA13" s="88">
        <f t="shared" si="150"/>
        <v>0</v>
      </c>
      <c r="CB13" s="88">
        <f t="shared" si="150"/>
        <v>0</v>
      </c>
      <c r="CC13" s="88">
        <f t="shared" si="150"/>
        <v>0</v>
      </c>
      <c r="CD13" s="88">
        <f t="shared" si="150"/>
        <v>0</v>
      </c>
      <c r="CE13" s="88">
        <f t="shared" si="150"/>
        <v>0</v>
      </c>
      <c r="CF13" s="88">
        <f t="shared" si="150"/>
        <v>0</v>
      </c>
      <c r="CG13" s="88">
        <f t="shared" si="150"/>
        <v>0</v>
      </c>
      <c r="CH13" s="88">
        <f t="shared" si="150"/>
        <v>0</v>
      </c>
      <c r="CI13" s="88">
        <f t="shared" si="150"/>
        <v>0</v>
      </c>
      <c r="CJ13" s="88">
        <f t="shared" si="150"/>
        <v>0</v>
      </c>
      <c r="CK13" s="88">
        <f t="shared" si="150"/>
        <v>0</v>
      </c>
      <c r="CL13" s="88">
        <f t="shared" si="150"/>
        <v>0</v>
      </c>
      <c r="CM13" s="88">
        <f t="shared" si="150"/>
        <v>0</v>
      </c>
      <c r="CN13" s="88">
        <f t="shared" si="150"/>
        <v>0</v>
      </c>
      <c r="CO13" s="88">
        <f t="shared" si="150"/>
        <v>0</v>
      </c>
      <c r="CP13" s="88">
        <f t="shared" si="150"/>
        <v>0</v>
      </c>
      <c r="CQ13" s="88">
        <f t="shared" si="150"/>
        <v>0</v>
      </c>
      <c r="CR13" s="88">
        <f t="shared" si="150"/>
        <v>0</v>
      </c>
      <c r="CS13" s="88">
        <f t="shared" si="150"/>
        <v>0</v>
      </c>
      <c r="CT13" s="88">
        <f t="shared" si="150"/>
        <v>0</v>
      </c>
      <c r="CU13" s="88">
        <f t="shared" si="150"/>
        <v>0</v>
      </c>
      <c r="CV13" s="88">
        <f t="shared" si="150"/>
        <v>0</v>
      </c>
      <c r="CW13" s="88">
        <f t="shared" si="150"/>
        <v>0</v>
      </c>
      <c r="CX13" s="88">
        <f t="shared" si="150"/>
        <v>0</v>
      </c>
      <c r="CY13" s="88">
        <f t="shared" si="150"/>
        <v>0</v>
      </c>
      <c r="CZ13" s="88">
        <f t="shared" si="150"/>
        <v>0</v>
      </c>
      <c r="DA13" s="88">
        <f t="shared" si="150"/>
        <v>0</v>
      </c>
      <c r="DB13" s="88">
        <f t="shared" si="150"/>
        <v>0</v>
      </c>
      <c r="DC13" s="88">
        <f t="shared" si="150"/>
        <v>0</v>
      </c>
      <c r="DD13" s="88">
        <f t="shared" si="150"/>
        <v>0</v>
      </c>
      <c r="DE13" s="88">
        <f t="shared" si="150"/>
        <v>0</v>
      </c>
      <c r="DF13" s="88">
        <f t="shared" si="150"/>
        <v>0</v>
      </c>
      <c r="DG13" s="88">
        <f t="shared" si="150"/>
        <v>0</v>
      </c>
      <c r="DH13" s="88">
        <f t="shared" si="150"/>
        <v>0</v>
      </c>
      <c r="DI13" s="88">
        <f t="shared" si="150"/>
        <v>0</v>
      </c>
      <c r="DJ13" s="88">
        <f t="shared" si="150"/>
        <v>0</v>
      </c>
      <c r="DK13" s="88">
        <f t="shared" si="150"/>
        <v>0</v>
      </c>
      <c r="DL13" s="88">
        <f t="shared" si="150"/>
        <v>0</v>
      </c>
      <c r="DM13" s="88">
        <f t="shared" si="150"/>
        <v>0</v>
      </c>
      <c r="DN13" s="88">
        <f t="shared" si="150"/>
        <v>0</v>
      </c>
      <c r="DO13" s="88">
        <f t="shared" si="150"/>
        <v>0</v>
      </c>
      <c r="DP13" s="88">
        <f t="shared" si="150"/>
        <v>0</v>
      </c>
      <c r="DQ13" s="88">
        <f t="shared" si="150"/>
        <v>0</v>
      </c>
      <c r="DR13" s="88">
        <f t="shared" si="150"/>
        <v>0</v>
      </c>
      <c r="DS13" s="88">
        <f t="shared" si="150"/>
        <v>0</v>
      </c>
      <c r="DT13" s="88">
        <f t="shared" si="150"/>
        <v>0</v>
      </c>
      <c r="DU13" s="88">
        <f t="shared" si="150"/>
        <v>0</v>
      </c>
      <c r="DV13" s="88">
        <f t="shared" ref="DV13:EY13" si="151">0</f>
        <v>0</v>
      </c>
      <c r="DW13" s="88">
        <f t="shared" si="151"/>
        <v>0</v>
      </c>
      <c r="DX13" s="88">
        <f t="shared" si="151"/>
        <v>0</v>
      </c>
      <c r="DY13" s="88">
        <f t="shared" si="151"/>
        <v>0</v>
      </c>
      <c r="DZ13" s="88">
        <f t="shared" si="151"/>
        <v>0</v>
      </c>
      <c r="EA13" s="88">
        <f t="shared" si="151"/>
        <v>0</v>
      </c>
      <c r="EB13" s="88">
        <f t="shared" si="151"/>
        <v>0</v>
      </c>
      <c r="EC13" s="88">
        <f t="shared" si="151"/>
        <v>0</v>
      </c>
      <c r="ED13" s="88">
        <f t="shared" si="151"/>
        <v>0</v>
      </c>
      <c r="EE13" s="88">
        <f t="shared" si="151"/>
        <v>0</v>
      </c>
      <c r="EF13" s="88">
        <f t="shared" si="151"/>
        <v>0</v>
      </c>
      <c r="EG13" s="88">
        <f t="shared" si="151"/>
        <v>0</v>
      </c>
      <c r="EH13" s="88">
        <f t="shared" si="151"/>
        <v>0</v>
      </c>
      <c r="EI13" s="88">
        <f t="shared" si="151"/>
        <v>0</v>
      </c>
      <c r="EJ13" s="88">
        <f t="shared" si="151"/>
        <v>0</v>
      </c>
      <c r="EK13" s="88">
        <f t="shared" si="151"/>
        <v>0</v>
      </c>
      <c r="EL13" s="88">
        <f t="shared" si="151"/>
        <v>0</v>
      </c>
      <c r="EM13" s="88">
        <f t="shared" si="151"/>
        <v>0</v>
      </c>
      <c r="EN13" s="88">
        <f t="shared" si="151"/>
        <v>0</v>
      </c>
      <c r="EO13" s="88">
        <f t="shared" si="151"/>
        <v>0</v>
      </c>
      <c r="EP13" s="88">
        <f t="shared" si="151"/>
        <v>0</v>
      </c>
      <c r="EQ13" s="88">
        <f t="shared" si="151"/>
        <v>0</v>
      </c>
      <c r="ER13" s="88">
        <f t="shared" si="151"/>
        <v>0</v>
      </c>
      <c r="ES13" s="88">
        <f t="shared" si="151"/>
        <v>0</v>
      </c>
      <c r="ET13" s="88">
        <f t="shared" si="151"/>
        <v>0</v>
      </c>
      <c r="EU13" s="88">
        <f t="shared" si="151"/>
        <v>0</v>
      </c>
      <c r="EV13" s="88">
        <f t="shared" si="151"/>
        <v>0</v>
      </c>
      <c r="EW13" s="88">
        <f t="shared" si="151"/>
        <v>0</v>
      </c>
      <c r="EX13" s="88">
        <f t="shared" si="151"/>
        <v>0</v>
      </c>
      <c r="EY13" s="88">
        <f t="shared" si="151"/>
        <v>0</v>
      </c>
    </row>
    <row r="14">
      <c r="A14" s="181" t="s">
        <v>190</v>
      </c>
      <c r="B14" s="10">
        <f t="shared" ref="B14:DU14" si="152">0</f>
        <v>0</v>
      </c>
      <c r="C14" s="10">
        <f t="shared" si="152"/>
        <v>0</v>
      </c>
      <c r="D14" s="10">
        <f t="shared" si="152"/>
        <v>0</v>
      </c>
      <c r="E14" s="88">
        <f t="shared" si="152"/>
        <v>0</v>
      </c>
      <c r="F14" s="123">
        <f t="shared" si="152"/>
        <v>0</v>
      </c>
      <c r="G14" s="205">
        <f t="shared" si="152"/>
        <v>0</v>
      </c>
      <c r="H14" s="88">
        <f t="shared" si="152"/>
        <v>0</v>
      </c>
      <c r="I14" s="88">
        <f t="shared" si="152"/>
        <v>0</v>
      </c>
      <c r="J14" s="88">
        <f t="shared" si="152"/>
        <v>0</v>
      </c>
      <c r="K14" s="88">
        <f t="shared" si="152"/>
        <v>0</v>
      </c>
      <c r="L14" s="88">
        <f t="shared" si="152"/>
        <v>0</v>
      </c>
      <c r="M14" s="88">
        <f t="shared" si="152"/>
        <v>0</v>
      </c>
      <c r="N14" s="88">
        <f t="shared" si="152"/>
        <v>0</v>
      </c>
      <c r="O14" s="88">
        <f t="shared" si="152"/>
        <v>0</v>
      </c>
      <c r="P14" s="88">
        <f t="shared" si="152"/>
        <v>0</v>
      </c>
      <c r="Q14" s="88">
        <f t="shared" si="152"/>
        <v>0</v>
      </c>
      <c r="R14" s="88">
        <f t="shared" si="152"/>
        <v>0</v>
      </c>
      <c r="S14" s="88">
        <f t="shared" si="152"/>
        <v>0</v>
      </c>
      <c r="T14" s="88">
        <f t="shared" si="152"/>
        <v>0</v>
      </c>
      <c r="U14" s="88">
        <f t="shared" si="152"/>
        <v>0</v>
      </c>
      <c r="V14" s="88">
        <f t="shared" si="152"/>
        <v>0</v>
      </c>
      <c r="W14" s="88">
        <f t="shared" si="152"/>
        <v>0</v>
      </c>
      <c r="X14" s="88">
        <f t="shared" si="152"/>
        <v>0</v>
      </c>
      <c r="Y14" s="88">
        <f t="shared" si="152"/>
        <v>0</v>
      </c>
      <c r="Z14" s="88">
        <f t="shared" si="152"/>
        <v>0</v>
      </c>
      <c r="AA14" s="88">
        <f t="shared" si="152"/>
        <v>0</v>
      </c>
      <c r="AB14" s="88">
        <f t="shared" si="152"/>
        <v>0</v>
      </c>
      <c r="AC14" s="88">
        <f t="shared" si="152"/>
        <v>0</v>
      </c>
      <c r="AD14" s="88">
        <f t="shared" si="152"/>
        <v>0</v>
      </c>
      <c r="AE14" s="88">
        <f t="shared" si="152"/>
        <v>0</v>
      </c>
      <c r="AF14" s="88">
        <f t="shared" si="152"/>
        <v>0</v>
      </c>
      <c r="AG14" s="88">
        <f t="shared" si="152"/>
        <v>0</v>
      </c>
      <c r="AH14" s="88">
        <f t="shared" si="152"/>
        <v>0</v>
      </c>
      <c r="AI14" s="88">
        <f t="shared" si="152"/>
        <v>0</v>
      </c>
      <c r="AJ14" s="88">
        <f t="shared" si="152"/>
        <v>0</v>
      </c>
      <c r="AK14" s="88">
        <f t="shared" si="152"/>
        <v>0</v>
      </c>
      <c r="AL14" s="88">
        <f t="shared" si="152"/>
        <v>0</v>
      </c>
      <c r="AM14" s="88">
        <f t="shared" si="152"/>
        <v>0</v>
      </c>
      <c r="AN14" s="88">
        <f t="shared" si="152"/>
        <v>0</v>
      </c>
      <c r="AO14" s="88">
        <f t="shared" si="152"/>
        <v>0</v>
      </c>
      <c r="AP14" s="88">
        <f t="shared" si="152"/>
        <v>0</v>
      </c>
      <c r="AQ14" s="88">
        <f t="shared" si="152"/>
        <v>0</v>
      </c>
      <c r="AR14" s="88">
        <f t="shared" si="152"/>
        <v>0</v>
      </c>
      <c r="AS14" s="88">
        <f t="shared" si="152"/>
        <v>0</v>
      </c>
      <c r="AT14" s="88">
        <f t="shared" si="152"/>
        <v>0</v>
      </c>
      <c r="AU14" s="88">
        <f t="shared" si="152"/>
        <v>0</v>
      </c>
      <c r="AV14" s="88">
        <f t="shared" si="152"/>
        <v>0</v>
      </c>
      <c r="AW14" s="88">
        <f t="shared" si="152"/>
        <v>0</v>
      </c>
      <c r="AX14" s="88">
        <f t="shared" si="152"/>
        <v>0</v>
      </c>
      <c r="AY14" s="88">
        <f t="shared" si="152"/>
        <v>0</v>
      </c>
      <c r="AZ14" s="88">
        <f t="shared" si="152"/>
        <v>0</v>
      </c>
      <c r="BA14" s="88">
        <f t="shared" si="152"/>
        <v>0</v>
      </c>
      <c r="BB14" s="88">
        <f t="shared" si="152"/>
        <v>0</v>
      </c>
      <c r="BC14" s="88">
        <f t="shared" si="152"/>
        <v>0</v>
      </c>
      <c r="BD14" s="88">
        <f t="shared" si="152"/>
        <v>0</v>
      </c>
      <c r="BE14" s="88">
        <f t="shared" si="152"/>
        <v>0</v>
      </c>
      <c r="BF14" s="88">
        <f t="shared" si="152"/>
        <v>0</v>
      </c>
      <c r="BG14" s="88">
        <f t="shared" si="152"/>
        <v>0</v>
      </c>
      <c r="BH14" s="88">
        <f t="shared" si="152"/>
        <v>0</v>
      </c>
      <c r="BI14" s="88">
        <f t="shared" si="152"/>
        <v>0</v>
      </c>
      <c r="BJ14" s="88">
        <f t="shared" si="152"/>
        <v>0</v>
      </c>
      <c r="BK14" s="88">
        <f t="shared" si="152"/>
        <v>0</v>
      </c>
      <c r="BL14" s="88">
        <f t="shared" si="152"/>
        <v>0</v>
      </c>
      <c r="BM14" s="88">
        <f t="shared" si="152"/>
        <v>0</v>
      </c>
      <c r="BN14" s="88">
        <f t="shared" si="152"/>
        <v>0</v>
      </c>
      <c r="BO14" s="88">
        <f t="shared" si="152"/>
        <v>0</v>
      </c>
      <c r="BP14" s="88">
        <f t="shared" si="152"/>
        <v>0</v>
      </c>
      <c r="BQ14" s="88">
        <f t="shared" si="152"/>
        <v>0</v>
      </c>
      <c r="BR14" s="88">
        <f t="shared" si="152"/>
        <v>0</v>
      </c>
      <c r="BS14" s="88">
        <f t="shared" si="152"/>
        <v>0</v>
      </c>
      <c r="BT14" s="88">
        <f t="shared" si="152"/>
        <v>0</v>
      </c>
      <c r="BU14" s="88">
        <f t="shared" si="152"/>
        <v>0</v>
      </c>
      <c r="BV14" s="88">
        <f t="shared" si="152"/>
        <v>0</v>
      </c>
      <c r="BW14" s="88">
        <f t="shared" si="152"/>
        <v>0</v>
      </c>
      <c r="BX14" s="88">
        <f t="shared" si="152"/>
        <v>0</v>
      </c>
      <c r="BY14" s="88">
        <f t="shared" si="152"/>
        <v>0</v>
      </c>
      <c r="BZ14" s="88">
        <f t="shared" si="152"/>
        <v>0</v>
      </c>
      <c r="CA14" s="88">
        <f t="shared" si="152"/>
        <v>0</v>
      </c>
      <c r="CB14" s="88">
        <f t="shared" si="152"/>
        <v>0</v>
      </c>
      <c r="CC14" s="88">
        <f t="shared" si="152"/>
        <v>0</v>
      </c>
      <c r="CD14" s="88">
        <f t="shared" si="152"/>
        <v>0</v>
      </c>
      <c r="CE14" s="88">
        <f t="shared" si="152"/>
        <v>0</v>
      </c>
      <c r="CF14" s="88">
        <f t="shared" si="152"/>
        <v>0</v>
      </c>
      <c r="CG14" s="88">
        <f t="shared" si="152"/>
        <v>0</v>
      </c>
      <c r="CH14" s="88">
        <f t="shared" si="152"/>
        <v>0</v>
      </c>
      <c r="CI14" s="88">
        <f t="shared" si="152"/>
        <v>0</v>
      </c>
      <c r="CJ14" s="88">
        <f t="shared" si="152"/>
        <v>0</v>
      </c>
      <c r="CK14" s="88">
        <f t="shared" si="152"/>
        <v>0</v>
      </c>
      <c r="CL14" s="88">
        <f t="shared" si="152"/>
        <v>0</v>
      </c>
      <c r="CM14" s="88">
        <f t="shared" si="152"/>
        <v>0</v>
      </c>
      <c r="CN14" s="88">
        <f t="shared" si="152"/>
        <v>0</v>
      </c>
      <c r="CO14" s="88">
        <f t="shared" si="152"/>
        <v>0</v>
      </c>
      <c r="CP14" s="88">
        <f t="shared" si="152"/>
        <v>0</v>
      </c>
      <c r="CQ14" s="88">
        <f t="shared" si="152"/>
        <v>0</v>
      </c>
      <c r="CR14" s="88">
        <f t="shared" si="152"/>
        <v>0</v>
      </c>
      <c r="CS14" s="88">
        <f t="shared" si="152"/>
        <v>0</v>
      </c>
      <c r="CT14" s="88">
        <f t="shared" si="152"/>
        <v>0</v>
      </c>
      <c r="CU14" s="88">
        <f t="shared" si="152"/>
        <v>0</v>
      </c>
      <c r="CV14" s="88">
        <f t="shared" si="152"/>
        <v>0</v>
      </c>
      <c r="CW14" s="88">
        <f t="shared" si="152"/>
        <v>0</v>
      </c>
      <c r="CX14" s="88">
        <f t="shared" si="152"/>
        <v>0</v>
      </c>
      <c r="CY14" s="88">
        <f t="shared" si="152"/>
        <v>0</v>
      </c>
      <c r="CZ14" s="88">
        <f t="shared" si="152"/>
        <v>0</v>
      </c>
      <c r="DA14" s="88">
        <f t="shared" si="152"/>
        <v>0</v>
      </c>
      <c r="DB14" s="88">
        <f t="shared" si="152"/>
        <v>0</v>
      </c>
      <c r="DC14" s="88">
        <f t="shared" si="152"/>
        <v>0</v>
      </c>
      <c r="DD14" s="88">
        <f t="shared" si="152"/>
        <v>0</v>
      </c>
      <c r="DE14" s="88">
        <f t="shared" si="152"/>
        <v>0</v>
      </c>
      <c r="DF14" s="88">
        <f t="shared" si="152"/>
        <v>0</v>
      </c>
      <c r="DG14" s="88">
        <f t="shared" si="152"/>
        <v>0</v>
      </c>
      <c r="DH14" s="88">
        <f t="shared" si="152"/>
        <v>0</v>
      </c>
      <c r="DI14" s="88">
        <f t="shared" si="152"/>
        <v>0</v>
      </c>
      <c r="DJ14" s="88">
        <f t="shared" si="152"/>
        <v>0</v>
      </c>
      <c r="DK14" s="88">
        <f t="shared" si="152"/>
        <v>0</v>
      </c>
      <c r="DL14" s="88">
        <f t="shared" si="152"/>
        <v>0</v>
      </c>
      <c r="DM14" s="88">
        <f t="shared" si="152"/>
        <v>0</v>
      </c>
      <c r="DN14" s="88">
        <f t="shared" si="152"/>
        <v>0</v>
      </c>
      <c r="DO14" s="88">
        <f t="shared" si="152"/>
        <v>0</v>
      </c>
      <c r="DP14" s="88">
        <f t="shared" si="152"/>
        <v>0</v>
      </c>
      <c r="DQ14" s="88">
        <f t="shared" si="152"/>
        <v>0</v>
      </c>
      <c r="DR14" s="88">
        <f t="shared" si="152"/>
        <v>0</v>
      </c>
      <c r="DS14" s="88">
        <f t="shared" si="152"/>
        <v>0</v>
      </c>
      <c r="DT14" s="88">
        <f t="shared" si="152"/>
        <v>0</v>
      </c>
      <c r="DU14" s="88">
        <f t="shared" si="152"/>
        <v>0</v>
      </c>
      <c r="DV14" s="88">
        <f t="shared" ref="DV14:EY14" si="153">0</f>
        <v>0</v>
      </c>
      <c r="DW14" s="88">
        <f t="shared" si="153"/>
        <v>0</v>
      </c>
      <c r="DX14" s="88">
        <f t="shared" si="153"/>
        <v>0</v>
      </c>
      <c r="DY14" s="88">
        <f t="shared" si="153"/>
        <v>0</v>
      </c>
      <c r="DZ14" s="88">
        <f t="shared" si="153"/>
        <v>0</v>
      </c>
      <c r="EA14" s="88">
        <f t="shared" si="153"/>
        <v>0</v>
      </c>
      <c r="EB14" s="88">
        <f t="shared" si="153"/>
        <v>0</v>
      </c>
      <c r="EC14" s="88">
        <f t="shared" si="153"/>
        <v>0</v>
      </c>
      <c r="ED14" s="88">
        <f t="shared" si="153"/>
        <v>0</v>
      </c>
      <c r="EE14" s="88">
        <f t="shared" si="153"/>
        <v>0</v>
      </c>
      <c r="EF14" s="88">
        <f t="shared" si="153"/>
        <v>0</v>
      </c>
      <c r="EG14" s="88">
        <f t="shared" si="153"/>
        <v>0</v>
      </c>
      <c r="EH14" s="88">
        <f t="shared" si="153"/>
        <v>0</v>
      </c>
      <c r="EI14" s="88">
        <f t="shared" si="153"/>
        <v>0</v>
      </c>
      <c r="EJ14" s="88">
        <f t="shared" si="153"/>
        <v>0</v>
      </c>
      <c r="EK14" s="88">
        <f t="shared" si="153"/>
        <v>0</v>
      </c>
      <c r="EL14" s="88">
        <f t="shared" si="153"/>
        <v>0</v>
      </c>
      <c r="EM14" s="88">
        <f t="shared" si="153"/>
        <v>0</v>
      </c>
      <c r="EN14" s="88">
        <f t="shared" si="153"/>
        <v>0</v>
      </c>
      <c r="EO14" s="88">
        <f t="shared" si="153"/>
        <v>0</v>
      </c>
      <c r="EP14" s="88">
        <f t="shared" si="153"/>
        <v>0</v>
      </c>
      <c r="EQ14" s="88">
        <f t="shared" si="153"/>
        <v>0</v>
      </c>
      <c r="ER14" s="88">
        <f t="shared" si="153"/>
        <v>0</v>
      </c>
      <c r="ES14" s="88">
        <f t="shared" si="153"/>
        <v>0</v>
      </c>
      <c r="ET14" s="88">
        <f t="shared" si="153"/>
        <v>0</v>
      </c>
      <c r="EU14" s="88">
        <f t="shared" si="153"/>
        <v>0</v>
      </c>
      <c r="EV14" s="88">
        <f t="shared" si="153"/>
        <v>0</v>
      </c>
      <c r="EW14" s="88">
        <f t="shared" si="153"/>
        <v>0</v>
      </c>
      <c r="EX14" s="88">
        <f t="shared" si="153"/>
        <v>0</v>
      </c>
      <c r="EY14" s="88">
        <f t="shared" si="153"/>
        <v>0</v>
      </c>
    </row>
    <row r="15">
      <c r="A15" s="181" t="s">
        <v>191</v>
      </c>
      <c r="B15" s="10">
        <f t="shared" ref="B15:DU15" si="154">0</f>
        <v>0</v>
      </c>
      <c r="C15" s="10">
        <f t="shared" si="154"/>
        <v>0</v>
      </c>
      <c r="D15" s="10">
        <f t="shared" si="154"/>
        <v>0</v>
      </c>
      <c r="E15" s="88">
        <f t="shared" si="154"/>
        <v>0</v>
      </c>
      <c r="F15" s="123">
        <f t="shared" si="154"/>
        <v>0</v>
      </c>
      <c r="G15" s="205">
        <f t="shared" si="154"/>
        <v>0</v>
      </c>
      <c r="H15" s="88">
        <f t="shared" si="154"/>
        <v>0</v>
      </c>
      <c r="I15" s="88">
        <f t="shared" si="154"/>
        <v>0</v>
      </c>
      <c r="J15" s="88">
        <f t="shared" si="154"/>
        <v>0</v>
      </c>
      <c r="K15" s="88">
        <f t="shared" si="154"/>
        <v>0</v>
      </c>
      <c r="L15" s="88">
        <f t="shared" si="154"/>
        <v>0</v>
      </c>
      <c r="M15" s="88">
        <f t="shared" si="154"/>
        <v>0</v>
      </c>
      <c r="N15" s="88">
        <f t="shared" si="154"/>
        <v>0</v>
      </c>
      <c r="O15" s="88">
        <f t="shared" si="154"/>
        <v>0</v>
      </c>
      <c r="P15" s="88">
        <f t="shared" si="154"/>
        <v>0</v>
      </c>
      <c r="Q15" s="88">
        <f t="shared" si="154"/>
        <v>0</v>
      </c>
      <c r="R15" s="88">
        <f t="shared" si="154"/>
        <v>0</v>
      </c>
      <c r="S15" s="88">
        <f t="shared" si="154"/>
        <v>0</v>
      </c>
      <c r="T15" s="88">
        <f t="shared" si="154"/>
        <v>0</v>
      </c>
      <c r="U15" s="88">
        <f t="shared" si="154"/>
        <v>0</v>
      </c>
      <c r="V15" s="88">
        <f t="shared" si="154"/>
        <v>0</v>
      </c>
      <c r="W15" s="88">
        <f t="shared" si="154"/>
        <v>0</v>
      </c>
      <c r="X15" s="88">
        <f t="shared" si="154"/>
        <v>0</v>
      </c>
      <c r="Y15" s="88">
        <f t="shared" si="154"/>
        <v>0</v>
      </c>
      <c r="Z15" s="88">
        <f t="shared" si="154"/>
        <v>0</v>
      </c>
      <c r="AA15" s="88">
        <f t="shared" si="154"/>
        <v>0</v>
      </c>
      <c r="AB15" s="88">
        <f t="shared" si="154"/>
        <v>0</v>
      </c>
      <c r="AC15" s="88">
        <f t="shared" si="154"/>
        <v>0</v>
      </c>
      <c r="AD15" s="88">
        <f t="shared" si="154"/>
        <v>0</v>
      </c>
      <c r="AE15" s="88">
        <f t="shared" si="154"/>
        <v>0</v>
      </c>
      <c r="AF15" s="88">
        <f t="shared" si="154"/>
        <v>0</v>
      </c>
      <c r="AG15" s="88">
        <f t="shared" si="154"/>
        <v>0</v>
      </c>
      <c r="AH15" s="88">
        <f t="shared" si="154"/>
        <v>0</v>
      </c>
      <c r="AI15" s="88">
        <f t="shared" si="154"/>
        <v>0</v>
      </c>
      <c r="AJ15" s="88">
        <f t="shared" si="154"/>
        <v>0</v>
      </c>
      <c r="AK15" s="88">
        <f t="shared" si="154"/>
        <v>0</v>
      </c>
      <c r="AL15" s="88">
        <f t="shared" si="154"/>
        <v>0</v>
      </c>
      <c r="AM15" s="88">
        <f t="shared" si="154"/>
        <v>0</v>
      </c>
      <c r="AN15" s="88">
        <f t="shared" si="154"/>
        <v>0</v>
      </c>
      <c r="AO15" s="88">
        <f t="shared" si="154"/>
        <v>0</v>
      </c>
      <c r="AP15" s="88">
        <f t="shared" si="154"/>
        <v>0</v>
      </c>
      <c r="AQ15" s="88">
        <f t="shared" si="154"/>
        <v>0</v>
      </c>
      <c r="AR15" s="88">
        <f t="shared" si="154"/>
        <v>0</v>
      </c>
      <c r="AS15" s="88">
        <f t="shared" si="154"/>
        <v>0</v>
      </c>
      <c r="AT15" s="88">
        <f t="shared" si="154"/>
        <v>0</v>
      </c>
      <c r="AU15" s="88">
        <f t="shared" si="154"/>
        <v>0</v>
      </c>
      <c r="AV15" s="88">
        <f t="shared" si="154"/>
        <v>0</v>
      </c>
      <c r="AW15" s="88">
        <f t="shared" si="154"/>
        <v>0</v>
      </c>
      <c r="AX15" s="88">
        <f t="shared" si="154"/>
        <v>0</v>
      </c>
      <c r="AY15" s="88">
        <f t="shared" si="154"/>
        <v>0</v>
      </c>
      <c r="AZ15" s="88">
        <f t="shared" si="154"/>
        <v>0</v>
      </c>
      <c r="BA15" s="88">
        <f t="shared" si="154"/>
        <v>0</v>
      </c>
      <c r="BB15" s="88">
        <f t="shared" si="154"/>
        <v>0</v>
      </c>
      <c r="BC15" s="88">
        <f t="shared" si="154"/>
        <v>0</v>
      </c>
      <c r="BD15" s="88">
        <f t="shared" si="154"/>
        <v>0</v>
      </c>
      <c r="BE15" s="88">
        <f t="shared" si="154"/>
        <v>0</v>
      </c>
      <c r="BF15" s="88">
        <f t="shared" si="154"/>
        <v>0</v>
      </c>
      <c r="BG15" s="88">
        <f t="shared" si="154"/>
        <v>0</v>
      </c>
      <c r="BH15" s="88">
        <f t="shared" si="154"/>
        <v>0</v>
      </c>
      <c r="BI15" s="88">
        <f t="shared" si="154"/>
        <v>0</v>
      </c>
      <c r="BJ15" s="88">
        <f t="shared" si="154"/>
        <v>0</v>
      </c>
      <c r="BK15" s="88">
        <f t="shared" si="154"/>
        <v>0</v>
      </c>
      <c r="BL15" s="88">
        <f t="shared" si="154"/>
        <v>0</v>
      </c>
      <c r="BM15" s="88">
        <f t="shared" si="154"/>
        <v>0</v>
      </c>
      <c r="BN15" s="88">
        <f t="shared" si="154"/>
        <v>0</v>
      </c>
      <c r="BO15" s="88">
        <f t="shared" si="154"/>
        <v>0</v>
      </c>
      <c r="BP15" s="88">
        <f t="shared" si="154"/>
        <v>0</v>
      </c>
      <c r="BQ15" s="88">
        <f t="shared" si="154"/>
        <v>0</v>
      </c>
      <c r="BR15" s="88">
        <f t="shared" si="154"/>
        <v>0</v>
      </c>
      <c r="BS15" s="88">
        <f t="shared" si="154"/>
        <v>0</v>
      </c>
      <c r="BT15" s="88">
        <f t="shared" si="154"/>
        <v>0</v>
      </c>
      <c r="BU15" s="88">
        <f t="shared" si="154"/>
        <v>0</v>
      </c>
      <c r="BV15" s="88">
        <f t="shared" si="154"/>
        <v>0</v>
      </c>
      <c r="BW15" s="88">
        <f t="shared" si="154"/>
        <v>0</v>
      </c>
      <c r="BX15" s="88">
        <f t="shared" si="154"/>
        <v>0</v>
      </c>
      <c r="BY15" s="88">
        <f t="shared" si="154"/>
        <v>0</v>
      </c>
      <c r="BZ15" s="88">
        <f t="shared" si="154"/>
        <v>0</v>
      </c>
      <c r="CA15" s="88">
        <f t="shared" si="154"/>
        <v>0</v>
      </c>
      <c r="CB15" s="88">
        <f t="shared" si="154"/>
        <v>0</v>
      </c>
      <c r="CC15" s="88">
        <f t="shared" si="154"/>
        <v>0</v>
      </c>
      <c r="CD15" s="88">
        <f t="shared" si="154"/>
        <v>0</v>
      </c>
      <c r="CE15" s="88">
        <f t="shared" si="154"/>
        <v>0</v>
      </c>
      <c r="CF15" s="88">
        <f t="shared" si="154"/>
        <v>0</v>
      </c>
      <c r="CG15" s="88">
        <f t="shared" si="154"/>
        <v>0</v>
      </c>
      <c r="CH15" s="88">
        <f t="shared" si="154"/>
        <v>0</v>
      </c>
      <c r="CI15" s="88">
        <f t="shared" si="154"/>
        <v>0</v>
      </c>
      <c r="CJ15" s="88">
        <f t="shared" si="154"/>
        <v>0</v>
      </c>
      <c r="CK15" s="88">
        <f t="shared" si="154"/>
        <v>0</v>
      </c>
      <c r="CL15" s="88">
        <f t="shared" si="154"/>
        <v>0</v>
      </c>
      <c r="CM15" s="88">
        <f t="shared" si="154"/>
        <v>0</v>
      </c>
      <c r="CN15" s="88">
        <f t="shared" si="154"/>
        <v>0</v>
      </c>
      <c r="CO15" s="88">
        <f t="shared" si="154"/>
        <v>0</v>
      </c>
      <c r="CP15" s="88">
        <f t="shared" si="154"/>
        <v>0</v>
      </c>
      <c r="CQ15" s="88">
        <f t="shared" si="154"/>
        <v>0</v>
      </c>
      <c r="CR15" s="88">
        <f t="shared" si="154"/>
        <v>0</v>
      </c>
      <c r="CS15" s="88">
        <f t="shared" si="154"/>
        <v>0</v>
      </c>
      <c r="CT15" s="88">
        <f t="shared" si="154"/>
        <v>0</v>
      </c>
      <c r="CU15" s="88">
        <f t="shared" si="154"/>
        <v>0</v>
      </c>
      <c r="CV15" s="88">
        <f t="shared" si="154"/>
        <v>0</v>
      </c>
      <c r="CW15" s="88">
        <f t="shared" si="154"/>
        <v>0</v>
      </c>
      <c r="CX15" s="88">
        <f t="shared" si="154"/>
        <v>0</v>
      </c>
      <c r="CY15" s="88">
        <f t="shared" si="154"/>
        <v>0</v>
      </c>
      <c r="CZ15" s="88">
        <f t="shared" si="154"/>
        <v>0</v>
      </c>
      <c r="DA15" s="88">
        <f t="shared" si="154"/>
        <v>0</v>
      </c>
      <c r="DB15" s="88">
        <f t="shared" si="154"/>
        <v>0</v>
      </c>
      <c r="DC15" s="88">
        <f t="shared" si="154"/>
        <v>0</v>
      </c>
      <c r="DD15" s="88">
        <f t="shared" si="154"/>
        <v>0</v>
      </c>
      <c r="DE15" s="88">
        <f t="shared" si="154"/>
        <v>0</v>
      </c>
      <c r="DF15" s="88">
        <f t="shared" si="154"/>
        <v>0</v>
      </c>
      <c r="DG15" s="88">
        <f t="shared" si="154"/>
        <v>0</v>
      </c>
      <c r="DH15" s="88">
        <f t="shared" si="154"/>
        <v>0</v>
      </c>
      <c r="DI15" s="88">
        <f t="shared" si="154"/>
        <v>0</v>
      </c>
      <c r="DJ15" s="88">
        <f t="shared" si="154"/>
        <v>0</v>
      </c>
      <c r="DK15" s="88">
        <f t="shared" si="154"/>
        <v>0</v>
      </c>
      <c r="DL15" s="88">
        <f t="shared" si="154"/>
        <v>0</v>
      </c>
      <c r="DM15" s="88">
        <f t="shared" si="154"/>
        <v>0</v>
      </c>
      <c r="DN15" s="88">
        <f t="shared" si="154"/>
        <v>0</v>
      </c>
      <c r="DO15" s="88">
        <f t="shared" si="154"/>
        <v>0</v>
      </c>
      <c r="DP15" s="88">
        <f t="shared" si="154"/>
        <v>0</v>
      </c>
      <c r="DQ15" s="88">
        <f t="shared" si="154"/>
        <v>0</v>
      </c>
      <c r="DR15" s="88">
        <f t="shared" si="154"/>
        <v>0</v>
      </c>
      <c r="DS15" s="88">
        <f t="shared" si="154"/>
        <v>0</v>
      </c>
      <c r="DT15" s="88">
        <f t="shared" si="154"/>
        <v>0</v>
      </c>
      <c r="DU15" s="88">
        <f t="shared" si="154"/>
        <v>0</v>
      </c>
      <c r="DV15" s="88">
        <f t="shared" ref="DV15:EY15" si="155">0</f>
        <v>0</v>
      </c>
      <c r="DW15" s="88">
        <f t="shared" si="155"/>
        <v>0</v>
      </c>
      <c r="DX15" s="88">
        <f t="shared" si="155"/>
        <v>0</v>
      </c>
      <c r="DY15" s="88">
        <f t="shared" si="155"/>
        <v>0</v>
      </c>
      <c r="DZ15" s="88">
        <f t="shared" si="155"/>
        <v>0</v>
      </c>
      <c r="EA15" s="88">
        <f t="shared" si="155"/>
        <v>0</v>
      </c>
      <c r="EB15" s="88">
        <f t="shared" si="155"/>
        <v>0</v>
      </c>
      <c r="EC15" s="88">
        <f t="shared" si="155"/>
        <v>0</v>
      </c>
      <c r="ED15" s="88">
        <f t="shared" si="155"/>
        <v>0</v>
      </c>
      <c r="EE15" s="88">
        <f t="shared" si="155"/>
        <v>0</v>
      </c>
      <c r="EF15" s="88">
        <f t="shared" si="155"/>
        <v>0</v>
      </c>
      <c r="EG15" s="88">
        <f t="shared" si="155"/>
        <v>0</v>
      </c>
      <c r="EH15" s="88">
        <f t="shared" si="155"/>
        <v>0</v>
      </c>
      <c r="EI15" s="88">
        <f t="shared" si="155"/>
        <v>0</v>
      </c>
      <c r="EJ15" s="88">
        <f t="shared" si="155"/>
        <v>0</v>
      </c>
      <c r="EK15" s="88">
        <f t="shared" si="155"/>
        <v>0</v>
      </c>
      <c r="EL15" s="88">
        <f t="shared" si="155"/>
        <v>0</v>
      </c>
      <c r="EM15" s="88">
        <f t="shared" si="155"/>
        <v>0</v>
      </c>
      <c r="EN15" s="88">
        <f t="shared" si="155"/>
        <v>0</v>
      </c>
      <c r="EO15" s="88">
        <f t="shared" si="155"/>
        <v>0</v>
      </c>
      <c r="EP15" s="88">
        <f t="shared" si="155"/>
        <v>0</v>
      </c>
      <c r="EQ15" s="88">
        <f t="shared" si="155"/>
        <v>0</v>
      </c>
      <c r="ER15" s="88">
        <f t="shared" si="155"/>
        <v>0</v>
      </c>
      <c r="ES15" s="88">
        <f t="shared" si="155"/>
        <v>0</v>
      </c>
      <c r="ET15" s="88">
        <f t="shared" si="155"/>
        <v>0</v>
      </c>
      <c r="EU15" s="88">
        <f t="shared" si="155"/>
        <v>0</v>
      </c>
      <c r="EV15" s="88">
        <f t="shared" si="155"/>
        <v>0</v>
      </c>
      <c r="EW15" s="88">
        <f t="shared" si="155"/>
        <v>0</v>
      </c>
      <c r="EX15" s="88">
        <f t="shared" si="155"/>
        <v>0</v>
      </c>
      <c r="EY15" s="88">
        <f t="shared" si="155"/>
        <v>0</v>
      </c>
    </row>
    <row r="16">
      <c r="A16" s="181" t="s">
        <v>192</v>
      </c>
      <c r="B16" s="10">
        <f t="shared" ref="B16:DU16" si="156">0</f>
        <v>0</v>
      </c>
      <c r="C16" s="10">
        <f t="shared" si="156"/>
        <v>0</v>
      </c>
      <c r="D16" s="10">
        <f t="shared" si="156"/>
        <v>0</v>
      </c>
      <c r="E16" s="88">
        <f t="shared" si="156"/>
        <v>0</v>
      </c>
      <c r="F16" s="123">
        <f t="shared" si="156"/>
        <v>0</v>
      </c>
      <c r="G16" s="205">
        <f t="shared" si="156"/>
        <v>0</v>
      </c>
      <c r="H16" s="88">
        <f t="shared" si="156"/>
        <v>0</v>
      </c>
      <c r="I16" s="88">
        <f t="shared" si="156"/>
        <v>0</v>
      </c>
      <c r="J16" s="88">
        <f t="shared" si="156"/>
        <v>0</v>
      </c>
      <c r="K16" s="88">
        <f t="shared" si="156"/>
        <v>0</v>
      </c>
      <c r="L16" s="88">
        <f t="shared" si="156"/>
        <v>0</v>
      </c>
      <c r="M16" s="88">
        <f t="shared" si="156"/>
        <v>0</v>
      </c>
      <c r="N16" s="88">
        <f t="shared" si="156"/>
        <v>0</v>
      </c>
      <c r="O16" s="88">
        <f t="shared" si="156"/>
        <v>0</v>
      </c>
      <c r="P16" s="88">
        <f t="shared" si="156"/>
        <v>0</v>
      </c>
      <c r="Q16" s="88">
        <f t="shared" si="156"/>
        <v>0</v>
      </c>
      <c r="R16" s="88">
        <f t="shared" si="156"/>
        <v>0</v>
      </c>
      <c r="S16" s="88">
        <f t="shared" si="156"/>
        <v>0</v>
      </c>
      <c r="T16" s="88">
        <f t="shared" si="156"/>
        <v>0</v>
      </c>
      <c r="U16" s="88">
        <f t="shared" si="156"/>
        <v>0</v>
      </c>
      <c r="V16" s="88">
        <f t="shared" si="156"/>
        <v>0</v>
      </c>
      <c r="W16" s="88">
        <f t="shared" si="156"/>
        <v>0</v>
      </c>
      <c r="X16" s="88">
        <f t="shared" si="156"/>
        <v>0</v>
      </c>
      <c r="Y16" s="88">
        <f t="shared" si="156"/>
        <v>0</v>
      </c>
      <c r="Z16" s="88">
        <f t="shared" si="156"/>
        <v>0</v>
      </c>
      <c r="AA16" s="88">
        <f t="shared" si="156"/>
        <v>0</v>
      </c>
      <c r="AB16" s="88">
        <f t="shared" si="156"/>
        <v>0</v>
      </c>
      <c r="AC16" s="88">
        <f t="shared" si="156"/>
        <v>0</v>
      </c>
      <c r="AD16" s="88">
        <f t="shared" si="156"/>
        <v>0</v>
      </c>
      <c r="AE16" s="88">
        <f t="shared" si="156"/>
        <v>0</v>
      </c>
      <c r="AF16" s="88">
        <f t="shared" si="156"/>
        <v>0</v>
      </c>
      <c r="AG16" s="88">
        <f t="shared" si="156"/>
        <v>0</v>
      </c>
      <c r="AH16" s="88">
        <f t="shared" si="156"/>
        <v>0</v>
      </c>
      <c r="AI16" s="88">
        <f t="shared" si="156"/>
        <v>0</v>
      </c>
      <c r="AJ16" s="88">
        <f t="shared" si="156"/>
        <v>0</v>
      </c>
      <c r="AK16" s="88">
        <f t="shared" si="156"/>
        <v>0</v>
      </c>
      <c r="AL16" s="88">
        <f t="shared" si="156"/>
        <v>0</v>
      </c>
      <c r="AM16" s="88">
        <f t="shared" si="156"/>
        <v>0</v>
      </c>
      <c r="AN16" s="88">
        <f t="shared" si="156"/>
        <v>0</v>
      </c>
      <c r="AO16" s="88">
        <f t="shared" si="156"/>
        <v>0</v>
      </c>
      <c r="AP16" s="88">
        <f t="shared" si="156"/>
        <v>0</v>
      </c>
      <c r="AQ16" s="88">
        <f t="shared" si="156"/>
        <v>0</v>
      </c>
      <c r="AR16" s="88">
        <f t="shared" si="156"/>
        <v>0</v>
      </c>
      <c r="AS16" s="88">
        <f t="shared" si="156"/>
        <v>0</v>
      </c>
      <c r="AT16" s="88">
        <f t="shared" si="156"/>
        <v>0</v>
      </c>
      <c r="AU16" s="88">
        <f t="shared" si="156"/>
        <v>0</v>
      </c>
      <c r="AV16" s="88">
        <f t="shared" si="156"/>
        <v>0</v>
      </c>
      <c r="AW16" s="88">
        <f t="shared" si="156"/>
        <v>0</v>
      </c>
      <c r="AX16" s="88">
        <f t="shared" si="156"/>
        <v>0</v>
      </c>
      <c r="AY16" s="88">
        <f t="shared" si="156"/>
        <v>0</v>
      </c>
      <c r="AZ16" s="88">
        <f t="shared" si="156"/>
        <v>0</v>
      </c>
      <c r="BA16" s="88">
        <f t="shared" si="156"/>
        <v>0</v>
      </c>
      <c r="BB16" s="88">
        <f t="shared" si="156"/>
        <v>0</v>
      </c>
      <c r="BC16" s="88">
        <f t="shared" si="156"/>
        <v>0</v>
      </c>
      <c r="BD16" s="88">
        <f t="shared" si="156"/>
        <v>0</v>
      </c>
      <c r="BE16" s="88">
        <f t="shared" si="156"/>
        <v>0</v>
      </c>
      <c r="BF16" s="88">
        <f t="shared" si="156"/>
        <v>0</v>
      </c>
      <c r="BG16" s="88">
        <f t="shared" si="156"/>
        <v>0</v>
      </c>
      <c r="BH16" s="88">
        <f t="shared" si="156"/>
        <v>0</v>
      </c>
      <c r="BI16" s="88">
        <f t="shared" si="156"/>
        <v>0</v>
      </c>
      <c r="BJ16" s="88">
        <f t="shared" si="156"/>
        <v>0</v>
      </c>
      <c r="BK16" s="88">
        <f t="shared" si="156"/>
        <v>0</v>
      </c>
      <c r="BL16" s="88">
        <f t="shared" si="156"/>
        <v>0</v>
      </c>
      <c r="BM16" s="88">
        <f t="shared" si="156"/>
        <v>0</v>
      </c>
      <c r="BN16" s="88">
        <f t="shared" si="156"/>
        <v>0</v>
      </c>
      <c r="BO16" s="88">
        <f t="shared" si="156"/>
        <v>0</v>
      </c>
      <c r="BP16" s="88">
        <f t="shared" si="156"/>
        <v>0</v>
      </c>
      <c r="BQ16" s="88">
        <f t="shared" si="156"/>
        <v>0</v>
      </c>
      <c r="BR16" s="88">
        <f t="shared" si="156"/>
        <v>0</v>
      </c>
      <c r="BS16" s="88">
        <f t="shared" si="156"/>
        <v>0</v>
      </c>
      <c r="BT16" s="88">
        <f t="shared" si="156"/>
        <v>0</v>
      </c>
      <c r="BU16" s="88">
        <f t="shared" si="156"/>
        <v>0</v>
      </c>
      <c r="BV16" s="88">
        <f t="shared" si="156"/>
        <v>0</v>
      </c>
      <c r="BW16" s="88">
        <f t="shared" si="156"/>
        <v>0</v>
      </c>
      <c r="BX16" s="88">
        <f t="shared" si="156"/>
        <v>0</v>
      </c>
      <c r="BY16" s="88">
        <f t="shared" si="156"/>
        <v>0</v>
      </c>
      <c r="BZ16" s="88">
        <f t="shared" si="156"/>
        <v>0</v>
      </c>
      <c r="CA16" s="88">
        <f t="shared" si="156"/>
        <v>0</v>
      </c>
      <c r="CB16" s="88">
        <f t="shared" si="156"/>
        <v>0</v>
      </c>
      <c r="CC16" s="88">
        <f t="shared" si="156"/>
        <v>0</v>
      </c>
      <c r="CD16" s="88">
        <f t="shared" si="156"/>
        <v>0</v>
      </c>
      <c r="CE16" s="88">
        <f t="shared" si="156"/>
        <v>0</v>
      </c>
      <c r="CF16" s="88">
        <f t="shared" si="156"/>
        <v>0</v>
      </c>
      <c r="CG16" s="88">
        <f t="shared" si="156"/>
        <v>0</v>
      </c>
      <c r="CH16" s="88">
        <f t="shared" si="156"/>
        <v>0</v>
      </c>
      <c r="CI16" s="88">
        <f t="shared" si="156"/>
        <v>0</v>
      </c>
      <c r="CJ16" s="88">
        <f t="shared" si="156"/>
        <v>0</v>
      </c>
      <c r="CK16" s="88">
        <f t="shared" si="156"/>
        <v>0</v>
      </c>
      <c r="CL16" s="88">
        <f t="shared" si="156"/>
        <v>0</v>
      </c>
      <c r="CM16" s="88">
        <f t="shared" si="156"/>
        <v>0</v>
      </c>
      <c r="CN16" s="88">
        <f t="shared" si="156"/>
        <v>0</v>
      </c>
      <c r="CO16" s="88">
        <f t="shared" si="156"/>
        <v>0</v>
      </c>
      <c r="CP16" s="88">
        <f t="shared" si="156"/>
        <v>0</v>
      </c>
      <c r="CQ16" s="88">
        <f t="shared" si="156"/>
        <v>0</v>
      </c>
      <c r="CR16" s="88">
        <f t="shared" si="156"/>
        <v>0</v>
      </c>
      <c r="CS16" s="88">
        <f t="shared" si="156"/>
        <v>0</v>
      </c>
      <c r="CT16" s="88">
        <f t="shared" si="156"/>
        <v>0</v>
      </c>
      <c r="CU16" s="88">
        <f t="shared" si="156"/>
        <v>0</v>
      </c>
      <c r="CV16" s="88">
        <f t="shared" si="156"/>
        <v>0</v>
      </c>
      <c r="CW16" s="88">
        <f t="shared" si="156"/>
        <v>0</v>
      </c>
      <c r="CX16" s="88">
        <f t="shared" si="156"/>
        <v>0</v>
      </c>
      <c r="CY16" s="88">
        <f t="shared" si="156"/>
        <v>0</v>
      </c>
      <c r="CZ16" s="88">
        <f t="shared" si="156"/>
        <v>0</v>
      </c>
      <c r="DA16" s="88">
        <f t="shared" si="156"/>
        <v>0</v>
      </c>
      <c r="DB16" s="88">
        <f t="shared" si="156"/>
        <v>0</v>
      </c>
      <c r="DC16" s="88">
        <f t="shared" si="156"/>
        <v>0</v>
      </c>
      <c r="DD16" s="88">
        <f t="shared" si="156"/>
        <v>0</v>
      </c>
      <c r="DE16" s="88">
        <f t="shared" si="156"/>
        <v>0</v>
      </c>
      <c r="DF16" s="88">
        <f t="shared" si="156"/>
        <v>0</v>
      </c>
      <c r="DG16" s="88">
        <f t="shared" si="156"/>
        <v>0</v>
      </c>
      <c r="DH16" s="88">
        <f t="shared" si="156"/>
        <v>0</v>
      </c>
      <c r="DI16" s="88">
        <f t="shared" si="156"/>
        <v>0</v>
      </c>
      <c r="DJ16" s="88">
        <f t="shared" si="156"/>
        <v>0</v>
      </c>
      <c r="DK16" s="88">
        <f t="shared" si="156"/>
        <v>0</v>
      </c>
      <c r="DL16" s="88">
        <f t="shared" si="156"/>
        <v>0</v>
      </c>
      <c r="DM16" s="88">
        <f t="shared" si="156"/>
        <v>0</v>
      </c>
      <c r="DN16" s="88">
        <f t="shared" si="156"/>
        <v>0</v>
      </c>
      <c r="DO16" s="88">
        <f t="shared" si="156"/>
        <v>0</v>
      </c>
      <c r="DP16" s="88">
        <f t="shared" si="156"/>
        <v>0</v>
      </c>
      <c r="DQ16" s="88">
        <f t="shared" si="156"/>
        <v>0</v>
      </c>
      <c r="DR16" s="88">
        <f t="shared" si="156"/>
        <v>0</v>
      </c>
      <c r="DS16" s="88">
        <f t="shared" si="156"/>
        <v>0</v>
      </c>
      <c r="DT16" s="88">
        <f t="shared" si="156"/>
        <v>0</v>
      </c>
      <c r="DU16" s="88">
        <f t="shared" si="156"/>
        <v>0</v>
      </c>
      <c r="DV16" s="88">
        <f t="shared" ref="DV16:EY16" si="157">0</f>
        <v>0</v>
      </c>
      <c r="DW16" s="88">
        <f t="shared" si="157"/>
        <v>0</v>
      </c>
      <c r="DX16" s="88">
        <f t="shared" si="157"/>
        <v>0</v>
      </c>
      <c r="DY16" s="88">
        <f t="shared" si="157"/>
        <v>0</v>
      </c>
      <c r="DZ16" s="88">
        <f t="shared" si="157"/>
        <v>0</v>
      </c>
      <c r="EA16" s="88">
        <f t="shared" si="157"/>
        <v>0</v>
      </c>
      <c r="EB16" s="88">
        <f t="shared" si="157"/>
        <v>0</v>
      </c>
      <c r="EC16" s="88">
        <f t="shared" si="157"/>
        <v>0</v>
      </c>
      <c r="ED16" s="88">
        <f t="shared" si="157"/>
        <v>0</v>
      </c>
      <c r="EE16" s="88">
        <f t="shared" si="157"/>
        <v>0</v>
      </c>
      <c r="EF16" s="88">
        <f t="shared" si="157"/>
        <v>0</v>
      </c>
      <c r="EG16" s="88">
        <f t="shared" si="157"/>
        <v>0</v>
      </c>
      <c r="EH16" s="88">
        <f t="shared" si="157"/>
        <v>0</v>
      </c>
      <c r="EI16" s="88">
        <f t="shared" si="157"/>
        <v>0</v>
      </c>
      <c r="EJ16" s="88">
        <f t="shared" si="157"/>
        <v>0</v>
      </c>
      <c r="EK16" s="88">
        <f t="shared" si="157"/>
        <v>0</v>
      </c>
      <c r="EL16" s="88">
        <f t="shared" si="157"/>
        <v>0</v>
      </c>
      <c r="EM16" s="88">
        <f t="shared" si="157"/>
        <v>0</v>
      </c>
      <c r="EN16" s="88">
        <f t="shared" si="157"/>
        <v>0</v>
      </c>
      <c r="EO16" s="88">
        <f t="shared" si="157"/>
        <v>0</v>
      </c>
      <c r="EP16" s="88">
        <f t="shared" si="157"/>
        <v>0</v>
      </c>
      <c r="EQ16" s="88">
        <f t="shared" si="157"/>
        <v>0</v>
      </c>
      <c r="ER16" s="88">
        <f t="shared" si="157"/>
        <v>0</v>
      </c>
      <c r="ES16" s="88">
        <f t="shared" si="157"/>
        <v>0</v>
      </c>
      <c r="ET16" s="88">
        <f t="shared" si="157"/>
        <v>0</v>
      </c>
      <c r="EU16" s="88">
        <f t="shared" si="157"/>
        <v>0</v>
      </c>
      <c r="EV16" s="88">
        <f t="shared" si="157"/>
        <v>0</v>
      </c>
      <c r="EW16" s="88">
        <f t="shared" si="157"/>
        <v>0</v>
      </c>
      <c r="EX16" s="88">
        <f t="shared" si="157"/>
        <v>0</v>
      </c>
      <c r="EY16" s="88">
        <f t="shared" si="157"/>
        <v>0</v>
      </c>
    </row>
    <row r="17">
      <c r="A17" s="181" t="s">
        <v>193</v>
      </c>
      <c r="B17" s="10">
        <f t="shared" ref="B17:DU17" si="158">0</f>
        <v>0</v>
      </c>
      <c r="C17" s="10">
        <f t="shared" si="158"/>
        <v>0</v>
      </c>
      <c r="D17" s="10">
        <f t="shared" si="158"/>
        <v>0</v>
      </c>
      <c r="E17" s="88">
        <f t="shared" si="158"/>
        <v>0</v>
      </c>
      <c r="F17" s="123">
        <f t="shared" si="158"/>
        <v>0</v>
      </c>
      <c r="G17" s="205">
        <f t="shared" si="158"/>
        <v>0</v>
      </c>
      <c r="H17" s="88">
        <f t="shared" si="158"/>
        <v>0</v>
      </c>
      <c r="I17" s="88">
        <f t="shared" si="158"/>
        <v>0</v>
      </c>
      <c r="J17" s="88">
        <f t="shared" si="158"/>
        <v>0</v>
      </c>
      <c r="K17" s="88">
        <f t="shared" si="158"/>
        <v>0</v>
      </c>
      <c r="L17" s="88">
        <f t="shared" si="158"/>
        <v>0</v>
      </c>
      <c r="M17" s="88">
        <f t="shared" si="158"/>
        <v>0</v>
      </c>
      <c r="N17" s="88">
        <f t="shared" si="158"/>
        <v>0</v>
      </c>
      <c r="O17" s="88">
        <f t="shared" si="158"/>
        <v>0</v>
      </c>
      <c r="P17" s="88">
        <f t="shared" si="158"/>
        <v>0</v>
      </c>
      <c r="Q17" s="88">
        <f t="shared" si="158"/>
        <v>0</v>
      </c>
      <c r="R17" s="88">
        <f t="shared" si="158"/>
        <v>0</v>
      </c>
      <c r="S17" s="88">
        <f t="shared" si="158"/>
        <v>0</v>
      </c>
      <c r="T17" s="88">
        <f t="shared" si="158"/>
        <v>0</v>
      </c>
      <c r="U17" s="88">
        <f t="shared" si="158"/>
        <v>0</v>
      </c>
      <c r="V17" s="88">
        <f t="shared" si="158"/>
        <v>0</v>
      </c>
      <c r="W17" s="88">
        <f t="shared" si="158"/>
        <v>0</v>
      </c>
      <c r="X17" s="88">
        <f t="shared" si="158"/>
        <v>0</v>
      </c>
      <c r="Y17" s="88">
        <f t="shared" si="158"/>
        <v>0</v>
      </c>
      <c r="Z17" s="88">
        <f t="shared" si="158"/>
        <v>0</v>
      </c>
      <c r="AA17" s="88">
        <f t="shared" si="158"/>
        <v>0</v>
      </c>
      <c r="AB17" s="88">
        <f t="shared" si="158"/>
        <v>0</v>
      </c>
      <c r="AC17" s="88">
        <f t="shared" si="158"/>
        <v>0</v>
      </c>
      <c r="AD17" s="88">
        <f t="shared" si="158"/>
        <v>0</v>
      </c>
      <c r="AE17" s="88">
        <f t="shared" si="158"/>
        <v>0</v>
      </c>
      <c r="AF17" s="88">
        <f t="shared" si="158"/>
        <v>0</v>
      </c>
      <c r="AG17" s="88">
        <f t="shared" si="158"/>
        <v>0</v>
      </c>
      <c r="AH17" s="88">
        <f t="shared" si="158"/>
        <v>0</v>
      </c>
      <c r="AI17" s="88">
        <f t="shared" si="158"/>
        <v>0</v>
      </c>
      <c r="AJ17" s="88">
        <f t="shared" si="158"/>
        <v>0</v>
      </c>
      <c r="AK17" s="88">
        <f t="shared" si="158"/>
        <v>0</v>
      </c>
      <c r="AL17" s="88">
        <f t="shared" si="158"/>
        <v>0</v>
      </c>
      <c r="AM17" s="88">
        <f t="shared" si="158"/>
        <v>0</v>
      </c>
      <c r="AN17" s="88">
        <f t="shared" si="158"/>
        <v>0</v>
      </c>
      <c r="AO17" s="88">
        <f t="shared" si="158"/>
        <v>0</v>
      </c>
      <c r="AP17" s="88">
        <f t="shared" si="158"/>
        <v>0</v>
      </c>
      <c r="AQ17" s="88">
        <f t="shared" si="158"/>
        <v>0</v>
      </c>
      <c r="AR17" s="88">
        <f t="shared" si="158"/>
        <v>0</v>
      </c>
      <c r="AS17" s="88">
        <f t="shared" si="158"/>
        <v>0</v>
      </c>
      <c r="AT17" s="88">
        <f t="shared" si="158"/>
        <v>0</v>
      </c>
      <c r="AU17" s="88">
        <f t="shared" si="158"/>
        <v>0</v>
      </c>
      <c r="AV17" s="88">
        <f t="shared" si="158"/>
        <v>0</v>
      </c>
      <c r="AW17" s="88">
        <f t="shared" si="158"/>
        <v>0</v>
      </c>
      <c r="AX17" s="88">
        <f t="shared" si="158"/>
        <v>0</v>
      </c>
      <c r="AY17" s="88">
        <f t="shared" si="158"/>
        <v>0</v>
      </c>
      <c r="AZ17" s="88">
        <f t="shared" si="158"/>
        <v>0</v>
      </c>
      <c r="BA17" s="88">
        <f t="shared" si="158"/>
        <v>0</v>
      </c>
      <c r="BB17" s="88">
        <f t="shared" si="158"/>
        <v>0</v>
      </c>
      <c r="BC17" s="88">
        <f t="shared" si="158"/>
        <v>0</v>
      </c>
      <c r="BD17" s="88">
        <f t="shared" si="158"/>
        <v>0</v>
      </c>
      <c r="BE17" s="88">
        <f t="shared" si="158"/>
        <v>0</v>
      </c>
      <c r="BF17" s="88">
        <f t="shared" si="158"/>
        <v>0</v>
      </c>
      <c r="BG17" s="88">
        <f t="shared" si="158"/>
        <v>0</v>
      </c>
      <c r="BH17" s="88">
        <f t="shared" si="158"/>
        <v>0</v>
      </c>
      <c r="BI17" s="88">
        <f t="shared" si="158"/>
        <v>0</v>
      </c>
      <c r="BJ17" s="88">
        <f t="shared" si="158"/>
        <v>0</v>
      </c>
      <c r="BK17" s="88">
        <f t="shared" si="158"/>
        <v>0</v>
      </c>
      <c r="BL17" s="88">
        <f t="shared" si="158"/>
        <v>0</v>
      </c>
      <c r="BM17" s="88">
        <f t="shared" si="158"/>
        <v>0</v>
      </c>
      <c r="BN17" s="88">
        <f t="shared" si="158"/>
        <v>0</v>
      </c>
      <c r="BO17" s="88">
        <f t="shared" si="158"/>
        <v>0</v>
      </c>
      <c r="BP17" s="88">
        <f t="shared" si="158"/>
        <v>0</v>
      </c>
      <c r="BQ17" s="88">
        <f t="shared" si="158"/>
        <v>0</v>
      </c>
      <c r="BR17" s="88">
        <f t="shared" si="158"/>
        <v>0</v>
      </c>
      <c r="BS17" s="88">
        <f t="shared" si="158"/>
        <v>0</v>
      </c>
      <c r="BT17" s="88">
        <f t="shared" si="158"/>
        <v>0</v>
      </c>
      <c r="BU17" s="88">
        <f t="shared" si="158"/>
        <v>0</v>
      </c>
      <c r="BV17" s="88">
        <f t="shared" si="158"/>
        <v>0</v>
      </c>
      <c r="BW17" s="88">
        <f t="shared" si="158"/>
        <v>0</v>
      </c>
      <c r="BX17" s="88">
        <f t="shared" si="158"/>
        <v>0</v>
      </c>
      <c r="BY17" s="88">
        <f t="shared" si="158"/>
        <v>0</v>
      </c>
      <c r="BZ17" s="88">
        <f t="shared" si="158"/>
        <v>0</v>
      </c>
      <c r="CA17" s="88">
        <f t="shared" si="158"/>
        <v>0</v>
      </c>
      <c r="CB17" s="88">
        <f t="shared" si="158"/>
        <v>0</v>
      </c>
      <c r="CC17" s="88">
        <f t="shared" si="158"/>
        <v>0</v>
      </c>
      <c r="CD17" s="88">
        <f t="shared" si="158"/>
        <v>0</v>
      </c>
      <c r="CE17" s="88">
        <f t="shared" si="158"/>
        <v>0</v>
      </c>
      <c r="CF17" s="88">
        <f t="shared" si="158"/>
        <v>0</v>
      </c>
      <c r="CG17" s="88">
        <f t="shared" si="158"/>
        <v>0</v>
      </c>
      <c r="CH17" s="88">
        <f t="shared" si="158"/>
        <v>0</v>
      </c>
      <c r="CI17" s="88">
        <f t="shared" si="158"/>
        <v>0</v>
      </c>
      <c r="CJ17" s="88">
        <f t="shared" si="158"/>
        <v>0</v>
      </c>
      <c r="CK17" s="88">
        <f t="shared" si="158"/>
        <v>0</v>
      </c>
      <c r="CL17" s="88">
        <f t="shared" si="158"/>
        <v>0</v>
      </c>
      <c r="CM17" s="88">
        <f t="shared" si="158"/>
        <v>0</v>
      </c>
      <c r="CN17" s="88">
        <f t="shared" si="158"/>
        <v>0</v>
      </c>
      <c r="CO17" s="88">
        <f t="shared" si="158"/>
        <v>0</v>
      </c>
      <c r="CP17" s="88">
        <f t="shared" si="158"/>
        <v>0</v>
      </c>
      <c r="CQ17" s="88">
        <f t="shared" si="158"/>
        <v>0</v>
      </c>
      <c r="CR17" s="88">
        <f t="shared" si="158"/>
        <v>0</v>
      </c>
      <c r="CS17" s="88">
        <f t="shared" si="158"/>
        <v>0</v>
      </c>
      <c r="CT17" s="88">
        <f t="shared" si="158"/>
        <v>0</v>
      </c>
      <c r="CU17" s="88">
        <f t="shared" si="158"/>
        <v>0</v>
      </c>
      <c r="CV17" s="88">
        <f t="shared" si="158"/>
        <v>0</v>
      </c>
      <c r="CW17" s="88">
        <f t="shared" si="158"/>
        <v>0</v>
      </c>
      <c r="CX17" s="88">
        <f t="shared" si="158"/>
        <v>0</v>
      </c>
      <c r="CY17" s="88">
        <f t="shared" si="158"/>
        <v>0</v>
      </c>
      <c r="CZ17" s="88">
        <f t="shared" si="158"/>
        <v>0</v>
      </c>
      <c r="DA17" s="88">
        <f t="shared" si="158"/>
        <v>0</v>
      </c>
      <c r="DB17" s="88">
        <f t="shared" si="158"/>
        <v>0</v>
      </c>
      <c r="DC17" s="88">
        <f t="shared" si="158"/>
        <v>0</v>
      </c>
      <c r="DD17" s="88">
        <f t="shared" si="158"/>
        <v>0</v>
      </c>
      <c r="DE17" s="88">
        <f t="shared" si="158"/>
        <v>0</v>
      </c>
      <c r="DF17" s="88">
        <f t="shared" si="158"/>
        <v>0</v>
      </c>
      <c r="DG17" s="88">
        <f t="shared" si="158"/>
        <v>0</v>
      </c>
      <c r="DH17" s="88">
        <f t="shared" si="158"/>
        <v>0</v>
      </c>
      <c r="DI17" s="88">
        <f t="shared" si="158"/>
        <v>0</v>
      </c>
      <c r="DJ17" s="88">
        <f t="shared" si="158"/>
        <v>0</v>
      </c>
      <c r="DK17" s="88">
        <f t="shared" si="158"/>
        <v>0</v>
      </c>
      <c r="DL17" s="88">
        <f t="shared" si="158"/>
        <v>0</v>
      </c>
      <c r="DM17" s="88">
        <f t="shared" si="158"/>
        <v>0</v>
      </c>
      <c r="DN17" s="88">
        <f t="shared" si="158"/>
        <v>0</v>
      </c>
      <c r="DO17" s="88">
        <f t="shared" si="158"/>
        <v>0</v>
      </c>
      <c r="DP17" s="88">
        <f t="shared" si="158"/>
        <v>0</v>
      </c>
      <c r="DQ17" s="88">
        <f t="shared" si="158"/>
        <v>0</v>
      </c>
      <c r="DR17" s="88">
        <f t="shared" si="158"/>
        <v>0</v>
      </c>
      <c r="DS17" s="88">
        <f t="shared" si="158"/>
        <v>0</v>
      </c>
      <c r="DT17" s="88">
        <f t="shared" si="158"/>
        <v>0</v>
      </c>
      <c r="DU17" s="88">
        <f t="shared" si="158"/>
        <v>0</v>
      </c>
      <c r="DV17" s="88">
        <f t="shared" ref="DV17:EY17" si="159">0</f>
        <v>0</v>
      </c>
      <c r="DW17" s="88">
        <f t="shared" si="159"/>
        <v>0</v>
      </c>
      <c r="DX17" s="88">
        <f t="shared" si="159"/>
        <v>0</v>
      </c>
      <c r="DY17" s="88">
        <f t="shared" si="159"/>
        <v>0</v>
      </c>
      <c r="DZ17" s="88">
        <f t="shared" si="159"/>
        <v>0</v>
      </c>
      <c r="EA17" s="88">
        <f t="shared" si="159"/>
        <v>0</v>
      </c>
      <c r="EB17" s="88">
        <f t="shared" si="159"/>
        <v>0</v>
      </c>
      <c r="EC17" s="88">
        <f t="shared" si="159"/>
        <v>0</v>
      </c>
      <c r="ED17" s="88">
        <f t="shared" si="159"/>
        <v>0</v>
      </c>
      <c r="EE17" s="88">
        <f t="shared" si="159"/>
        <v>0</v>
      </c>
      <c r="EF17" s="88">
        <f t="shared" si="159"/>
        <v>0</v>
      </c>
      <c r="EG17" s="88">
        <f t="shared" si="159"/>
        <v>0</v>
      </c>
      <c r="EH17" s="88">
        <f t="shared" si="159"/>
        <v>0</v>
      </c>
      <c r="EI17" s="88">
        <f t="shared" si="159"/>
        <v>0</v>
      </c>
      <c r="EJ17" s="88">
        <f t="shared" si="159"/>
        <v>0</v>
      </c>
      <c r="EK17" s="88">
        <f t="shared" si="159"/>
        <v>0</v>
      </c>
      <c r="EL17" s="88">
        <f t="shared" si="159"/>
        <v>0</v>
      </c>
      <c r="EM17" s="88">
        <f t="shared" si="159"/>
        <v>0</v>
      </c>
      <c r="EN17" s="88">
        <f t="shared" si="159"/>
        <v>0</v>
      </c>
      <c r="EO17" s="88">
        <f t="shared" si="159"/>
        <v>0</v>
      </c>
      <c r="EP17" s="88">
        <f t="shared" si="159"/>
        <v>0</v>
      </c>
      <c r="EQ17" s="88">
        <f t="shared" si="159"/>
        <v>0</v>
      </c>
      <c r="ER17" s="88">
        <f t="shared" si="159"/>
        <v>0</v>
      </c>
      <c r="ES17" s="88">
        <f t="shared" si="159"/>
        <v>0</v>
      </c>
      <c r="ET17" s="88">
        <f t="shared" si="159"/>
        <v>0</v>
      </c>
      <c r="EU17" s="88">
        <f t="shared" si="159"/>
        <v>0</v>
      </c>
      <c r="EV17" s="88">
        <f t="shared" si="159"/>
        <v>0</v>
      </c>
      <c r="EW17" s="88">
        <f t="shared" si="159"/>
        <v>0</v>
      </c>
      <c r="EX17" s="88">
        <f t="shared" si="159"/>
        <v>0</v>
      </c>
      <c r="EY17" s="88">
        <f t="shared" si="159"/>
        <v>0</v>
      </c>
    </row>
    <row r="18">
      <c r="A18" s="181" t="s">
        <v>194</v>
      </c>
      <c r="B18" s="10">
        <f t="shared" ref="B18:DU18" si="160">0</f>
        <v>0</v>
      </c>
      <c r="C18" s="10">
        <f t="shared" si="160"/>
        <v>0</v>
      </c>
      <c r="D18" s="10">
        <f t="shared" si="160"/>
        <v>0</v>
      </c>
      <c r="E18" s="88">
        <f t="shared" si="160"/>
        <v>0</v>
      </c>
      <c r="F18" s="123">
        <f t="shared" si="160"/>
        <v>0</v>
      </c>
      <c r="G18" s="205">
        <f t="shared" si="160"/>
        <v>0</v>
      </c>
      <c r="H18" s="88">
        <f t="shared" si="160"/>
        <v>0</v>
      </c>
      <c r="I18" s="88">
        <f t="shared" si="160"/>
        <v>0</v>
      </c>
      <c r="J18" s="88">
        <f t="shared" si="160"/>
        <v>0</v>
      </c>
      <c r="K18" s="88">
        <f t="shared" si="160"/>
        <v>0</v>
      </c>
      <c r="L18" s="88">
        <f t="shared" si="160"/>
        <v>0</v>
      </c>
      <c r="M18" s="88">
        <f t="shared" si="160"/>
        <v>0</v>
      </c>
      <c r="N18" s="88">
        <f t="shared" si="160"/>
        <v>0</v>
      </c>
      <c r="O18" s="88">
        <f t="shared" si="160"/>
        <v>0</v>
      </c>
      <c r="P18" s="88">
        <f t="shared" si="160"/>
        <v>0</v>
      </c>
      <c r="Q18" s="88">
        <f t="shared" si="160"/>
        <v>0</v>
      </c>
      <c r="R18" s="88">
        <f t="shared" si="160"/>
        <v>0</v>
      </c>
      <c r="S18" s="88">
        <f t="shared" si="160"/>
        <v>0</v>
      </c>
      <c r="T18" s="88">
        <f t="shared" si="160"/>
        <v>0</v>
      </c>
      <c r="U18" s="88">
        <f t="shared" si="160"/>
        <v>0</v>
      </c>
      <c r="V18" s="88">
        <f t="shared" si="160"/>
        <v>0</v>
      </c>
      <c r="W18" s="88">
        <f t="shared" si="160"/>
        <v>0</v>
      </c>
      <c r="X18" s="88">
        <f t="shared" si="160"/>
        <v>0</v>
      </c>
      <c r="Y18" s="88">
        <f t="shared" si="160"/>
        <v>0</v>
      </c>
      <c r="Z18" s="88">
        <f t="shared" si="160"/>
        <v>0</v>
      </c>
      <c r="AA18" s="88">
        <f t="shared" si="160"/>
        <v>0</v>
      </c>
      <c r="AB18" s="88">
        <f t="shared" si="160"/>
        <v>0</v>
      </c>
      <c r="AC18" s="88">
        <f t="shared" si="160"/>
        <v>0</v>
      </c>
      <c r="AD18" s="88">
        <f t="shared" si="160"/>
        <v>0</v>
      </c>
      <c r="AE18" s="88">
        <f t="shared" si="160"/>
        <v>0</v>
      </c>
      <c r="AF18" s="88">
        <f t="shared" si="160"/>
        <v>0</v>
      </c>
      <c r="AG18" s="88">
        <f t="shared" si="160"/>
        <v>0</v>
      </c>
      <c r="AH18" s="88">
        <f t="shared" si="160"/>
        <v>0</v>
      </c>
      <c r="AI18" s="88">
        <f t="shared" si="160"/>
        <v>0</v>
      </c>
      <c r="AJ18" s="88">
        <f t="shared" si="160"/>
        <v>0</v>
      </c>
      <c r="AK18" s="88">
        <f t="shared" si="160"/>
        <v>0</v>
      </c>
      <c r="AL18" s="88">
        <f t="shared" si="160"/>
        <v>0</v>
      </c>
      <c r="AM18" s="88">
        <f t="shared" si="160"/>
        <v>0</v>
      </c>
      <c r="AN18" s="88">
        <f t="shared" si="160"/>
        <v>0</v>
      </c>
      <c r="AO18" s="88">
        <f t="shared" si="160"/>
        <v>0</v>
      </c>
      <c r="AP18" s="88">
        <f t="shared" si="160"/>
        <v>0</v>
      </c>
      <c r="AQ18" s="88">
        <f t="shared" si="160"/>
        <v>0</v>
      </c>
      <c r="AR18" s="88">
        <f t="shared" si="160"/>
        <v>0</v>
      </c>
      <c r="AS18" s="88">
        <f t="shared" si="160"/>
        <v>0</v>
      </c>
      <c r="AT18" s="88">
        <f t="shared" si="160"/>
        <v>0</v>
      </c>
      <c r="AU18" s="88">
        <f t="shared" si="160"/>
        <v>0</v>
      </c>
      <c r="AV18" s="88">
        <f t="shared" si="160"/>
        <v>0</v>
      </c>
      <c r="AW18" s="88">
        <f t="shared" si="160"/>
        <v>0</v>
      </c>
      <c r="AX18" s="88">
        <f t="shared" si="160"/>
        <v>0</v>
      </c>
      <c r="AY18" s="88">
        <f t="shared" si="160"/>
        <v>0</v>
      </c>
      <c r="AZ18" s="88">
        <f t="shared" si="160"/>
        <v>0</v>
      </c>
      <c r="BA18" s="88">
        <f t="shared" si="160"/>
        <v>0</v>
      </c>
      <c r="BB18" s="88">
        <f t="shared" si="160"/>
        <v>0</v>
      </c>
      <c r="BC18" s="88">
        <f t="shared" si="160"/>
        <v>0</v>
      </c>
      <c r="BD18" s="88">
        <f t="shared" si="160"/>
        <v>0</v>
      </c>
      <c r="BE18" s="88">
        <f t="shared" si="160"/>
        <v>0</v>
      </c>
      <c r="BF18" s="88">
        <f t="shared" si="160"/>
        <v>0</v>
      </c>
      <c r="BG18" s="88">
        <f t="shared" si="160"/>
        <v>0</v>
      </c>
      <c r="BH18" s="88">
        <f t="shared" si="160"/>
        <v>0</v>
      </c>
      <c r="BI18" s="88">
        <f t="shared" si="160"/>
        <v>0</v>
      </c>
      <c r="BJ18" s="88">
        <f t="shared" si="160"/>
        <v>0</v>
      </c>
      <c r="BK18" s="88">
        <f t="shared" si="160"/>
        <v>0</v>
      </c>
      <c r="BL18" s="88">
        <f t="shared" si="160"/>
        <v>0</v>
      </c>
      <c r="BM18" s="88">
        <f t="shared" si="160"/>
        <v>0</v>
      </c>
      <c r="BN18" s="88">
        <f t="shared" si="160"/>
        <v>0</v>
      </c>
      <c r="BO18" s="88">
        <f t="shared" si="160"/>
        <v>0</v>
      </c>
      <c r="BP18" s="88">
        <f t="shared" si="160"/>
        <v>0</v>
      </c>
      <c r="BQ18" s="88">
        <f t="shared" si="160"/>
        <v>0</v>
      </c>
      <c r="BR18" s="88">
        <f t="shared" si="160"/>
        <v>0</v>
      </c>
      <c r="BS18" s="88">
        <f t="shared" si="160"/>
        <v>0</v>
      </c>
      <c r="BT18" s="88">
        <f t="shared" si="160"/>
        <v>0</v>
      </c>
      <c r="BU18" s="88">
        <f t="shared" si="160"/>
        <v>0</v>
      </c>
      <c r="BV18" s="88">
        <f t="shared" si="160"/>
        <v>0</v>
      </c>
      <c r="BW18" s="88">
        <f t="shared" si="160"/>
        <v>0</v>
      </c>
      <c r="BX18" s="88">
        <f t="shared" si="160"/>
        <v>0</v>
      </c>
      <c r="BY18" s="88">
        <f t="shared" si="160"/>
        <v>0</v>
      </c>
      <c r="BZ18" s="88">
        <f t="shared" si="160"/>
        <v>0</v>
      </c>
      <c r="CA18" s="88">
        <f t="shared" si="160"/>
        <v>0</v>
      </c>
      <c r="CB18" s="88">
        <f t="shared" si="160"/>
        <v>0</v>
      </c>
      <c r="CC18" s="88">
        <f t="shared" si="160"/>
        <v>0</v>
      </c>
      <c r="CD18" s="88">
        <f t="shared" si="160"/>
        <v>0</v>
      </c>
      <c r="CE18" s="88">
        <f t="shared" si="160"/>
        <v>0</v>
      </c>
      <c r="CF18" s="88">
        <f t="shared" si="160"/>
        <v>0</v>
      </c>
      <c r="CG18" s="88">
        <f t="shared" si="160"/>
        <v>0</v>
      </c>
      <c r="CH18" s="88">
        <f t="shared" si="160"/>
        <v>0</v>
      </c>
      <c r="CI18" s="88">
        <f t="shared" si="160"/>
        <v>0</v>
      </c>
      <c r="CJ18" s="88">
        <f t="shared" si="160"/>
        <v>0</v>
      </c>
      <c r="CK18" s="88">
        <f t="shared" si="160"/>
        <v>0</v>
      </c>
      <c r="CL18" s="88">
        <f t="shared" si="160"/>
        <v>0</v>
      </c>
      <c r="CM18" s="88">
        <f t="shared" si="160"/>
        <v>0</v>
      </c>
      <c r="CN18" s="88">
        <f t="shared" si="160"/>
        <v>0</v>
      </c>
      <c r="CO18" s="88">
        <f t="shared" si="160"/>
        <v>0</v>
      </c>
      <c r="CP18" s="88">
        <f t="shared" si="160"/>
        <v>0</v>
      </c>
      <c r="CQ18" s="88">
        <f t="shared" si="160"/>
        <v>0</v>
      </c>
      <c r="CR18" s="88">
        <f t="shared" si="160"/>
        <v>0</v>
      </c>
      <c r="CS18" s="88">
        <f t="shared" si="160"/>
        <v>0</v>
      </c>
      <c r="CT18" s="88">
        <f t="shared" si="160"/>
        <v>0</v>
      </c>
      <c r="CU18" s="88">
        <f t="shared" si="160"/>
        <v>0</v>
      </c>
      <c r="CV18" s="88">
        <f t="shared" si="160"/>
        <v>0</v>
      </c>
      <c r="CW18" s="88">
        <f t="shared" si="160"/>
        <v>0</v>
      </c>
      <c r="CX18" s="88">
        <f t="shared" si="160"/>
        <v>0</v>
      </c>
      <c r="CY18" s="88">
        <f t="shared" si="160"/>
        <v>0</v>
      </c>
      <c r="CZ18" s="88">
        <f t="shared" si="160"/>
        <v>0</v>
      </c>
      <c r="DA18" s="88">
        <f t="shared" si="160"/>
        <v>0</v>
      </c>
      <c r="DB18" s="88">
        <f t="shared" si="160"/>
        <v>0</v>
      </c>
      <c r="DC18" s="88">
        <f t="shared" si="160"/>
        <v>0</v>
      </c>
      <c r="DD18" s="88">
        <f t="shared" si="160"/>
        <v>0</v>
      </c>
      <c r="DE18" s="88">
        <f t="shared" si="160"/>
        <v>0</v>
      </c>
      <c r="DF18" s="88">
        <f t="shared" si="160"/>
        <v>0</v>
      </c>
      <c r="DG18" s="88">
        <f t="shared" si="160"/>
        <v>0</v>
      </c>
      <c r="DH18" s="88">
        <f t="shared" si="160"/>
        <v>0</v>
      </c>
      <c r="DI18" s="88">
        <f t="shared" si="160"/>
        <v>0</v>
      </c>
      <c r="DJ18" s="88">
        <f t="shared" si="160"/>
        <v>0</v>
      </c>
      <c r="DK18" s="88">
        <f t="shared" si="160"/>
        <v>0</v>
      </c>
      <c r="DL18" s="88">
        <f t="shared" si="160"/>
        <v>0</v>
      </c>
      <c r="DM18" s="88">
        <f t="shared" si="160"/>
        <v>0</v>
      </c>
      <c r="DN18" s="88">
        <f t="shared" si="160"/>
        <v>0</v>
      </c>
      <c r="DO18" s="88">
        <f t="shared" si="160"/>
        <v>0</v>
      </c>
      <c r="DP18" s="88">
        <f t="shared" si="160"/>
        <v>0</v>
      </c>
      <c r="DQ18" s="88">
        <f t="shared" si="160"/>
        <v>0</v>
      </c>
      <c r="DR18" s="88">
        <f t="shared" si="160"/>
        <v>0</v>
      </c>
      <c r="DS18" s="88">
        <f t="shared" si="160"/>
        <v>0</v>
      </c>
      <c r="DT18" s="88">
        <f t="shared" si="160"/>
        <v>0</v>
      </c>
      <c r="DU18" s="88">
        <f t="shared" si="160"/>
        <v>0</v>
      </c>
      <c r="DV18" s="88">
        <f t="shared" ref="DV18:EY18" si="161">0</f>
        <v>0</v>
      </c>
      <c r="DW18" s="88">
        <f t="shared" si="161"/>
        <v>0</v>
      </c>
      <c r="DX18" s="88">
        <f t="shared" si="161"/>
        <v>0</v>
      </c>
      <c r="DY18" s="88">
        <f t="shared" si="161"/>
        <v>0</v>
      </c>
      <c r="DZ18" s="88">
        <f t="shared" si="161"/>
        <v>0</v>
      </c>
      <c r="EA18" s="88">
        <f t="shared" si="161"/>
        <v>0</v>
      </c>
      <c r="EB18" s="88">
        <f t="shared" si="161"/>
        <v>0</v>
      </c>
      <c r="EC18" s="88">
        <f t="shared" si="161"/>
        <v>0</v>
      </c>
      <c r="ED18" s="88">
        <f t="shared" si="161"/>
        <v>0</v>
      </c>
      <c r="EE18" s="88">
        <f t="shared" si="161"/>
        <v>0</v>
      </c>
      <c r="EF18" s="88">
        <f t="shared" si="161"/>
        <v>0</v>
      </c>
      <c r="EG18" s="88">
        <f t="shared" si="161"/>
        <v>0</v>
      </c>
      <c r="EH18" s="88">
        <f t="shared" si="161"/>
        <v>0</v>
      </c>
      <c r="EI18" s="88">
        <f t="shared" si="161"/>
        <v>0</v>
      </c>
      <c r="EJ18" s="88">
        <f t="shared" si="161"/>
        <v>0</v>
      </c>
      <c r="EK18" s="88">
        <f t="shared" si="161"/>
        <v>0</v>
      </c>
      <c r="EL18" s="88">
        <f t="shared" si="161"/>
        <v>0</v>
      </c>
      <c r="EM18" s="88">
        <f t="shared" si="161"/>
        <v>0</v>
      </c>
      <c r="EN18" s="88">
        <f t="shared" si="161"/>
        <v>0</v>
      </c>
      <c r="EO18" s="88">
        <f t="shared" si="161"/>
        <v>0</v>
      </c>
      <c r="EP18" s="88">
        <f t="shared" si="161"/>
        <v>0</v>
      </c>
      <c r="EQ18" s="88">
        <f t="shared" si="161"/>
        <v>0</v>
      </c>
      <c r="ER18" s="88">
        <f t="shared" si="161"/>
        <v>0</v>
      </c>
      <c r="ES18" s="88">
        <f t="shared" si="161"/>
        <v>0</v>
      </c>
      <c r="ET18" s="88">
        <f t="shared" si="161"/>
        <v>0</v>
      </c>
      <c r="EU18" s="88">
        <f t="shared" si="161"/>
        <v>0</v>
      </c>
      <c r="EV18" s="88">
        <f t="shared" si="161"/>
        <v>0</v>
      </c>
      <c r="EW18" s="88">
        <f t="shared" si="161"/>
        <v>0</v>
      </c>
      <c r="EX18" s="88">
        <f t="shared" si="161"/>
        <v>0</v>
      </c>
      <c r="EY18" s="88">
        <f t="shared" si="161"/>
        <v>0</v>
      </c>
    </row>
    <row r="19">
      <c r="A19" s="181" t="s">
        <v>195</v>
      </c>
      <c r="B19" s="10">
        <f t="shared" ref="B19:DU19" si="162">0</f>
        <v>0</v>
      </c>
      <c r="C19" s="10">
        <f t="shared" si="162"/>
        <v>0</v>
      </c>
      <c r="D19" s="10">
        <f t="shared" si="162"/>
        <v>0</v>
      </c>
      <c r="E19" s="88">
        <f t="shared" si="162"/>
        <v>0</v>
      </c>
      <c r="F19" s="123">
        <f t="shared" si="162"/>
        <v>0</v>
      </c>
      <c r="G19" s="205">
        <f t="shared" si="162"/>
        <v>0</v>
      </c>
      <c r="H19" s="88">
        <f t="shared" si="162"/>
        <v>0</v>
      </c>
      <c r="I19" s="88">
        <f t="shared" si="162"/>
        <v>0</v>
      </c>
      <c r="J19" s="88">
        <f t="shared" si="162"/>
        <v>0</v>
      </c>
      <c r="K19" s="88">
        <f t="shared" si="162"/>
        <v>0</v>
      </c>
      <c r="L19" s="88">
        <f t="shared" si="162"/>
        <v>0</v>
      </c>
      <c r="M19" s="88">
        <f t="shared" si="162"/>
        <v>0</v>
      </c>
      <c r="N19" s="88">
        <f t="shared" si="162"/>
        <v>0</v>
      </c>
      <c r="O19" s="88">
        <f t="shared" si="162"/>
        <v>0</v>
      </c>
      <c r="P19" s="88">
        <f t="shared" si="162"/>
        <v>0</v>
      </c>
      <c r="Q19" s="88">
        <f t="shared" si="162"/>
        <v>0</v>
      </c>
      <c r="R19" s="88">
        <f t="shared" si="162"/>
        <v>0</v>
      </c>
      <c r="S19" s="88">
        <f t="shared" si="162"/>
        <v>0</v>
      </c>
      <c r="T19" s="88">
        <f t="shared" si="162"/>
        <v>0</v>
      </c>
      <c r="U19" s="88">
        <f t="shared" si="162"/>
        <v>0</v>
      </c>
      <c r="V19" s="88">
        <f t="shared" si="162"/>
        <v>0</v>
      </c>
      <c r="W19" s="88">
        <f t="shared" si="162"/>
        <v>0</v>
      </c>
      <c r="X19" s="88">
        <f t="shared" si="162"/>
        <v>0</v>
      </c>
      <c r="Y19" s="88">
        <f t="shared" si="162"/>
        <v>0</v>
      </c>
      <c r="Z19" s="88">
        <f t="shared" si="162"/>
        <v>0</v>
      </c>
      <c r="AA19" s="88">
        <f t="shared" si="162"/>
        <v>0</v>
      </c>
      <c r="AB19" s="88">
        <f t="shared" si="162"/>
        <v>0</v>
      </c>
      <c r="AC19" s="88">
        <f t="shared" si="162"/>
        <v>0</v>
      </c>
      <c r="AD19" s="88">
        <f t="shared" si="162"/>
        <v>0</v>
      </c>
      <c r="AE19" s="88">
        <f t="shared" si="162"/>
        <v>0</v>
      </c>
      <c r="AF19" s="88">
        <f t="shared" si="162"/>
        <v>0</v>
      </c>
      <c r="AG19" s="88">
        <f t="shared" si="162"/>
        <v>0</v>
      </c>
      <c r="AH19" s="88">
        <f t="shared" si="162"/>
        <v>0</v>
      </c>
      <c r="AI19" s="88">
        <f t="shared" si="162"/>
        <v>0</v>
      </c>
      <c r="AJ19" s="88">
        <f t="shared" si="162"/>
        <v>0</v>
      </c>
      <c r="AK19" s="88">
        <f t="shared" si="162"/>
        <v>0</v>
      </c>
      <c r="AL19" s="88">
        <f t="shared" si="162"/>
        <v>0</v>
      </c>
      <c r="AM19" s="88">
        <f t="shared" si="162"/>
        <v>0</v>
      </c>
      <c r="AN19" s="88">
        <f t="shared" si="162"/>
        <v>0</v>
      </c>
      <c r="AO19" s="88">
        <f t="shared" si="162"/>
        <v>0</v>
      </c>
      <c r="AP19" s="88">
        <f t="shared" si="162"/>
        <v>0</v>
      </c>
      <c r="AQ19" s="88">
        <f t="shared" si="162"/>
        <v>0</v>
      </c>
      <c r="AR19" s="88">
        <f t="shared" si="162"/>
        <v>0</v>
      </c>
      <c r="AS19" s="88">
        <f t="shared" si="162"/>
        <v>0</v>
      </c>
      <c r="AT19" s="88">
        <f t="shared" si="162"/>
        <v>0</v>
      </c>
      <c r="AU19" s="88">
        <f t="shared" si="162"/>
        <v>0</v>
      </c>
      <c r="AV19" s="88">
        <f t="shared" si="162"/>
        <v>0</v>
      </c>
      <c r="AW19" s="88">
        <f t="shared" si="162"/>
        <v>0</v>
      </c>
      <c r="AX19" s="88">
        <f t="shared" si="162"/>
        <v>0</v>
      </c>
      <c r="AY19" s="88">
        <f t="shared" si="162"/>
        <v>0</v>
      </c>
      <c r="AZ19" s="88">
        <f t="shared" si="162"/>
        <v>0</v>
      </c>
      <c r="BA19" s="88">
        <f t="shared" si="162"/>
        <v>0</v>
      </c>
      <c r="BB19" s="88">
        <f t="shared" si="162"/>
        <v>0</v>
      </c>
      <c r="BC19" s="88">
        <f t="shared" si="162"/>
        <v>0</v>
      </c>
      <c r="BD19" s="88">
        <f t="shared" si="162"/>
        <v>0</v>
      </c>
      <c r="BE19" s="88">
        <f t="shared" si="162"/>
        <v>0</v>
      </c>
      <c r="BF19" s="88">
        <f t="shared" si="162"/>
        <v>0</v>
      </c>
      <c r="BG19" s="88">
        <f t="shared" si="162"/>
        <v>0</v>
      </c>
      <c r="BH19" s="88">
        <f t="shared" si="162"/>
        <v>0</v>
      </c>
      <c r="BI19" s="88">
        <f t="shared" si="162"/>
        <v>0</v>
      </c>
      <c r="BJ19" s="88">
        <f t="shared" si="162"/>
        <v>0</v>
      </c>
      <c r="BK19" s="88">
        <f t="shared" si="162"/>
        <v>0</v>
      </c>
      <c r="BL19" s="88">
        <f t="shared" si="162"/>
        <v>0</v>
      </c>
      <c r="BM19" s="88">
        <f t="shared" si="162"/>
        <v>0</v>
      </c>
      <c r="BN19" s="88">
        <f t="shared" si="162"/>
        <v>0</v>
      </c>
      <c r="BO19" s="88">
        <f t="shared" si="162"/>
        <v>0</v>
      </c>
      <c r="BP19" s="88">
        <f t="shared" si="162"/>
        <v>0</v>
      </c>
      <c r="BQ19" s="88">
        <f t="shared" si="162"/>
        <v>0</v>
      </c>
      <c r="BR19" s="88">
        <f t="shared" si="162"/>
        <v>0</v>
      </c>
      <c r="BS19" s="88">
        <f t="shared" si="162"/>
        <v>0</v>
      </c>
      <c r="BT19" s="88">
        <f t="shared" si="162"/>
        <v>0</v>
      </c>
      <c r="BU19" s="88">
        <f t="shared" si="162"/>
        <v>0</v>
      </c>
      <c r="BV19" s="88">
        <f t="shared" si="162"/>
        <v>0</v>
      </c>
      <c r="BW19" s="88">
        <f t="shared" si="162"/>
        <v>0</v>
      </c>
      <c r="BX19" s="88">
        <f t="shared" si="162"/>
        <v>0</v>
      </c>
      <c r="BY19" s="88">
        <f t="shared" si="162"/>
        <v>0</v>
      </c>
      <c r="BZ19" s="88">
        <f t="shared" si="162"/>
        <v>0</v>
      </c>
      <c r="CA19" s="88">
        <f t="shared" si="162"/>
        <v>0</v>
      </c>
      <c r="CB19" s="88">
        <f t="shared" si="162"/>
        <v>0</v>
      </c>
      <c r="CC19" s="88">
        <f t="shared" si="162"/>
        <v>0</v>
      </c>
      <c r="CD19" s="88">
        <f t="shared" si="162"/>
        <v>0</v>
      </c>
      <c r="CE19" s="88">
        <f t="shared" si="162"/>
        <v>0</v>
      </c>
      <c r="CF19" s="88">
        <f t="shared" si="162"/>
        <v>0</v>
      </c>
      <c r="CG19" s="88">
        <f t="shared" si="162"/>
        <v>0</v>
      </c>
      <c r="CH19" s="88">
        <f t="shared" si="162"/>
        <v>0</v>
      </c>
      <c r="CI19" s="88">
        <f t="shared" si="162"/>
        <v>0</v>
      </c>
      <c r="CJ19" s="88">
        <f t="shared" si="162"/>
        <v>0</v>
      </c>
      <c r="CK19" s="88">
        <f t="shared" si="162"/>
        <v>0</v>
      </c>
      <c r="CL19" s="88">
        <f t="shared" si="162"/>
        <v>0</v>
      </c>
      <c r="CM19" s="88">
        <f t="shared" si="162"/>
        <v>0</v>
      </c>
      <c r="CN19" s="88">
        <f t="shared" si="162"/>
        <v>0</v>
      </c>
      <c r="CO19" s="88">
        <f t="shared" si="162"/>
        <v>0</v>
      </c>
      <c r="CP19" s="88">
        <f t="shared" si="162"/>
        <v>0</v>
      </c>
      <c r="CQ19" s="88">
        <f t="shared" si="162"/>
        <v>0</v>
      </c>
      <c r="CR19" s="88">
        <f t="shared" si="162"/>
        <v>0</v>
      </c>
      <c r="CS19" s="88">
        <f t="shared" si="162"/>
        <v>0</v>
      </c>
      <c r="CT19" s="88">
        <f t="shared" si="162"/>
        <v>0</v>
      </c>
      <c r="CU19" s="88">
        <f t="shared" si="162"/>
        <v>0</v>
      </c>
      <c r="CV19" s="88">
        <f t="shared" si="162"/>
        <v>0</v>
      </c>
      <c r="CW19" s="88">
        <f t="shared" si="162"/>
        <v>0</v>
      </c>
      <c r="CX19" s="88">
        <f t="shared" si="162"/>
        <v>0</v>
      </c>
      <c r="CY19" s="88">
        <f t="shared" si="162"/>
        <v>0</v>
      </c>
      <c r="CZ19" s="88">
        <f t="shared" si="162"/>
        <v>0</v>
      </c>
      <c r="DA19" s="88">
        <f t="shared" si="162"/>
        <v>0</v>
      </c>
      <c r="DB19" s="88">
        <f t="shared" si="162"/>
        <v>0</v>
      </c>
      <c r="DC19" s="88">
        <f t="shared" si="162"/>
        <v>0</v>
      </c>
      <c r="DD19" s="88">
        <f t="shared" si="162"/>
        <v>0</v>
      </c>
      <c r="DE19" s="88">
        <f t="shared" si="162"/>
        <v>0</v>
      </c>
      <c r="DF19" s="88">
        <f t="shared" si="162"/>
        <v>0</v>
      </c>
      <c r="DG19" s="88">
        <f t="shared" si="162"/>
        <v>0</v>
      </c>
      <c r="DH19" s="88">
        <f t="shared" si="162"/>
        <v>0</v>
      </c>
      <c r="DI19" s="88">
        <f t="shared" si="162"/>
        <v>0</v>
      </c>
      <c r="DJ19" s="88">
        <f t="shared" si="162"/>
        <v>0</v>
      </c>
      <c r="DK19" s="88">
        <f t="shared" si="162"/>
        <v>0</v>
      </c>
      <c r="DL19" s="88">
        <f t="shared" si="162"/>
        <v>0</v>
      </c>
      <c r="DM19" s="88">
        <f t="shared" si="162"/>
        <v>0</v>
      </c>
      <c r="DN19" s="88">
        <f t="shared" si="162"/>
        <v>0</v>
      </c>
      <c r="DO19" s="88">
        <f t="shared" si="162"/>
        <v>0</v>
      </c>
      <c r="DP19" s="88">
        <f t="shared" si="162"/>
        <v>0</v>
      </c>
      <c r="DQ19" s="88">
        <f t="shared" si="162"/>
        <v>0</v>
      </c>
      <c r="DR19" s="88">
        <f t="shared" si="162"/>
        <v>0</v>
      </c>
      <c r="DS19" s="88">
        <f t="shared" si="162"/>
        <v>0</v>
      </c>
      <c r="DT19" s="88">
        <f t="shared" si="162"/>
        <v>0</v>
      </c>
      <c r="DU19" s="88">
        <f t="shared" si="162"/>
        <v>0</v>
      </c>
      <c r="DV19" s="88">
        <f t="shared" ref="DV19:EY19" si="163">0</f>
        <v>0</v>
      </c>
      <c r="DW19" s="88">
        <f t="shared" si="163"/>
        <v>0</v>
      </c>
      <c r="DX19" s="88">
        <f t="shared" si="163"/>
        <v>0</v>
      </c>
      <c r="DY19" s="88">
        <f t="shared" si="163"/>
        <v>0</v>
      </c>
      <c r="DZ19" s="88">
        <f t="shared" si="163"/>
        <v>0</v>
      </c>
      <c r="EA19" s="88">
        <f t="shared" si="163"/>
        <v>0</v>
      </c>
      <c r="EB19" s="88">
        <f t="shared" si="163"/>
        <v>0</v>
      </c>
      <c r="EC19" s="88">
        <f t="shared" si="163"/>
        <v>0</v>
      </c>
      <c r="ED19" s="88">
        <f t="shared" si="163"/>
        <v>0</v>
      </c>
      <c r="EE19" s="88">
        <f t="shared" si="163"/>
        <v>0</v>
      </c>
      <c r="EF19" s="88">
        <f t="shared" si="163"/>
        <v>0</v>
      </c>
      <c r="EG19" s="88">
        <f t="shared" si="163"/>
        <v>0</v>
      </c>
      <c r="EH19" s="88">
        <f t="shared" si="163"/>
        <v>0</v>
      </c>
      <c r="EI19" s="88">
        <f t="shared" si="163"/>
        <v>0</v>
      </c>
      <c r="EJ19" s="88">
        <f t="shared" si="163"/>
        <v>0</v>
      </c>
      <c r="EK19" s="88">
        <f t="shared" si="163"/>
        <v>0</v>
      </c>
      <c r="EL19" s="88">
        <f t="shared" si="163"/>
        <v>0</v>
      </c>
      <c r="EM19" s="88">
        <f t="shared" si="163"/>
        <v>0</v>
      </c>
      <c r="EN19" s="88">
        <f t="shared" si="163"/>
        <v>0</v>
      </c>
      <c r="EO19" s="88">
        <f t="shared" si="163"/>
        <v>0</v>
      </c>
      <c r="EP19" s="88">
        <f t="shared" si="163"/>
        <v>0</v>
      </c>
      <c r="EQ19" s="88">
        <f t="shared" si="163"/>
        <v>0</v>
      </c>
      <c r="ER19" s="88">
        <f t="shared" si="163"/>
        <v>0</v>
      </c>
      <c r="ES19" s="88">
        <f t="shared" si="163"/>
        <v>0</v>
      </c>
      <c r="ET19" s="88">
        <f t="shared" si="163"/>
        <v>0</v>
      </c>
      <c r="EU19" s="88">
        <f t="shared" si="163"/>
        <v>0</v>
      </c>
      <c r="EV19" s="88">
        <f t="shared" si="163"/>
        <v>0</v>
      </c>
      <c r="EW19" s="88">
        <f t="shared" si="163"/>
        <v>0</v>
      </c>
      <c r="EX19" s="88">
        <f t="shared" si="163"/>
        <v>0</v>
      </c>
      <c r="EY19" s="88">
        <f t="shared" si="163"/>
        <v>0</v>
      </c>
    </row>
    <row r="20">
      <c r="A20" s="181" t="s">
        <v>196</v>
      </c>
      <c r="B20" s="10">
        <f t="shared" ref="B20:H20" si="164">0</f>
        <v>0</v>
      </c>
      <c r="C20" s="10">
        <f t="shared" si="164"/>
        <v>0</v>
      </c>
      <c r="D20" s="10">
        <f t="shared" si="164"/>
        <v>0</v>
      </c>
      <c r="E20" s="88">
        <f t="shared" si="164"/>
        <v>0</v>
      </c>
      <c r="F20" s="123">
        <f t="shared" si="164"/>
        <v>0</v>
      </c>
      <c r="G20" s="205">
        <f t="shared" si="164"/>
        <v>0</v>
      </c>
      <c r="H20" s="88">
        <f t="shared" si="164"/>
        <v>0</v>
      </c>
      <c r="I20" s="10">
        <f>34.5</f>
        <v>34.5</v>
      </c>
      <c r="J20" s="88">
        <f t="shared" ref="J20:N20" si="165">0</f>
        <v>0</v>
      </c>
      <c r="K20" s="88">
        <f t="shared" si="165"/>
        <v>0</v>
      </c>
      <c r="L20" s="88">
        <f t="shared" si="165"/>
        <v>0</v>
      </c>
      <c r="M20" s="88">
        <f t="shared" si="165"/>
        <v>0</v>
      </c>
      <c r="N20" s="88">
        <f t="shared" si="165"/>
        <v>0</v>
      </c>
      <c r="O20" s="10">
        <f>69</f>
        <v>69</v>
      </c>
      <c r="P20" s="88">
        <f t="shared" ref="P20:AJ20" si="166">0</f>
        <v>0</v>
      </c>
      <c r="Q20" s="88">
        <f t="shared" si="166"/>
        <v>0</v>
      </c>
      <c r="R20" s="88">
        <f t="shared" si="166"/>
        <v>0</v>
      </c>
      <c r="S20" s="88">
        <f t="shared" si="166"/>
        <v>0</v>
      </c>
      <c r="T20" s="88">
        <f t="shared" si="166"/>
        <v>0</v>
      </c>
      <c r="U20" s="88">
        <f t="shared" si="166"/>
        <v>0</v>
      </c>
      <c r="V20" s="88">
        <f t="shared" si="166"/>
        <v>0</v>
      </c>
      <c r="W20" s="88">
        <f t="shared" si="166"/>
        <v>0</v>
      </c>
      <c r="X20" s="88">
        <f t="shared" si="166"/>
        <v>0</v>
      </c>
      <c r="Y20" s="88">
        <f t="shared" si="166"/>
        <v>0</v>
      </c>
      <c r="Z20" s="88">
        <f t="shared" si="166"/>
        <v>0</v>
      </c>
      <c r="AA20" s="88">
        <f t="shared" si="166"/>
        <v>0</v>
      </c>
      <c r="AB20" s="88">
        <f t="shared" si="166"/>
        <v>0</v>
      </c>
      <c r="AC20" s="88">
        <f t="shared" si="166"/>
        <v>0</v>
      </c>
      <c r="AD20" s="88">
        <f t="shared" si="166"/>
        <v>0</v>
      </c>
      <c r="AE20" s="88">
        <f t="shared" si="166"/>
        <v>0</v>
      </c>
      <c r="AF20" s="88">
        <f t="shared" si="166"/>
        <v>0</v>
      </c>
      <c r="AG20" s="88">
        <f t="shared" si="166"/>
        <v>0</v>
      </c>
      <c r="AH20" s="88">
        <f t="shared" si="166"/>
        <v>0</v>
      </c>
      <c r="AI20" s="88">
        <f t="shared" si="166"/>
        <v>0</v>
      </c>
      <c r="AJ20" s="88">
        <f t="shared" si="166"/>
        <v>0</v>
      </c>
      <c r="AK20" s="10">
        <f>51.7</f>
        <v>51.7</v>
      </c>
      <c r="AL20" s="88">
        <f t="shared" ref="AL20:AO20" si="167">0</f>
        <v>0</v>
      </c>
      <c r="AM20" s="88">
        <f t="shared" si="167"/>
        <v>0</v>
      </c>
      <c r="AN20" s="88">
        <f t="shared" si="167"/>
        <v>0</v>
      </c>
      <c r="AO20" s="88">
        <f t="shared" si="167"/>
        <v>0</v>
      </c>
      <c r="AP20" s="10">
        <f>69</f>
        <v>69</v>
      </c>
      <c r="AQ20" s="88">
        <f t="shared" ref="AQ20:BE20" si="168">0</f>
        <v>0</v>
      </c>
      <c r="AR20" s="88">
        <f t="shared" si="168"/>
        <v>0</v>
      </c>
      <c r="AS20" s="88">
        <f t="shared" si="168"/>
        <v>0</v>
      </c>
      <c r="AT20" s="88">
        <f t="shared" si="168"/>
        <v>0</v>
      </c>
      <c r="AU20" s="88">
        <f t="shared" si="168"/>
        <v>0</v>
      </c>
      <c r="AV20" s="88">
        <f t="shared" si="168"/>
        <v>0</v>
      </c>
      <c r="AW20" s="88">
        <f t="shared" si="168"/>
        <v>0</v>
      </c>
      <c r="AX20" s="88">
        <f t="shared" si="168"/>
        <v>0</v>
      </c>
      <c r="AY20" s="88">
        <f t="shared" si="168"/>
        <v>0</v>
      </c>
      <c r="AZ20" s="88">
        <f t="shared" si="168"/>
        <v>0</v>
      </c>
      <c r="BA20" s="88">
        <f t="shared" si="168"/>
        <v>0</v>
      </c>
      <c r="BB20" s="88">
        <f t="shared" si="168"/>
        <v>0</v>
      </c>
      <c r="BC20" s="88">
        <f t="shared" si="168"/>
        <v>0</v>
      </c>
      <c r="BD20" s="88">
        <f t="shared" si="168"/>
        <v>0</v>
      </c>
      <c r="BE20" s="88">
        <f t="shared" si="168"/>
        <v>0</v>
      </c>
      <c r="BF20" s="10">
        <f>34.5</f>
        <v>34.5</v>
      </c>
      <c r="BG20" s="88">
        <f t="shared" ref="BG20:BR20" si="169">0</f>
        <v>0</v>
      </c>
      <c r="BH20" s="88">
        <f t="shared" si="169"/>
        <v>0</v>
      </c>
      <c r="BI20" s="88">
        <f t="shared" si="169"/>
        <v>0</v>
      </c>
      <c r="BJ20" s="88">
        <f t="shared" si="169"/>
        <v>0</v>
      </c>
      <c r="BK20" s="88">
        <f t="shared" si="169"/>
        <v>0</v>
      </c>
      <c r="BL20" s="88">
        <f t="shared" si="169"/>
        <v>0</v>
      </c>
      <c r="BM20" s="88">
        <f t="shared" si="169"/>
        <v>0</v>
      </c>
      <c r="BN20" s="88">
        <f t="shared" si="169"/>
        <v>0</v>
      </c>
      <c r="BO20" s="88">
        <f t="shared" si="169"/>
        <v>0</v>
      </c>
      <c r="BP20" s="88">
        <f t="shared" si="169"/>
        <v>0</v>
      </c>
      <c r="BQ20" s="88">
        <f t="shared" si="169"/>
        <v>0</v>
      </c>
      <c r="BR20" s="88">
        <f t="shared" si="169"/>
        <v>0</v>
      </c>
      <c r="BS20" s="10">
        <f>41.3</f>
        <v>41.3</v>
      </c>
      <c r="BT20" s="88">
        <f t="shared" ref="BT20:CI20" si="170">0</f>
        <v>0</v>
      </c>
      <c r="BU20" s="88">
        <f t="shared" si="170"/>
        <v>0</v>
      </c>
      <c r="BV20" s="88">
        <f t="shared" si="170"/>
        <v>0</v>
      </c>
      <c r="BW20" s="88">
        <f t="shared" si="170"/>
        <v>0</v>
      </c>
      <c r="BX20" s="88">
        <f t="shared" si="170"/>
        <v>0</v>
      </c>
      <c r="BY20" s="88">
        <f t="shared" si="170"/>
        <v>0</v>
      </c>
      <c r="BZ20" s="88">
        <f t="shared" si="170"/>
        <v>0</v>
      </c>
      <c r="CA20" s="88">
        <f t="shared" si="170"/>
        <v>0</v>
      </c>
      <c r="CB20" s="88">
        <f t="shared" si="170"/>
        <v>0</v>
      </c>
      <c r="CC20" s="88">
        <f t="shared" si="170"/>
        <v>0</v>
      </c>
      <c r="CD20" s="88">
        <f t="shared" si="170"/>
        <v>0</v>
      </c>
      <c r="CE20" s="88">
        <f t="shared" si="170"/>
        <v>0</v>
      </c>
      <c r="CF20" s="88">
        <f t="shared" si="170"/>
        <v>0</v>
      </c>
      <c r="CG20" s="88">
        <f t="shared" si="170"/>
        <v>0</v>
      </c>
      <c r="CH20" s="88">
        <f t="shared" si="170"/>
        <v>0</v>
      </c>
      <c r="CI20" s="88">
        <f t="shared" si="170"/>
        <v>0</v>
      </c>
      <c r="CJ20" s="10">
        <f>34.5</f>
        <v>34.5</v>
      </c>
      <c r="CK20" s="88">
        <f t="shared" ref="CK20:CO20" si="171">0</f>
        <v>0</v>
      </c>
      <c r="CL20" s="88">
        <f t="shared" si="171"/>
        <v>0</v>
      </c>
      <c r="CM20" s="88">
        <f t="shared" si="171"/>
        <v>0</v>
      </c>
      <c r="CN20" s="88">
        <f t="shared" si="171"/>
        <v>0</v>
      </c>
      <c r="CO20" s="88">
        <f t="shared" si="171"/>
        <v>0</v>
      </c>
      <c r="CP20" s="10">
        <f>20.7</f>
        <v>20.7</v>
      </c>
      <c r="CQ20" s="88">
        <f t="shared" ref="CQ20:CW20" si="172">0</f>
        <v>0</v>
      </c>
      <c r="CR20" s="88">
        <f t="shared" si="172"/>
        <v>0</v>
      </c>
      <c r="CS20" s="88">
        <f t="shared" si="172"/>
        <v>0</v>
      </c>
      <c r="CT20" s="88">
        <f t="shared" si="172"/>
        <v>0</v>
      </c>
      <c r="CU20" s="88">
        <f t="shared" si="172"/>
        <v>0</v>
      </c>
      <c r="CV20" s="88">
        <f t="shared" si="172"/>
        <v>0</v>
      </c>
      <c r="CW20" s="88">
        <f t="shared" si="172"/>
        <v>0</v>
      </c>
      <c r="CX20" s="10">
        <f>0</f>
        <v>0</v>
      </c>
      <c r="CY20" s="88">
        <f t="shared" ref="CY20:DU20" si="173">0</f>
        <v>0</v>
      </c>
      <c r="CZ20" s="88">
        <f t="shared" si="173"/>
        <v>0</v>
      </c>
      <c r="DA20" s="88">
        <f t="shared" si="173"/>
        <v>0</v>
      </c>
      <c r="DB20" s="88">
        <f t="shared" si="173"/>
        <v>0</v>
      </c>
      <c r="DC20" s="88">
        <f t="shared" si="173"/>
        <v>0</v>
      </c>
      <c r="DD20" s="88">
        <f t="shared" si="173"/>
        <v>0</v>
      </c>
      <c r="DE20" s="88">
        <f t="shared" si="173"/>
        <v>0</v>
      </c>
      <c r="DF20" s="88">
        <f t="shared" si="173"/>
        <v>0</v>
      </c>
      <c r="DG20" s="88">
        <f t="shared" si="173"/>
        <v>0</v>
      </c>
      <c r="DH20" s="88">
        <f t="shared" si="173"/>
        <v>0</v>
      </c>
      <c r="DI20" s="88">
        <f t="shared" si="173"/>
        <v>0</v>
      </c>
      <c r="DJ20" s="88">
        <f t="shared" si="173"/>
        <v>0</v>
      </c>
      <c r="DK20" s="88">
        <f t="shared" si="173"/>
        <v>0</v>
      </c>
      <c r="DL20" s="88">
        <f t="shared" si="173"/>
        <v>0</v>
      </c>
      <c r="DM20" s="88">
        <f t="shared" si="173"/>
        <v>0</v>
      </c>
      <c r="DN20" s="88">
        <f t="shared" si="173"/>
        <v>0</v>
      </c>
      <c r="DO20" s="88">
        <f t="shared" si="173"/>
        <v>0</v>
      </c>
      <c r="DP20" s="88">
        <f t="shared" si="173"/>
        <v>0</v>
      </c>
      <c r="DQ20" s="88">
        <f t="shared" si="173"/>
        <v>0</v>
      </c>
      <c r="DR20" s="88">
        <f t="shared" si="173"/>
        <v>0</v>
      </c>
      <c r="DS20" s="88">
        <f t="shared" si="173"/>
        <v>0</v>
      </c>
      <c r="DT20" s="88">
        <f t="shared" si="173"/>
        <v>0</v>
      </c>
      <c r="DU20" s="88">
        <f t="shared" si="173"/>
        <v>0</v>
      </c>
      <c r="DV20" s="88">
        <f t="shared" ref="DV20:EY20" si="174">0</f>
        <v>0</v>
      </c>
      <c r="DW20" s="88">
        <f t="shared" si="174"/>
        <v>0</v>
      </c>
      <c r="DX20" s="88">
        <f t="shared" si="174"/>
        <v>0</v>
      </c>
      <c r="DY20" s="88">
        <f t="shared" si="174"/>
        <v>0</v>
      </c>
      <c r="DZ20" s="88">
        <f t="shared" si="174"/>
        <v>0</v>
      </c>
      <c r="EA20" s="88">
        <f t="shared" si="174"/>
        <v>0</v>
      </c>
      <c r="EB20" s="88">
        <f t="shared" si="174"/>
        <v>0</v>
      </c>
      <c r="EC20" s="88">
        <f t="shared" si="174"/>
        <v>0</v>
      </c>
      <c r="ED20" s="88">
        <f t="shared" si="174"/>
        <v>0</v>
      </c>
      <c r="EE20" s="88">
        <f t="shared" si="174"/>
        <v>0</v>
      </c>
      <c r="EF20" s="88">
        <f t="shared" si="174"/>
        <v>0</v>
      </c>
      <c r="EG20" s="88">
        <f t="shared" si="174"/>
        <v>0</v>
      </c>
      <c r="EH20" s="88">
        <f t="shared" si="174"/>
        <v>0</v>
      </c>
      <c r="EI20" s="88">
        <f t="shared" si="174"/>
        <v>0</v>
      </c>
      <c r="EJ20" s="88">
        <f t="shared" si="174"/>
        <v>0</v>
      </c>
      <c r="EK20" s="88">
        <f t="shared" si="174"/>
        <v>0</v>
      </c>
      <c r="EL20" s="88">
        <f t="shared" si="174"/>
        <v>0</v>
      </c>
      <c r="EM20" s="88">
        <f t="shared" si="174"/>
        <v>0</v>
      </c>
      <c r="EN20" s="88">
        <f t="shared" si="174"/>
        <v>0</v>
      </c>
      <c r="EO20" s="88">
        <f t="shared" si="174"/>
        <v>0</v>
      </c>
      <c r="EP20" s="88">
        <f t="shared" si="174"/>
        <v>0</v>
      </c>
      <c r="EQ20" s="88">
        <f t="shared" si="174"/>
        <v>0</v>
      </c>
      <c r="ER20" s="88">
        <f t="shared" si="174"/>
        <v>0</v>
      </c>
      <c r="ES20" s="88">
        <f t="shared" si="174"/>
        <v>0</v>
      </c>
      <c r="ET20" s="88">
        <f t="shared" si="174"/>
        <v>0</v>
      </c>
      <c r="EU20" s="88">
        <f t="shared" si="174"/>
        <v>0</v>
      </c>
      <c r="EV20" s="88">
        <f t="shared" si="174"/>
        <v>0</v>
      </c>
      <c r="EW20" s="88">
        <f t="shared" si="174"/>
        <v>0</v>
      </c>
      <c r="EX20" s="88">
        <f t="shared" si="174"/>
        <v>0</v>
      </c>
      <c r="EY20" s="88">
        <f t="shared" si="174"/>
        <v>0</v>
      </c>
    </row>
    <row r="21">
      <c r="A21" s="181" t="s">
        <v>197</v>
      </c>
      <c r="B21" s="10">
        <f t="shared" ref="B21:DK21" si="175">0</f>
        <v>0</v>
      </c>
      <c r="C21" s="10">
        <f t="shared" si="175"/>
        <v>0</v>
      </c>
      <c r="D21" s="10">
        <f t="shared" si="175"/>
        <v>0</v>
      </c>
      <c r="E21" s="88">
        <f t="shared" si="175"/>
        <v>0</v>
      </c>
      <c r="F21" s="123">
        <f t="shared" si="175"/>
        <v>0</v>
      </c>
      <c r="G21" s="205">
        <f t="shared" si="175"/>
        <v>0</v>
      </c>
      <c r="H21" s="88">
        <f t="shared" si="175"/>
        <v>0</v>
      </c>
      <c r="I21" s="88">
        <f t="shared" si="175"/>
        <v>0</v>
      </c>
      <c r="J21" s="88">
        <f t="shared" si="175"/>
        <v>0</v>
      </c>
      <c r="K21" s="88">
        <f t="shared" si="175"/>
        <v>0</v>
      </c>
      <c r="L21" s="88">
        <f t="shared" si="175"/>
        <v>0</v>
      </c>
      <c r="M21" s="88">
        <f t="shared" si="175"/>
        <v>0</v>
      </c>
      <c r="N21" s="88">
        <f t="shared" si="175"/>
        <v>0</v>
      </c>
      <c r="O21" s="88">
        <f t="shared" si="175"/>
        <v>0</v>
      </c>
      <c r="P21" s="88">
        <f t="shared" si="175"/>
        <v>0</v>
      </c>
      <c r="Q21" s="88">
        <f t="shared" si="175"/>
        <v>0</v>
      </c>
      <c r="R21" s="88">
        <f t="shared" si="175"/>
        <v>0</v>
      </c>
      <c r="S21" s="88">
        <f t="shared" si="175"/>
        <v>0</v>
      </c>
      <c r="T21" s="88">
        <f t="shared" si="175"/>
        <v>0</v>
      </c>
      <c r="U21" s="88">
        <f t="shared" si="175"/>
        <v>0</v>
      </c>
      <c r="V21" s="88">
        <f t="shared" si="175"/>
        <v>0</v>
      </c>
      <c r="W21" s="88">
        <f t="shared" si="175"/>
        <v>0</v>
      </c>
      <c r="X21" s="88">
        <f t="shared" si="175"/>
        <v>0</v>
      </c>
      <c r="Y21" s="88">
        <f t="shared" si="175"/>
        <v>0</v>
      </c>
      <c r="Z21" s="88">
        <f t="shared" si="175"/>
        <v>0</v>
      </c>
      <c r="AA21" s="88">
        <f t="shared" si="175"/>
        <v>0</v>
      </c>
      <c r="AB21" s="88">
        <f t="shared" si="175"/>
        <v>0</v>
      </c>
      <c r="AC21" s="88">
        <f t="shared" si="175"/>
        <v>0</v>
      </c>
      <c r="AD21" s="88">
        <f t="shared" si="175"/>
        <v>0</v>
      </c>
      <c r="AE21" s="88">
        <f t="shared" si="175"/>
        <v>0</v>
      </c>
      <c r="AF21" s="88">
        <f t="shared" si="175"/>
        <v>0</v>
      </c>
      <c r="AG21" s="88">
        <f t="shared" si="175"/>
        <v>0</v>
      </c>
      <c r="AH21" s="88">
        <f t="shared" si="175"/>
        <v>0</v>
      </c>
      <c r="AI21" s="88">
        <f t="shared" si="175"/>
        <v>0</v>
      </c>
      <c r="AJ21" s="88">
        <f t="shared" si="175"/>
        <v>0</v>
      </c>
      <c r="AK21" s="88">
        <f t="shared" si="175"/>
        <v>0</v>
      </c>
      <c r="AL21" s="88">
        <f t="shared" si="175"/>
        <v>0</v>
      </c>
      <c r="AM21" s="88">
        <f t="shared" si="175"/>
        <v>0</v>
      </c>
      <c r="AN21" s="88">
        <f t="shared" si="175"/>
        <v>0</v>
      </c>
      <c r="AO21" s="88">
        <f t="shared" si="175"/>
        <v>0</v>
      </c>
      <c r="AP21" s="88">
        <f t="shared" si="175"/>
        <v>0</v>
      </c>
      <c r="AQ21" s="88">
        <f t="shared" si="175"/>
        <v>0</v>
      </c>
      <c r="AR21" s="88">
        <f t="shared" si="175"/>
        <v>0</v>
      </c>
      <c r="AS21" s="88">
        <f t="shared" si="175"/>
        <v>0</v>
      </c>
      <c r="AT21" s="88">
        <f t="shared" si="175"/>
        <v>0</v>
      </c>
      <c r="AU21" s="88">
        <f t="shared" si="175"/>
        <v>0</v>
      </c>
      <c r="AV21" s="88">
        <f t="shared" si="175"/>
        <v>0</v>
      </c>
      <c r="AW21" s="88">
        <f t="shared" si="175"/>
        <v>0</v>
      </c>
      <c r="AX21" s="88">
        <f t="shared" si="175"/>
        <v>0</v>
      </c>
      <c r="AY21" s="88">
        <f t="shared" si="175"/>
        <v>0</v>
      </c>
      <c r="AZ21" s="88">
        <f t="shared" si="175"/>
        <v>0</v>
      </c>
      <c r="BA21" s="88">
        <f t="shared" si="175"/>
        <v>0</v>
      </c>
      <c r="BB21" s="88">
        <f t="shared" si="175"/>
        <v>0</v>
      </c>
      <c r="BC21" s="88">
        <f t="shared" si="175"/>
        <v>0</v>
      </c>
      <c r="BD21" s="88">
        <f t="shared" si="175"/>
        <v>0</v>
      </c>
      <c r="BE21" s="88">
        <f t="shared" si="175"/>
        <v>0</v>
      </c>
      <c r="BF21" s="88">
        <f t="shared" si="175"/>
        <v>0</v>
      </c>
      <c r="BG21" s="88">
        <f t="shared" si="175"/>
        <v>0</v>
      </c>
      <c r="BH21" s="88">
        <f t="shared" si="175"/>
        <v>0</v>
      </c>
      <c r="BI21" s="88">
        <f t="shared" si="175"/>
        <v>0</v>
      </c>
      <c r="BJ21" s="88">
        <f t="shared" si="175"/>
        <v>0</v>
      </c>
      <c r="BK21" s="88">
        <f t="shared" si="175"/>
        <v>0</v>
      </c>
      <c r="BL21" s="88">
        <f t="shared" si="175"/>
        <v>0</v>
      </c>
      <c r="BM21" s="88">
        <f t="shared" si="175"/>
        <v>0</v>
      </c>
      <c r="BN21" s="88">
        <f t="shared" si="175"/>
        <v>0</v>
      </c>
      <c r="BO21" s="88">
        <f t="shared" si="175"/>
        <v>0</v>
      </c>
      <c r="BP21" s="88">
        <f t="shared" si="175"/>
        <v>0</v>
      </c>
      <c r="BQ21" s="88">
        <f t="shared" si="175"/>
        <v>0</v>
      </c>
      <c r="BR21" s="88">
        <f t="shared" si="175"/>
        <v>0</v>
      </c>
      <c r="BS21" s="88">
        <f t="shared" si="175"/>
        <v>0</v>
      </c>
      <c r="BT21" s="88">
        <f t="shared" si="175"/>
        <v>0</v>
      </c>
      <c r="BU21" s="88">
        <f t="shared" si="175"/>
        <v>0</v>
      </c>
      <c r="BV21" s="88">
        <f t="shared" si="175"/>
        <v>0</v>
      </c>
      <c r="BW21" s="88">
        <f t="shared" si="175"/>
        <v>0</v>
      </c>
      <c r="BX21" s="88">
        <f t="shared" si="175"/>
        <v>0</v>
      </c>
      <c r="BY21" s="88">
        <f t="shared" si="175"/>
        <v>0</v>
      </c>
      <c r="BZ21" s="88">
        <f t="shared" si="175"/>
        <v>0</v>
      </c>
      <c r="CA21" s="88">
        <f t="shared" si="175"/>
        <v>0</v>
      </c>
      <c r="CB21" s="88">
        <f t="shared" si="175"/>
        <v>0</v>
      </c>
      <c r="CC21" s="88">
        <f t="shared" si="175"/>
        <v>0</v>
      </c>
      <c r="CD21" s="88">
        <f t="shared" si="175"/>
        <v>0</v>
      </c>
      <c r="CE21" s="88">
        <f t="shared" si="175"/>
        <v>0</v>
      </c>
      <c r="CF21" s="88">
        <f t="shared" si="175"/>
        <v>0</v>
      </c>
      <c r="CG21" s="88">
        <f t="shared" si="175"/>
        <v>0</v>
      </c>
      <c r="CH21" s="88">
        <f t="shared" si="175"/>
        <v>0</v>
      </c>
      <c r="CI21" s="88">
        <f t="shared" si="175"/>
        <v>0</v>
      </c>
      <c r="CJ21" s="88">
        <f t="shared" si="175"/>
        <v>0</v>
      </c>
      <c r="CK21" s="88">
        <f t="shared" si="175"/>
        <v>0</v>
      </c>
      <c r="CL21" s="88">
        <f t="shared" si="175"/>
        <v>0</v>
      </c>
      <c r="CM21" s="88">
        <f t="shared" si="175"/>
        <v>0</v>
      </c>
      <c r="CN21" s="88">
        <f t="shared" si="175"/>
        <v>0</v>
      </c>
      <c r="CO21" s="88">
        <f t="shared" si="175"/>
        <v>0</v>
      </c>
      <c r="CP21" s="88">
        <f t="shared" si="175"/>
        <v>0</v>
      </c>
      <c r="CQ21" s="88">
        <f t="shared" si="175"/>
        <v>0</v>
      </c>
      <c r="CR21" s="88">
        <f t="shared" si="175"/>
        <v>0</v>
      </c>
      <c r="CS21" s="88">
        <f t="shared" si="175"/>
        <v>0</v>
      </c>
      <c r="CT21" s="88">
        <f t="shared" si="175"/>
        <v>0</v>
      </c>
      <c r="CU21" s="88">
        <f t="shared" si="175"/>
        <v>0</v>
      </c>
      <c r="CV21" s="88">
        <f t="shared" si="175"/>
        <v>0</v>
      </c>
      <c r="CW21" s="88">
        <f t="shared" si="175"/>
        <v>0</v>
      </c>
      <c r="CX21" s="88">
        <f t="shared" si="175"/>
        <v>0</v>
      </c>
      <c r="CY21" s="88">
        <f t="shared" si="175"/>
        <v>0</v>
      </c>
      <c r="CZ21" s="88">
        <f t="shared" si="175"/>
        <v>0</v>
      </c>
      <c r="DA21" s="88">
        <f t="shared" si="175"/>
        <v>0</v>
      </c>
      <c r="DB21" s="88">
        <f t="shared" si="175"/>
        <v>0</v>
      </c>
      <c r="DC21" s="88">
        <f t="shared" si="175"/>
        <v>0</v>
      </c>
      <c r="DD21" s="88">
        <f t="shared" si="175"/>
        <v>0</v>
      </c>
      <c r="DE21" s="88">
        <f t="shared" si="175"/>
        <v>0</v>
      </c>
      <c r="DF21" s="88">
        <f t="shared" si="175"/>
        <v>0</v>
      </c>
      <c r="DG21" s="88">
        <f t="shared" si="175"/>
        <v>0</v>
      </c>
      <c r="DH21" s="88">
        <f t="shared" si="175"/>
        <v>0</v>
      </c>
      <c r="DI21" s="88">
        <f t="shared" si="175"/>
        <v>0</v>
      </c>
      <c r="DJ21" s="88">
        <f t="shared" si="175"/>
        <v>0</v>
      </c>
      <c r="DK21" s="88">
        <f t="shared" si="175"/>
        <v>0</v>
      </c>
      <c r="DL21" s="88" t="str">
        <f>IFERROR(__xludf.DUMMYFUNCTION("10 + (REGEXEXTRACT(INDIRECT(ADDRESS(ROW() - 19, COLUMN())), ""[\d]"") - 1) * 2.5"),"#N/A")</f>
        <v>#N/A</v>
      </c>
      <c r="DM21" s="88">
        <f t="shared" ref="DM21:DU21" si="176">0</f>
        <v>0</v>
      </c>
      <c r="DN21" s="88">
        <f t="shared" si="176"/>
        <v>0</v>
      </c>
      <c r="DO21" s="88">
        <f t="shared" si="176"/>
        <v>0</v>
      </c>
      <c r="DP21" s="88">
        <f t="shared" si="176"/>
        <v>0</v>
      </c>
      <c r="DQ21" s="88">
        <f t="shared" si="176"/>
        <v>0</v>
      </c>
      <c r="DR21" s="88">
        <f t="shared" si="176"/>
        <v>0</v>
      </c>
      <c r="DS21" s="88">
        <f t="shared" si="176"/>
        <v>0</v>
      </c>
      <c r="DT21" s="88">
        <f t="shared" si="176"/>
        <v>0</v>
      </c>
      <c r="DU21" s="88">
        <f t="shared" si="176"/>
        <v>0</v>
      </c>
      <c r="DV21" s="88">
        <f t="shared" ref="DV21:EY21" si="177">0</f>
        <v>0</v>
      </c>
      <c r="DW21" s="88">
        <f t="shared" si="177"/>
        <v>0</v>
      </c>
      <c r="DX21" s="88">
        <f t="shared" si="177"/>
        <v>0</v>
      </c>
      <c r="DY21" s="88">
        <f t="shared" si="177"/>
        <v>0</v>
      </c>
      <c r="DZ21" s="88">
        <f t="shared" si="177"/>
        <v>0</v>
      </c>
      <c r="EA21" s="88">
        <f t="shared" si="177"/>
        <v>0</v>
      </c>
      <c r="EB21" s="88">
        <f t="shared" si="177"/>
        <v>0</v>
      </c>
      <c r="EC21" s="88">
        <f t="shared" si="177"/>
        <v>0</v>
      </c>
      <c r="ED21" s="88">
        <f t="shared" si="177"/>
        <v>0</v>
      </c>
      <c r="EE21" s="88">
        <f t="shared" si="177"/>
        <v>0</v>
      </c>
      <c r="EF21" s="88">
        <f t="shared" si="177"/>
        <v>0</v>
      </c>
      <c r="EG21" s="88">
        <f t="shared" si="177"/>
        <v>0</v>
      </c>
      <c r="EH21" s="88">
        <f t="shared" si="177"/>
        <v>0</v>
      </c>
      <c r="EI21" s="88">
        <f t="shared" si="177"/>
        <v>0</v>
      </c>
      <c r="EJ21" s="88">
        <f t="shared" si="177"/>
        <v>0</v>
      </c>
      <c r="EK21" s="88">
        <f t="shared" si="177"/>
        <v>0</v>
      </c>
      <c r="EL21" s="88">
        <f t="shared" si="177"/>
        <v>0</v>
      </c>
      <c r="EM21" s="88">
        <f t="shared" si="177"/>
        <v>0</v>
      </c>
      <c r="EN21" s="88">
        <f t="shared" si="177"/>
        <v>0</v>
      </c>
      <c r="EO21" s="88">
        <f t="shared" si="177"/>
        <v>0</v>
      </c>
      <c r="EP21" s="88">
        <f t="shared" si="177"/>
        <v>0</v>
      </c>
      <c r="EQ21" s="88">
        <f t="shared" si="177"/>
        <v>0</v>
      </c>
      <c r="ER21" s="88">
        <f t="shared" si="177"/>
        <v>0</v>
      </c>
      <c r="ES21" s="88">
        <f t="shared" si="177"/>
        <v>0</v>
      </c>
      <c r="ET21" s="88">
        <f t="shared" si="177"/>
        <v>0</v>
      </c>
      <c r="EU21" s="88">
        <f t="shared" si="177"/>
        <v>0</v>
      </c>
      <c r="EV21" s="88">
        <f t="shared" si="177"/>
        <v>0</v>
      </c>
      <c r="EW21" s="88">
        <f t="shared" si="177"/>
        <v>0</v>
      </c>
      <c r="EX21" s="88">
        <f t="shared" si="177"/>
        <v>0</v>
      </c>
      <c r="EY21" s="88">
        <f t="shared" si="177"/>
        <v>0</v>
      </c>
    </row>
    <row r="22">
      <c r="A22" s="181" t="s">
        <v>198</v>
      </c>
      <c r="B22" s="10">
        <f t="shared" ref="B22:R22" si="178">0</f>
        <v>0</v>
      </c>
      <c r="C22" s="10">
        <f t="shared" si="178"/>
        <v>0</v>
      </c>
      <c r="D22" s="10">
        <f t="shared" si="178"/>
        <v>0</v>
      </c>
      <c r="E22" s="88">
        <f t="shared" si="178"/>
        <v>0</v>
      </c>
      <c r="F22" s="123">
        <f t="shared" si="178"/>
        <v>0</v>
      </c>
      <c r="G22" s="205">
        <f t="shared" si="178"/>
        <v>0</v>
      </c>
      <c r="H22" s="88">
        <f t="shared" si="178"/>
        <v>0</v>
      </c>
      <c r="I22" s="88">
        <f t="shared" si="178"/>
        <v>0</v>
      </c>
      <c r="J22" s="88">
        <f t="shared" si="178"/>
        <v>0</v>
      </c>
      <c r="K22" s="88">
        <f t="shared" si="178"/>
        <v>0</v>
      </c>
      <c r="L22" s="88">
        <f t="shared" si="178"/>
        <v>0</v>
      </c>
      <c r="M22" s="88">
        <f t="shared" si="178"/>
        <v>0</v>
      </c>
      <c r="N22" s="88">
        <f t="shared" si="178"/>
        <v>0</v>
      </c>
      <c r="O22" s="88">
        <f t="shared" si="178"/>
        <v>0</v>
      </c>
      <c r="P22" s="88">
        <f t="shared" si="178"/>
        <v>0</v>
      </c>
      <c r="Q22" s="88">
        <f t="shared" si="178"/>
        <v>0</v>
      </c>
      <c r="R22" s="88">
        <f t="shared" si="178"/>
        <v>0</v>
      </c>
      <c r="S22" s="88" t="str">
        <f>IFERROR(__xludf.DUMMYFUNCTION("20 + (REGEXEXTRACT(INDIRECT(ADDRESS(ROW() - 20, COLUMN())), ""[\d]"") - 1) * 5"),"#N/A")</f>
        <v>#N/A</v>
      </c>
      <c r="T22" s="88">
        <f t="shared" ref="T22:BS22" si="179">0</f>
        <v>0</v>
      </c>
      <c r="U22" s="88">
        <f t="shared" si="179"/>
        <v>0</v>
      </c>
      <c r="V22" s="88">
        <f t="shared" si="179"/>
        <v>0</v>
      </c>
      <c r="W22" s="88">
        <f t="shared" si="179"/>
        <v>0</v>
      </c>
      <c r="X22" s="88">
        <f t="shared" si="179"/>
        <v>0</v>
      </c>
      <c r="Y22" s="88">
        <f t="shared" si="179"/>
        <v>0</v>
      </c>
      <c r="Z22" s="88">
        <f t="shared" si="179"/>
        <v>0</v>
      </c>
      <c r="AA22" s="88">
        <f t="shared" si="179"/>
        <v>0</v>
      </c>
      <c r="AB22" s="88">
        <f t="shared" si="179"/>
        <v>0</v>
      </c>
      <c r="AC22" s="88">
        <f t="shared" si="179"/>
        <v>0</v>
      </c>
      <c r="AD22" s="88">
        <f t="shared" si="179"/>
        <v>0</v>
      </c>
      <c r="AE22" s="88">
        <f t="shared" si="179"/>
        <v>0</v>
      </c>
      <c r="AF22" s="88">
        <f t="shared" si="179"/>
        <v>0</v>
      </c>
      <c r="AG22" s="88">
        <f t="shared" si="179"/>
        <v>0</v>
      </c>
      <c r="AH22" s="88">
        <f t="shared" si="179"/>
        <v>0</v>
      </c>
      <c r="AI22" s="88">
        <f t="shared" si="179"/>
        <v>0</v>
      </c>
      <c r="AJ22" s="88">
        <f t="shared" si="179"/>
        <v>0</v>
      </c>
      <c r="AK22" s="88">
        <f t="shared" si="179"/>
        <v>0</v>
      </c>
      <c r="AL22" s="88">
        <f t="shared" si="179"/>
        <v>0</v>
      </c>
      <c r="AM22" s="88">
        <f t="shared" si="179"/>
        <v>0</v>
      </c>
      <c r="AN22" s="88">
        <f t="shared" si="179"/>
        <v>0</v>
      </c>
      <c r="AO22" s="88">
        <f t="shared" si="179"/>
        <v>0</v>
      </c>
      <c r="AP22" s="88">
        <f t="shared" si="179"/>
        <v>0</v>
      </c>
      <c r="AQ22" s="88">
        <f t="shared" si="179"/>
        <v>0</v>
      </c>
      <c r="AR22" s="88">
        <f t="shared" si="179"/>
        <v>0</v>
      </c>
      <c r="AS22" s="88">
        <f t="shared" si="179"/>
        <v>0</v>
      </c>
      <c r="AT22" s="88">
        <f t="shared" si="179"/>
        <v>0</v>
      </c>
      <c r="AU22" s="88">
        <f t="shared" si="179"/>
        <v>0</v>
      </c>
      <c r="AV22" s="88">
        <f t="shared" si="179"/>
        <v>0</v>
      </c>
      <c r="AW22" s="88">
        <f t="shared" si="179"/>
        <v>0</v>
      </c>
      <c r="AX22" s="88">
        <f t="shared" si="179"/>
        <v>0</v>
      </c>
      <c r="AY22" s="88">
        <f t="shared" si="179"/>
        <v>0</v>
      </c>
      <c r="AZ22" s="88">
        <f t="shared" si="179"/>
        <v>0</v>
      </c>
      <c r="BA22" s="88">
        <f t="shared" si="179"/>
        <v>0</v>
      </c>
      <c r="BB22" s="88">
        <f t="shared" si="179"/>
        <v>0</v>
      </c>
      <c r="BC22" s="88">
        <f t="shared" si="179"/>
        <v>0</v>
      </c>
      <c r="BD22" s="88">
        <f t="shared" si="179"/>
        <v>0</v>
      </c>
      <c r="BE22" s="88">
        <f t="shared" si="179"/>
        <v>0</v>
      </c>
      <c r="BF22" s="88">
        <f t="shared" si="179"/>
        <v>0</v>
      </c>
      <c r="BG22" s="88">
        <f t="shared" si="179"/>
        <v>0</v>
      </c>
      <c r="BH22" s="88">
        <f t="shared" si="179"/>
        <v>0</v>
      </c>
      <c r="BI22" s="88">
        <f t="shared" si="179"/>
        <v>0</v>
      </c>
      <c r="BJ22" s="88">
        <f t="shared" si="179"/>
        <v>0</v>
      </c>
      <c r="BK22" s="88">
        <f t="shared" si="179"/>
        <v>0</v>
      </c>
      <c r="BL22" s="88">
        <f t="shared" si="179"/>
        <v>0</v>
      </c>
      <c r="BM22" s="88">
        <f t="shared" si="179"/>
        <v>0</v>
      </c>
      <c r="BN22" s="88">
        <f t="shared" si="179"/>
        <v>0</v>
      </c>
      <c r="BO22" s="88">
        <f t="shared" si="179"/>
        <v>0</v>
      </c>
      <c r="BP22" s="88">
        <f t="shared" si="179"/>
        <v>0</v>
      </c>
      <c r="BQ22" s="88">
        <f t="shared" si="179"/>
        <v>0</v>
      </c>
      <c r="BR22" s="88">
        <f t="shared" si="179"/>
        <v>0</v>
      </c>
      <c r="BS22" s="88">
        <f t="shared" si="179"/>
        <v>0</v>
      </c>
      <c r="BT22" s="88" t="str">
        <f>IFERROR(__xludf.DUMMYFUNCTION("20 + (REGEXEXTRACT(INDIRECT(ADDRESS(ROW() - 20, COLUMN())), ""[\d]"") - 1) * 5"),"#N/A")</f>
        <v>#N/A</v>
      </c>
      <c r="BU22" s="88">
        <f t="shared" ref="BU22:CN22" si="180">0</f>
        <v>0</v>
      </c>
      <c r="BV22" s="88">
        <f t="shared" si="180"/>
        <v>0</v>
      </c>
      <c r="BW22" s="88">
        <f t="shared" si="180"/>
        <v>0</v>
      </c>
      <c r="BX22" s="88">
        <f t="shared" si="180"/>
        <v>0</v>
      </c>
      <c r="BY22" s="88">
        <f t="shared" si="180"/>
        <v>0</v>
      </c>
      <c r="BZ22" s="88">
        <f t="shared" si="180"/>
        <v>0</v>
      </c>
      <c r="CA22" s="88">
        <f t="shared" si="180"/>
        <v>0</v>
      </c>
      <c r="CB22" s="88">
        <f t="shared" si="180"/>
        <v>0</v>
      </c>
      <c r="CC22" s="88">
        <f t="shared" si="180"/>
        <v>0</v>
      </c>
      <c r="CD22" s="88">
        <f t="shared" si="180"/>
        <v>0</v>
      </c>
      <c r="CE22" s="88">
        <f t="shared" si="180"/>
        <v>0</v>
      </c>
      <c r="CF22" s="88">
        <f t="shared" si="180"/>
        <v>0</v>
      </c>
      <c r="CG22" s="88">
        <f t="shared" si="180"/>
        <v>0</v>
      </c>
      <c r="CH22" s="88">
        <f t="shared" si="180"/>
        <v>0</v>
      </c>
      <c r="CI22" s="88">
        <f t="shared" si="180"/>
        <v>0</v>
      </c>
      <c r="CJ22" s="88">
        <f t="shared" si="180"/>
        <v>0</v>
      </c>
      <c r="CK22" s="88">
        <f t="shared" si="180"/>
        <v>0</v>
      </c>
      <c r="CL22" s="88">
        <f t="shared" si="180"/>
        <v>0</v>
      </c>
      <c r="CM22" s="88">
        <f t="shared" si="180"/>
        <v>0</v>
      </c>
      <c r="CN22" s="88">
        <f t="shared" si="180"/>
        <v>0</v>
      </c>
      <c r="CO22" s="88" t="str">
        <f>IFERROR(__xludf.DUMMYFUNCTION("20 + (REGEXEXTRACT(INDIRECT(ADDRESS(ROW() - 20, COLUMN())), ""[\d]"") - 1) * 5"),"#N/A")</f>
        <v>#N/A</v>
      </c>
      <c r="CP22" s="88">
        <f t="shared" ref="CP22:DL22" si="181">0</f>
        <v>0</v>
      </c>
      <c r="CQ22" s="88">
        <f t="shared" si="181"/>
        <v>0</v>
      </c>
      <c r="CR22" s="88">
        <f t="shared" si="181"/>
        <v>0</v>
      </c>
      <c r="CS22" s="88">
        <f t="shared" si="181"/>
        <v>0</v>
      </c>
      <c r="CT22" s="88">
        <f t="shared" si="181"/>
        <v>0</v>
      </c>
      <c r="CU22" s="88">
        <f t="shared" si="181"/>
        <v>0</v>
      </c>
      <c r="CV22" s="88">
        <f t="shared" si="181"/>
        <v>0</v>
      </c>
      <c r="CW22" s="88">
        <f t="shared" si="181"/>
        <v>0</v>
      </c>
      <c r="CX22" s="88">
        <f t="shared" si="181"/>
        <v>0</v>
      </c>
      <c r="CY22" s="88">
        <f t="shared" si="181"/>
        <v>0</v>
      </c>
      <c r="CZ22" s="88">
        <f t="shared" si="181"/>
        <v>0</v>
      </c>
      <c r="DA22" s="88">
        <f t="shared" si="181"/>
        <v>0</v>
      </c>
      <c r="DB22" s="88">
        <f t="shared" si="181"/>
        <v>0</v>
      </c>
      <c r="DC22" s="88">
        <f t="shared" si="181"/>
        <v>0</v>
      </c>
      <c r="DD22" s="88">
        <f t="shared" si="181"/>
        <v>0</v>
      </c>
      <c r="DE22" s="88">
        <f t="shared" si="181"/>
        <v>0</v>
      </c>
      <c r="DF22" s="88">
        <f t="shared" si="181"/>
        <v>0</v>
      </c>
      <c r="DG22" s="88">
        <f t="shared" si="181"/>
        <v>0</v>
      </c>
      <c r="DH22" s="88">
        <f t="shared" si="181"/>
        <v>0</v>
      </c>
      <c r="DI22" s="88">
        <f t="shared" si="181"/>
        <v>0</v>
      </c>
      <c r="DJ22" s="88">
        <f t="shared" si="181"/>
        <v>0</v>
      </c>
      <c r="DK22" s="88">
        <f t="shared" si="181"/>
        <v>0</v>
      </c>
      <c r="DL22" s="88">
        <f t="shared" si="181"/>
        <v>0</v>
      </c>
      <c r="DM22" s="88" t="str">
        <f>IFERROR(__xludf.DUMMYFUNCTION("20 + (REGEXEXTRACT(INDIRECT(ADDRESS(ROW() - 20, COLUMN())), ""[\d]"") - 1) * 5"),"#N/A")</f>
        <v>#N/A</v>
      </c>
      <c r="DN22" s="88">
        <f t="shared" ref="DN22:DU22" si="182">0</f>
        <v>0</v>
      </c>
      <c r="DO22" s="88">
        <f t="shared" si="182"/>
        <v>0</v>
      </c>
      <c r="DP22" s="88">
        <f t="shared" si="182"/>
        <v>0</v>
      </c>
      <c r="DQ22" s="88">
        <f t="shared" si="182"/>
        <v>0</v>
      </c>
      <c r="DR22" s="88">
        <f t="shared" si="182"/>
        <v>0</v>
      </c>
      <c r="DS22" s="88">
        <f t="shared" si="182"/>
        <v>0</v>
      </c>
      <c r="DT22" s="88">
        <f t="shared" si="182"/>
        <v>0</v>
      </c>
      <c r="DU22" s="88">
        <f t="shared" si="182"/>
        <v>0</v>
      </c>
      <c r="DV22" s="88">
        <f t="shared" ref="DV22:EY22" si="183">0</f>
        <v>0</v>
      </c>
      <c r="DW22" s="88">
        <f t="shared" si="183"/>
        <v>0</v>
      </c>
      <c r="DX22" s="88">
        <f t="shared" si="183"/>
        <v>0</v>
      </c>
      <c r="DY22" s="88">
        <f t="shared" si="183"/>
        <v>0</v>
      </c>
      <c r="DZ22" s="88">
        <f t="shared" si="183"/>
        <v>0</v>
      </c>
      <c r="EA22" s="88">
        <f t="shared" si="183"/>
        <v>0</v>
      </c>
      <c r="EB22" s="88">
        <f t="shared" si="183"/>
        <v>0</v>
      </c>
      <c r="EC22" s="88">
        <f t="shared" si="183"/>
        <v>0</v>
      </c>
      <c r="ED22" s="88">
        <f t="shared" si="183"/>
        <v>0</v>
      </c>
      <c r="EE22" s="88">
        <f t="shared" si="183"/>
        <v>0</v>
      </c>
      <c r="EF22" s="88">
        <f t="shared" si="183"/>
        <v>0</v>
      </c>
      <c r="EG22" s="88">
        <f t="shared" si="183"/>
        <v>0</v>
      </c>
      <c r="EH22" s="88">
        <f t="shared" si="183"/>
        <v>0</v>
      </c>
      <c r="EI22" s="88">
        <f t="shared" si="183"/>
        <v>0</v>
      </c>
      <c r="EJ22" s="88">
        <f t="shared" si="183"/>
        <v>0</v>
      </c>
      <c r="EK22" s="88">
        <f t="shared" si="183"/>
        <v>0</v>
      </c>
      <c r="EL22" s="88">
        <f t="shared" si="183"/>
        <v>0</v>
      </c>
      <c r="EM22" s="88">
        <f t="shared" si="183"/>
        <v>0</v>
      </c>
      <c r="EN22" s="88">
        <f t="shared" si="183"/>
        <v>0</v>
      </c>
      <c r="EO22" s="88">
        <f t="shared" si="183"/>
        <v>0</v>
      </c>
      <c r="EP22" s="88">
        <f t="shared" si="183"/>
        <v>0</v>
      </c>
      <c r="EQ22" s="88">
        <f t="shared" si="183"/>
        <v>0</v>
      </c>
      <c r="ER22" s="88">
        <f t="shared" si="183"/>
        <v>0</v>
      </c>
      <c r="ES22" s="88">
        <f t="shared" si="183"/>
        <v>0</v>
      </c>
      <c r="ET22" s="88">
        <f t="shared" si="183"/>
        <v>0</v>
      </c>
      <c r="EU22" s="88">
        <f t="shared" si="183"/>
        <v>0</v>
      </c>
      <c r="EV22" s="88">
        <f t="shared" si="183"/>
        <v>0</v>
      </c>
      <c r="EW22" s="88">
        <f t="shared" si="183"/>
        <v>0</v>
      </c>
      <c r="EX22" s="88">
        <f t="shared" si="183"/>
        <v>0</v>
      </c>
      <c r="EY22" s="88">
        <f t="shared" si="183"/>
        <v>0</v>
      </c>
    </row>
    <row r="23">
      <c r="A23" s="181" t="s">
        <v>199</v>
      </c>
      <c r="B23" s="10">
        <f t="shared" ref="B23:AQ23" si="184">0</f>
        <v>0</v>
      </c>
      <c r="C23" s="10">
        <f t="shared" si="184"/>
        <v>0</v>
      </c>
      <c r="D23" s="10">
        <f t="shared" si="184"/>
        <v>0</v>
      </c>
      <c r="E23" s="88">
        <f t="shared" si="184"/>
        <v>0</v>
      </c>
      <c r="F23" s="123">
        <f t="shared" si="184"/>
        <v>0</v>
      </c>
      <c r="G23" s="205">
        <f t="shared" si="184"/>
        <v>0</v>
      </c>
      <c r="H23" s="88">
        <f t="shared" si="184"/>
        <v>0</v>
      </c>
      <c r="I23" s="88">
        <f t="shared" si="184"/>
        <v>0</v>
      </c>
      <c r="J23" s="88">
        <f t="shared" si="184"/>
        <v>0</v>
      </c>
      <c r="K23" s="88">
        <f t="shared" si="184"/>
        <v>0</v>
      </c>
      <c r="L23" s="88">
        <f t="shared" si="184"/>
        <v>0</v>
      </c>
      <c r="M23" s="88">
        <f t="shared" si="184"/>
        <v>0</v>
      </c>
      <c r="N23" s="88">
        <f t="shared" si="184"/>
        <v>0</v>
      </c>
      <c r="O23" s="88">
        <f t="shared" si="184"/>
        <v>0</v>
      </c>
      <c r="P23" s="88">
        <f t="shared" si="184"/>
        <v>0</v>
      </c>
      <c r="Q23" s="88">
        <f t="shared" si="184"/>
        <v>0</v>
      </c>
      <c r="R23" s="88">
        <f t="shared" si="184"/>
        <v>0</v>
      </c>
      <c r="S23" s="88">
        <f t="shared" si="184"/>
        <v>0</v>
      </c>
      <c r="T23" s="88">
        <f t="shared" si="184"/>
        <v>0</v>
      </c>
      <c r="U23" s="88">
        <f t="shared" si="184"/>
        <v>0</v>
      </c>
      <c r="V23" s="88">
        <f t="shared" si="184"/>
        <v>0</v>
      </c>
      <c r="W23" s="88">
        <f t="shared" si="184"/>
        <v>0</v>
      </c>
      <c r="X23" s="88">
        <f t="shared" si="184"/>
        <v>0</v>
      </c>
      <c r="Y23" s="88">
        <f t="shared" si="184"/>
        <v>0</v>
      </c>
      <c r="Z23" s="88">
        <f t="shared" si="184"/>
        <v>0</v>
      </c>
      <c r="AA23" s="88">
        <f t="shared" si="184"/>
        <v>0</v>
      </c>
      <c r="AB23" s="88">
        <f t="shared" si="184"/>
        <v>0</v>
      </c>
      <c r="AC23" s="88">
        <f t="shared" si="184"/>
        <v>0</v>
      </c>
      <c r="AD23" s="88">
        <f t="shared" si="184"/>
        <v>0</v>
      </c>
      <c r="AE23" s="88">
        <f t="shared" si="184"/>
        <v>0</v>
      </c>
      <c r="AF23" s="88">
        <f t="shared" si="184"/>
        <v>0</v>
      </c>
      <c r="AG23" s="88">
        <f t="shared" si="184"/>
        <v>0</v>
      </c>
      <c r="AH23" s="88">
        <f t="shared" si="184"/>
        <v>0</v>
      </c>
      <c r="AI23" s="88">
        <f t="shared" si="184"/>
        <v>0</v>
      </c>
      <c r="AJ23" s="88">
        <f t="shared" si="184"/>
        <v>0</v>
      </c>
      <c r="AK23" s="88">
        <f t="shared" si="184"/>
        <v>0</v>
      </c>
      <c r="AL23" s="88">
        <f t="shared" si="184"/>
        <v>0</v>
      </c>
      <c r="AM23" s="88">
        <f t="shared" si="184"/>
        <v>0</v>
      </c>
      <c r="AN23" s="88">
        <f t="shared" si="184"/>
        <v>0</v>
      </c>
      <c r="AO23" s="88">
        <f t="shared" si="184"/>
        <v>0</v>
      </c>
      <c r="AP23" s="88">
        <f t="shared" si="184"/>
        <v>0</v>
      </c>
      <c r="AQ23" s="88">
        <f t="shared" si="184"/>
        <v>0</v>
      </c>
      <c r="AR23" s="88" t="str">
        <f>IFERROR(__xludf.DUMMYFUNCTION("10 + (REGEXEXTRACT(INDIRECT(ADDRESS(ROW() - 21, COLUMN())), ""[\d]"") - 1) * 2.5"),"#N/A")</f>
        <v>#N/A</v>
      </c>
      <c r="AS23" s="88">
        <f t="shared" ref="AS23:BU23" si="185">0</f>
        <v>0</v>
      </c>
      <c r="AT23" s="88">
        <f t="shared" si="185"/>
        <v>0</v>
      </c>
      <c r="AU23" s="88">
        <f t="shared" si="185"/>
        <v>0</v>
      </c>
      <c r="AV23" s="88">
        <f t="shared" si="185"/>
        <v>0</v>
      </c>
      <c r="AW23" s="88">
        <f t="shared" si="185"/>
        <v>0</v>
      </c>
      <c r="AX23" s="88">
        <f t="shared" si="185"/>
        <v>0</v>
      </c>
      <c r="AY23" s="88">
        <f t="shared" si="185"/>
        <v>0</v>
      </c>
      <c r="AZ23" s="88">
        <f t="shared" si="185"/>
        <v>0</v>
      </c>
      <c r="BA23" s="88">
        <f t="shared" si="185"/>
        <v>0</v>
      </c>
      <c r="BB23" s="88">
        <f t="shared" si="185"/>
        <v>0</v>
      </c>
      <c r="BC23" s="88">
        <f t="shared" si="185"/>
        <v>0</v>
      </c>
      <c r="BD23" s="88">
        <f t="shared" si="185"/>
        <v>0</v>
      </c>
      <c r="BE23" s="88">
        <f t="shared" si="185"/>
        <v>0</v>
      </c>
      <c r="BF23" s="88">
        <f t="shared" si="185"/>
        <v>0</v>
      </c>
      <c r="BG23" s="88">
        <f t="shared" si="185"/>
        <v>0</v>
      </c>
      <c r="BH23" s="88">
        <f t="shared" si="185"/>
        <v>0</v>
      </c>
      <c r="BI23" s="88">
        <f t="shared" si="185"/>
        <v>0</v>
      </c>
      <c r="BJ23" s="88">
        <f t="shared" si="185"/>
        <v>0</v>
      </c>
      <c r="BK23" s="88">
        <f t="shared" si="185"/>
        <v>0</v>
      </c>
      <c r="BL23" s="88">
        <f t="shared" si="185"/>
        <v>0</v>
      </c>
      <c r="BM23" s="88">
        <f t="shared" si="185"/>
        <v>0</v>
      </c>
      <c r="BN23" s="88">
        <f t="shared" si="185"/>
        <v>0</v>
      </c>
      <c r="BO23" s="88">
        <f t="shared" si="185"/>
        <v>0</v>
      </c>
      <c r="BP23" s="88">
        <f t="shared" si="185"/>
        <v>0</v>
      </c>
      <c r="BQ23" s="88">
        <f t="shared" si="185"/>
        <v>0</v>
      </c>
      <c r="BR23" s="88">
        <f t="shared" si="185"/>
        <v>0</v>
      </c>
      <c r="BS23" s="88">
        <f t="shared" si="185"/>
        <v>0</v>
      </c>
      <c r="BT23" s="88">
        <f t="shared" si="185"/>
        <v>0</v>
      </c>
      <c r="BU23" s="88">
        <f t="shared" si="185"/>
        <v>0</v>
      </c>
      <c r="BV23" s="88" t="str">
        <f>IFERROR(__xludf.DUMMYFUNCTION("10 + (REGEXEXTRACT(INDIRECT(ADDRESS(ROW() - 21, COLUMN())), ""[\d]"") - 1) * 2.5"),"#N/A")</f>
        <v>#N/A</v>
      </c>
      <c r="BW23" s="88">
        <f t="shared" ref="BW23:CP23" si="186">0</f>
        <v>0</v>
      </c>
      <c r="BX23" s="88">
        <f t="shared" si="186"/>
        <v>0</v>
      </c>
      <c r="BY23" s="88">
        <f t="shared" si="186"/>
        <v>0</v>
      </c>
      <c r="BZ23" s="88">
        <f t="shared" si="186"/>
        <v>0</v>
      </c>
      <c r="CA23" s="88">
        <f t="shared" si="186"/>
        <v>0</v>
      </c>
      <c r="CB23" s="88">
        <f t="shared" si="186"/>
        <v>0</v>
      </c>
      <c r="CC23" s="88">
        <f t="shared" si="186"/>
        <v>0</v>
      </c>
      <c r="CD23" s="88">
        <f t="shared" si="186"/>
        <v>0</v>
      </c>
      <c r="CE23" s="88">
        <f t="shared" si="186"/>
        <v>0</v>
      </c>
      <c r="CF23" s="88">
        <f t="shared" si="186"/>
        <v>0</v>
      </c>
      <c r="CG23" s="88">
        <f t="shared" si="186"/>
        <v>0</v>
      </c>
      <c r="CH23" s="88">
        <f t="shared" si="186"/>
        <v>0</v>
      </c>
      <c r="CI23" s="88">
        <f t="shared" si="186"/>
        <v>0</v>
      </c>
      <c r="CJ23" s="88">
        <f t="shared" si="186"/>
        <v>0</v>
      </c>
      <c r="CK23" s="88">
        <f t="shared" si="186"/>
        <v>0</v>
      </c>
      <c r="CL23" s="88">
        <f t="shared" si="186"/>
        <v>0</v>
      </c>
      <c r="CM23" s="88">
        <f t="shared" si="186"/>
        <v>0</v>
      </c>
      <c r="CN23" s="88">
        <f t="shared" si="186"/>
        <v>0</v>
      </c>
      <c r="CO23" s="88">
        <f t="shared" si="186"/>
        <v>0</v>
      </c>
      <c r="CP23" s="88">
        <f t="shared" si="186"/>
        <v>0</v>
      </c>
      <c r="CQ23" s="88" t="str">
        <f>IFERROR(__xludf.DUMMYFUNCTION("8 + (REGEXEXTRACT(INDIRECT(ADDRESS(ROW() - 21, COLUMN())), ""[\d]"") - 1) * 2"),"#N/A")</f>
        <v>#N/A</v>
      </c>
      <c r="CR23" s="88">
        <f t="shared" ref="CR23:DU23" si="187">0</f>
        <v>0</v>
      </c>
      <c r="CS23" s="88">
        <f t="shared" si="187"/>
        <v>0</v>
      </c>
      <c r="CT23" s="88">
        <f t="shared" si="187"/>
        <v>0</v>
      </c>
      <c r="CU23" s="88">
        <f t="shared" si="187"/>
        <v>0</v>
      </c>
      <c r="CV23" s="88">
        <f t="shared" si="187"/>
        <v>0</v>
      </c>
      <c r="CW23" s="88">
        <f t="shared" si="187"/>
        <v>0</v>
      </c>
      <c r="CX23" s="88">
        <f t="shared" si="187"/>
        <v>0</v>
      </c>
      <c r="CY23" s="88">
        <f t="shared" si="187"/>
        <v>0</v>
      </c>
      <c r="CZ23" s="88">
        <f t="shared" si="187"/>
        <v>0</v>
      </c>
      <c r="DA23" s="88">
        <f t="shared" si="187"/>
        <v>0</v>
      </c>
      <c r="DB23" s="88">
        <f t="shared" si="187"/>
        <v>0</v>
      </c>
      <c r="DC23" s="88">
        <f t="shared" si="187"/>
        <v>0</v>
      </c>
      <c r="DD23" s="88">
        <f t="shared" si="187"/>
        <v>0</v>
      </c>
      <c r="DE23" s="88">
        <f t="shared" si="187"/>
        <v>0</v>
      </c>
      <c r="DF23" s="88">
        <f t="shared" si="187"/>
        <v>0</v>
      </c>
      <c r="DG23" s="88">
        <f t="shared" si="187"/>
        <v>0</v>
      </c>
      <c r="DH23" s="88">
        <f t="shared" si="187"/>
        <v>0</v>
      </c>
      <c r="DI23" s="88">
        <f t="shared" si="187"/>
        <v>0</v>
      </c>
      <c r="DJ23" s="88">
        <f t="shared" si="187"/>
        <v>0</v>
      </c>
      <c r="DK23" s="88">
        <f t="shared" si="187"/>
        <v>0</v>
      </c>
      <c r="DL23" s="88">
        <f t="shared" si="187"/>
        <v>0</v>
      </c>
      <c r="DM23" s="88">
        <f t="shared" si="187"/>
        <v>0</v>
      </c>
      <c r="DN23" s="88">
        <f t="shared" si="187"/>
        <v>0</v>
      </c>
      <c r="DO23" s="88">
        <f t="shared" si="187"/>
        <v>0</v>
      </c>
      <c r="DP23" s="88">
        <f t="shared" si="187"/>
        <v>0</v>
      </c>
      <c r="DQ23" s="88">
        <f t="shared" si="187"/>
        <v>0</v>
      </c>
      <c r="DR23" s="88">
        <f t="shared" si="187"/>
        <v>0</v>
      </c>
      <c r="DS23" s="88">
        <f t="shared" si="187"/>
        <v>0</v>
      </c>
      <c r="DT23" s="88">
        <f t="shared" si="187"/>
        <v>0</v>
      </c>
      <c r="DU23" s="88">
        <f t="shared" si="187"/>
        <v>0</v>
      </c>
      <c r="DV23" s="88">
        <f t="shared" ref="DV23:EY23" si="188">0</f>
        <v>0</v>
      </c>
      <c r="DW23" s="88">
        <f t="shared" si="188"/>
        <v>0</v>
      </c>
      <c r="DX23" s="88">
        <f t="shared" si="188"/>
        <v>0</v>
      </c>
      <c r="DY23" s="88">
        <f t="shared" si="188"/>
        <v>0</v>
      </c>
      <c r="DZ23" s="88">
        <f t="shared" si="188"/>
        <v>0</v>
      </c>
      <c r="EA23" s="88">
        <f t="shared" si="188"/>
        <v>0</v>
      </c>
      <c r="EB23" s="88">
        <f t="shared" si="188"/>
        <v>0</v>
      </c>
      <c r="EC23" s="88">
        <f t="shared" si="188"/>
        <v>0</v>
      </c>
      <c r="ED23" s="88">
        <f t="shared" si="188"/>
        <v>0</v>
      </c>
      <c r="EE23" s="88">
        <f t="shared" si="188"/>
        <v>0</v>
      </c>
      <c r="EF23" s="88">
        <f t="shared" si="188"/>
        <v>0</v>
      </c>
      <c r="EG23" s="88">
        <f t="shared" si="188"/>
        <v>0</v>
      </c>
      <c r="EH23" s="88">
        <f t="shared" si="188"/>
        <v>0</v>
      </c>
      <c r="EI23" s="88">
        <f t="shared" si="188"/>
        <v>0</v>
      </c>
      <c r="EJ23" s="88">
        <f t="shared" si="188"/>
        <v>0</v>
      </c>
      <c r="EK23" s="88">
        <f t="shared" si="188"/>
        <v>0</v>
      </c>
      <c r="EL23" s="88">
        <f t="shared" si="188"/>
        <v>0</v>
      </c>
      <c r="EM23" s="88">
        <f t="shared" si="188"/>
        <v>0</v>
      </c>
      <c r="EN23" s="88">
        <f t="shared" si="188"/>
        <v>0</v>
      </c>
      <c r="EO23" s="88">
        <f t="shared" si="188"/>
        <v>0</v>
      </c>
      <c r="EP23" s="88">
        <f t="shared" si="188"/>
        <v>0</v>
      </c>
      <c r="EQ23" s="88">
        <f t="shared" si="188"/>
        <v>0</v>
      </c>
      <c r="ER23" s="88">
        <f t="shared" si="188"/>
        <v>0</v>
      </c>
      <c r="ES23" s="88">
        <f t="shared" si="188"/>
        <v>0</v>
      </c>
      <c r="ET23" s="88">
        <f t="shared" si="188"/>
        <v>0</v>
      </c>
      <c r="EU23" s="88">
        <f t="shared" si="188"/>
        <v>0</v>
      </c>
      <c r="EV23" s="88">
        <f t="shared" si="188"/>
        <v>0</v>
      </c>
      <c r="EW23" s="88">
        <f t="shared" si="188"/>
        <v>0</v>
      </c>
      <c r="EX23" s="88">
        <f t="shared" si="188"/>
        <v>0</v>
      </c>
      <c r="EY23" s="88">
        <f t="shared" si="188"/>
        <v>0</v>
      </c>
    </row>
    <row r="24">
      <c r="A24" s="181" t="s">
        <v>200</v>
      </c>
      <c r="B24" s="10">
        <f t="shared" ref="B24:O24" si="189">0</f>
        <v>0</v>
      </c>
      <c r="C24" s="10">
        <f t="shared" si="189"/>
        <v>0</v>
      </c>
      <c r="D24" s="10">
        <f t="shared" si="189"/>
        <v>0</v>
      </c>
      <c r="E24" s="88">
        <f t="shared" si="189"/>
        <v>0</v>
      </c>
      <c r="F24" s="123">
        <f t="shared" si="189"/>
        <v>0</v>
      </c>
      <c r="G24" s="205">
        <f t="shared" si="189"/>
        <v>0</v>
      </c>
      <c r="H24" s="88">
        <f t="shared" si="189"/>
        <v>0</v>
      </c>
      <c r="I24" s="88">
        <f t="shared" si="189"/>
        <v>0</v>
      </c>
      <c r="J24" s="88">
        <f t="shared" si="189"/>
        <v>0</v>
      </c>
      <c r="K24" s="88">
        <f t="shared" si="189"/>
        <v>0</v>
      </c>
      <c r="L24" s="88">
        <f t="shared" si="189"/>
        <v>0</v>
      </c>
      <c r="M24" s="88">
        <f t="shared" si="189"/>
        <v>0</v>
      </c>
      <c r="N24" s="88">
        <f t="shared" si="189"/>
        <v>0</v>
      </c>
      <c r="O24" s="88">
        <f t="shared" si="189"/>
        <v>0</v>
      </c>
      <c r="P24" s="88" t="str">
        <f>IFERROR(__xludf.DUMMYFUNCTION("6 + (REGEXEXTRACT(INDIRECT(ADDRESS(ROW() - 22, COLUMN())), ""[\d]"") - 1) * 1.5"),"#N/A")</f>
        <v>#N/A</v>
      </c>
      <c r="Q24" s="88">
        <f t="shared" ref="Q24:AD24" si="190">0</f>
        <v>0</v>
      </c>
      <c r="R24" s="88">
        <f t="shared" si="190"/>
        <v>0</v>
      </c>
      <c r="S24" s="88">
        <f t="shared" si="190"/>
        <v>0</v>
      </c>
      <c r="T24" s="88">
        <f t="shared" si="190"/>
        <v>0</v>
      </c>
      <c r="U24" s="88">
        <f t="shared" si="190"/>
        <v>0</v>
      </c>
      <c r="V24" s="88">
        <f t="shared" si="190"/>
        <v>0</v>
      </c>
      <c r="W24" s="88">
        <f t="shared" si="190"/>
        <v>0</v>
      </c>
      <c r="X24" s="88">
        <f t="shared" si="190"/>
        <v>0</v>
      </c>
      <c r="Y24" s="88">
        <f t="shared" si="190"/>
        <v>0</v>
      </c>
      <c r="Z24" s="88">
        <f t="shared" si="190"/>
        <v>0</v>
      </c>
      <c r="AA24" s="88">
        <f t="shared" si="190"/>
        <v>0</v>
      </c>
      <c r="AB24" s="88">
        <f t="shared" si="190"/>
        <v>0</v>
      </c>
      <c r="AC24" s="88">
        <f t="shared" si="190"/>
        <v>0</v>
      </c>
      <c r="AD24" s="88">
        <f t="shared" si="190"/>
        <v>0</v>
      </c>
      <c r="AE24" s="196" t="str">
        <f>IFERROR(__xludf.DUMMYFUNCTION("24 + (REGEXEXTRACT(INDIRECT(ADDRESS(ROW() - 22, COLUMN())), ""[\d]"") - 1) * 6"),"#N/A")</f>
        <v>#N/A</v>
      </c>
      <c r="AF24" s="88">
        <f t="shared" ref="AF24:AS24" si="191">0</f>
        <v>0</v>
      </c>
      <c r="AG24" s="88">
        <f t="shared" si="191"/>
        <v>0</v>
      </c>
      <c r="AH24" s="88">
        <f t="shared" si="191"/>
        <v>0</v>
      </c>
      <c r="AI24" s="88">
        <f t="shared" si="191"/>
        <v>0</v>
      </c>
      <c r="AJ24" s="88">
        <f t="shared" si="191"/>
        <v>0</v>
      </c>
      <c r="AK24" s="88">
        <f t="shared" si="191"/>
        <v>0</v>
      </c>
      <c r="AL24" s="88">
        <f t="shared" si="191"/>
        <v>0</v>
      </c>
      <c r="AM24" s="88">
        <f t="shared" si="191"/>
        <v>0</v>
      </c>
      <c r="AN24" s="88">
        <f t="shared" si="191"/>
        <v>0</v>
      </c>
      <c r="AO24" s="88">
        <f t="shared" si="191"/>
        <v>0</v>
      </c>
      <c r="AP24" s="88">
        <f t="shared" si="191"/>
        <v>0</v>
      </c>
      <c r="AQ24" s="88">
        <f t="shared" si="191"/>
        <v>0</v>
      </c>
      <c r="AR24" s="88">
        <f t="shared" si="191"/>
        <v>0</v>
      </c>
      <c r="AS24" s="88">
        <f t="shared" si="191"/>
        <v>0</v>
      </c>
      <c r="AT24" s="196" t="str">
        <f>IFERROR(__xludf.DUMMYFUNCTION("12 + (REGEXEXTRACT(INDIRECT(ADDRESS(ROW() - 22, COLUMN())), ""[\d]"") - 1) * 3"),"#N/A")</f>
        <v>#N/A</v>
      </c>
      <c r="AU24" s="88">
        <f t="shared" ref="AU24:BM24" si="192">0</f>
        <v>0</v>
      </c>
      <c r="AV24" s="88">
        <f t="shared" si="192"/>
        <v>0</v>
      </c>
      <c r="AW24" s="88">
        <f t="shared" si="192"/>
        <v>0</v>
      </c>
      <c r="AX24" s="88">
        <f t="shared" si="192"/>
        <v>0</v>
      </c>
      <c r="AY24" s="88">
        <f t="shared" si="192"/>
        <v>0</v>
      </c>
      <c r="AZ24" s="88">
        <f t="shared" si="192"/>
        <v>0</v>
      </c>
      <c r="BA24" s="88">
        <f t="shared" si="192"/>
        <v>0</v>
      </c>
      <c r="BB24" s="88">
        <f t="shared" si="192"/>
        <v>0</v>
      </c>
      <c r="BC24" s="88">
        <f t="shared" si="192"/>
        <v>0</v>
      </c>
      <c r="BD24" s="88">
        <f t="shared" si="192"/>
        <v>0</v>
      </c>
      <c r="BE24" s="88">
        <f t="shared" si="192"/>
        <v>0</v>
      </c>
      <c r="BF24" s="88">
        <f t="shared" si="192"/>
        <v>0</v>
      </c>
      <c r="BG24" s="88">
        <f t="shared" si="192"/>
        <v>0</v>
      </c>
      <c r="BH24" s="88">
        <f t="shared" si="192"/>
        <v>0</v>
      </c>
      <c r="BI24" s="88">
        <f t="shared" si="192"/>
        <v>0</v>
      </c>
      <c r="BJ24" s="88">
        <f t="shared" si="192"/>
        <v>0</v>
      </c>
      <c r="BK24" s="88">
        <f t="shared" si="192"/>
        <v>0</v>
      </c>
      <c r="BL24" s="88">
        <f t="shared" si="192"/>
        <v>0</v>
      </c>
      <c r="BM24" s="88">
        <f t="shared" si="192"/>
        <v>0</v>
      </c>
      <c r="BN24" s="88" t="str">
        <f>IFERROR(__xludf.DUMMYFUNCTION("16 + (REGEXEXTRACT(INDIRECT(ADDRESS(ROW() - 22, COLUMN())), ""[\d]"") - 1) * 4"),"#N/A")</f>
        <v>#N/A</v>
      </c>
      <c r="BO24" s="88">
        <f t="shared" ref="BO24:CK24" si="193">0</f>
        <v>0</v>
      </c>
      <c r="BP24" s="88">
        <f t="shared" si="193"/>
        <v>0</v>
      </c>
      <c r="BQ24" s="88">
        <f t="shared" si="193"/>
        <v>0</v>
      </c>
      <c r="BR24" s="88">
        <f t="shared" si="193"/>
        <v>0</v>
      </c>
      <c r="BS24" s="88">
        <f t="shared" si="193"/>
        <v>0</v>
      </c>
      <c r="BT24" s="88">
        <f t="shared" si="193"/>
        <v>0</v>
      </c>
      <c r="BU24" s="88">
        <f t="shared" si="193"/>
        <v>0</v>
      </c>
      <c r="BV24" s="88">
        <f t="shared" si="193"/>
        <v>0</v>
      </c>
      <c r="BW24" s="88">
        <f t="shared" si="193"/>
        <v>0</v>
      </c>
      <c r="BX24" s="88">
        <f t="shared" si="193"/>
        <v>0</v>
      </c>
      <c r="BY24" s="88">
        <f t="shared" si="193"/>
        <v>0</v>
      </c>
      <c r="BZ24" s="88">
        <f t="shared" si="193"/>
        <v>0</v>
      </c>
      <c r="CA24" s="88">
        <f t="shared" si="193"/>
        <v>0</v>
      </c>
      <c r="CB24" s="88">
        <f t="shared" si="193"/>
        <v>0</v>
      </c>
      <c r="CC24" s="88">
        <f t="shared" si="193"/>
        <v>0</v>
      </c>
      <c r="CD24" s="88">
        <f t="shared" si="193"/>
        <v>0</v>
      </c>
      <c r="CE24" s="88">
        <f t="shared" si="193"/>
        <v>0</v>
      </c>
      <c r="CF24" s="88">
        <f t="shared" si="193"/>
        <v>0</v>
      </c>
      <c r="CG24" s="88">
        <f t="shared" si="193"/>
        <v>0</v>
      </c>
      <c r="CH24" s="88">
        <f t="shared" si="193"/>
        <v>0</v>
      </c>
      <c r="CI24" s="88">
        <f t="shared" si="193"/>
        <v>0</v>
      </c>
      <c r="CJ24" s="88">
        <f t="shared" si="193"/>
        <v>0</v>
      </c>
      <c r="CK24" s="88">
        <f t="shared" si="193"/>
        <v>0</v>
      </c>
      <c r="CL24" s="88" t="str">
        <f>IFERROR(__xludf.DUMMYFUNCTION("6 + (REGEXEXTRACT(INDIRECT(ADDRESS(ROW() - 22, COLUMN())), ""[\d]"") - 1) * 1.5"),"#N/A")</f>
        <v>#N/A</v>
      </c>
      <c r="CM24" s="88">
        <f t="shared" ref="CM24:DJ24" si="194">0</f>
        <v>0</v>
      </c>
      <c r="CN24" s="88">
        <f t="shared" si="194"/>
        <v>0</v>
      </c>
      <c r="CO24" s="88">
        <f t="shared" si="194"/>
        <v>0</v>
      </c>
      <c r="CP24" s="88">
        <f t="shared" si="194"/>
        <v>0</v>
      </c>
      <c r="CQ24" s="88">
        <f t="shared" si="194"/>
        <v>0</v>
      </c>
      <c r="CR24" s="88">
        <f t="shared" si="194"/>
        <v>0</v>
      </c>
      <c r="CS24" s="88">
        <f t="shared" si="194"/>
        <v>0</v>
      </c>
      <c r="CT24" s="88">
        <f t="shared" si="194"/>
        <v>0</v>
      </c>
      <c r="CU24" s="88">
        <f t="shared" si="194"/>
        <v>0</v>
      </c>
      <c r="CV24" s="88">
        <f t="shared" si="194"/>
        <v>0</v>
      </c>
      <c r="CW24" s="88">
        <f t="shared" si="194"/>
        <v>0</v>
      </c>
      <c r="CX24" s="88">
        <f t="shared" si="194"/>
        <v>0</v>
      </c>
      <c r="CY24" s="88">
        <f t="shared" si="194"/>
        <v>0</v>
      </c>
      <c r="CZ24" s="88">
        <f t="shared" si="194"/>
        <v>0</v>
      </c>
      <c r="DA24" s="88">
        <f t="shared" si="194"/>
        <v>0</v>
      </c>
      <c r="DB24" s="88">
        <f t="shared" si="194"/>
        <v>0</v>
      </c>
      <c r="DC24" s="88">
        <f t="shared" si="194"/>
        <v>0</v>
      </c>
      <c r="DD24" s="88">
        <f t="shared" si="194"/>
        <v>0</v>
      </c>
      <c r="DE24" s="88">
        <f t="shared" si="194"/>
        <v>0</v>
      </c>
      <c r="DF24" s="88">
        <f t="shared" si="194"/>
        <v>0</v>
      </c>
      <c r="DG24" s="88">
        <f t="shared" si="194"/>
        <v>0</v>
      </c>
      <c r="DH24" s="88">
        <f t="shared" si="194"/>
        <v>0</v>
      </c>
      <c r="DI24" s="88">
        <f t="shared" si="194"/>
        <v>0</v>
      </c>
      <c r="DJ24" s="88">
        <f t="shared" si="194"/>
        <v>0</v>
      </c>
      <c r="DK24" s="10">
        <f>0</f>
        <v>0</v>
      </c>
      <c r="DL24" s="88">
        <f t="shared" ref="DL24:DU24" si="195">0</f>
        <v>0</v>
      </c>
      <c r="DM24" s="88">
        <f t="shared" si="195"/>
        <v>0</v>
      </c>
      <c r="DN24" s="88">
        <f t="shared" si="195"/>
        <v>0</v>
      </c>
      <c r="DO24" s="88">
        <f t="shared" si="195"/>
        <v>0</v>
      </c>
      <c r="DP24" s="88">
        <f t="shared" si="195"/>
        <v>0</v>
      </c>
      <c r="DQ24" s="88">
        <f t="shared" si="195"/>
        <v>0</v>
      </c>
      <c r="DR24" s="88">
        <f t="shared" si="195"/>
        <v>0</v>
      </c>
      <c r="DS24" s="88">
        <f t="shared" si="195"/>
        <v>0</v>
      </c>
      <c r="DT24" s="88">
        <f t="shared" si="195"/>
        <v>0</v>
      </c>
      <c r="DU24" s="88">
        <f t="shared" si="195"/>
        <v>0</v>
      </c>
      <c r="DV24" s="88">
        <f t="shared" ref="DV24:ED24" si="196">0</f>
        <v>0</v>
      </c>
      <c r="DW24" s="88">
        <f t="shared" si="196"/>
        <v>0</v>
      </c>
      <c r="DX24" s="88">
        <f t="shared" si="196"/>
        <v>0</v>
      </c>
      <c r="DY24" s="88">
        <f t="shared" si="196"/>
        <v>0</v>
      </c>
      <c r="DZ24" s="88">
        <f t="shared" si="196"/>
        <v>0</v>
      </c>
      <c r="EA24" s="88">
        <f t="shared" si="196"/>
        <v>0</v>
      </c>
      <c r="EB24" s="88">
        <f t="shared" si="196"/>
        <v>0</v>
      </c>
      <c r="EC24" s="88">
        <f t="shared" si="196"/>
        <v>0</v>
      </c>
      <c r="ED24" s="88">
        <f t="shared" si="196"/>
        <v>0</v>
      </c>
      <c r="EE24" s="88" t="str">
        <f>IFERROR(__xludf.DUMMYFUNCTION("16 + (REGEXEXTRACT(INDIRECT(ADDRESS(ROW() - 22, COLUMN())), ""[\d]"") - 1) * 4"),"#N/A")</f>
        <v>#N/A</v>
      </c>
      <c r="EF24" s="88">
        <f t="shared" ref="EF24:EY24" si="197">0</f>
        <v>0</v>
      </c>
      <c r="EG24" s="88">
        <f t="shared" si="197"/>
        <v>0</v>
      </c>
      <c r="EH24" s="88">
        <f t="shared" si="197"/>
        <v>0</v>
      </c>
      <c r="EI24" s="88">
        <f t="shared" si="197"/>
        <v>0</v>
      </c>
      <c r="EJ24" s="88">
        <f t="shared" si="197"/>
        <v>0</v>
      </c>
      <c r="EK24" s="88">
        <f t="shared" si="197"/>
        <v>0</v>
      </c>
      <c r="EL24" s="88">
        <f t="shared" si="197"/>
        <v>0</v>
      </c>
      <c r="EM24" s="88">
        <f t="shared" si="197"/>
        <v>0</v>
      </c>
      <c r="EN24" s="88">
        <f t="shared" si="197"/>
        <v>0</v>
      </c>
      <c r="EO24" s="88">
        <f t="shared" si="197"/>
        <v>0</v>
      </c>
      <c r="EP24" s="88">
        <f t="shared" si="197"/>
        <v>0</v>
      </c>
      <c r="EQ24" s="88">
        <f t="shared" si="197"/>
        <v>0</v>
      </c>
      <c r="ER24" s="88">
        <f t="shared" si="197"/>
        <v>0</v>
      </c>
      <c r="ES24" s="88">
        <f t="shared" si="197"/>
        <v>0</v>
      </c>
      <c r="ET24" s="88">
        <f t="shared" si="197"/>
        <v>0</v>
      </c>
      <c r="EU24" s="88">
        <f t="shared" si="197"/>
        <v>0</v>
      </c>
      <c r="EV24" s="88">
        <f t="shared" si="197"/>
        <v>0</v>
      </c>
      <c r="EW24" s="88">
        <f t="shared" si="197"/>
        <v>0</v>
      </c>
      <c r="EX24" s="88">
        <f t="shared" si="197"/>
        <v>0</v>
      </c>
      <c r="EY24" s="88">
        <f t="shared" si="197"/>
        <v>0</v>
      </c>
    </row>
    <row r="25">
      <c r="A25" s="181" t="s">
        <v>201</v>
      </c>
      <c r="B25" s="10">
        <f t="shared" ref="B25:F25" si="198">0</f>
        <v>0</v>
      </c>
      <c r="C25" s="10">
        <f t="shared" si="198"/>
        <v>0</v>
      </c>
      <c r="D25" s="10">
        <f t="shared" si="198"/>
        <v>0</v>
      </c>
      <c r="E25" s="88">
        <f t="shared" si="198"/>
        <v>0</v>
      </c>
      <c r="F25" s="123">
        <f t="shared" si="198"/>
        <v>0</v>
      </c>
      <c r="G25" s="205" t="str">
        <f>IFERROR(__xludf.DUMMYFUNCTION("MIN(40 + (REGEXEXTRACT(INDIRECT(ADDRESS(ROW() - 23, COLUMN())), ""[\d]"") - 1) * 10, (0.12 + (REGEXEXTRACT(INDIRECT(ADDRESS(ROW() - 23, COLUMN())), ""[\d]"") - 1) * 0.03) * $O$3)"),"#N/A")</f>
        <v>#N/A</v>
      </c>
      <c r="H25" s="88">
        <f t="shared" ref="H25:P25" si="199">0</f>
        <v>0</v>
      </c>
      <c r="I25" s="88">
        <f t="shared" si="199"/>
        <v>0</v>
      </c>
      <c r="J25" s="88">
        <f t="shared" si="199"/>
        <v>0</v>
      </c>
      <c r="K25" s="88">
        <f t="shared" si="199"/>
        <v>0</v>
      </c>
      <c r="L25" s="88">
        <f t="shared" si="199"/>
        <v>0</v>
      </c>
      <c r="M25" s="88">
        <f t="shared" si="199"/>
        <v>0</v>
      </c>
      <c r="N25" s="88">
        <f t="shared" si="199"/>
        <v>0</v>
      </c>
      <c r="O25" s="88">
        <f t="shared" si="199"/>
        <v>0</v>
      </c>
      <c r="P25" s="88">
        <f t="shared" si="199"/>
        <v>0</v>
      </c>
      <c r="Q25" s="88" t="str">
        <f>IFERROR(__xludf.DUMMYFUNCTION("16 + (REGEXEXTRACT(INDIRECT(ADDRESS(ROW() - 23, COLUMN())), ""[\d]"") - 1) * 4"),"#N/A")</f>
        <v>#N/A</v>
      </c>
      <c r="R25" s="88">
        <f t="shared" ref="R25:AA25" si="200">0</f>
        <v>0</v>
      </c>
      <c r="S25" s="88">
        <f t="shared" si="200"/>
        <v>0</v>
      </c>
      <c r="T25" s="88">
        <f t="shared" si="200"/>
        <v>0</v>
      </c>
      <c r="U25" s="88">
        <f t="shared" si="200"/>
        <v>0</v>
      </c>
      <c r="V25" s="88">
        <f t="shared" si="200"/>
        <v>0</v>
      </c>
      <c r="W25" s="88">
        <f t="shared" si="200"/>
        <v>0</v>
      </c>
      <c r="X25" s="88">
        <f t="shared" si="200"/>
        <v>0</v>
      </c>
      <c r="Y25" s="88">
        <f t="shared" si="200"/>
        <v>0</v>
      </c>
      <c r="Z25" s="88">
        <f t="shared" si="200"/>
        <v>0</v>
      </c>
      <c r="AA25" s="88">
        <f t="shared" si="200"/>
        <v>0</v>
      </c>
      <c r="AB25" s="88" t="str">
        <f>IFERROR(__xludf.DUMMYFUNCTION("MIN(40 + (REGEXEXTRACT(INDIRECT(ADDRESS(ROW() - 23, COLUMN())), ""[\d]"") - 1) * 10, (0.12 + (REGEXEXTRACT(INDIRECT(ADDRESS(ROW() - 23, COLUMN())), ""[\d]"") - 1) * 0.03) * $O$3)"),"#N/A")</f>
        <v>#N/A</v>
      </c>
      <c r="AC25" s="88">
        <f t="shared" ref="AC25:AD25" si="201">0</f>
        <v>0</v>
      </c>
      <c r="AD25" s="88">
        <f t="shared" si="201"/>
        <v>0</v>
      </c>
      <c r="AE25" s="196" t="str">
        <f>IFERROR(__xludf.DUMMYFUNCTION("24 + (REGEXEXTRACT(INDIRECT(ADDRESS(ROW() - 23, COLUMN())), ""[\d]"") - 1) * 6"),"#N/A")</f>
        <v>#N/A</v>
      </c>
      <c r="AF25" s="88">
        <f t="shared" ref="AF25:AS25" si="202">0</f>
        <v>0</v>
      </c>
      <c r="AG25" s="88">
        <f t="shared" si="202"/>
        <v>0</v>
      </c>
      <c r="AH25" s="88">
        <f t="shared" si="202"/>
        <v>0</v>
      </c>
      <c r="AI25" s="88">
        <f t="shared" si="202"/>
        <v>0</v>
      </c>
      <c r="AJ25" s="88">
        <f t="shared" si="202"/>
        <v>0</v>
      </c>
      <c r="AK25" s="88">
        <f t="shared" si="202"/>
        <v>0</v>
      </c>
      <c r="AL25" s="88">
        <f t="shared" si="202"/>
        <v>0</v>
      </c>
      <c r="AM25" s="88">
        <f t="shared" si="202"/>
        <v>0</v>
      </c>
      <c r="AN25" s="88">
        <f t="shared" si="202"/>
        <v>0</v>
      </c>
      <c r="AO25" s="88">
        <f t="shared" si="202"/>
        <v>0</v>
      </c>
      <c r="AP25" s="88">
        <f t="shared" si="202"/>
        <v>0</v>
      </c>
      <c r="AQ25" s="88">
        <f t="shared" si="202"/>
        <v>0</v>
      </c>
      <c r="AR25" s="88">
        <f t="shared" si="202"/>
        <v>0</v>
      </c>
      <c r="AS25" s="88">
        <f t="shared" si="202"/>
        <v>0</v>
      </c>
      <c r="AT25" s="196" t="str">
        <f>IFERROR(__xludf.DUMMYFUNCTION("12 + (REGEXEXTRACT(INDIRECT(ADDRESS(ROW() - 23, COLUMN())), ""[\d]"") - 1) * 3"),"#N/A")</f>
        <v>#N/A</v>
      </c>
      <c r="AU25" s="88">
        <f t="shared" ref="AU25:BY25" si="203">0</f>
        <v>0</v>
      </c>
      <c r="AV25" s="88">
        <f t="shared" si="203"/>
        <v>0</v>
      </c>
      <c r="AW25" s="88">
        <f t="shared" si="203"/>
        <v>0</v>
      </c>
      <c r="AX25" s="88">
        <f t="shared" si="203"/>
        <v>0</v>
      </c>
      <c r="AY25" s="88">
        <f t="shared" si="203"/>
        <v>0</v>
      </c>
      <c r="AZ25" s="88">
        <f t="shared" si="203"/>
        <v>0</v>
      </c>
      <c r="BA25" s="88">
        <f t="shared" si="203"/>
        <v>0</v>
      </c>
      <c r="BB25" s="88">
        <f t="shared" si="203"/>
        <v>0</v>
      </c>
      <c r="BC25" s="88">
        <f t="shared" si="203"/>
        <v>0</v>
      </c>
      <c r="BD25" s="88">
        <f t="shared" si="203"/>
        <v>0</v>
      </c>
      <c r="BE25" s="88">
        <f t="shared" si="203"/>
        <v>0</v>
      </c>
      <c r="BF25" s="88">
        <f t="shared" si="203"/>
        <v>0</v>
      </c>
      <c r="BG25" s="88">
        <f t="shared" si="203"/>
        <v>0</v>
      </c>
      <c r="BH25" s="88">
        <f t="shared" si="203"/>
        <v>0</v>
      </c>
      <c r="BI25" s="88">
        <f t="shared" si="203"/>
        <v>0</v>
      </c>
      <c r="BJ25" s="88">
        <f t="shared" si="203"/>
        <v>0</v>
      </c>
      <c r="BK25" s="88">
        <f t="shared" si="203"/>
        <v>0</v>
      </c>
      <c r="BL25" s="88">
        <f t="shared" si="203"/>
        <v>0</v>
      </c>
      <c r="BM25" s="88">
        <f t="shared" si="203"/>
        <v>0</v>
      </c>
      <c r="BN25" s="88">
        <f t="shared" si="203"/>
        <v>0</v>
      </c>
      <c r="BO25" s="88">
        <f t="shared" si="203"/>
        <v>0</v>
      </c>
      <c r="BP25" s="88">
        <f t="shared" si="203"/>
        <v>0</v>
      </c>
      <c r="BQ25" s="88">
        <f t="shared" si="203"/>
        <v>0</v>
      </c>
      <c r="BR25" s="88">
        <f t="shared" si="203"/>
        <v>0</v>
      </c>
      <c r="BS25" s="88">
        <f t="shared" si="203"/>
        <v>0</v>
      </c>
      <c r="BT25" s="88">
        <f t="shared" si="203"/>
        <v>0</v>
      </c>
      <c r="BU25" s="88">
        <f t="shared" si="203"/>
        <v>0</v>
      </c>
      <c r="BV25" s="88">
        <f t="shared" si="203"/>
        <v>0</v>
      </c>
      <c r="BW25" s="88">
        <f t="shared" si="203"/>
        <v>0</v>
      </c>
      <c r="BX25" s="88">
        <f t="shared" si="203"/>
        <v>0</v>
      </c>
      <c r="BY25" s="88">
        <f t="shared" si="203"/>
        <v>0</v>
      </c>
      <c r="BZ25" s="88" t="str">
        <f>IFERROR(__xludf.DUMMYFUNCTION("MIN(40 + (REGEXEXTRACT(INDIRECT(ADDRESS(ROW() - 23, COLUMN())), ""[\d]"") - 1) * 10, (0.12 + (REGEXEXTRACT(INDIRECT(ADDRESS(ROW() - 23, COLUMN())), ""[\d]"") - 1) * 0.03) * $O$3)"),"#N/A")</f>
        <v>#N/A</v>
      </c>
      <c r="CA25" s="88">
        <f t="shared" ref="CA25:CL25" si="204">0</f>
        <v>0</v>
      </c>
      <c r="CB25" s="88">
        <f t="shared" si="204"/>
        <v>0</v>
      </c>
      <c r="CC25" s="88">
        <f t="shared" si="204"/>
        <v>0</v>
      </c>
      <c r="CD25" s="88">
        <f t="shared" si="204"/>
        <v>0</v>
      </c>
      <c r="CE25" s="88">
        <f t="shared" si="204"/>
        <v>0</v>
      </c>
      <c r="CF25" s="88">
        <f t="shared" si="204"/>
        <v>0</v>
      </c>
      <c r="CG25" s="88">
        <f t="shared" si="204"/>
        <v>0</v>
      </c>
      <c r="CH25" s="88">
        <f t="shared" si="204"/>
        <v>0</v>
      </c>
      <c r="CI25" s="88">
        <f t="shared" si="204"/>
        <v>0</v>
      </c>
      <c r="CJ25" s="88">
        <f t="shared" si="204"/>
        <v>0</v>
      </c>
      <c r="CK25" s="88">
        <f t="shared" si="204"/>
        <v>0</v>
      </c>
      <c r="CL25" s="88">
        <f t="shared" si="204"/>
        <v>0</v>
      </c>
      <c r="CM25" s="88" t="str">
        <f>IFERROR(__xludf.DUMMYFUNCTION("12 + (REGEXEXTRACT(INDIRECT(ADDRESS(ROW() - 23, COLUMN())), ""[\d]"") - 1) * 3"),"#N/A")</f>
        <v>#N/A</v>
      </c>
      <c r="CN25" s="88">
        <f t="shared" ref="CN25:DU25" si="205">0</f>
        <v>0</v>
      </c>
      <c r="CO25" s="88">
        <f t="shared" si="205"/>
        <v>0</v>
      </c>
      <c r="CP25" s="88">
        <f t="shared" si="205"/>
        <v>0</v>
      </c>
      <c r="CQ25" s="88">
        <f t="shared" si="205"/>
        <v>0</v>
      </c>
      <c r="CR25" s="88">
        <f t="shared" si="205"/>
        <v>0</v>
      </c>
      <c r="CS25" s="88">
        <f t="shared" si="205"/>
        <v>0</v>
      </c>
      <c r="CT25" s="88">
        <f t="shared" si="205"/>
        <v>0</v>
      </c>
      <c r="CU25" s="88">
        <f t="shared" si="205"/>
        <v>0</v>
      </c>
      <c r="CV25" s="88">
        <f t="shared" si="205"/>
        <v>0</v>
      </c>
      <c r="CW25" s="88">
        <f t="shared" si="205"/>
        <v>0</v>
      </c>
      <c r="CX25" s="88">
        <f t="shared" si="205"/>
        <v>0</v>
      </c>
      <c r="CY25" s="88">
        <f t="shared" si="205"/>
        <v>0</v>
      </c>
      <c r="CZ25" s="88">
        <f t="shared" si="205"/>
        <v>0</v>
      </c>
      <c r="DA25" s="88">
        <f t="shared" si="205"/>
        <v>0</v>
      </c>
      <c r="DB25" s="88">
        <f t="shared" si="205"/>
        <v>0</v>
      </c>
      <c r="DC25" s="88">
        <f t="shared" si="205"/>
        <v>0</v>
      </c>
      <c r="DD25" s="88">
        <f t="shared" si="205"/>
        <v>0</v>
      </c>
      <c r="DE25" s="88">
        <f t="shared" si="205"/>
        <v>0</v>
      </c>
      <c r="DF25" s="88">
        <f t="shared" si="205"/>
        <v>0</v>
      </c>
      <c r="DG25" s="88">
        <f t="shared" si="205"/>
        <v>0</v>
      </c>
      <c r="DH25" s="88">
        <f t="shared" si="205"/>
        <v>0</v>
      </c>
      <c r="DI25" s="88">
        <f t="shared" si="205"/>
        <v>0</v>
      </c>
      <c r="DJ25" s="88">
        <f t="shared" si="205"/>
        <v>0</v>
      </c>
      <c r="DK25" s="88">
        <f t="shared" si="205"/>
        <v>0</v>
      </c>
      <c r="DL25" s="88">
        <f t="shared" si="205"/>
        <v>0</v>
      </c>
      <c r="DM25" s="88">
        <f t="shared" si="205"/>
        <v>0</v>
      </c>
      <c r="DN25" s="88">
        <f t="shared" si="205"/>
        <v>0</v>
      </c>
      <c r="DO25" s="88">
        <f t="shared" si="205"/>
        <v>0</v>
      </c>
      <c r="DP25" s="88">
        <f t="shared" si="205"/>
        <v>0</v>
      </c>
      <c r="DQ25" s="88">
        <f t="shared" si="205"/>
        <v>0</v>
      </c>
      <c r="DR25" s="88">
        <f t="shared" si="205"/>
        <v>0</v>
      </c>
      <c r="DS25" s="88">
        <f t="shared" si="205"/>
        <v>0</v>
      </c>
      <c r="DT25" s="88">
        <f t="shared" si="205"/>
        <v>0</v>
      </c>
      <c r="DU25" s="88">
        <f t="shared" si="205"/>
        <v>0</v>
      </c>
      <c r="DV25" s="88">
        <f t="shared" ref="DV25:ED25" si="206">0</f>
        <v>0</v>
      </c>
      <c r="DW25" s="88">
        <f t="shared" si="206"/>
        <v>0</v>
      </c>
      <c r="DX25" s="88">
        <f t="shared" si="206"/>
        <v>0</v>
      </c>
      <c r="DY25" s="88">
        <f t="shared" si="206"/>
        <v>0</v>
      </c>
      <c r="DZ25" s="88">
        <f t="shared" si="206"/>
        <v>0</v>
      </c>
      <c r="EA25" s="88">
        <f t="shared" si="206"/>
        <v>0</v>
      </c>
      <c r="EB25" s="88">
        <f t="shared" si="206"/>
        <v>0</v>
      </c>
      <c r="EC25" s="88">
        <f t="shared" si="206"/>
        <v>0</v>
      </c>
      <c r="ED25" s="88">
        <f t="shared" si="206"/>
        <v>0</v>
      </c>
      <c r="EE25" s="88" t="str">
        <f>IFERROR(__xludf.DUMMYFUNCTION("16 + (REGEXEXTRACT(INDIRECT(ADDRESS(ROW() - 23, COLUMN())), ""[\d]"") - 1) * 4"),"#N/A")</f>
        <v>#N/A</v>
      </c>
      <c r="EF25" s="88">
        <f t="shared" ref="EF25:EY25" si="207">0</f>
        <v>0</v>
      </c>
      <c r="EG25" s="88">
        <f t="shared" si="207"/>
        <v>0</v>
      </c>
      <c r="EH25" s="88">
        <f t="shared" si="207"/>
        <v>0</v>
      </c>
      <c r="EI25" s="88">
        <f t="shared" si="207"/>
        <v>0</v>
      </c>
      <c r="EJ25" s="88">
        <f t="shared" si="207"/>
        <v>0</v>
      </c>
      <c r="EK25" s="88">
        <f t="shared" si="207"/>
        <v>0</v>
      </c>
      <c r="EL25" s="88">
        <f t="shared" si="207"/>
        <v>0</v>
      </c>
      <c r="EM25" s="88">
        <f t="shared" si="207"/>
        <v>0</v>
      </c>
      <c r="EN25" s="88">
        <f t="shared" si="207"/>
        <v>0</v>
      </c>
      <c r="EO25" s="88">
        <f t="shared" si="207"/>
        <v>0</v>
      </c>
      <c r="EP25" s="88">
        <f t="shared" si="207"/>
        <v>0</v>
      </c>
      <c r="EQ25" s="88">
        <f t="shared" si="207"/>
        <v>0</v>
      </c>
      <c r="ER25" s="88">
        <f t="shared" si="207"/>
        <v>0</v>
      </c>
      <c r="ES25" s="88">
        <f t="shared" si="207"/>
        <v>0</v>
      </c>
      <c r="ET25" s="88">
        <f t="shared" si="207"/>
        <v>0</v>
      </c>
      <c r="EU25" s="88">
        <f t="shared" si="207"/>
        <v>0</v>
      </c>
      <c r="EV25" s="88">
        <f t="shared" si="207"/>
        <v>0</v>
      </c>
      <c r="EW25" s="88">
        <f t="shared" si="207"/>
        <v>0</v>
      </c>
      <c r="EX25" s="88">
        <f t="shared" si="207"/>
        <v>0</v>
      </c>
      <c r="EY25" s="88">
        <f t="shared" si="207"/>
        <v>0</v>
      </c>
    </row>
    <row r="26">
      <c r="A26" s="181" t="s">
        <v>202</v>
      </c>
      <c r="B26" s="10">
        <f t="shared" ref="B26:E26" si="208">0</f>
        <v>0</v>
      </c>
      <c r="C26" s="10">
        <f t="shared" si="208"/>
        <v>0</v>
      </c>
      <c r="D26" s="10">
        <f t="shared" si="208"/>
        <v>0</v>
      </c>
      <c r="E26" s="88">
        <f t="shared" si="208"/>
        <v>0</v>
      </c>
      <c r="F26" s="123" t="str">
        <f>IFERROR(__xludf.DUMMYFUNCTION("24 + (REGEXEXTRACT(INDIRECT(ADDRESS(ROW() - 24, COLUMN())), ""[\d]"") - 1) * 6"),"#N/A")</f>
        <v>#N/A</v>
      </c>
      <c r="G26" s="205">
        <f t="shared" ref="G26:AC26" si="209">0</f>
        <v>0</v>
      </c>
      <c r="H26" s="88">
        <f t="shared" si="209"/>
        <v>0</v>
      </c>
      <c r="I26" s="88">
        <f t="shared" si="209"/>
        <v>0</v>
      </c>
      <c r="J26" s="88">
        <f t="shared" si="209"/>
        <v>0</v>
      </c>
      <c r="K26" s="88">
        <f t="shared" si="209"/>
        <v>0</v>
      </c>
      <c r="L26" s="88">
        <f t="shared" si="209"/>
        <v>0</v>
      </c>
      <c r="M26" s="88">
        <f t="shared" si="209"/>
        <v>0</v>
      </c>
      <c r="N26" s="88">
        <f t="shared" si="209"/>
        <v>0</v>
      </c>
      <c r="O26" s="88">
        <f t="shared" si="209"/>
        <v>0</v>
      </c>
      <c r="P26" s="88">
        <f t="shared" si="209"/>
        <v>0</v>
      </c>
      <c r="Q26" s="88">
        <f t="shared" si="209"/>
        <v>0</v>
      </c>
      <c r="R26" s="88">
        <f t="shared" si="209"/>
        <v>0</v>
      </c>
      <c r="S26" s="88">
        <f t="shared" si="209"/>
        <v>0</v>
      </c>
      <c r="T26" s="88">
        <f t="shared" si="209"/>
        <v>0</v>
      </c>
      <c r="U26" s="88">
        <f t="shared" si="209"/>
        <v>0</v>
      </c>
      <c r="V26" s="88">
        <f t="shared" si="209"/>
        <v>0</v>
      </c>
      <c r="W26" s="88">
        <f t="shared" si="209"/>
        <v>0</v>
      </c>
      <c r="X26" s="88">
        <f t="shared" si="209"/>
        <v>0</v>
      </c>
      <c r="Y26" s="88">
        <f t="shared" si="209"/>
        <v>0</v>
      </c>
      <c r="Z26" s="88">
        <f t="shared" si="209"/>
        <v>0</v>
      </c>
      <c r="AA26" s="88">
        <f t="shared" si="209"/>
        <v>0</v>
      </c>
      <c r="AB26" s="88">
        <f t="shared" si="209"/>
        <v>0</v>
      </c>
      <c r="AC26" s="88">
        <f t="shared" si="209"/>
        <v>0</v>
      </c>
      <c r="AD26" s="196" t="str">
        <f>IFERROR(__xludf.DUMMYFUNCTION("40 + (REGEXEXTRACT(INDIRECT(ADDRESS(ROW() - 24, COLUMN())), ""[\d]"") - 1) * 10"),"#N/A")</f>
        <v>#N/A</v>
      </c>
      <c r="AE26" s="88">
        <f t="shared" ref="AE26:AK26" si="210">0</f>
        <v>0</v>
      </c>
      <c r="AF26" s="88">
        <f t="shared" si="210"/>
        <v>0</v>
      </c>
      <c r="AG26" s="88">
        <f t="shared" si="210"/>
        <v>0</v>
      </c>
      <c r="AH26" s="88">
        <f t="shared" si="210"/>
        <v>0</v>
      </c>
      <c r="AI26" s="88">
        <f t="shared" si="210"/>
        <v>0</v>
      </c>
      <c r="AJ26" s="88">
        <f t="shared" si="210"/>
        <v>0</v>
      </c>
      <c r="AK26" s="88">
        <f t="shared" si="210"/>
        <v>0</v>
      </c>
      <c r="AL26" s="196" t="str">
        <f>IFERROR(__xludf.DUMMYFUNCTION("16 + (REGEXEXTRACT(INDIRECT(ADDRESS(ROW() - 24, COLUMN())), ""[\d]"") - 1) * 4"),"#N/A")</f>
        <v>#N/A</v>
      </c>
      <c r="AM26" s="88">
        <f t="shared" ref="AM26:AW26" si="211">0</f>
        <v>0</v>
      </c>
      <c r="AN26" s="88">
        <f t="shared" si="211"/>
        <v>0</v>
      </c>
      <c r="AO26" s="88">
        <f t="shared" si="211"/>
        <v>0</v>
      </c>
      <c r="AP26" s="88">
        <f t="shared" si="211"/>
        <v>0</v>
      </c>
      <c r="AQ26" s="88">
        <f t="shared" si="211"/>
        <v>0</v>
      </c>
      <c r="AR26" s="88">
        <f t="shared" si="211"/>
        <v>0</v>
      </c>
      <c r="AS26" s="88">
        <f t="shared" si="211"/>
        <v>0</v>
      </c>
      <c r="AT26" s="88">
        <f t="shared" si="211"/>
        <v>0</v>
      </c>
      <c r="AU26" s="88">
        <f t="shared" si="211"/>
        <v>0</v>
      </c>
      <c r="AV26" s="88">
        <f t="shared" si="211"/>
        <v>0</v>
      </c>
      <c r="AW26" s="88">
        <f t="shared" si="211"/>
        <v>0</v>
      </c>
      <c r="AX26" s="196" t="str">
        <f>IFERROR(__xludf.DUMMYFUNCTION("12 + (REGEXEXTRACT(INDIRECT(ADDRESS(ROW() - 24, COLUMN())), ""[\d]"") - 1) * 3"),"#N/A")</f>
        <v>#N/A</v>
      </c>
      <c r="AY26" s="88">
        <f t="shared" ref="AY26:BJ26" si="212">0</f>
        <v>0</v>
      </c>
      <c r="AZ26" s="88">
        <f t="shared" si="212"/>
        <v>0</v>
      </c>
      <c r="BA26" s="88">
        <f t="shared" si="212"/>
        <v>0</v>
      </c>
      <c r="BB26" s="88">
        <f t="shared" si="212"/>
        <v>0</v>
      </c>
      <c r="BC26" s="88">
        <f t="shared" si="212"/>
        <v>0</v>
      </c>
      <c r="BD26" s="88">
        <f t="shared" si="212"/>
        <v>0</v>
      </c>
      <c r="BE26" s="88">
        <f t="shared" si="212"/>
        <v>0</v>
      </c>
      <c r="BF26" s="88">
        <f t="shared" si="212"/>
        <v>0</v>
      </c>
      <c r="BG26" s="88">
        <f t="shared" si="212"/>
        <v>0</v>
      </c>
      <c r="BH26" s="88">
        <f t="shared" si="212"/>
        <v>0</v>
      </c>
      <c r="BI26" s="88">
        <f t="shared" si="212"/>
        <v>0</v>
      </c>
      <c r="BJ26" s="88">
        <f t="shared" si="212"/>
        <v>0</v>
      </c>
      <c r="BK26" s="196" t="str">
        <f>IFERROR(__xludf.DUMMYFUNCTION("20 + (REGEXEXTRACT(INDIRECT(ADDRESS(ROW() - 24, COLUMN())), ""[\d]"") - 1) * 5"),"#N/A")</f>
        <v>#N/A</v>
      </c>
      <c r="BL26" s="88">
        <f t="shared" ref="BL26:DU26" si="213">0</f>
        <v>0</v>
      </c>
      <c r="BM26" s="88">
        <f t="shared" si="213"/>
        <v>0</v>
      </c>
      <c r="BN26" s="88">
        <f t="shared" si="213"/>
        <v>0</v>
      </c>
      <c r="BO26" s="88">
        <f t="shared" si="213"/>
        <v>0</v>
      </c>
      <c r="BP26" s="88">
        <f t="shared" si="213"/>
        <v>0</v>
      </c>
      <c r="BQ26" s="88">
        <f t="shared" si="213"/>
        <v>0</v>
      </c>
      <c r="BR26" s="88">
        <f t="shared" si="213"/>
        <v>0</v>
      </c>
      <c r="BS26" s="88">
        <f t="shared" si="213"/>
        <v>0</v>
      </c>
      <c r="BT26" s="88">
        <f t="shared" si="213"/>
        <v>0</v>
      </c>
      <c r="BU26" s="88">
        <f t="shared" si="213"/>
        <v>0</v>
      </c>
      <c r="BV26" s="88">
        <f t="shared" si="213"/>
        <v>0</v>
      </c>
      <c r="BW26" s="88">
        <f t="shared" si="213"/>
        <v>0</v>
      </c>
      <c r="BX26" s="88">
        <f t="shared" si="213"/>
        <v>0</v>
      </c>
      <c r="BY26" s="88">
        <f t="shared" si="213"/>
        <v>0</v>
      </c>
      <c r="BZ26" s="88">
        <f t="shared" si="213"/>
        <v>0</v>
      </c>
      <c r="CA26" s="88">
        <f t="shared" si="213"/>
        <v>0</v>
      </c>
      <c r="CB26" s="88">
        <f t="shared" si="213"/>
        <v>0</v>
      </c>
      <c r="CC26" s="88">
        <f t="shared" si="213"/>
        <v>0</v>
      </c>
      <c r="CD26" s="88">
        <f t="shared" si="213"/>
        <v>0</v>
      </c>
      <c r="CE26" s="88">
        <f t="shared" si="213"/>
        <v>0</v>
      </c>
      <c r="CF26" s="88">
        <f t="shared" si="213"/>
        <v>0</v>
      </c>
      <c r="CG26" s="88">
        <f t="shared" si="213"/>
        <v>0</v>
      </c>
      <c r="CH26" s="88">
        <f t="shared" si="213"/>
        <v>0</v>
      </c>
      <c r="CI26" s="88">
        <f t="shared" si="213"/>
        <v>0</v>
      </c>
      <c r="CJ26" s="88">
        <f t="shared" si="213"/>
        <v>0</v>
      </c>
      <c r="CK26" s="88">
        <f t="shared" si="213"/>
        <v>0</v>
      </c>
      <c r="CL26" s="88">
        <f t="shared" si="213"/>
        <v>0</v>
      </c>
      <c r="CM26" s="88">
        <f t="shared" si="213"/>
        <v>0</v>
      </c>
      <c r="CN26" s="88">
        <f t="shared" si="213"/>
        <v>0</v>
      </c>
      <c r="CO26" s="88">
        <f t="shared" si="213"/>
        <v>0</v>
      </c>
      <c r="CP26" s="88">
        <f t="shared" si="213"/>
        <v>0</v>
      </c>
      <c r="CQ26" s="88">
        <f t="shared" si="213"/>
        <v>0</v>
      </c>
      <c r="CR26" s="88">
        <f t="shared" si="213"/>
        <v>0</v>
      </c>
      <c r="CS26" s="88">
        <f t="shared" si="213"/>
        <v>0</v>
      </c>
      <c r="CT26" s="88">
        <f t="shared" si="213"/>
        <v>0</v>
      </c>
      <c r="CU26" s="88">
        <f t="shared" si="213"/>
        <v>0</v>
      </c>
      <c r="CV26" s="88">
        <f t="shared" si="213"/>
        <v>0</v>
      </c>
      <c r="CW26" s="88">
        <f t="shared" si="213"/>
        <v>0</v>
      </c>
      <c r="CX26" s="88">
        <f t="shared" si="213"/>
        <v>0</v>
      </c>
      <c r="CY26" s="88">
        <f t="shared" si="213"/>
        <v>0</v>
      </c>
      <c r="CZ26" s="88">
        <f t="shared" si="213"/>
        <v>0</v>
      </c>
      <c r="DA26" s="88">
        <f t="shared" si="213"/>
        <v>0</v>
      </c>
      <c r="DB26" s="88">
        <f t="shared" si="213"/>
        <v>0</v>
      </c>
      <c r="DC26" s="88">
        <f t="shared" si="213"/>
        <v>0</v>
      </c>
      <c r="DD26" s="88">
        <f t="shared" si="213"/>
        <v>0</v>
      </c>
      <c r="DE26" s="88">
        <f t="shared" si="213"/>
        <v>0</v>
      </c>
      <c r="DF26" s="88">
        <f t="shared" si="213"/>
        <v>0</v>
      </c>
      <c r="DG26" s="88">
        <f t="shared" si="213"/>
        <v>0</v>
      </c>
      <c r="DH26" s="88">
        <f t="shared" si="213"/>
        <v>0</v>
      </c>
      <c r="DI26" s="88">
        <f t="shared" si="213"/>
        <v>0</v>
      </c>
      <c r="DJ26" s="88">
        <f t="shared" si="213"/>
        <v>0</v>
      </c>
      <c r="DK26" s="88">
        <f t="shared" si="213"/>
        <v>0</v>
      </c>
      <c r="DL26" s="88">
        <f t="shared" si="213"/>
        <v>0</v>
      </c>
      <c r="DM26" s="88">
        <f t="shared" si="213"/>
        <v>0</v>
      </c>
      <c r="DN26" s="88">
        <f t="shared" si="213"/>
        <v>0</v>
      </c>
      <c r="DO26" s="88">
        <f t="shared" si="213"/>
        <v>0</v>
      </c>
      <c r="DP26" s="88">
        <f t="shared" si="213"/>
        <v>0</v>
      </c>
      <c r="DQ26" s="88">
        <f t="shared" si="213"/>
        <v>0</v>
      </c>
      <c r="DR26" s="88">
        <f t="shared" si="213"/>
        <v>0</v>
      </c>
      <c r="DS26" s="88">
        <f t="shared" si="213"/>
        <v>0</v>
      </c>
      <c r="DT26" s="88">
        <f t="shared" si="213"/>
        <v>0</v>
      </c>
      <c r="DU26" s="88">
        <f t="shared" si="213"/>
        <v>0</v>
      </c>
      <c r="DV26" s="88">
        <f t="shared" ref="DV26:EY26" si="214">0</f>
        <v>0</v>
      </c>
      <c r="DW26" s="88">
        <f t="shared" si="214"/>
        <v>0</v>
      </c>
      <c r="DX26" s="88">
        <f t="shared" si="214"/>
        <v>0</v>
      </c>
      <c r="DY26" s="88">
        <f t="shared" si="214"/>
        <v>0</v>
      </c>
      <c r="DZ26" s="88">
        <f t="shared" si="214"/>
        <v>0</v>
      </c>
      <c r="EA26" s="88">
        <f t="shared" si="214"/>
        <v>0</v>
      </c>
      <c r="EB26" s="88">
        <f t="shared" si="214"/>
        <v>0</v>
      </c>
      <c r="EC26" s="88">
        <f t="shared" si="214"/>
        <v>0</v>
      </c>
      <c r="ED26" s="88">
        <f t="shared" si="214"/>
        <v>0</v>
      </c>
      <c r="EE26" s="88">
        <f t="shared" si="214"/>
        <v>0</v>
      </c>
      <c r="EF26" s="88">
        <f t="shared" si="214"/>
        <v>0</v>
      </c>
      <c r="EG26" s="88">
        <f t="shared" si="214"/>
        <v>0</v>
      </c>
      <c r="EH26" s="88">
        <f t="shared" si="214"/>
        <v>0</v>
      </c>
      <c r="EI26" s="88">
        <f t="shared" si="214"/>
        <v>0</v>
      </c>
      <c r="EJ26" s="88">
        <f t="shared" si="214"/>
        <v>0</v>
      </c>
      <c r="EK26" s="88">
        <f t="shared" si="214"/>
        <v>0</v>
      </c>
      <c r="EL26" s="88">
        <f t="shared" si="214"/>
        <v>0</v>
      </c>
      <c r="EM26" s="88">
        <f t="shared" si="214"/>
        <v>0</v>
      </c>
      <c r="EN26" s="88">
        <f t="shared" si="214"/>
        <v>0</v>
      </c>
      <c r="EO26" s="88">
        <f t="shared" si="214"/>
        <v>0</v>
      </c>
      <c r="EP26" s="88">
        <f t="shared" si="214"/>
        <v>0</v>
      </c>
      <c r="EQ26" s="88">
        <f t="shared" si="214"/>
        <v>0</v>
      </c>
      <c r="ER26" s="88">
        <f t="shared" si="214"/>
        <v>0</v>
      </c>
      <c r="ES26" s="88">
        <f t="shared" si="214"/>
        <v>0</v>
      </c>
      <c r="ET26" s="88">
        <f t="shared" si="214"/>
        <v>0</v>
      </c>
      <c r="EU26" s="88">
        <f t="shared" si="214"/>
        <v>0</v>
      </c>
      <c r="EV26" s="88">
        <f t="shared" si="214"/>
        <v>0</v>
      </c>
      <c r="EW26" s="88">
        <f t="shared" si="214"/>
        <v>0</v>
      </c>
      <c r="EX26" s="88">
        <f t="shared" si="214"/>
        <v>0</v>
      </c>
      <c r="EY26" s="88">
        <f t="shared" si="214"/>
        <v>0</v>
      </c>
    </row>
    <row r="27">
      <c r="A27" s="181" t="s">
        <v>203</v>
      </c>
      <c r="B27" s="10">
        <f t="shared" ref="B27:AC27" si="215">0</f>
        <v>0</v>
      </c>
      <c r="C27" s="10">
        <f t="shared" si="215"/>
        <v>0</v>
      </c>
      <c r="D27" s="10">
        <f t="shared" si="215"/>
        <v>0</v>
      </c>
      <c r="E27" s="88">
        <f t="shared" si="215"/>
        <v>0</v>
      </c>
      <c r="F27" s="123">
        <f t="shared" si="215"/>
        <v>0</v>
      </c>
      <c r="G27" s="205">
        <f t="shared" si="215"/>
        <v>0</v>
      </c>
      <c r="H27" s="88">
        <f t="shared" si="215"/>
        <v>0</v>
      </c>
      <c r="I27" s="88">
        <f t="shared" si="215"/>
        <v>0</v>
      </c>
      <c r="J27" s="88">
        <f t="shared" si="215"/>
        <v>0</v>
      </c>
      <c r="K27" s="88">
        <f t="shared" si="215"/>
        <v>0</v>
      </c>
      <c r="L27" s="88">
        <f t="shared" si="215"/>
        <v>0</v>
      </c>
      <c r="M27" s="88">
        <f t="shared" si="215"/>
        <v>0</v>
      </c>
      <c r="N27" s="88">
        <f t="shared" si="215"/>
        <v>0</v>
      </c>
      <c r="O27" s="88">
        <f t="shared" si="215"/>
        <v>0</v>
      </c>
      <c r="P27" s="88">
        <f t="shared" si="215"/>
        <v>0</v>
      </c>
      <c r="Q27" s="88">
        <f t="shared" si="215"/>
        <v>0</v>
      </c>
      <c r="R27" s="88">
        <f t="shared" si="215"/>
        <v>0</v>
      </c>
      <c r="S27" s="88">
        <f t="shared" si="215"/>
        <v>0</v>
      </c>
      <c r="T27" s="88">
        <f t="shared" si="215"/>
        <v>0</v>
      </c>
      <c r="U27" s="88">
        <f t="shared" si="215"/>
        <v>0</v>
      </c>
      <c r="V27" s="88">
        <f t="shared" si="215"/>
        <v>0</v>
      </c>
      <c r="W27" s="88">
        <f t="shared" si="215"/>
        <v>0</v>
      </c>
      <c r="X27" s="88">
        <f t="shared" si="215"/>
        <v>0</v>
      </c>
      <c r="Y27" s="88">
        <f t="shared" si="215"/>
        <v>0</v>
      </c>
      <c r="Z27" s="88">
        <f t="shared" si="215"/>
        <v>0</v>
      </c>
      <c r="AA27" s="88">
        <f t="shared" si="215"/>
        <v>0</v>
      </c>
      <c r="AB27" s="88">
        <f t="shared" si="215"/>
        <v>0</v>
      </c>
      <c r="AC27" s="88">
        <f t="shared" si="215"/>
        <v>0</v>
      </c>
      <c r="AD27" s="196" t="str">
        <f>IFERROR(__xludf.DUMMYFUNCTION("-10 + (REGEXEXTRACT(INDIRECT(ADDRESS(ROW() - 25, COLUMN())), ""[\d]"") - 1) * 0"),"#N/A")</f>
        <v>#N/A</v>
      </c>
      <c r="AE27" s="88">
        <f t="shared" ref="AE27:AK27" si="216">0</f>
        <v>0</v>
      </c>
      <c r="AF27" s="88">
        <f t="shared" si="216"/>
        <v>0</v>
      </c>
      <c r="AG27" s="88">
        <f t="shared" si="216"/>
        <v>0</v>
      </c>
      <c r="AH27" s="88">
        <f t="shared" si="216"/>
        <v>0</v>
      </c>
      <c r="AI27" s="88">
        <f t="shared" si="216"/>
        <v>0</v>
      </c>
      <c r="AJ27" s="88">
        <f t="shared" si="216"/>
        <v>0</v>
      </c>
      <c r="AK27" s="88">
        <f t="shared" si="216"/>
        <v>0</v>
      </c>
      <c r="AL27" s="196" t="str">
        <f>IFERROR(__xludf.DUMMYFUNCTION("12 + (REGEXEXTRACT(INDIRECT(ADDRESS(ROW() - 25, COLUMN())), ""[\d]"") - 1) * 3"),"#N/A")</f>
        <v>#N/A</v>
      </c>
      <c r="AM27" s="88">
        <f t="shared" ref="AM27:AW27" si="217">0</f>
        <v>0</v>
      </c>
      <c r="AN27" s="88">
        <f t="shared" si="217"/>
        <v>0</v>
      </c>
      <c r="AO27" s="88">
        <f t="shared" si="217"/>
        <v>0</v>
      </c>
      <c r="AP27" s="88">
        <f t="shared" si="217"/>
        <v>0</v>
      </c>
      <c r="AQ27" s="88">
        <f t="shared" si="217"/>
        <v>0</v>
      </c>
      <c r="AR27" s="88">
        <f t="shared" si="217"/>
        <v>0</v>
      </c>
      <c r="AS27" s="88">
        <f t="shared" si="217"/>
        <v>0</v>
      </c>
      <c r="AT27" s="88">
        <f t="shared" si="217"/>
        <v>0</v>
      </c>
      <c r="AU27" s="88">
        <f t="shared" si="217"/>
        <v>0</v>
      </c>
      <c r="AV27" s="88">
        <f t="shared" si="217"/>
        <v>0</v>
      </c>
      <c r="AW27" s="88">
        <f t="shared" si="217"/>
        <v>0</v>
      </c>
      <c r="AX27" s="196" t="str">
        <f>IFERROR(__xludf.DUMMYFUNCTION("12 + (REGEXEXTRACT(INDIRECT(ADDRESS(ROW() - 25, COLUMN())), ""[\d]"") - 1) * 3"),"#N/A")</f>
        <v>#N/A</v>
      </c>
      <c r="AY27" s="88">
        <f t="shared" ref="AY27:BJ27" si="218">0</f>
        <v>0</v>
      </c>
      <c r="AZ27" s="88">
        <f t="shared" si="218"/>
        <v>0</v>
      </c>
      <c r="BA27" s="88">
        <f t="shared" si="218"/>
        <v>0</v>
      </c>
      <c r="BB27" s="88">
        <f t="shared" si="218"/>
        <v>0</v>
      </c>
      <c r="BC27" s="88">
        <f t="shared" si="218"/>
        <v>0</v>
      </c>
      <c r="BD27" s="88">
        <f t="shared" si="218"/>
        <v>0</v>
      </c>
      <c r="BE27" s="88">
        <f t="shared" si="218"/>
        <v>0</v>
      </c>
      <c r="BF27" s="88">
        <f t="shared" si="218"/>
        <v>0</v>
      </c>
      <c r="BG27" s="88">
        <f t="shared" si="218"/>
        <v>0</v>
      </c>
      <c r="BH27" s="88">
        <f t="shared" si="218"/>
        <v>0</v>
      </c>
      <c r="BI27" s="88">
        <f t="shared" si="218"/>
        <v>0</v>
      </c>
      <c r="BJ27" s="88">
        <f t="shared" si="218"/>
        <v>0</v>
      </c>
      <c r="BK27" s="196" t="str">
        <f>IFERROR(__xludf.DUMMYFUNCTION("20 + (REGEXEXTRACT(INDIRECT(ADDRESS(ROW() - 25, COLUMN())), ""[\d]"") - 1) * 5"),"#N/A")</f>
        <v>#N/A</v>
      </c>
      <c r="BL27" s="88">
        <f t="shared" ref="BL27:DU27" si="219">0</f>
        <v>0</v>
      </c>
      <c r="BM27" s="88">
        <f t="shared" si="219"/>
        <v>0</v>
      </c>
      <c r="BN27" s="88">
        <f t="shared" si="219"/>
        <v>0</v>
      </c>
      <c r="BO27" s="88">
        <f t="shared" si="219"/>
        <v>0</v>
      </c>
      <c r="BP27" s="88">
        <f t="shared" si="219"/>
        <v>0</v>
      </c>
      <c r="BQ27" s="88">
        <f t="shared" si="219"/>
        <v>0</v>
      </c>
      <c r="BR27" s="88">
        <f t="shared" si="219"/>
        <v>0</v>
      </c>
      <c r="BS27" s="88">
        <f t="shared" si="219"/>
        <v>0</v>
      </c>
      <c r="BT27" s="88">
        <f t="shared" si="219"/>
        <v>0</v>
      </c>
      <c r="BU27" s="88">
        <f t="shared" si="219"/>
        <v>0</v>
      </c>
      <c r="BV27" s="88">
        <f t="shared" si="219"/>
        <v>0</v>
      </c>
      <c r="BW27" s="88">
        <f t="shared" si="219"/>
        <v>0</v>
      </c>
      <c r="BX27" s="88">
        <f t="shared" si="219"/>
        <v>0</v>
      </c>
      <c r="BY27" s="88">
        <f t="shared" si="219"/>
        <v>0</v>
      </c>
      <c r="BZ27" s="88">
        <f t="shared" si="219"/>
        <v>0</v>
      </c>
      <c r="CA27" s="88">
        <f t="shared" si="219"/>
        <v>0</v>
      </c>
      <c r="CB27" s="88">
        <f t="shared" si="219"/>
        <v>0</v>
      </c>
      <c r="CC27" s="88">
        <f t="shared" si="219"/>
        <v>0</v>
      </c>
      <c r="CD27" s="88">
        <f t="shared" si="219"/>
        <v>0</v>
      </c>
      <c r="CE27" s="88">
        <f t="shared" si="219"/>
        <v>0</v>
      </c>
      <c r="CF27" s="88">
        <f t="shared" si="219"/>
        <v>0</v>
      </c>
      <c r="CG27" s="88">
        <f t="shared" si="219"/>
        <v>0</v>
      </c>
      <c r="CH27" s="88">
        <f t="shared" si="219"/>
        <v>0</v>
      </c>
      <c r="CI27" s="88">
        <f t="shared" si="219"/>
        <v>0</v>
      </c>
      <c r="CJ27" s="88">
        <f t="shared" si="219"/>
        <v>0</v>
      </c>
      <c r="CK27" s="88">
        <f t="shared" si="219"/>
        <v>0</v>
      </c>
      <c r="CL27" s="88">
        <f t="shared" si="219"/>
        <v>0</v>
      </c>
      <c r="CM27" s="88">
        <f t="shared" si="219"/>
        <v>0</v>
      </c>
      <c r="CN27" s="88">
        <f t="shared" si="219"/>
        <v>0</v>
      </c>
      <c r="CO27" s="88">
        <f t="shared" si="219"/>
        <v>0</v>
      </c>
      <c r="CP27" s="88">
        <f t="shared" si="219"/>
        <v>0</v>
      </c>
      <c r="CQ27" s="88">
        <f t="shared" si="219"/>
        <v>0</v>
      </c>
      <c r="CR27" s="88">
        <f t="shared" si="219"/>
        <v>0</v>
      </c>
      <c r="CS27" s="88">
        <f t="shared" si="219"/>
        <v>0</v>
      </c>
      <c r="CT27" s="88">
        <f t="shared" si="219"/>
        <v>0</v>
      </c>
      <c r="CU27" s="88">
        <f t="shared" si="219"/>
        <v>0</v>
      </c>
      <c r="CV27" s="88">
        <f t="shared" si="219"/>
        <v>0</v>
      </c>
      <c r="CW27" s="88">
        <f t="shared" si="219"/>
        <v>0</v>
      </c>
      <c r="CX27" s="88">
        <f t="shared" si="219"/>
        <v>0</v>
      </c>
      <c r="CY27" s="88">
        <f t="shared" si="219"/>
        <v>0</v>
      </c>
      <c r="CZ27" s="88">
        <f t="shared" si="219"/>
        <v>0</v>
      </c>
      <c r="DA27" s="88">
        <f t="shared" si="219"/>
        <v>0</v>
      </c>
      <c r="DB27" s="88">
        <f t="shared" si="219"/>
        <v>0</v>
      </c>
      <c r="DC27" s="88">
        <f t="shared" si="219"/>
        <v>0</v>
      </c>
      <c r="DD27" s="88">
        <f t="shared" si="219"/>
        <v>0</v>
      </c>
      <c r="DE27" s="88">
        <f t="shared" si="219"/>
        <v>0</v>
      </c>
      <c r="DF27" s="88">
        <f t="shared" si="219"/>
        <v>0</v>
      </c>
      <c r="DG27" s="88">
        <f t="shared" si="219"/>
        <v>0</v>
      </c>
      <c r="DH27" s="88">
        <f t="shared" si="219"/>
        <v>0</v>
      </c>
      <c r="DI27" s="88">
        <f t="shared" si="219"/>
        <v>0</v>
      </c>
      <c r="DJ27" s="88">
        <f t="shared" si="219"/>
        <v>0</v>
      </c>
      <c r="DK27" s="88">
        <f t="shared" si="219"/>
        <v>0</v>
      </c>
      <c r="DL27" s="88">
        <f t="shared" si="219"/>
        <v>0</v>
      </c>
      <c r="DM27" s="88">
        <f t="shared" si="219"/>
        <v>0</v>
      </c>
      <c r="DN27" s="88">
        <f t="shared" si="219"/>
        <v>0</v>
      </c>
      <c r="DO27" s="88">
        <f t="shared" si="219"/>
        <v>0</v>
      </c>
      <c r="DP27" s="88">
        <f t="shared" si="219"/>
        <v>0</v>
      </c>
      <c r="DQ27" s="88">
        <f t="shared" si="219"/>
        <v>0</v>
      </c>
      <c r="DR27" s="88">
        <f t="shared" si="219"/>
        <v>0</v>
      </c>
      <c r="DS27" s="88">
        <f t="shared" si="219"/>
        <v>0</v>
      </c>
      <c r="DT27" s="88">
        <f t="shared" si="219"/>
        <v>0</v>
      </c>
      <c r="DU27" s="88">
        <f t="shared" si="219"/>
        <v>0</v>
      </c>
      <c r="DV27" s="88">
        <f t="shared" ref="DV27:EO27" si="220">0</f>
        <v>0</v>
      </c>
      <c r="DW27" s="88">
        <f t="shared" si="220"/>
        <v>0</v>
      </c>
      <c r="DX27" s="88">
        <f t="shared" si="220"/>
        <v>0</v>
      </c>
      <c r="DY27" s="88">
        <f t="shared" si="220"/>
        <v>0</v>
      </c>
      <c r="DZ27" s="88">
        <f t="shared" si="220"/>
        <v>0</v>
      </c>
      <c r="EA27" s="88">
        <f t="shared" si="220"/>
        <v>0</v>
      </c>
      <c r="EB27" s="88">
        <f t="shared" si="220"/>
        <v>0</v>
      </c>
      <c r="EC27" s="88">
        <f t="shared" si="220"/>
        <v>0</v>
      </c>
      <c r="ED27" s="88">
        <f t="shared" si="220"/>
        <v>0</v>
      </c>
      <c r="EE27" s="88">
        <f t="shared" si="220"/>
        <v>0</v>
      </c>
      <c r="EF27" s="88">
        <f t="shared" si="220"/>
        <v>0</v>
      </c>
      <c r="EG27" s="88">
        <f t="shared" si="220"/>
        <v>0</v>
      </c>
      <c r="EH27" s="88">
        <f t="shared" si="220"/>
        <v>0</v>
      </c>
      <c r="EI27" s="88">
        <f t="shared" si="220"/>
        <v>0</v>
      </c>
      <c r="EJ27" s="88">
        <f t="shared" si="220"/>
        <v>0</v>
      </c>
      <c r="EK27" s="88">
        <f t="shared" si="220"/>
        <v>0</v>
      </c>
      <c r="EL27" s="88">
        <f t="shared" si="220"/>
        <v>0</v>
      </c>
      <c r="EM27" s="88">
        <f t="shared" si="220"/>
        <v>0</v>
      </c>
      <c r="EN27" s="88">
        <f t="shared" si="220"/>
        <v>0</v>
      </c>
      <c r="EO27" s="88">
        <f t="shared" si="220"/>
        <v>0</v>
      </c>
      <c r="EP27" s="88" t="str">
        <f>IFERROR(__xludf.DUMMYFUNCTION("16 + (REGEXEXTRACT(INDIRECT(ADDRESS(ROW() - 25, COLUMN())), ""[\d]"") - 1) * 4"),"#N/A")</f>
        <v>#N/A</v>
      </c>
      <c r="EQ27" s="88">
        <f t="shared" ref="EQ27:EY27" si="221">0</f>
        <v>0</v>
      </c>
      <c r="ER27" s="88">
        <f t="shared" si="221"/>
        <v>0</v>
      </c>
      <c r="ES27" s="88">
        <f t="shared" si="221"/>
        <v>0</v>
      </c>
      <c r="ET27" s="88">
        <f t="shared" si="221"/>
        <v>0</v>
      </c>
      <c r="EU27" s="88">
        <f t="shared" si="221"/>
        <v>0</v>
      </c>
      <c r="EV27" s="88">
        <f t="shared" si="221"/>
        <v>0</v>
      </c>
      <c r="EW27" s="88">
        <f t="shared" si="221"/>
        <v>0</v>
      </c>
      <c r="EX27" s="88">
        <f t="shared" si="221"/>
        <v>0</v>
      </c>
      <c r="EY27" s="88">
        <f t="shared" si="221"/>
        <v>0</v>
      </c>
    </row>
    <row r="28">
      <c r="A28" s="181" t="s">
        <v>204</v>
      </c>
      <c r="B28" s="10">
        <f t="shared" ref="B28:DU28" si="222">0</f>
        <v>0</v>
      </c>
      <c r="C28" s="10">
        <f t="shared" si="222"/>
        <v>0</v>
      </c>
      <c r="D28" s="10">
        <f t="shared" si="222"/>
        <v>0</v>
      </c>
      <c r="E28" s="88">
        <f t="shared" si="222"/>
        <v>0</v>
      </c>
      <c r="F28" s="123">
        <f t="shared" si="222"/>
        <v>0</v>
      </c>
      <c r="G28" s="205">
        <f t="shared" si="222"/>
        <v>0</v>
      </c>
      <c r="H28" s="88">
        <f t="shared" si="222"/>
        <v>0</v>
      </c>
      <c r="I28" s="88">
        <f t="shared" si="222"/>
        <v>0</v>
      </c>
      <c r="J28" s="88">
        <f t="shared" si="222"/>
        <v>0</v>
      </c>
      <c r="K28" s="88">
        <f t="shared" si="222"/>
        <v>0</v>
      </c>
      <c r="L28" s="88">
        <f t="shared" si="222"/>
        <v>0</v>
      </c>
      <c r="M28" s="88">
        <f t="shared" si="222"/>
        <v>0</v>
      </c>
      <c r="N28" s="88">
        <f t="shared" si="222"/>
        <v>0</v>
      </c>
      <c r="O28" s="88">
        <f t="shared" si="222"/>
        <v>0</v>
      </c>
      <c r="P28" s="88">
        <f t="shared" si="222"/>
        <v>0</v>
      </c>
      <c r="Q28" s="88">
        <f t="shared" si="222"/>
        <v>0</v>
      </c>
      <c r="R28" s="88">
        <f t="shared" si="222"/>
        <v>0</v>
      </c>
      <c r="S28" s="88">
        <f t="shared" si="222"/>
        <v>0</v>
      </c>
      <c r="T28" s="88">
        <f t="shared" si="222"/>
        <v>0</v>
      </c>
      <c r="U28" s="88">
        <f t="shared" si="222"/>
        <v>0</v>
      </c>
      <c r="V28" s="88">
        <f t="shared" si="222"/>
        <v>0</v>
      </c>
      <c r="W28" s="88">
        <f t="shared" si="222"/>
        <v>0</v>
      </c>
      <c r="X28" s="88">
        <f t="shared" si="222"/>
        <v>0</v>
      </c>
      <c r="Y28" s="88">
        <f t="shared" si="222"/>
        <v>0</v>
      </c>
      <c r="Z28" s="88">
        <f t="shared" si="222"/>
        <v>0</v>
      </c>
      <c r="AA28" s="88">
        <f t="shared" si="222"/>
        <v>0</v>
      </c>
      <c r="AB28" s="88">
        <f t="shared" si="222"/>
        <v>0</v>
      </c>
      <c r="AC28" s="88">
        <f t="shared" si="222"/>
        <v>0</v>
      </c>
      <c r="AD28" s="88">
        <f t="shared" si="222"/>
        <v>0</v>
      </c>
      <c r="AE28" s="88">
        <f t="shared" si="222"/>
        <v>0</v>
      </c>
      <c r="AF28" s="88">
        <f t="shared" si="222"/>
        <v>0</v>
      </c>
      <c r="AG28" s="88">
        <f t="shared" si="222"/>
        <v>0</v>
      </c>
      <c r="AH28" s="88">
        <f t="shared" si="222"/>
        <v>0</v>
      </c>
      <c r="AI28" s="88">
        <f t="shared" si="222"/>
        <v>0</v>
      </c>
      <c r="AJ28" s="88">
        <f t="shared" si="222"/>
        <v>0</v>
      </c>
      <c r="AK28" s="88">
        <f t="shared" si="222"/>
        <v>0</v>
      </c>
      <c r="AL28" s="88">
        <f t="shared" si="222"/>
        <v>0</v>
      </c>
      <c r="AM28" s="88">
        <f t="shared" si="222"/>
        <v>0</v>
      </c>
      <c r="AN28" s="88">
        <f t="shared" si="222"/>
        <v>0</v>
      </c>
      <c r="AO28" s="88">
        <f t="shared" si="222"/>
        <v>0</v>
      </c>
      <c r="AP28" s="88">
        <f t="shared" si="222"/>
        <v>0</v>
      </c>
      <c r="AQ28" s="88">
        <f t="shared" si="222"/>
        <v>0</v>
      </c>
      <c r="AR28" s="88">
        <f t="shared" si="222"/>
        <v>0</v>
      </c>
      <c r="AS28" s="88">
        <f t="shared" si="222"/>
        <v>0</v>
      </c>
      <c r="AT28" s="88">
        <f t="shared" si="222"/>
        <v>0</v>
      </c>
      <c r="AU28" s="88">
        <f t="shared" si="222"/>
        <v>0</v>
      </c>
      <c r="AV28" s="88">
        <f t="shared" si="222"/>
        <v>0</v>
      </c>
      <c r="AW28" s="88">
        <f t="shared" si="222"/>
        <v>0</v>
      </c>
      <c r="AX28" s="88">
        <f t="shared" si="222"/>
        <v>0</v>
      </c>
      <c r="AY28" s="88">
        <f t="shared" si="222"/>
        <v>0</v>
      </c>
      <c r="AZ28" s="88">
        <f t="shared" si="222"/>
        <v>0</v>
      </c>
      <c r="BA28" s="88">
        <f t="shared" si="222"/>
        <v>0</v>
      </c>
      <c r="BB28" s="88">
        <f t="shared" si="222"/>
        <v>0</v>
      </c>
      <c r="BC28" s="88">
        <f t="shared" si="222"/>
        <v>0</v>
      </c>
      <c r="BD28" s="88">
        <f t="shared" si="222"/>
        <v>0</v>
      </c>
      <c r="BE28" s="88">
        <f t="shared" si="222"/>
        <v>0</v>
      </c>
      <c r="BF28" s="88">
        <f t="shared" si="222"/>
        <v>0</v>
      </c>
      <c r="BG28" s="88">
        <f t="shared" si="222"/>
        <v>0</v>
      </c>
      <c r="BH28" s="88">
        <f t="shared" si="222"/>
        <v>0</v>
      </c>
      <c r="BI28" s="88">
        <f t="shared" si="222"/>
        <v>0</v>
      </c>
      <c r="BJ28" s="88">
        <f t="shared" si="222"/>
        <v>0</v>
      </c>
      <c r="BK28" s="88">
        <f t="shared" si="222"/>
        <v>0</v>
      </c>
      <c r="BL28" s="88">
        <f t="shared" si="222"/>
        <v>0</v>
      </c>
      <c r="BM28" s="88">
        <f t="shared" si="222"/>
        <v>0</v>
      </c>
      <c r="BN28" s="88">
        <f t="shared" si="222"/>
        <v>0</v>
      </c>
      <c r="BO28" s="88">
        <f t="shared" si="222"/>
        <v>0</v>
      </c>
      <c r="BP28" s="88">
        <f t="shared" si="222"/>
        <v>0</v>
      </c>
      <c r="BQ28" s="88">
        <f t="shared" si="222"/>
        <v>0</v>
      </c>
      <c r="BR28" s="88">
        <f t="shared" si="222"/>
        <v>0</v>
      </c>
      <c r="BS28" s="88">
        <f t="shared" si="222"/>
        <v>0</v>
      </c>
      <c r="BT28" s="88">
        <f t="shared" si="222"/>
        <v>0</v>
      </c>
      <c r="BU28" s="88">
        <f t="shared" si="222"/>
        <v>0</v>
      </c>
      <c r="BV28" s="88">
        <f t="shared" si="222"/>
        <v>0</v>
      </c>
      <c r="BW28" s="88">
        <f t="shared" si="222"/>
        <v>0</v>
      </c>
      <c r="BX28" s="88">
        <f t="shared" si="222"/>
        <v>0</v>
      </c>
      <c r="BY28" s="88">
        <f t="shared" si="222"/>
        <v>0</v>
      </c>
      <c r="BZ28" s="88">
        <f t="shared" si="222"/>
        <v>0</v>
      </c>
      <c r="CA28" s="88">
        <f t="shared" si="222"/>
        <v>0</v>
      </c>
      <c r="CB28" s="88">
        <f t="shared" si="222"/>
        <v>0</v>
      </c>
      <c r="CC28" s="88">
        <f t="shared" si="222"/>
        <v>0</v>
      </c>
      <c r="CD28" s="88">
        <f t="shared" si="222"/>
        <v>0</v>
      </c>
      <c r="CE28" s="88">
        <f t="shared" si="222"/>
        <v>0</v>
      </c>
      <c r="CF28" s="88">
        <f t="shared" si="222"/>
        <v>0</v>
      </c>
      <c r="CG28" s="88">
        <f t="shared" si="222"/>
        <v>0</v>
      </c>
      <c r="CH28" s="88">
        <f t="shared" si="222"/>
        <v>0</v>
      </c>
      <c r="CI28" s="88">
        <f t="shared" si="222"/>
        <v>0</v>
      </c>
      <c r="CJ28" s="88">
        <f t="shared" si="222"/>
        <v>0</v>
      </c>
      <c r="CK28" s="88">
        <f t="shared" si="222"/>
        <v>0</v>
      </c>
      <c r="CL28" s="88">
        <f t="shared" si="222"/>
        <v>0</v>
      </c>
      <c r="CM28" s="88">
        <f t="shared" si="222"/>
        <v>0</v>
      </c>
      <c r="CN28" s="88">
        <f t="shared" si="222"/>
        <v>0</v>
      </c>
      <c r="CO28" s="88">
        <f t="shared" si="222"/>
        <v>0</v>
      </c>
      <c r="CP28" s="88">
        <f t="shared" si="222"/>
        <v>0</v>
      </c>
      <c r="CQ28" s="88">
        <f t="shared" si="222"/>
        <v>0</v>
      </c>
      <c r="CR28" s="88">
        <f t="shared" si="222"/>
        <v>0</v>
      </c>
      <c r="CS28" s="88">
        <f t="shared" si="222"/>
        <v>0</v>
      </c>
      <c r="CT28" s="88">
        <f t="shared" si="222"/>
        <v>0</v>
      </c>
      <c r="CU28" s="88">
        <f t="shared" si="222"/>
        <v>0</v>
      </c>
      <c r="CV28" s="88">
        <f t="shared" si="222"/>
        <v>0</v>
      </c>
      <c r="CW28" s="88">
        <f t="shared" si="222"/>
        <v>0</v>
      </c>
      <c r="CX28" s="88">
        <f t="shared" si="222"/>
        <v>0</v>
      </c>
      <c r="CY28" s="88">
        <f t="shared" si="222"/>
        <v>0</v>
      </c>
      <c r="CZ28" s="88">
        <f t="shared" si="222"/>
        <v>0</v>
      </c>
      <c r="DA28" s="88">
        <f t="shared" si="222"/>
        <v>0</v>
      </c>
      <c r="DB28" s="88">
        <f t="shared" si="222"/>
        <v>0</v>
      </c>
      <c r="DC28" s="88">
        <f t="shared" si="222"/>
        <v>0</v>
      </c>
      <c r="DD28" s="88">
        <f t="shared" si="222"/>
        <v>0</v>
      </c>
      <c r="DE28" s="88">
        <f t="shared" si="222"/>
        <v>0</v>
      </c>
      <c r="DF28" s="88">
        <f t="shared" si="222"/>
        <v>0</v>
      </c>
      <c r="DG28" s="88">
        <f t="shared" si="222"/>
        <v>0</v>
      </c>
      <c r="DH28" s="88">
        <f t="shared" si="222"/>
        <v>0</v>
      </c>
      <c r="DI28" s="88">
        <f t="shared" si="222"/>
        <v>0</v>
      </c>
      <c r="DJ28" s="88">
        <f t="shared" si="222"/>
        <v>0</v>
      </c>
      <c r="DK28" s="88">
        <f t="shared" si="222"/>
        <v>0</v>
      </c>
      <c r="DL28" s="88">
        <f t="shared" si="222"/>
        <v>0</v>
      </c>
      <c r="DM28" s="88">
        <f t="shared" si="222"/>
        <v>0</v>
      </c>
      <c r="DN28" s="88">
        <f t="shared" si="222"/>
        <v>0</v>
      </c>
      <c r="DO28" s="88">
        <f t="shared" si="222"/>
        <v>0</v>
      </c>
      <c r="DP28" s="88">
        <f t="shared" si="222"/>
        <v>0</v>
      </c>
      <c r="DQ28" s="88">
        <f t="shared" si="222"/>
        <v>0</v>
      </c>
      <c r="DR28" s="88">
        <f t="shared" si="222"/>
        <v>0</v>
      </c>
      <c r="DS28" s="88">
        <f t="shared" si="222"/>
        <v>0</v>
      </c>
      <c r="DT28" s="88">
        <f t="shared" si="222"/>
        <v>0</v>
      </c>
      <c r="DU28" s="88">
        <f t="shared" si="222"/>
        <v>0</v>
      </c>
      <c r="DV28" s="88">
        <f t="shared" ref="DV28:EY28" si="223">0</f>
        <v>0</v>
      </c>
      <c r="DW28" s="88">
        <f t="shared" si="223"/>
        <v>0</v>
      </c>
      <c r="DX28" s="88">
        <f t="shared" si="223"/>
        <v>0</v>
      </c>
      <c r="DY28" s="88">
        <f t="shared" si="223"/>
        <v>0</v>
      </c>
      <c r="DZ28" s="88">
        <f t="shared" si="223"/>
        <v>0</v>
      </c>
      <c r="EA28" s="88">
        <f t="shared" si="223"/>
        <v>0</v>
      </c>
      <c r="EB28" s="88">
        <f t="shared" si="223"/>
        <v>0</v>
      </c>
      <c r="EC28" s="88">
        <f t="shared" si="223"/>
        <v>0</v>
      </c>
      <c r="ED28" s="88">
        <f t="shared" si="223"/>
        <v>0</v>
      </c>
      <c r="EE28" s="88">
        <f t="shared" si="223"/>
        <v>0</v>
      </c>
      <c r="EF28" s="88">
        <f t="shared" si="223"/>
        <v>0</v>
      </c>
      <c r="EG28" s="88">
        <f t="shared" si="223"/>
        <v>0</v>
      </c>
      <c r="EH28" s="88">
        <f t="shared" si="223"/>
        <v>0</v>
      </c>
      <c r="EI28" s="88">
        <f t="shared" si="223"/>
        <v>0</v>
      </c>
      <c r="EJ28" s="88">
        <f t="shared" si="223"/>
        <v>0</v>
      </c>
      <c r="EK28" s="88">
        <f t="shared" si="223"/>
        <v>0</v>
      </c>
      <c r="EL28" s="88">
        <f t="shared" si="223"/>
        <v>0</v>
      </c>
      <c r="EM28" s="88">
        <f t="shared" si="223"/>
        <v>0</v>
      </c>
      <c r="EN28" s="88">
        <f t="shared" si="223"/>
        <v>0</v>
      </c>
      <c r="EO28" s="88">
        <f t="shared" si="223"/>
        <v>0</v>
      </c>
      <c r="EP28" s="88">
        <f t="shared" si="223"/>
        <v>0</v>
      </c>
      <c r="EQ28" s="88">
        <f t="shared" si="223"/>
        <v>0</v>
      </c>
      <c r="ER28" s="88">
        <f t="shared" si="223"/>
        <v>0</v>
      </c>
      <c r="ES28" s="88">
        <f t="shared" si="223"/>
        <v>0</v>
      </c>
      <c r="ET28" s="88">
        <f t="shared" si="223"/>
        <v>0</v>
      </c>
      <c r="EU28" s="88">
        <f t="shared" si="223"/>
        <v>0</v>
      </c>
      <c r="EV28" s="88">
        <f t="shared" si="223"/>
        <v>0</v>
      </c>
      <c r="EW28" s="88">
        <f t="shared" si="223"/>
        <v>0</v>
      </c>
      <c r="EX28" s="88">
        <f t="shared" si="223"/>
        <v>0</v>
      </c>
      <c r="EY28" s="88">
        <f t="shared" si="223"/>
        <v>0</v>
      </c>
    </row>
    <row r="29">
      <c r="A29" s="181" t="s">
        <v>205</v>
      </c>
      <c r="B29" s="10">
        <f t="shared" ref="B29:V29" si="224">0</f>
        <v>0</v>
      </c>
      <c r="C29" s="10">
        <f t="shared" si="224"/>
        <v>0</v>
      </c>
      <c r="D29" s="10">
        <f t="shared" si="224"/>
        <v>0</v>
      </c>
      <c r="E29" s="88">
        <f t="shared" si="224"/>
        <v>0</v>
      </c>
      <c r="F29" s="123">
        <f t="shared" si="224"/>
        <v>0</v>
      </c>
      <c r="G29" s="205">
        <f t="shared" si="224"/>
        <v>0</v>
      </c>
      <c r="H29" s="88">
        <f t="shared" si="224"/>
        <v>0</v>
      </c>
      <c r="I29" s="88">
        <f t="shared" si="224"/>
        <v>0</v>
      </c>
      <c r="J29" s="88">
        <f t="shared" si="224"/>
        <v>0</v>
      </c>
      <c r="K29" s="88">
        <f t="shared" si="224"/>
        <v>0</v>
      </c>
      <c r="L29" s="88">
        <f t="shared" si="224"/>
        <v>0</v>
      </c>
      <c r="M29" s="88">
        <f t="shared" si="224"/>
        <v>0</v>
      </c>
      <c r="N29" s="88">
        <f t="shared" si="224"/>
        <v>0</v>
      </c>
      <c r="O29" s="88">
        <f t="shared" si="224"/>
        <v>0</v>
      </c>
      <c r="P29" s="88">
        <f t="shared" si="224"/>
        <v>0</v>
      </c>
      <c r="Q29" s="88">
        <f t="shared" si="224"/>
        <v>0</v>
      </c>
      <c r="R29" s="88">
        <f t="shared" si="224"/>
        <v>0</v>
      </c>
      <c r="S29" s="88">
        <f t="shared" si="224"/>
        <v>0</v>
      </c>
      <c r="T29" s="88">
        <f t="shared" si="224"/>
        <v>0</v>
      </c>
      <c r="U29" s="88">
        <f t="shared" si="224"/>
        <v>0</v>
      </c>
      <c r="V29" s="88">
        <f t="shared" si="224"/>
        <v>0</v>
      </c>
      <c r="W29" s="88" t="str">
        <f>IFERROR(__xludf.DUMMYFUNCTION("12 + (REGEXEXTRACT(INDIRECT(ADDRESS(ROW() - 27, COLUMN())), ""[\d]"") - 1) * 3"),"#N/A")</f>
        <v>#N/A</v>
      </c>
      <c r="X29" s="88">
        <f t="shared" ref="X29:AY29" si="225">0</f>
        <v>0</v>
      </c>
      <c r="Y29" s="88">
        <f t="shared" si="225"/>
        <v>0</v>
      </c>
      <c r="Z29" s="88">
        <f t="shared" si="225"/>
        <v>0</v>
      </c>
      <c r="AA29" s="88">
        <f t="shared" si="225"/>
        <v>0</v>
      </c>
      <c r="AB29" s="88">
        <f t="shared" si="225"/>
        <v>0</v>
      </c>
      <c r="AC29" s="88">
        <f t="shared" si="225"/>
        <v>0</v>
      </c>
      <c r="AD29" s="88">
        <f t="shared" si="225"/>
        <v>0</v>
      </c>
      <c r="AE29" s="88">
        <f t="shared" si="225"/>
        <v>0</v>
      </c>
      <c r="AF29" s="88">
        <f t="shared" si="225"/>
        <v>0</v>
      </c>
      <c r="AG29" s="88">
        <f t="shared" si="225"/>
        <v>0</v>
      </c>
      <c r="AH29" s="88">
        <f t="shared" si="225"/>
        <v>0</v>
      </c>
      <c r="AI29" s="88">
        <f t="shared" si="225"/>
        <v>0</v>
      </c>
      <c r="AJ29" s="88">
        <f t="shared" si="225"/>
        <v>0</v>
      </c>
      <c r="AK29" s="88">
        <f t="shared" si="225"/>
        <v>0</v>
      </c>
      <c r="AL29" s="88">
        <f t="shared" si="225"/>
        <v>0</v>
      </c>
      <c r="AM29" s="88">
        <f t="shared" si="225"/>
        <v>0</v>
      </c>
      <c r="AN29" s="88">
        <f t="shared" si="225"/>
        <v>0</v>
      </c>
      <c r="AO29" s="88">
        <f t="shared" si="225"/>
        <v>0</v>
      </c>
      <c r="AP29" s="88">
        <f t="shared" si="225"/>
        <v>0</v>
      </c>
      <c r="AQ29" s="88">
        <f t="shared" si="225"/>
        <v>0</v>
      </c>
      <c r="AR29" s="88">
        <f t="shared" si="225"/>
        <v>0</v>
      </c>
      <c r="AS29" s="88">
        <f t="shared" si="225"/>
        <v>0</v>
      </c>
      <c r="AT29" s="88">
        <f t="shared" si="225"/>
        <v>0</v>
      </c>
      <c r="AU29" s="88">
        <f t="shared" si="225"/>
        <v>0</v>
      </c>
      <c r="AV29" s="88">
        <f t="shared" si="225"/>
        <v>0</v>
      </c>
      <c r="AW29" s="88">
        <f t="shared" si="225"/>
        <v>0</v>
      </c>
      <c r="AX29" s="88">
        <f t="shared" si="225"/>
        <v>0</v>
      </c>
      <c r="AY29" s="88">
        <f t="shared" si="225"/>
        <v>0</v>
      </c>
      <c r="AZ29" s="88" t="str">
        <f>IFERROR(__xludf.DUMMYFUNCTION("12 + (REGEXEXTRACT(INDIRECT(ADDRESS(ROW() - 27, COLUMN())), ""[\d]"") - 1) * 3"),"#N/A")</f>
        <v>#N/A</v>
      </c>
      <c r="BA29" s="88">
        <f t="shared" ref="BA29:BW29" si="226">0</f>
        <v>0</v>
      </c>
      <c r="BB29" s="88">
        <f t="shared" si="226"/>
        <v>0</v>
      </c>
      <c r="BC29" s="88">
        <f t="shared" si="226"/>
        <v>0</v>
      </c>
      <c r="BD29" s="88">
        <f t="shared" si="226"/>
        <v>0</v>
      </c>
      <c r="BE29" s="88">
        <f t="shared" si="226"/>
        <v>0</v>
      </c>
      <c r="BF29" s="88">
        <f t="shared" si="226"/>
        <v>0</v>
      </c>
      <c r="BG29" s="88">
        <f t="shared" si="226"/>
        <v>0</v>
      </c>
      <c r="BH29" s="88">
        <f t="shared" si="226"/>
        <v>0</v>
      </c>
      <c r="BI29" s="88">
        <f t="shared" si="226"/>
        <v>0</v>
      </c>
      <c r="BJ29" s="88">
        <f t="shared" si="226"/>
        <v>0</v>
      </c>
      <c r="BK29" s="88">
        <f t="shared" si="226"/>
        <v>0</v>
      </c>
      <c r="BL29" s="88">
        <f t="shared" si="226"/>
        <v>0</v>
      </c>
      <c r="BM29" s="88">
        <f t="shared" si="226"/>
        <v>0</v>
      </c>
      <c r="BN29" s="88">
        <f t="shared" si="226"/>
        <v>0</v>
      </c>
      <c r="BO29" s="88">
        <f t="shared" si="226"/>
        <v>0</v>
      </c>
      <c r="BP29" s="88">
        <f t="shared" si="226"/>
        <v>0</v>
      </c>
      <c r="BQ29" s="88">
        <f t="shared" si="226"/>
        <v>0</v>
      </c>
      <c r="BR29" s="88">
        <f t="shared" si="226"/>
        <v>0</v>
      </c>
      <c r="BS29" s="88">
        <f t="shared" si="226"/>
        <v>0</v>
      </c>
      <c r="BT29" s="88">
        <f t="shared" si="226"/>
        <v>0</v>
      </c>
      <c r="BU29" s="88">
        <f t="shared" si="226"/>
        <v>0</v>
      </c>
      <c r="BV29" s="88">
        <f t="shared" si="226"/>
        <v>0</v>
      </c>
      <c r="BW29" s="88">
        <f t="shared" si="226"/>
        <v>0</v>
      </c>
      <c r="BX29" s="88" t="str">
        <f>IFERROR(__xludf.DUMMYFUNCTION("12 + (REGEXEXTRACT(INDIRECT(ADDRESS(ROW() - 27, COLUMN())), ""[\d]"") - 1) * 3"),"#N/A")</f>
        <v>#N/A</v>
      </c>
      <c r="BY29" s="88">
        <f t="shared" ref="BY29:DM29" si="227">0</f>
        <v>0</v>
      </c>
      <c r="BZ29" s="88">
        <f t="shared" si="227"/>
        <v>0</v>
      </c>
      <c r="CA29" s="88">
        <f t="shared" si="227"/>
        <v>0</v>
      </c>
      <c r="CB29" s="88">
        <f t="shared" si="227"/>
        <v>0</v>
      </c>
      <c r="CC29" s="88">
        <f t="shared" si="227"/>
        <v>0</v>
      </c>
      <c r="CD29" s="88">
        <f t="shared" si="227"/>
        <v>0</v>
      </c>
      <c r="CE29" s="88">
        <f t="shared" si="227"/>
        <v>0</v>
      </c>
      <c r="CF29" s="88">
        <f t="shared" si="227"/>
        <v>0</v>
      </c>
      <c r="CG29" s="88">
        <f t="shared" si="227"/>
        <v>0</v>
      </c>
      <c r="CH29" s="88">
        <f t="shared" si="227"/>
        <v>0</v>
      </c>
      <c r="CI29" s="88">
        <f t="shared" si="227"/>
        <v>0</v>
      </c>
      <c r="CJ29" s="88">
        <f t="shared" si="227"/>
        <v>0</v>
      </c>
      <c r="CK29" s="88">
        <f t="shared" si="227"/>
        <v>0</v>
      </c>
      <c r="CL29" s="88">
        <f t="shared" si="227"/>
        <v>0</v>
      </c>
      <c r="CM29" s="88">
        <f t="shared" si="227"/>
        <v>0</v>
      </c>
      <c r="CN29" s="88">
        <f t="shared" si="227"/>
        <v>0</v>
      </c>
      <c r="CO29" s="88">
        <f t="shared" si="227"/>
        <v>0</v>
      </c>
      <c r="CP29" s="88">
        <f t="shared" si="227"/>
        <v>0</v>
      </c>
      <c r="CQ29" s="88">
        <f t="shared" si="227"/>
        <v>0</v>
      </c>
      <c r="CR29" s="88">
        <f t="shared" si="227"/>
        <v>0</v>
      </c>
      <c r="CS29" s="88">
        <f t="shared" si="227"/>
        <v>0</v>
      </c>
      <c r="CT29" s="88">
        <f t="shared" si="227"/>
        <v>0</v>
      </c>
      <c r="CU29" s="88">
        <f t="shared" si="227"/>
        <v>0</v>
      </c>
      <c r="CV29" s="88">
        <f t="shared" si="227"/>
        <v>0</v>
      </c>
      <c r="CW29" s="88">
        <f t="shared" si="227"/>
        <v>0</v>
      </c>
      <c r="CX29" s="88">
        <f t="shared" si="227"/>
        <v>0</v>
      </c>
      <c r="CY29" s="88">
        <f t="shared" si="227"/>
        <v>0</v>
      </c>
      <c r="CZ29" s="88">
        <f t="shared" si="227"/>
        <v>0</v>
      </c>
      <c r="DA29" s="88">
        <f t="shared" si="227"/>
        <v>0</v>
      </c>
      <c r="DB29" s="88">
        <f t="shared" si="227"/>
        <v>0</v>
      </c>
      <c r="DC29" s="88">
        <f t="shared" si="227"/>
        <v>0</v>
      </c>
      <c r="DD29" s="88">
        <f t="shared" si="227"/>
        <v>0</v>
      </c>
      <c r="DE29" s="88">
        <f t="shared" si="227"/>
        <v>0</v>
      </c>
      <c r="DF29" s="88">
        <f t="shared" si="227"/>
        <v>0</v>
      </c>
      <c r="DG29" s="88">
        <f t="shared" si="227"/>
        <v>0</v>
      </c>
      <c r="DH29" s="88">
        <f t="shared" si="227"/>
        <v>0</v>
      </c>
      <c r="DI29" s="88">
        <f t="shared" si="227"/>
        <v>0</v>
      </c>
      <c r="DJ29" s="88">
        <f t="shared" si="227"/>
        <v>0</v>
      </c>
      <c r="DK29" s="88">
        <f t="shared" si="227"/>
        <v>0</v>
      </c>
      <c r="DL29" s="88">
        <f t="shared" si="227"/>
        <v>0</v>
      </c>
      <c r="DM29" s="88">
        <f t="shared" si="227"/>
        <v>0</v>
      </c>
      <c r="DN29" s="88" t="str">
        <f>IFERROR(__xludf.DUMMYFUNCTION("12 + (REGEXEXTRACT(INDIRECT(ADDRESS(ROW() - 27, COLUMN())), ""[\d]"") - 1) * 3"),"#N/A")</f>
        <v>#N/A</v>
      </c>
      <c r="DO29" s="88">
        <f t="shared" ref="DO29:DU29" si="228">0</f>
        <v>0</v>
      </c>
      <c r="DP29" s="88">
        <f t="shared" si="228"/>
        <v>0</v>
      </c>
      <c r="DQ29" s="88">
        <f t="shared" si="228"/>
        <v>0</v>
      </c>
      <c r="DR29" s="88">
        <f t="shared" si="228"/>
        <v>0</v>
      </c>
      <c r="DS29" s="88">
        <f t="shared" si="228"/>
        <v>0</v>
      </c>
      <c r="DT29" s="88">
        <f t="shared" si="228"/>
        <v>0</v>
      </c>
      <c r="DU29" s="88">
        <f t="shared" si="228"/>
        <v>0</v>
      </c>
      <c r="DV29" s="88">
        <f t="shared" ref="DV29:DY29" si="229">0</f>
        <v>0</v>
      </c>
      <c r="DW29" s="88">
        <f t="shared" si="229"/>
        <v>0</v>
      </c>
      <c r="DX29" s="88">
        <f t="shared" si="229"/>
        <v>0</v>
      </c>
      <c r="DY29" s="88">
        <f t="shared" si="229"/>
        <v>0</v>
      </c>
      <c r="DZ29" s="88" t="str">
        <f>IFERROR(__xludf.DUMMYFUNCTION("12 + (REGEXEXTRACT(INDIRECT(ADDRESS(ROW() - 27, COLUMN())), ""[\d]"") - 1) * 3"),"#N/A")</f>
        <v>#N/A</v>
      </c>
      <c r="EA29" s="88">
        <f t="shared" ref="EA29:EY29" si="230">0</f>
        <v>0</v>
      </c>
      <c r="EB29" s="88">
        <f t="shared" si="230"/>
        <v>0</v>
      </c>
      <c r="EC29" s="88">
        <f t="shared" si="230"/>
        <v>0</v>
      </c>
      <c r="ED29" s="88">
        <f t="shared" si="230"/>
        <v>0</v>
      </c>
      <c r="EE29" s="88">
        <f t="shared" si="230"/>
        <v>0</v>
      </c>
      <c r="EF29" s="88">
        <f t="shared" si="230"/>
        <v>0</v>
      </c>
      <c r="EG29" s="88">
        <f t="shared" si="230"/>
        <v>0</v>
      </c>
      <c r="EH29" s="88">
        <f t="shared" si="230"/>
        <v>0</v>
      </c>
      <c r="EI29" s="88">
        <f t="shared" si="230"/>
        <v>0</v>
      </c>
      <c r="EJ29" s="88">
        <f t="shared" si="230"/>
        <v>0</v>
      </c>
      <c r="EK29" s="88">
        <f t="shared" si="230"/>
        <v>0</v>
      </c>
      <c r="EL29" s="88">
        <f t="shared" si="230"/>
        <v>0</v>
      </c>
      <c r="EM29" s="88">
        <f t="shared" si="230"/>
        <v>0</v>
      </c>
      <c r="EN29" s="88">
        <f t="shared" si="230"/>
        <v>0</v>
      </c>
      <c r="EO29" s="88">
        <f t="shared" si="230"/>
        <v>0</v>
      </c>
      <c r="EP29" s="88">
        <f t="shared" si="230"/>
        <v>0</v>
      </c>
      <c r="EQ29" s="88">
        <f t="shared" si="230"/>
        <v>0</v>
      </c>
      <c r="ER29" s="88">
        <f t="shared" si="230"/>
        <v>0</v>
      </c>
      <c r="ES29" s="88">
        <f t="shared" si="230"/>
        <v>0</v>
      </c>
      <c r="ET29" s="88">
        <f t="shared" si="230"/>
        <v>0</v>
      </c>
      <c r="EU29" s="88">
        <f t="shared" si="230"/>
        <v>0</v>
      </c>
      <c r="EV29" s="88">
        <f t="shared" si="230"/>
        <v>0</v>
      </c>
      <c r="EW29" s="88">
        <f t="shared" si="230"/>
        <v>0</v>
      </c>
      <c r="EX29" s="88">
        <f t="shared" si="230"/>
        <v>0</v>
      </c>
      <c r="EY29" s="88">
        <f t="shared" si="230"/>
        <v>0</v>
      </c>
    </row>
    <row r="30">
      <c r="A30" s="181" t="s">
        <v>206</v>
      </c>
      <c r="B30" s="10">
        <f t="shared" ref="B30:DU30" si="231">0</f>
        <v>0</v>
      </c>
      <c r="C30" s="10">
        <f t="shared" si="231"/>
        <v>0</v>
      </c>
      <c r="D30" s="10">
        <f t="shared" si="231"/>
        <v>0</v>
      </c>
      <c r="E30" s="88">
        <f t="shared" si="231"/>
        <v>0</v>
      </c>
      <c r="F30" s="123">
        <f t="shared" si="231"/>
        <v>0</v>
      </c>
      <c r="G30" s="205">
        <f t="shared" si="231"/>
        <v>0</v>
      </c>
      <c r="H30" s="88">
        <f t="shared" si="231"/>
        <v>0</v>
      </c>
      <c r="I30" s="88">
        <f t="shared" si="231"/>
        <v>0</v>
      </c>
      <c r="J30" s="88">
        <f t="shared" si="231"/>
        <v>0</v>
      </c>
      <c r="K30" s="88">
        <f t="shared" si="231"/>
        <v>0</v>
      </c>
      <c r="L30" s="88">
        <f t="shared" si="231"/>
        <v>0</v>
      </c>
      <c r="M30" s="88">
        <f t="shared" si="231"/>
        <v>0</v>
      </c>
      <c r="N30" s="88">
        <f t="shared" si="231"/>
        <v>0</v>
      </c>
      <c r="O30" s="88">
        <f t="shared" si="231"/>
        <v>0</v>
      </c>
      <c r="P30" s="88">
        <f t="shared" si="231"/>
        <v>0</v>
      </c>
      <c r="Q30" s="88">
        <f t="shared" si="231"/>
        <v>0</v>
      </c>
      <c r="R30" s="88">
        <f t="shared" si="231"/>
        <v>0</v>
      </c>
      <c r="S30" s="88">
        <f t="shared" si="231"/>
        <v>0</v>
      </c>
      <c r="T30" s="88">
        <f t="shared" si="231"/>
        <v>0</v>
      </c>
      <c r="U30" s="88">
        <f t="shared" si="231"/>
        <v>0</v>
      </c>
      <c r="V30" s="88">
        <f t="shared" si="231"/>
        <v>0</v>
      </c>
      <c r="W30" s="88">
        <f t="shared" si="231"/>
        <v>0</v>
      </c>
      <c r="X30" s="88">
        <f t="shared" si="231"/>
        <v>0</v>
      </c>
      <c r="Y30" s="88">
        <f t="shared" si="231"/>
        <v>0</v>
      </c>
      <c r="Z30" s="88">
        <f t="shared" si="231"/>
        <v>0</v>
      </c>
      <c r="AA30" s="88">
        <f t="shared" si="231"/>
        <v>0</v>
      </c>
      <c r="AB30" s="88">
        <f t="shared" si="231"/>
        <v>0</v>
      </c>
      <c r="AC30" s="88">
        <f t="shared" si="231"/>
        <v>0</v>
      </c>
      <c r="AD30" s="88">
        <f t="shared" si="231"/>
        <v>0</v>
      </c>
      <c r="AE30" s="88">
        <f t="shared" si="231"/>
        <v>0</v>
      </c>
      <c r="AF30" s="88">
        <f t="shared" si="231"/>
        <v>0</v>
      </c>
      <c r="AG30" s="88">
        <f t="shared" si="231"/>
        <v>0</v>
      </c>
      <c r="AH30" s="88">
        <f t="shared" si="231"/>
        <v>0</v>
      </c>
      <c r="AI30" s="88">
        <f t="shared" si="231"/>
        <v>0</v>
      </c>
      <c r="AJ30" s="88">
        <f t="shared" si="231"/>
        <v>0</v>
      </c>
      <c r="AK30" s="88">
        <f t="shared" si="231"/>
        <v>0</v>
      </c>
      <c r="AL30" s="88">
        <f t="shared" si="231"/>
        <v>0</v>
      </c>
      <c r="AM30" s="88">
        <f t="shared" si="231"/>
        <v>0</v>
      </c>
      <c r="AN30" s="88">
        <f t="shared" si="231"/>
        <v>0</v>
      </c>
      <c r="AO30" s="88">
        <f t="shared" si="231"/>
        <v>0</v>
      </c>
      <c r="AP30" s="88">
        <f t="shared" si="231"/>
        <v>0</v>
      </c>
      <c r="AQ30" s="88">
        <f t="shared" si="231"/>
        <v>0</v>
      </c>
      <c r="AR30" s="88">
        <f t="shared" si="231"/>
        <v>0</v>
      </c>
      <c r="AS30" s="88">
        <f t="shared" si="231"/>
        <v>0</v>
      </c>
      <c r="AT30" s="88">
        <f t="shared" si="231"/>
        <v>0</v>
      </c>
      <c r="AU30" s="88">
        <f t="shared" si="231"/>
        <v>0</v>
      </c>
      <c r="AV30" s="88">
        <f t="shared" si="231"/>
        <v>0</v>
      </c>
      <c r="AW30" s="88">
        <f t="shared" si="231"/>
        <v>0</v>
      </c>
      <c r="AX30" s="88">
        <f t="shared" si="231"/>
        <v>0</v>
      </c>
      <c r="AY30" s="88">
        <f t="shared" si="231"/>
        <v>0</v>
      </c>
      <c r="AZ30" s="88">
        <f t="shared" si="231"/>
        <v>0</v>
      </c>
      <c r="BA30" s="88">
        <f t="shared" si="231"/>
        <v>0</v>
      </c>
      <c r="BB30" s="88">
        <f t="shared" si="231"/>
        <v>0</v>
      </c>
      <c r="BC30" s="88">
        <f t="shared" si="231"/>
        <v>0</v>
      </c>
      <c r="BD30" s="88">
        <f t="shared" si="231"/>
        <v>0</v>
      </c>
      <c r="BE30" s="88">
        <f t="shared" si="231"/>
        <v>0</v>
      </c>
      <c r="BF30" s="88">
        <f t="shared" si="231"/>
        <v>0</v>
      </c>
      <c r="BG30" s="88">
        <f t="shared" si="231"/>
        <v>0</v>
      </c>
      <c r="BH30" s="88">
        <f t="shared" si="231"/>
        <v>0</v>
      </c>
      <c r="BI30" s="88">
        <f t="shared" si="231"/>
        <v>0</v>
      </c>
      <c r="BJ30" s="88">
        <f t="shared" si="231"/>
        <v>0</v>
      </c>
      <c r="BK30" s="88">
        <f t="shared" si="231"/>
        <v>0</v>
      </c>
      <c r="BL30" s="88">
        <f t="shared" si="231"/>
        <v>0</v>
      </c>
      <c r="BM30" s="88">
        <f t="shared" si="231"/>
        <v>0</v>
      </c>
      <c r="BN30" s="88">
        <f t="shared" si="231"/>
        <v>0</v>
      </c>
      <c r="BO30" s="88">
        <f t="shared" si="231"/>
        <v>0</v>
      </c>
      <c r="BP30" s="88">
        <f t="shared" si="231"/>
        <v>0</v>
      </c>
      <c r="BQ30" s="88">
        <f t="shared" si="231"/>
        <v>0</v>
      </c>
      <c r="BR30" s="88">
        <f t="shared" si="231"/>
        <v>0</v>
      </c>
      <c r="BS30" s="88">
        <f t="shared" si="231"/>
        <v>0</v>
      </c>
      <c r="BT30" s="88">
        <f t="shared" si="231"/>
        <v>0</v>
      </c>
      <c r="BU30" s="88">
        <f t="shared" si="231"/>
        <v>0</v>
      </c>
      <c r="BV30" s="88">
        <f t="shared" si="231"/>
        <v>0</v>
      </c>
      <c r="BW30" s="88">
        <f t="shared" si="231"/>
        <v>0</v>
      </c>
      <c r="BX30" s="88">
        <f t="shared" si="231"/>
        <v>0</v>
      </c>
      <c r="BY30" s="88">
        <f t="shared" si="231"/>
        <v>0</v>
      </c>
      <c r="BZ30" s="88">
        <f t="shared" si="231"/>
        <v>0</v>
      </c>
      <c r="CA30" s="88">
        <f t="shared" si="231"/>
        <v>0</v>
      </c>
      <c r="CB30" s="88">
        <f t="shared" si="231"/>
        <v>0</v>
      </c>
      <c r="CC30" s="88">
        <f t="shared" si="231"/>
        <v>0</v>
      </c>
      <c r="CD30" s="88">
        <f t="shared" si="231"/>
        <v>0</v>
      </c>
      <c r="CE30" s="88">
        <f t="shared" si="231"/>
        <v>0</v>
      </c>
      <c r="CF30" s="88">
        <f t="shared" si="231"/>
        <v>0</v>
      </c>
      <c r="CG30" s="88">
        <f t="shared" si="231"/>
        <v>0</v>
      </c>
      <c r="CH30" s="88">
        <f t="shared" si="231"/>
        <v>0</v>
      </c>
      <c r="CI30" s="88">
        <f t="shared" si="231"/>
        <v>0</v>
      </c>
      <c r="CJ30" s="88">
        <f t="shared" si="231"/>
        <v>0</v>
      </c>
      <c r="CK30" s="88">
        <f t="shared" si="231"/>
        <v>0</v>
      </c>
      <c r="CL30" s="88">
        <f t="shared" si="231"/>
        <v>0</v>
      </c>
      <c r="CM30" s="88">
        <f t="shared" si="231"/>
        <v>0</v>
      </c>
      <c r="CN30" s="88">
        <f t="shared" si="231"/>
        <v>0</v>
      </c>
      <c r="CO30" s="88">
        <f t="shared" si="231"/>
        <v>0</v>
      </c>
      <c r="CP30" s="88">
        <f t="shared" si="231"/>
        <v>0</v>
      </c>
      <c r="CQ30" s="88">
        <f t="shared" si="231"/>
        <v>0</v>
      </c>
      <c r="CR30" s="88">
        <f t="shared" si="231"/>
        <v>0</v>
      </c>
      <c r="CS30" s="88">
        <f t="shared" si="231"/>
        <v>0</v>
      </c>
      <c r="CT30" s="88">
        <f t="shared" si="231"/>
        <v>0</v>
      </c>
      <c r="CU30" s="88">
        <f t="shared" si="231"/>
        <v>0</v>
      </c>
      <c r="CV30" s="88">
        <f t="shared" si="231"/>
        <v>0</v>
      </c>
      <c r="CW30" s="88">
        <f t="shared" si="231"/>
        <v>0</v>
      </c>
      <c r="CX30" s="88">
        <f t="shared" si="231"/>
        <v>0</v>
      </c>
      <c r="CY30" s="88">
        <f t="shared" si="231"/>
        <v>0</v>
      </c>
      <c r="CZ30" s="88">
        <f t="shared" si="231"/>
        <v>0</v>
      </c>
      <c r="DA30" s="88">
        <f t="shared" si="231"/>
        <v>0</v>
      </c>
      <c r="DB30" s="88">
        <f t="shared" si="231"/>
        <v>0</v>
      </c>
      <c r="DC30" s="88">
        <f t="shared" si="231"/>
        <v>0</v>
      </c>
      <c r="DD30" s="88">
        <f t="shared" si="231"/>
        <v>0</v>
      </c>
      <c r="DE30" s="88">
        <f t="shared" si="231"/>
        <v>0</v>
      </c>
      <c r="DF30" s="88">
        <f t="shared" si="231"/>
        <v>0</v>
      </c>
      <c r="DG30" s="88">
        <f t="shared" si="231"/>
        <v>0</v>
      </c>
      <c r="DH30" s="88">
        <f t="shared" si="231"/>
        <v>0</v>
      </c>
      <c r="DI30" s="88">
        <f t="shared" si="231"/>
        <v>0</v>
      </c>
      <c r="DJ30" s="88">
        <f t="shared" si="231"/>
        <v>0</v>
      </c>
      <c r="DK30" s="88">
        <f t="shared" si="231"/>
        <v>0</v>
      </c>
      <c r="DL30" s="88">
        <f t="shared" si="231"/>
        <v>0</v>
      </c>
      <c r="DM30" s="88">
        <f t="shared" si="231"/>
        <v>0</v>
      </c>
      <c r="DN30" s="88">
        <f t="shared" si="231"/>
        <v>0</v>
      </c>
      <c r="DO30" s="88">
        <f t="shared" si="231"/>
        <v>0</v>
      </c>
      <c r="DP30" s="88">
        <f t="shared" si="231"/>
        <v>0</v>
      </c>
      <c r="DQ30" s="88">
        <f t="shared" si="231"/>
        <v>0</v>
      </c>
      <c r="DR30" s="88">
        <f t="shared" si="231"/>
        <v>0</v>
      </c>
      <c r="DS30" s="88">
        <f t="shared" si="231"/>
        <v>0</v>
      </c>
      <c r="DT30" s="88">
        <f t="shared" si="231"/>
        <v>0</v>
      </c>
      <c r="DU30" s="88">
        <f t="shared" si="231"/>
        <v>0</v>
      </c>
      <c r="DV30" s="88">
        <f t="shared" ref="DV30:EY30" si="232">0</f>
        <v>0</v>
      </c>
      <c r="DW30" s="88">
        <f t="shared" si="232"/>
        <v>0</v>
      </c>
      <c r="DX30" s="88">
        <f t="shared" si="232"/>
        <v>0</v>
      </c>
      <c r="DY30" s="88">
        <f t="shared" si="232"/>
        <v>0</v>
      </c>
      <c r="DZ30" s="88">
        <f t="shared" si="232"/>
        <v>0</v>
      </c>
      <c r="EA30" s="88">
        <f t="shared" si="232"/>
        <v>0</v>
      </c>
      <c r="EB30" s="88">
        <f t="shared" si="232"/>
        <v>0</v>
      </c>
      <c r="EC30" s="88">
        <f t="shared" si="232"/>
        <v>0</v>
      </c>
      <c r="ED30" s="88">
        <f t="shared" si="232"/>
        <v>0</v>
      </c>
      <c r="EE30" s="88">
        <f t="shared" si="232"/>
        <v>0</v>
      </c>
      <c r="EF30" s="88">
        <f t="shared" si="232"/>
        <v>0</v>
      </c>
      <c r="EG30" s="88">
        <f t="shared" si="232"/>
        <v>0</v>
      </c>
      <c r="EH30" s="88">
        <f t="shared" si="232"/>
        <v>0</v>
      </c>
      <c r="EI30" s="88">
        <f t="shared" si="232"/>
        <v>0</v>
      </c>
      <c r="EJ30" s="88">
        <f t="shared" si="232"/>
        <v>0</v>
      </c>
      <c r="EK30" s="88">
        <f t="shared" si="232"/>
        <v>0</v>
      </c>
      <c r="EL30" s="88">
        <f t="shared" si="232"/>
        <v>0</v>
      </c>
      <c r="EM30" s="88">
        <f t="shared" si="232"/>
        <v>0</v>
      </c>
      <c r="EN30" s="88">
        <f t="shared" si="232"/>
        <v>0</v>
      </c>
      <c r="EO30" s="88">
        <f t="shared" si="232"/>
        <v>0</v>
      </c>
      <c r="EP30" s="88">
        <f t="shared" si="232"/>
        <v>0</v>
      </c>
      <c r="EQ30" s="88">
        <f t="shared" si="232"/>
        <v>0</v>
      </c>
      <c r="ER30" s="88">
        <f t="shared" si="232"/>
        <v>0</v>
      </c>
      <c r="ES30" s="88">
        <f t="shared" si="232"/>
        <v>0</v>
      </c>
      <c r="ET30" s="88">
        <f t="shared" si="232"/>
        <v>0</v>
      </c>
      <c r="EU30" s="88">
        <f t="shared" si="232"/>
        <v>0</v>
      </c>
      <c r="EV30" s="88">
        <f t="shared" si="232"/>
        <v>0</v>
      </c>
      <c r="EW30" s="88">
        <f t="shared" si="232"/>
        <v>0</v>
      </c>
      <c r="EX30" s="88">
        <f t="shared" si="232"/>
        <v>0</v>
      </c>
      <c r="EY30" s="88">
        <f t="shared" si="232"/>
        <v>0</v>
      </c>
    </row>
    <row r="31">
      <c r="A31" s="181" t="s">
        <v>207</v>
      </c>
      <c r="B31" s="10">
        <f t="shared" ref="B31:DU31" si="233">0</f>
        <v>0</v>
      </c>
      <c r="C31" s="10">
        <f t="shared" si="233"/>
        <v>0</v>
      </c>
      <c r="D31" s="10">
        <f t="shared" si="233"/>
        <v>0</v>
      </c>
      <c r="E31" s="88">
        <f t="shared" si="233"/>
        <v>0</v>
      </c>
      <c r="F31" s="123">
        <f t="shared" si="233"/>
        <v>0</v>
      </c>
      <c r="G31" s="205">
        <f t="shared" si="233"/>
        <v>0</v>
      </c>
      <c r="H31" s="88">
        <f t="shared" si="233"/>
        <v>0</v>
      </c>
      <c r="I31" s="88">
        <f t="shared" si="233"/>
        <v>0</v>
      </c>
      <c r="J31" s="88">
        <f t="shared" si="233"/>
        <v>0</v>
      </c>
      <c r="K31" s="88">
        <f t="shared" si="233"/>
        <v>0</v>
      </c>
      <c r="L31" s="88">
        <f t="shared" si="233"/>
        <v>0</v>
      </c>
      <c r="M31" s="88">
        <f t="shared" si="233"/>
        <v>0</v>
      </c>
      <c r="N31" s="88">
        <f t="shared" si="233"/>
        <v>0</v>
      </c>
      <c r="O31" s="88">
        <f t="shared" si="233"/>
        <v>0</v>
      </c>
      <c r="P31" s="88">
        <f t="shared" si="233"/>
        <v>0</v>
      </c>
      <c r="Q31" s="88">
        <f t="shared" si="233"/>
        <v>0</v>
      </c>
      <c r="R31" s="88">
        <f t="shared" si="233"/>
        <v>0</v>
      </c>
      <c r="S31" s="88">
        <f t="shared" si="233"/>
        <v>0</v>
      </c>
      <c r="T31" s="88">
        <f t="shared" si="233"/>
        <v>0</v>
      </c>
      <c r="U31" s="88">
        <f t="shared" si="233"/>
        <v>0</v>
      </c>
      <c r="V31" s="88">
        <f t="shared" si="233"/>
        <v>0</v>
      </c>
      <c r="W31" s="88">
        <f t="shared" si="233"/>
        <v>0</v>
      </c>
      <c r="X31" s="88">
        <f t="shared" si="233"/>
        <v>0</v>
      </c>
      <c r="Y31" s="88">
        <f t="shared" si="233"/>
        <v>0</v>
      </c>
      <c r="Z31" s="88">
        <f t="shared" si="233"/>
        <v>0</v>
      </c>
      <c r="AA31" s="88">
        <f t="shared" si="233"/>
        <v>0</v>
      </c>
      <c r="AB31" s="88">
        <f t="shared" si="233"/>
        <v>0</v>
      </c>
      <c r="AC31" s="88">
        <f t="shared" si="233"/>
        <v>0</v>
      </c>
      <c r="AD31" s="88">
        <f t="shared" si="233"/>
        <v>0</v>
      </c>
      <c r="AE31" s="88">
        <f t="shared" si="233"/>
        <v>0</v>
      </c>
      <c r="AF31" s="88">
        <f t="shared" si="233"/>
        <v>0</v>
      </c>
      <c r="AG31" s="88">
        <f t="shared" si="233"/>
        <v>0</v>
      </c>
      <c r="AH31" s="88">
        <f t="shared" si="233"/>
        <v>0</v>
      </c>
      <c r="AI31" s="88">
        <f t="shared" si="233"/>
        <v>0</v>
      </c>
      <c r="AJ31" s="88">
        <f t="shared" si="233"/>
        <v>0</v>
      </c>
      <c r="AK31" s="88">
        <f t="shared" si="233"/>
        <v>0</v>
      </c>
      <c r="AL31" s="88">
        <f t="shared" si="233"/>
        <v>0</v>
      </c>
      <c r="AM31" s="88">
        <f t="shared" si="233"/>
        <v>0</v>
      </c>
      <c r="AN31" s="88">
        <f t="shared" si="233"/>
        <v>0</v>
      </c>
      <c r="AO31" s="88">
        <f t="shared" si="233"/>
        <v>0</v>
      </c>
      <c r="AP31" s="88">
        <f t="shared" si="233"/>
        <v>0</v>
      </c>
      <c r="AQ31" s="88">
        <f t="shared" si="233"/>
        <v>0</v>
      </c>
      <c r="AR31" s="88">
        <f t="shared" si="233"/>
        <v>0</v>
      </c>
      <c r="AS31" s="88">
        <f t="shared" si="233"/>
        <v>0</v>
      </c>
      <c r="AT31" s="88">
        <f t="shared" si="233"/>
        <v>0</v>
      </c>
      <c r="AU31" s="88">
        <f t="shared" si="233"/>
        <v>0</v>
      </c>
      <c r="AV31" s="88">
        <f t="shared" si="233"/>
        <v>0</v>
      </c>
      <c r="AW31" s="88">
        <f t="shared" si="233"/>
        <v>0</v>
      </c>
      <c r="AX31" s="88">
        <f t="shared" si="233"/>
        <v>0</v>
      </c>
      <c r="AY31" s="88">
        <f t="shared" si="233"/>
        <v>0</v>
      </c>
      <c r="AZ31" s="88">
        <f t="shared" si="233"/>
        <v>0</v>
      </c>
      <c r="BA31" s="88">
        <f t="shared" si="233"/>
        <v>0</v>
      </c>
      <c r="BB31" s="88">
        <f t="shared" si="233"/>
        <v>0</v>
      </c>
      <c r="BC31" s="88">
        <f t="shared" si="233"/>
        <v>0</v>
      </c>
      <c r="BD31" s="88">
        <f t="shared" si="233"/>
        <v>0</v>
      </c>
      <c r="BE31" s="88">
        <f t="shared" si="233"/>
        <v>0</v>
      </c>
      <c r="BF31" s="88">
        <f t="shared" si="233"/>
        <v>0</v>
      </c>
      <c r="BG31" s="88">
        <f t="shared" si="233"/>
        <v>0</v>
      </c>
      <c r="BH31" s="88">
        <f t="shared" si="233"/>
        <v>0</v>
      </c>
      <c r="BI31" s="88">
        <f t="shared" si="233"/>
        <v>0</v>
      </c>
      <c r="BJ31" s="88">
        <f t="shared" si="233"/>
        <v>0</v>
      </c>
      <c r="BK31" s="88">
        <f t="shared" si="233"/>
        <v>0</v>
      </c>
      <c r="BL31" s="88">
        <f t="shared" si="233"/>
        <v>0</v>
      </c>
      <c r="BM31" s="88">
        <f t="shared" si="233"/>
        <v>0</v>
      </c>
      <c r="BN31" s="88">
        <f t="shared" si="233"/>
        <v>0</v>
      </c>
      <c r="BO31" s="88">
        <f t="shared" si="233"/>
        <v>0</v>
      </c>
      <c r="BP31" s="88">
        <f t="shared" si="233"/>
        <v>0</v>
      </c>
      <c r="BQ31" s="88">
        <f t="shared" si="233"/>
        <v>0</v>
      </c>
      <c r="BR31" s="88">
        <f t="shared" si="233"/>
        <v>0</v>
      </c>
      <c r="BS31" s="88">
        <f t="shared" si="233"/>
        <v>0</v>
      </c>
      <c r="BT31" s="88">
        <f t="shared" si="233"/>
        <v>0</v>
      </c>
      <c r="BU31" s="88">
        <f t="shared" si="233"/>
        <v>0</v>
      </c>
      <c r="BV31" s="88">
        <f t="shared" si="233"/>
        <v>0</v>
      </c>
      <c r="BW31" s="88">
        <f t="shared" si="233"/>
        <v>0</v>
      </c>
      <c r="BX31" s="88">
        <f t="shared" si="233"/>
        <v>0</v>
      </c>
      <c r="BY31" s="88">
        <f t="shared" si="233"/>
        <v>0</v>
      </c>
      <c r="BZ31" s="88">
        <f t="shared" si="233"/>
        <v>0</v>
      </c>
      <c r="CA31" s="88">
        <f t="shared" si="233"/>
        <v>0</v>
      </c>
      <c r="CB31" s="88">
        <f t="shared" si="233"/>
        <v>0</v>
      </c>
      <c r="CC31" s="88">
        <f t="shared" si="233"/>
        <v>0</v>
      </c>
      <c r="CD31" s="88">
        <f t="shared" si="233"/>
        <v>0</v>
      </c>
      <c r="CE31" s="88">
        <f t="shared" si="233"/>
        <v>0</v>
      </c>
      <c r="CF31" s="88">
        <f t="shared" si="233"/>
        <v>0</v>
      </c>
      <c r="CG31" s="88">
        <f t="shared" si="233"/>
        <v>0</v>
      </c>
      <c r="CH31" s="88">
        <f t="shared" si="233"/>
        <v>0</v>
      </c>
      <c r="CI31" s="88">
        <f t="shared" si="233"/>
        <v>0</v>
      </c>
      <c r="CJ31" s="88">
        <f t="shared" si="233"/>
        <v>0</v>
      </c>
      <c r="CK31" s="88">
        <f t="shared" si="233"/>
        <v>0</v>
      </c>
      <c r="CL31" s="88">
        <f t="shared" si="233"/>
        <v>0</v>
      </c>
      <c r="CM31" s="88">
        <f t="shared" si="233"/>
        <v>0</v>
      </c>
      <c r="CN31" s="88">
        <f t="shared" si="233"/>
        <v>0</v>
      </c>
      <c r="CO31" s="88">
        <f t="shared" si="233"/>
        <v>0</v>
      </c>
      <c r="CP31" s="88">
        <f t="shared" si="233"/>
        <v>0</v>
      </c>
      <c r="CQ31" s="88">
        <f t="shared" si="233"/>
        <v>0</v>
      </c>
      <c r="CR31" s="88">
        <f t="shared" si="233"/>
        <v>0</v>
      </c>
      <c r="CS31" s="88">
        <f t="shared" si="233"/>
        <v>0</v>
      </c>
      <c r="CT31" s="88">
        <f t="shared" si="233"/>
        <v>0</v>
      </c>
      <c r="CU31" s="88">
        <f t="shared" si="233"/>
        <v>0</v>
      </c>
      <c r="CV31" s="88">
        <f t="shared" si="233"/>
        <v>0</v>
      </c>
      <c r="CW31" s="88">
        <f t="shared" si="233"/>
        <v>0</v>
      </c>
      <c r="CX31" s="88">
        <f t="shared" si="233"/>
        <v>0</v>
      </c>
      <c r="CY31" s="88">
        <f t="shared" si="233"/>
        <v>0</v>
      </c>
      <c r="CZ31" s="88">
        <f t="shared" si="233"/>
        <v>0</v>
      </c>
      <c r="DA31" s="88">
        <f t="shared" si="233"/>
        <v>0</v>
      </c>
      <c r="DB31" s="88">
        <f t="shared" si="233"/>
        <v>0</v>
      </c>
      <c r="DC31" s="88">
        <f t="shared" si="233"/>
        <v>0</v>
      </c>
      <c r="DD31" s="88">
        <f t="shared" si="233"/>
        <v>0</v>
      </c>
      <c r="DE31" s="88">
        <f t="shared" si="233"/>
        <v>0</v>
      </c>
      <c r="DF31" s="88">
        <f t="shared" si="233"/>
        <v>0</v>
      </c>
      <c r="DG31" s="88">
        <f t="shared" si="233"/>
        <v>0</v>
      </c>
      <c r="DH31" s="88">
        <f t="shared" si="233"/>
        <v>0</v>
      </c>
      <c r="DI31" s="88">
        <f t="shared" si="233"/>
        <v>0</v>
      </c>
      <c r="DJ31" s="88">
        <f t="shared" si="233"/>
        <v>0</v>
      </c>
      <c r="DK31" s="88">
        <f t="shared" si="233"/>
        <v>0</v>
      </c>
      <c r="DL31" s="88">
        <f t="shared" si="233"/>
        <v>0</v>
      </c>
      <c r="DM31" s="88">
        <f t="shared" si="233"/>
        <v>0</v>
      </c>
      <c r="DN31" s="88">
        <f t="shared" si="233"/>
        <v>0</v>
      </c>
      <c r="DO31" s="88">
        <f t="shared" si="233"/>
        <v>0</v>
      </c>
      <c r="DP31" s="88">
        <f t="shared" si="233"/>
        <v>0</v>
      </c>
      <c r="DQ31" s="88">
        <f t="shared" si="233"/>
        <v>0</v>
      </c>
      <c r="DR31" s="88">
        <f t="shared" si="233"/>
        <v>0</v>
      </c>
      <c r="DS31" s="88">
        <f t="shared" si="233"/>
        <v>0</v>
      </c>
      <c r="DT31" s="88">
        <f t="shared" si="233"/>
        <v>0</v>
      </c>
      <c r="DU31" s="88">
        <f t="shared" si="233"/>
        <v>0</v>
      </c>
      <c r="DV31" s="88">
        <f t="shared" ref="DV31:EY31" si="234">0</f>
        <v>0</v>
      </c>
      <c r="DW31" s="88">
        <f t="shared" si="234"/>
        <v>0</v>
      </c>
      <c r="DX31" s="88">
        <f t="shared" si="234"/>
        <v>0</v>
      </c>
      <c r="DY31" s="88">
        <f t="shared" si="234"/>
        <v>0</v>
      </c>
      <c r="DZ31" s="88">
        <f t="shared" si="234"/>
        <v>0</v>
      </c>
      <c r="EA31" s="88">
        <f t="shared" si="234"/>
        <v>0</v>
      </c>
      <c r="EB31" s="88">
        <f t="shared" si="234"/>
        <v>0</v>
      </c>
      <c r="EC31" s="88">
        <f t="shared" si="234"/>
        <v>0</v>
      </c>
      <c r="ED31" s="88">
        <f t="shared" si="234"/>
        <v>0</v>
      </c>
      <c r="EE31" s="88">
        <f t="shared" si="234"/>
        <v>0</v>
      </c>
      <c r="EF31" s="88">
        <f t="shared" si="234"/>
        <v>0</v>
      </c>
      <c r="EG31" s="88">
        <f t="shared" si="234"/>
        <v>0</v>
      </c>
      <c r="EH31" s="88">
        <f t="shared" si="234"/>
        <v>0</v>
      </c>
      <c r="EI31" s="88">
        <f t="shared" si="234"/>
        <v>0</v>
      </c>
      <c r="EJ31" s="88">
        <f t="shared" si="234"/>
        <v>0</v>
      </c>
      <c r="EK31" s="88">
        <f t="shared" si="234"/>
        <v>0</v>
      </c>
      <c r="EL31" s="88">
        <f t="shared" si="234"/>
        <v>0</v>
      </c>
      <c r="EM31" s="88">
        <f t="shared" si="234"/>
        <v>0</v>
      </c>
      <c r="EN31" s="88">
        <f t="shared" si="234"/>
        <v>0</v>
      </c>
      <c r="EO31" s="88">
        <f t="shared" si="234"/>
        <v>0</v>
      </c>
      <c r="EP31" s="88">
        <f t="shared" si="234"/>
        <v>0</v>
      </c>
      <c r="EQ31" s="88">
        <f t="shared" si="234"/>
        <v>0</v>
      </c>
      <c r="ER31" s="88">
        <f t="shared" si="234"/>
        <v>0</v>
      </c>
      <c r="ES31" s="88">
        <f t="shared" si="234"/>
        <v>0</v>
      </c>
      <c r="ET31" s="88">
        <f t="shared" si="234"/>
        <v>0</v>
      </c>
      <c r="EU31" s="88">
        <f t="shared" si="234"/>
        <v>0</v>
      </c>
      <c r="EV31" s="88">
        <f t="shared" si="234"/>
        <v>0</v>
      </c>
      <c r="EW31" s="88">
        <f t="shared" si="234"/>
        <v>0</v>
      </c>
      <c r="EX31" s="88">
        <f t="shared" si="234"/>
        <v>0</v>
      </c>
      <c r="EY31" s="88">
        <f t="shared" si="234"/>
        <v>0</v>
      </c>
    </row>
    <row r="32">
      <c r="A32" s="181" t="s">
        <v>208</v>
      </c>
      <c r="B32" s="10">
        <f t="shared" ref="B32:DU32" si="235">0</f>
        <v>0</v>
      </c>
      <c r="C32" s="10">
        <f t="shared" si="235"/>
        <v>0</v>
      </c>
      <c r="D32" s="10">
        <f t="shared" si="235"/>
        <v>0</v>
      </c>
      <c r="E32" s="88">
        <f t="shared" si="235"/>
        <v>0</v>
      </c>
      <c r="F32" s="123">
        <f t="shared" si="235"/>
        <v>0</v>
      </c>
      <c r="G32" s="205">
        <f t="shared" si="235"/>
        <v>0</v>
      </c>
      <c r="H32" s="88">
        <f t="shared" si="235"/>
        <v>0</v>
      </c>
      <c r="I32" s="88">
        <f t="shared" si="235"/>
        <v>0</v>
      </c>
      <c r="J32" s="88">
        <f t="shared" si="235"/>
        <v>0</v>
      </c>
      <c r="K32" s="88">
        <f t="shared" si="235"/>
        <v>0</v>
      </c>
      <c r="L32" s="88">
        <f t="shared" si="235"/>
        <v>0</v>
      </c>
      <c r="M32" s="88">
        <f t="shared" si="235"/>
        <v>0</v>
      </c>
      <c r="N32" s="88">
        <f t="shared" si="235"/>
        <v>0</v>
      </c>
      <c r="O32" s="88">
        <f t="shared" si="235"/>
        <v>0</v>
      </c>
      <c r="P32" s="88">
        <f t="shared" si="235"/>
        <v>0</v>
      </c>
      <c r="Q32" s="88">
        <f t="shared" si="235"/>
        <v>0</v>
      </c>
      <c r="R32" s="88">
        <f t="shared" si="235"/>
        <v>0</v>
      </c>
      <c r="S32" s="88">
        <f t="shared" si="235"/>
        <v>0</v>
      </c>
      <c r="T32" s="88">
        <f t="shared" si="235"/>
        <v>0</v>
      </c>
      <c r="U32" s="88">
        <f t="shared" si="235"/>
        <v>0</v>
      </c>
      <c r="V32" s="88">
        <f t="shared" si="235"/>
        <v>0</v>
      </c>
      <c r="W32" s="88">
        <f t="shared" si="235"/>
        <v>0</v>
      </c>
      <c r="X32" s="88">
        <f t="shared" si="235"/>
        <v>0</v>
      </c>
      <c r="Y32" s="88">
        <f t="shared" si="235"/>
        <v>0</v>
      </c>
      <c r="Z32" s="88">
        <f t="shared" si="235"/>
        <v>0</v>
      </c>
      <c r="AA32" s="88">
        <f t="shared" si="235"/>
        <v>0</v>
      </c>
      <c r="AB32" s="88">
        <f t="shared" si="235"/>
        <v>0</v>
      </c>
      <c r="AC32" s="88">
        <f t="shared" si="235"/>
        <v>0</v>
      </c>
      <c r="AD32" s="88">
        <f t="shared" si="235"/>
        <v>0</v>
      </c>
      <c r="AE32" s="88">
        <f t="shared" si="235"/>
        <v>0</v>
      </c>
      <c r="AF32" s="88">
        <f t="shared" si="235"/>
        <v>0</v>
      </c>
      <c r="AG32" s="88">
        <f t="shared" si="235"/>
        <v>0</v>
      </c>
      <c r="AH32" s="88">
        <f t="shared" si="235"/>
        <v>0</v>
      </c>
      <c r="AI32" s="88">
        <f t="shared" si="235"/>
        <v>0</v>
      </c>
      <c r="AJ32" s="88">
        <f t="shared" si="235"/>
        <v>0</v>
      </c>
      <c r="AK32" s="88">
        <f t="shared" si="235"/>
        <v>0</v>
      </c>
      <c r="AL32" s="88">
        <f t="shared" si="235"/>
        <v>0</v>
      </c>
      <c r="AM32" s="88">
        <f t="shared" si="235"/>
        <v>0</v>
      </c>
      <c r="AN32" s="88">
        <f t="shared" si="235"/>
        <v>0</v>
      </c>
      <c r="AO32" s="88">
        <f t="shared" si="235"/>
        <v>0</v>
      </c>
      <c r="AP32" s="88">
        <f t="shared" si="235"/>
        <v>0</v>
      </c>
      <c r="AQ32" s="88">
        <f t="shared" si="235"/>
        <v>0</v>
      </c>
      <c r="AR32" s="88">
        <f t="shared" si="235"/>
        <v>0</v>
      </c>
      <c r="AS32" s="88">
        <f t="shared" si="235"/>
        <v>0</v>
      </c>
      <c r="AT32" s="88">
        <f t="shared" si="235"/>
        <v>0</v>
      </c>
      <c r="AU32" s="88">
        <f t="shared" si="235"/>
        <v>0</v>
      </c>
      <c r="AV32" s="88">
        <f t="shared" si="235"/>
        <v>0</v>
      </c>
      <c r="AW32" s="88">
        <f t="shared" si="235"/>
        <v>0</v>
      </c>
      <c r="AX32" s="88">
        <f t="shared" si="235"/>
        <v>0</v>
      </c>
      <c r="AY32" s="88">
        <f t="shared" si="235"/>
        <v>0</v>
      </c>
      <c r="AZ32" s="88">
        <f t="shared" si="235"/>
        <v>0</v>
      </c>
      <c r="BA32" s="88">
        <f t="shared" si="235"/>
        <v>0</v>
      </c>
      <c r="BB32" s="88">
        <f t="shared" si="235"/>
        <v>0</v>
      </c>
      <c r="BC32" s="88">
        <f t="shared" si="235"/>
        <v>0</v>
      </c>
      <c r="BD32" s="88">
        <f t="shared" si="235"/>
        <v>0</v>
      </c>
      <c r="BE32" s="88">
        <f t="shared" si="235"/>
        <v>0</v>
      </c>
      <c r="BF32" s="88">
        <f t="shared" si="235"/>
        <v>0</v>
      </c>
      <c r="BG32" s="88">
        <f t="shared" si="235"/>
        <v>0</v>
      </c>
      <c r="BH32" s="88">
        <f t="shared" si="235"/>
        <v>0</v>
      </c>
      <c r="BI32" s="88">
        <f t="shared" si="235"/>
        <v>0</v>
      </c>
      <c r="BJ32" s="88">
        <f t="shared" si="235"/>
        <v>0</v>
      </c>
      <c r="BK32" s="88">
        <f t="shared" si="235"/>
        <v>0</v>
      </c>
      <c r="BL32" s="88">
        <f t="shared" si="235"/>
        <v>0</v>
      </c>
      <c r="BM32" s="88">
        <f t="shared" si="235"/>
        <v>0</v>
      </c>
      <c r="BN32" s="88">
        <f t="shared" si="235"/>
        <v>0</v>
      </c>
      <c r="BO32" s="88">
        <f t="shared" si="235"/>
        <v>0</v>
      </c>
      <c r="BP32" s="88">
        <f t="shared" si="235"/>
        <v>0</v>
      </c>
      <c r="BQ32" s="88">
        <f t="shared" si="235"/>
        <v>0</v>
      </c>
      <c r="BR32" s="88">
        <f t="shared" si="235"/>
        <v>0</v>
      </c>
      <c r="BS32" s="88">
        <f t="shared" si="235"/>
        <v>0</v>
      </c>
      <c r="BT32" s="88">
        <f t="shared" si="235"/>
        <v>0</v>
      </c>
      <c r="BU32" s="88">
        <f t="shared" si="235"/>
        <v>0</v>
      </c>
      <c r="BV32" s="88">
        <f t="shared" si="235"/>
        <v>0</v>
      </c>
      <c r="BW32" s="88">
        <f t="shared" si="235"/>
        <v>0</v>
      </c>
      <c r="BX32" s="88">
        <f t="shared" si="235"/>
        <v>0</v>
      </c>
      <c r="BY32" s="88">
        <f t="shared" si="235"/>
        <v>0</v>
      </c>
      <c r="BZ32" s="88">
        <f t="shared" si="235"/>
        <v>0</v>
      </c>
      <c r="CA32" s="88">
        <f t="shared" si="235"/>
        <v>0</v>
      </c>
      <c r="CB32" s="88">
        <f t="shared" si="235"/>
        <v>0</v>
      </c>
      <c r="CC32" s="88">
        <f t="shared" si="235"/>
        <v>0</v>
      </c>
      <c r="CD32" s="88">
        <f t="shared" si="235"/>
        <v>0</v>
      </c>
      <c r="CE32" s="88">
        <f t="shared" si="235"/>
        <v>0</v>
      </c>
      <c r="CF32" s="88">
        <f t="shared" si="235"/>
        <v>0</v>
      </c>
      <c r="CG32" s="88">
        <f t="shared" si="235"/>
        <v>0</v>
      </c>
      <c r="CH32" s="88">
        <f t="shared" si="235"/>
        <v>0</v>
      </c>
      <c r="CI32" s="88">
        <f t="shared" si="235"/>
        <v>0</v>
      </c>
      <c r="CJ32" s="88">
        <f t="shared" si="235"/>
        <v>0</v>
      </c>
      <c r="CK32" s="88">
        <f t="shared" si="235"/>
        <v>0</v>
      </c>
      <c r="CL32" s="88">
        <f t="shared" si="235"/>
        <v>0</v>
      </c>
      <c r="CM32" s="88">
        <f t="shared" si="235"/>
        <v>0</v>
      </c>
      <c r="CN32" s="88">
        <f t="shared" si="235"/>
        <v>0</v>
      </c>
      <c r="CO32" s="88">
        <f t="shared" si="235"/>
        <v>0</v>
      </c>
      <c r="CP32" s="88">
        <f t="shared" si="235"/>
        <v>0</v>
      </c>
      <c r="CQ32" s="88">
        <f t="shared" si="235"/>
        <v>0</v>
      </c>
      <c r="CR32" s="88">
        <f t="shared" si="235"/>
        <v>0</v>
      </c>
      <c r="CS32" s="88">
        <f t="shared" si="235"/>
        <v>0</v>
      </c>
      <c r="CT32" s="88">
        <f t="shared" si="235"/>
        <v>0</v>
      </c>
      <c r="CU32" s="88">
        <f t="shared" si="235"/>
        <v>0</v>
      </c>
      <c r="CV32" s="88">
        <f t="shared" si="235"/>
        <v>0</v>
      </c>
      <c r="CW32" s="88">
        <f t="shared" si="235"/>
        <v>0</v>
      </c>
      <c r="CX32" s="88">
        <f t="shared" si="235"/>
        <v>0</v>
      </c>
      <c r="CY32" s="88">
        <f t="shared" si="235"/>
        <v>0</v>
      </c>
      <c r="CZ32" s="88">
        <f t="shared" si="235"/>
        <v>0</v>
      </c>
      <c r="DA32" s="88">
        <f t="shared" si="235"/>
        <v>0</v>
      </c>
      <c r="DB32" s="88">
        <f t="shared" si="235"/>
        <v>0</v>
      </c>
      <c r="DC32" s="88">
        <f t="shared" si="235"/>
        <v>0</v>
      </c>
      <c r="DD32" s="88">
        <f t="shared" si="235"/>
        <v>0</v>
      </c>
      <c r="DE32" s="88">
        <f t="shared" si="235"/>
        <v>0</v>
      </c>
      <c r="DF32" s="88">
        <f t="shared" si="235"/>
        <v>0</v>
      </c>
      <c r="DG32" s="88">
        <f t="shared" si="235"/>
        <v>0</v>
      </c>
      <c r="DH32" s="88">
        <f t="shared" si="235"/>
        <v>0</v>
      </c>
      <c r="DI32" s="88">
        <f t="shared" si="235"/>
        <v>0</v>
      </c>
      <c r="DJ32" s="88">
        <f t="shared" si="235"/>
        <v>0</v>
      </c>
      <c r="DK32" s="88">
        <f t="shared" si="235"/>
        <v>0</v>
      </c>
      <c r="DL32" s="88">
        <f t="shared" si="235"/>
        <v>0</v>
      </c>
      <c r="DM32" s="88">
        <f t="shared" si="235"/>
        <v>0</v>
      </c>
      <c r="DN32" s="88">
        <f t="shared" si="235"/>
        <v>0</v>
      </c>
      <c r="DO32" s="88">
        <f t="shared" si="235"/>
        <v>0</v>
      </c>
      <c r="DP32" s="88">
        <f t="shared" si="235"/>
        <v>0</v>
      </c>
      <c r="DQ32" s="88">
        <f t="shared" si="235"/>
        <v>0</v>
      </c>
      <c r="DR32" s="88">
        <f t="shared" si="235"/>
        <v>0</v>
      </c>
      <c r="DS32" s="88">
        <f t="shared" si="235"/>
        <v>0</v>
      </c>
      <c r="DT32" s="88">
        <f t="shared" si="235"/>
        <v>0</v>
      </c>
      <c r="DU32" s="88">
        <f t="shared" si="235"/>
        <v>0</v>
      </c>
      <c r="DV32" s="88">
        <f t="shared" ref="DV32:EY32" si="236">0</f>
        <v>0</v>
      </c>
      <c r="DW32" s="88">
        <f t="shared" si="236"/>
        <v>0</v>
      </c>
      <c r="DX32" s="88">
        <f t="shared" si="236"/>
        <v>0</v>
      </c>
      <c r="DY32" s="88">
        <f t="shared" si="236"/>
        <v>0</v>
      </c>
      <c r="DZ32" s="88">
        <f t="shared" si="236"/>
        <v>0</v>
      </c>
      <c r="EA32" s="88">
        <f t="shared" si="236"/>
        <v>0</v>
      </c>
      <c r="EB32" s="88">
        <f t="shared" si="236"/>
        <v>0</v>
      </c>
      <c r="EC32" s="88">
        <f t="shared" si="236"/>
        <v>0</v>
      </c>
      <c r="ED32" s="88">
        <f t="shared" si="236"/>
        <v>0</v>
      </c>
      <c r="EE32" s="88">
        <f t="shared" si="236"/>
        <v>0</v>
      </c>
      <c r="EF32" s="88">
        <f t="shared" si="236"/>
        <v>0</v>
      </c>
      <c r="EG32" s="88">
        <f t="shared" si="236"/>
        <v>0</v>
      </c>
      <c r="EH32" s="88">
        <f t="shared" si="236"/>
        <v>0</v>
      </c>
      <c r="EI32" s="88">
        <f t="shared" si="236"/>
        <v>0</v>
      </c>
      <c r="EJ32" s="88">
        <f t="shared" si="236"/>
        <v>0</v>
      </c>
      <c r="EK32" s="88">
        <f t="shared" si="236"/>
        <v>0</v>
      </c>
      <c r="EL32" s="88">
        <f t="shared" si="236"/>
        <v>0</v>
      </c>
      <c r="EM32" s="88">
        <f t="shared" si="236"/>
        <v>0</v>
      </c>
      <c r="EN32" s="88">
        <f t="shared" si="236"/>
        <v>0</v>
      </c>
      <c r="EO32" s="88">
        <f t="shared" si="236"/>
        <v>0</v>
      </c>
      <c r="EP32" s="88">
        <f t="shared" si="236"/>
        <v>0</v>
      </c>
      <c r="EQ32" s="88">
        <f t="shared" si="236"/>
        <v>0</v>
      </c>
      <c r="ER32" s="88">
        <f t="shared" si="236"/>
        <v>0</v>
      </c>
      <c r="ES32" s="88">
        <f t="shared" si="236"/>
        <v>0</v>
      </c>
      <c r="ET32" s="88">
        <f t="shared" si="236"/>
        <v>0</v>
      </c>
      <c r="EU32" s="88">
        <f t="shared" si="236"/>
        <v>0</v>
      </c>
      <c r="EV32" s="88">
        <f t="shared" si="236"/>
        <v>0</v>
      </c>
      <c r="EW32" s="88">
        <f t="shared" si="236"/>
        <v>0</v>
      </c>
      <c r="EX32" s="88">
        <f t="shared" si="236"/>
        <v>0</v>
      </c>
      <c r="EY32" s="88">
        <f t="shared" si="236"/>
        <v>0</v>
      </c>
    </row>
    <row r="33">
      <c r="A33" s="181" t="s">
        <v>209</v>
      </c>
      <c r="B33" s="10">
        <f t="shared" ref="B33:DU33" si="237">0</f>
        <v>0</v>
      </c>
      <c r="C33" s="10">
        <f t="shared" si="237"/>
        <v>0</v>
      </c>
      <c r="D33" s="10">
        <f t="shared" si="237"/>
        <v>0</v>
      </c>
      <c r="E33" s="88">
        <f t="shared" si="237"/>
        <v>0</v>
      </c>
      <c r="F33" s="123">
        <f t="shared" si="237"/>
        <v>0</v>
      </c>
      <c r="G33" s="205">
        <f t="shared" si="237"/>
        <v>0</v>
      </c>
      <c r="H33" s="88">
        <f t="shared" si="237"/>
        <v>0</v>
      </c>
      <c r="I33" s="88">
        <f t="shared" si="237"/>
        <v>0</v>
      </c>
      <c r="J33" s="88">
        <f t="shared" si="237"/>
        <v>0</v>
      </c>
      <c r="K33" s="88">
        <f t="shared" si="237"/>
        <v>0</v>
      </c>
      <c r="L33" s="88">
        <f t="shared" si="237"/>
        <v>0</v>
      </c>
      <c r="M33" s="88">
        <f t="shared" si="237"/>
        <v>0</v>
      </c>
      <c r="N33" s="88">
        <f t="shared" si="237"/>
        <v>0</v>
      </c>
      <c r="O33" s="88">
        <f t="shared" si="237"/>
        <v>0</v>
      </c>
      <c r="P33" s="88">
        <f t="shared" si="237"/>
        <v>0</v>
      </c>
      <c r="Q33" s="88">
        <f t="shared" si="237"/>
        <v>0</v>
      </c>
      <c r="R33" s="88">
        <f t="shared" si="237"/>
        <v>0</v>
      </c>
      <c r="S33" s="88">
        <f t="shared" si="237"/>
        <v>0</v>
      </c>
      <c r="T33" s="88">
        <f t="shared" si="237"/>
        <v>0</v>
      </c>
      <c r="U33" s="88">
        <f t="shared" si="237"/>
        <v>0</v>
      </c>
      <c r="V33" s="88">
        <f t="shared" si="237"/>
        <v>0</v>
      </c>
      <c r="W33" s="88">
        <f t="shared" si="237"/>
        <v>0</v>
      </c>
      <c r="X33" s="88">
        <f t="shared" si="237"/>
        <v>0</v>
      </c>
      <c r="Y33" s="88">
        <f t="shared" si="237"/>
        <v>0</v>
      </c>
      <c r="Z33" s="88">
        <f t="shared" si="237"/>
        <v>0</v>
      </c>
      <c r="AA33" s="88">
        <f t="shared" si="237"/>
        <v>0</v>
      </c>
      <c r="AB33" s="88">
        <f t="shared" si="237"/>
        <v>0</v>
      </c>
      <c r="AC33" s="88">
        <f t="shared" si="237"/>
        <v>0</v>
      </c>
      <c r="AD33" s="88">
        <f t="shared" si="237"/>
        <v>0</v>
      </c>
      <c r="AE33" s="88">
        <f t="shared" si="237"/>
        <v>0</v>
      </c>
      <c r="AF33" s="88">
        <f t="shared" si="237"/>
        <v>0</v>
      </c>
      <c r="AG33" s="88">
        <f t="shared" si="237"/>
        <v>0</v>
      </c>
      <c r="AH33" s="88">
        <f t="shared" si="237"/>
        <v>0</v>
      </c>
      <c r="AI33" s="88">
        <f t="shared" si="237"/>
        <v>0</v>
      </c>
      <c r="AJ33" s="88">
        <f t="shared" si="237"/>
        <v>0</v>
      </c>
      <c r="AK33" s="88">
        <f t="shared" si="237"/>
        <v>0</v>
      </c>
      <c r="AL33" s="88">
        <f t="shared" si="237"/>
        <v>0</v>
      </c>
      <c r="AM33" s="88">
        <f t="shared" si="237"/>
        <v>0</v>
      </c>
      <c r="AN33" s="88">
        <f t="shared" si="237"/>
        <v>0</v>
      </c>
      <c r="AO33" s="88">
        <f t="shared" si="237"/>
        <v>0</v>
      </c>
      <c r="AP33" s="88">
        <f t="shared" si="237"/>
        <v>0</v>
      </c>
      <c r="AQ33" s="88">
        <f t="shared" si="237"/>
        <v>0</v>
      </c>
      <c r="AR33" s="88">
        <f t="shared" si="237"/>
        <v>0</v>
      </c>
      <c r="AS33" s="88">
        <f t="shared" si="237"/>
        <v>0</v>
      </c>
      <c r="AT33" s="88">
        <f t="shared" si="237"/>
        <v>0</v>
      </c>
      <c r="AU33" s="88">
        <f t="shared" si="237"/>
        <v>0</v>
      </c>
      <c r="AV33" s="88">
        <f t="shared" si="237"/>
        <v>0</v>
      </c>
      <c r="AW33" s="88">
        <f t="shared" si="237"/>
        <v>0</v>
      </c>
      <c r="AX33" s="88">
        <f t="shared" si="237"/>
        <v>0</v>
      </c>
      <c r="AY33" s="88">
        <f t="shared" si="237"/>
        <v>0</v>
      </c>
      <c r="AZ33" s="88">
        <f t="shared" si="237"/>
        <v>0</v>
      </c>
      <c r="BA33" s="88">
        <f t="shared" si="237"/>
        <v>0</v>
      </c>
      <c r="BB33" s="88">
        <f t="shared" si="237"/>
        <v>0</v>
      </c>
      <c r="BC33" s="88">
        <f t="shared" si="237"/>
        <v>0</v>
      </c>
      <c r="BD33" s="88">
        <f t="shared" si="237"/>
        <v>0</v>
      </c>
      <c r="BE33" s="88">
        <f t="shared" si="237"/>
        <v>0</v>
      </c>
      <c r="BF33" s="88">
        <f t="shared" si="237"/>
        <v>0</v>
      </c>
      <c r="BG33" s="88">
        <f t="shared" si="237"/>
        <v>0</v>
      </c>
      <c r="BH33" s="88">
        <f t="shared" si="237"/>
        <v>0</v>
      </c>
      <c r="BI33" s="88">
        <f t="shared" si="237"/>
        <v>0</v>
      </c>
      <c r="BJ33" s="88">
        <f t="shared" si="237"/>
        <v>0</v>
      </c>
      <c r="BK33" s="88">
        <f t="shared" si="237"/>
        <v>0</v>
      </c>
      <c r="BL33" s="88">
        <f t="shared" si="237"/>
        <v>0</v>
      </c>
      <c r="BM33" s="88">
        <f t="shared" si="237"/>
        <v>0</v>
      </c>
      <c r="BN33" s="88">
        <f t="shared" si="237"/>
        <v>0</v>
      </c>
      <c r="BO33" s="88">
        <f t="shared" si="237"/>
        <v>0</v>
      </c>
      <c r="BP33" s="88">
        <f t="shared" si="237"/>
        <v>0</v>
      </c>
      <c r="BQ33" s="88">
        <f t="shared" si="237"/>
        <v>0</v>
      </c>
      <c r="BR33" s="88">
        <f t="shared" si="237"/>
        <v>0</v>
      </c>
      <c r="BS33" s="88">
        <f t="shared" si="237"/>
        <v>0</v>
      </c>
      <c r="BT33" s="88">
        <f t="shared" si="237"/>
        <v>0</v>
      </c>
      <c r="BU33" s="88">
        <f t="shared" si="237"/>
        <v>0</v>
      </c>
      <c r="BV33" s="88">
        <f t="shared" si="237"/>
        <v>0</v>
      </c>
      <c r="BW33" s="88">
        <f t="shared" si="237"/>
        <v>0</v>
      </c>
      <c r="BX33" s="88">
        <f t="shared" si="237"/>
        <v>0</v>
      </c>
      <c r="BY33" s="88">
        <f t="shared" si="237"/>
        <v>0</v>
      </c>
      <c r="BZ33" s="88">
        <f t="shared" si="237"/>
        <v>0</v>
      </c>
      <c r="CA33" s="88">
        <f t="shared" si="237"/>
        <v>0</v>
      </c>
      <c r="CB33" s="88">
        <f t="shared" si="237"/>
        <v>0</v>
      </c>
      <c r="CC33" s="88">
        <f t="shared" si="237"/>
        <v>0</v>
      </c>
      <c r="CD33" s="88">
        <f t="shared" si="237"/>
        <v>0</v>
      </c>
      <c r="CE33" s="88">
        <f t="shared" si="237"/>
        <v>0</v>
      </c>
      <c r="CF33" s="88">
        <f t="shared" si="237"/>
        <v>0</v>
      </c>
      <c r="CG33" s="88">
        <f t="shared" si="237"/>
        <v>0</v>
      </c>
      <c r="CH33" s="88">
        <f t="shared" si="237"/>
        <v>0</v>
      </c>
      <c r="CI33" s="88">
        <f t="shared" si="237"/>
        <v>0</v>
      </c>
      <c r="CJ33" s="88">
        <f t="shared" si="237"/>
        <v>0</v>
      </c>
      <c r="CK33" s="88">
        <f t="shared" si="237"/>
        <v>0</v>
      </c>
      <c r="CL33" s="88">
        <f t="shared" si="237"/>
        <v>0</v>
      </c>
      <c r="CM33" s="88">
        <f t="shared" si="237"/>
        <v>0</v>
      </c>
      <c r="CN33" s="88">
        <f t="shared" si="237"/>
        <v>0</v>
      </c>
      <c r="CO33" s="88">
        <f t="shared" si="237"/>
        <v>0</v>
      </c>
      <c r="CP33" s="88">
        <f t="shared" si="237"/>
        <v>0</v>
      </c>
      <c r="CQ33" s="88">
        <f t="shared" si="237"/>
        <v>0</v>
      </c>
      <c r="CR33" s="88">
        <f t="shared" si="237"/>
        <v>0</v>
      </c>
      <c r="CS33" s="88">
        <f t="shared" si="237"/>
        <v>0</v>
      </c>
      <c r="CT33" s="88">
        <f t="shared" si="237"/>
        <v>0</v>
      </c>
      <c r="CU33" s="88">
        <f t="shared" si="237"/>
        <v>0</v>
      </c>
      <c r="CV33" s="88">
        <f t="shared" si="237"/>
        <v>0</v>
      </c>
      <c r="CW33" s="88">
        <f t="shared" si="237"/>
        <v>0</v>
      </c>
      <c r="CX33" s="88">
        <f t="shared" si="237"/>
        <v>0</v>
      </c>
      <c r="CY33" s="88">
        <f t="shared" si="237"/>
        <v>0</v>
      </c>
      <c r="CZ33" s="88">
        <f t="shared" si="237"/>
        <v>0</v>
      </c>
      <c r="DA33" s="88">
        <f t="shared" si="237"/>
        <v>0</v>
      </c>
      <c r="DB33" s="88">
        <f t="shared" si="237"/>
        <v>0</v>
      </c>
      <c r="DC33" s="88">
        <f t="shared" si="237"/>
        <v>0</v>
      </c>
      <c r="DD33" s="88">
        <f t="shared" si="237"/>
        <v>0</v>
      </c>
      <c r="DE33" s="88">
        <f t="shared" si="237"/>
        <v>0</v>
      </c>
      <c r="DF33" s="88">
        <f t="shared" si="237"/>
        <v>0</v>
      </c>
      <c r="DG33" s="88">
        <f t="shared" si="237"/>
        <v>0</v>
      </c>
      <c r="DH33" s="88">
        <f t="shared" si="237"/>
        <v>0</v>
      </c>
      <c r="DI33" s="88">
        <f t="shared" si="237"/>
        <v>0</v>
      </c>
      <c r="DJ33" s="88">
        <f t="shared" si="237"/>
        <v>0</v>
      </c>
      <c r="DK33" s="88">
        <f t="shared" si="237"/>
        <v>0</v>
      </c>
      <c r="DL33" s="88">
        <f t="shared" si="237"/>
        <v>0</v>
      </c>
      <c r="DM33" s="88">
        <f t="shared" si="237"/>
        <v>0</v>
      </c>
      <c r="DN33" s="88">
        <f t="shared" si="237"/>
        <v>0</v>
      </c>
      <c r="DO33" s="88">
        <f t="shared" si="237"/>
        <v>0</v>
      </c>
      <c r="DP33" s="88">
        <f t="shared" si="237"/>
        <v>0</v>
      </c>
      <c r="DQ33" s="88">
        <f t="shared" si="237"/>
        <v>0</v>
      </c>
      <c r="DR33" s="88">
        <f t="shared" si="237"/>
        <v>0</v>
      </c>
      <c r="DS33" s="88">
        <f t="shared" si="237"/>
        <v>0</v>
      </c>
      <c r="DT33" s="88">
        <f t="shared" si="237"/>
        <v>0</v>
      </c>
      <c r="DU33" s="88">
        <f t="shared" si="237"/>
        <v>0</v>
      </c>
      <c r="DV33" s="88">
        <f t="shared" ref="DV33:EY33" si="238">0</f>
        <v>0</v>
      </c>
      <c r="DW33" s="88">
        <f t="shared" si="238"/>
        <v>0</v>
      </c>
      <c r="DX33" s="88">
        <f t="shared" si="238"/>
        <v>0</v>
      </c>
      <c r="DY33" s="88">
        <f t="shared" si="238"/>
        <v>0</v>
      </c>
      <c r="DZ33" s="88">
        <f t="shared" si="238"/>
        <v>0</v>
      </c>
      <c r="EA33" s="88">
        <f t="shared" si="238"/>
        <v>0</v>
      </c>
      <c r="EB33" s="88">
        <f t="shared" si="238"/>
        <v>0</v>
      </c>
      <c r="EC33" s="88">
        <f t="shared" si="238"/>
        <v>0</v>
      </c>
      <c r="ED33" s="88">
        <f t="shared" si="238"/>
        <v>0</v>
      </c>
      <c r="EE33" s="88">
        <f t="shared" si="238"/>
        <v>0</v>
      </c>
      <c r="EF33" s="88">
        <f t="shared" si="238"/>
        <v>0</v>
      </c>
      <c r="EG33" s="88">
        <f t="shared" si="238"/>
        <v>0</v>
      </c>
      <c r="EH33" s="88">
        <f t="shared" si="238"/>
        <v>0</v>
      </c>
      <c r="EI33" s="88">
        <f t="shared" si="238"/>
        <v>0</v>
      </c>
      <c r="EJ33" s="88">
        <f t="shared" si="238"/>
        <v>0</v>
      </c>
      <c r="EK33" s="88">
        <f t="shared" si="238"/>
        <v>0</v>
      </c>
      <c r="EL33" s="88">
        <f t="shared" si="238"/>
        <v>0</v>
      </c>
      <c r="EM33" s="88">
        <f t="shared" si="238"/>
        <v>0</v>
      </c>
      <c r="EN33" s="88">
        <f t="shared" si="238"/>
        <v>0</v>
      </c>
      <c r="EO33" s="88">
        <f t="shared" si="238"/>
        <v>0</v>
      </c>
      <c r="EP33" s="88">
        <f t="shared" si="238"/>
        <v>0</v>
      </c>
      <c r="EQ33" s="88">
        <f t="shared" si="238"/>
        <v>0</v>
      </c>
      <c r="ER33" s="88">
        <f t="shared" si="238"/>
        <v>0</v>
      </c>
      <c r="ES33" s="88">
        <f t="shared" si="238"/>
        <v>0</v>
      </c>
      <c r="ET33" s="88">
        <f t="shared" si="238"/>
        <v>0</v>
      </c>
      <c r="EU33" s="88">
        <f t="shared" si="238"/>
        <v>0</v>
      </c>
      <c r="EV33" s="88">
        <f t="shared" si="238"/>
        <v>0</v>
      </c>
      <c r="EW33" s="88">
        <f t="shared" si="238"/>
        <v>0</v>
      </c>
      <c r="EX33" s="88">
        <f t="shared" si="238"/>
        <v>0</v>
      </c>
      <c r="EY33" s="88">
        <f t="shared" si="238"/>
        <v>0</v>
      </c>
    </row>
    <row r="34">
      <c r="A34" s="181" t="s">
        <v>210</v>
      </c>
      <c r="B34" s="10">
        <f t="shared" ref="B34:DU34" si="239">0</f>
        <v>0</v>
      </c>
      <c r="C34" s="10">
        <f t="shared" si="239"/>
        <v>0</v>
      </c>
      <c r="D34" s="10">
        <f t="shared" si="239"/>
        <v>0</v>
      </c>
      <c r="E34" s="88">
        <f t="shared" si="239"/>
        <v>0</v>
      </c>
      <c r="F34" s="123">
        <f t="shared" si="239"/>
        <v>0</v>
      </c>
      <c r="G34" s="205">
        <f t="shared" si="239"/>
        <v>0</v>
      </c>
      <c r="H34" s="88">
        <f t="shared" si="239"/>
        <v>0</v>
      </c>
      <c r="I34" s="88">
        <f t="shared" si="239"/>
        <v>0</v>
      </c>
      <c r="J34" s="88">
        <f t="shared" si="239"/>
        <v>0</v>
      </c>
      <c r="K34" s="88">
        <f t="shared" si="239"/>
        <v>0</v>
      </c>
      <c r="L34" s="88">
        <f t="shared" si="239"/>
        <v>0</v>
      </c>
      <c r="M34" s="88">
        <f t="shared" si="239"/>
        <v>0</v>
      </c>
      <c r="N34" s="88">
        <f t="shared" si="239"/>
        <v>0</v>
      </c>
      <c r="O34" s="88">
        <f t="shared" si="239"/>
        <v>0</v>
      </c>
      <c r="P34" s="88">
        <f t="shared" si="239"/>
        <v>0</v>
      </c>
      <c r="Q34" s="88">
        <f t="shared" si="239"/>
        <v>0</v>
      </c>
      <c r="R34" s="88">
        <f t="shared" si="239"/>
        <v>0</v>
      </c>
      <c r="S34" s="88">
        <f t="shared" si="239"/>
        <v>0</v>
      </c>
      <c r="T34" s="88">
        <f t="shared" si="239"/>
        <v>0</v>
      </c>
      <c r="U34" s="88">
        <f t="shared" si="239"/>
        <v>0</v>
      </c>
      <c r="V34" s="88">
        <f t="shared" si="239"/>
        <v>0</v>
      </c>
      <c r="W34" s="88">
        <f t="shared" si="239"/>
        <v>0</v>
      </c>
      <c r="X34" s="88">
        <f t="shared" si="239"/>
        <v>0</v>
      </c>
      <c r="Y34" s="88">
        <f t="shared" si="239"/>
        <v>0</v>
      </c>
      <c r="Z34" s="88">
        <f t="shared" si="239"/>
        <v>0</v>
      </c>
      <c r="AA34" s="88">
        <f t="shared" si="239"/>
        <v>0</v>
      </c>
      <c r="AB34" s="88">
        <f t="shared" si="239"/>
        <v>0</v>
      </c>
      <c r="AC34" s="88">
        <f t="shared" si="239"/>
        <v>0</v>
      </c>
      <c r="AD34" s="88">
        <f t="shared" si="239"/>
        <v>0</v>
      </c>
      <c r="AE34" s="88">
        <f t="shared" si="239"/>
        <v>0</v>
      </c>
      <c r="AF34" s="88">
        <f t="shared" si="239"/>
        <v>0</v>
      </c>
      <c r="AG34" s="88">
        <f t="shared" si="239"/>
        <v>0</v>
      </c>
      <c r="AH34" s="88">
        <f t="shared" si="239"/>
        <v>0</v>
      </c>
      <c r="AI34" s="88">
        <f t="shared" si="239"/>
        <v>0</v>
      </c>
      <c r="AJ34" s="88">
        <f t="shared" si="239"/>
        <v>0</v>
      </c>
      <c r="AK34" s="88">
        <f t="shared" si="239"/>
        <v>0</v>
      </c>
      <c r="AL34" s="88">
        <f t="shared" si="239"/>
        <v>0</v>
      </c>
      <c r="AM34" s="88">
        <f t="shared" si="239"/>
        <v>0</v>
      </c>
      <c r="AN34" s="88">
        <f t="shared" si="239"/>
        <v>0</v>
      </c>
      <c r="AO34" s="88">
        <f t="shared" si="239"/>
        <v>0</v>
      </c>
      <c r="AP34" s="88">
        <f t="shared" si="239"/>
        <v>0</v>
      </c>
      <c r="AQ34" s="88">
        <f t="shared" si="239"/>
        <v>0</v>
      </c>
      <c r="AR34" s="88">
        <f t="shared" si="239"/>
        <v>0</v>
      </c>
      <c r="AS34" s="88">
        <f t="shared" si="239"/>
        <v>0</v>
      </c>
      <c r="AT34" s="88">
        <f t="shared" si="239"/>
        <v>0</v>
      </c>
      <c r="AU34" s="88">
        <f t="shared" si="239"/>
        <v>0</v>
      </c>
      <c r="AV34" s="88">
        <f t="shared" si="239"/>
        <v>0</v>
      </c>
      <c r="AW34" s="88">
        <f t="shared" si="239"/>
        <v>0</v>
      </c>
      <c r="AX34" s="88">
        <f t="shared" si="239"/>
        <v>0</v>
      </c>
      <c r="AY34" s="88">
        <f t="shared" si="239"/>
        <v>0</v>
      </c>
      <c r="AZ34" s="88">
        <f t="shared" si="239"/>
        <v>0</v>
      </c>
      <c r="BA34" s="88">
        <f t="shared" si="239"/>
        <v>0</v>
      </c>
      <c r="BB34" s="88">
        <f t="shared" si="239"/>
        <v>0</v>
      </c>
      <c r="BC34" s="88">
        <f t="shared" si="239"/>
        <v>0</v>
      </c>
      <c r="BD34" s="88">
        <f t="shared" si="239"/>
        <v>0</v>
      </c>
      <c r="BE34" s="88">
        <f t="shared" si="239"/>
        <v>0</v>
      </c>
      <c r="BF34" s="88">
        <f t="shared" si="239"/>
        <v>0</v>
      </c>
      <c r="BG34" s="88">
        <f t="shared" si="239"/>
        <v>0</v>
      </c>
      <c r="BH34" s="88">
        <f t="shared" si="239"/>
        <v>0</v>
      </c>
      <c r="BI34" s="88">
        <f t="shared" si="239"/>
        <v>0</v>
      </c>
      <c r="BJ34" s="88">
        <f t="shared" si="239"/>
        <v>0</v>
      </c>
      <c r="BK34" s="88">
        <f t="shared" si="239"/>
        <v>0</v>
      </c>
      <c r="BL34" s="88">
        <f t="shared" si="239"/>
        <v>0</v>
      </c>
      <c r="BM34" s="88">
        <f t="shared" si="239"/>
        <v>0</v>
      </c>
      <c r="BN34" s="88">
        <f t="shared" si="239"/>
        <v>0</v>
      </c>
      <c r="BO34" s="88">
        <f t="shared" si="239"/>
        <v>0</v>
      </c>
      <c r="BP34" s="88">
        <f t="shared" si="239"/>
        <v>0</v>
      </c>
      <c r="BQ34" s="88">
        <f t="shared" si="239"/>
        <v>0</v>
      </c>
      <c r="BR34" s="88">
        <f t="shared" si="239"/>
        <v>0</v>
      </c>
      <c r="BS34" s="88">
        <f t="shared" si="239"/>
        <v>0</v>
      </c>
      <c r="BT34" s="88">
        <f t="shared" si="239"/>
        <v>0</v>
      </c>
      <c r="BU34" s="88">
        <f t="shared" si="239"/>
        <v>0</v>
      </c>
      <c r="BV34" s="88">
        <f t="shared" si="239"/>
        <v>0</v>
      </c>
      <c r="BW34" s="88">
        <f t="shared" si="239"/>
        <v>0</v>
      </c>
      <c r="BX34" s="88">
        <f t="shared" si="239"/>
        <v>0</v>
      </c>
      <c r="BY34" s="88">
        <f t="shared" si="239"/>
        <v>0</v>
      </c>
      <c r="BZ34" s="88">
        <f t="shared" si="239"/>
        <v>0</v>
      </c>
      <c r="CA34" s="88">
        <f t="shared" si="239"/>
        <v>0</v>
      </c>
      <c r="CB34" s="88">
        <f t="shared" si="239"/>
        <v>0</v>
      </c>
      <c r="CC34" s="88">
        <f t="shared" si="239"/>
        <v>0</v>
      </c>
      <c r="CD34" s="88">
        <f t="shared" si="239"/>
        <v>0</v>
      </c>
      <c r="CE34" s="88">
        <f t="shared" si="239"/>
        <v>0</v>
      </c>
      <c r="CF34" s="88">
        <f t="shared" si="239"/>
        <v>0</v>
      </c>
      <c r="CG34" s="88">
        <f t="shared" si="239"/>
        <v>0</v>
      </c>
      <c r="CH34" s="88">
        <f t="shared" si="239"/>
        <v>0</v>
      </c>
      <c r="CI34" s="88">
        <f t="shared" si="239"/>
        <v>0</v>
      </c>
      <c r="CJ34" s="88">
        <f t="shared" si="239"/>
        <v>0</v>
      </c>
      <c r="CK34" s="88">
        <f t="shared" si="239"/>
        <v>0</v>
      </c>
      <c r="CL34" s="88">
        <f t="shared" si="239"/>
        <v>0</v>
      </c>
      <c r="CM34" s="88">
        <f t="shared" si="239"/>
        <v>0</v>
      </c>
      <c r="CN34" s="88">
        <f t="shared" si="239"/>
        <v>0</v>
      </c>
      <c r="CO34" s="88">
        <f t="shared" si="239"/>
        <v>0</v>
      </c>
      <c r="CP34" s="88">
        <f t="shared" si="239"/>
        <v>0</v>
      </c>
      <c r="CQ34" s="88">
        <f t="shared" si="239"/>
        <v>0</v>
      </c>
      <c r="CR34" s="88">
        <f t="shared" si="239"/>
        <v>0</v>
      </c>
      <c r="CS34" s="88">
        <f t="shared" si="239"/>
        <v>0</v>
      </c>
      <c r="CT34" s="88">
        <f t="shared" si="239"/>
        <v>0</v>
      </c>
      <c r="CU34" s="88">
        <f t="shared" si="239"/>
        <v>0</v>
      </c>
      <c r="CV34" s="88">
        <f t="shared" si="239"/>
        <v>0</v>
      </c>
      <c r="CW34" s="88">
        <f t="shared" si="239"/>
        <v>0</v>
      </c>
      <c r="CX34" s="88">
        <f t="shared" si="239"/>
        <v>0</v>
      </c>
      <c r="CY34" s="88">
        <f t="shared" si="239"/>
        <v>0</v>
      </c>
      <c r="CZ34" s="88">
        <f t="shared" si="239"/>
        <v>0</v>
      </c>
      <c r="DA34" s="88">
        <f t="shared" si="239"/>
        <v>0</v>
      </c>
      <c r="DB34" s="88">
        <f t="shared" si="239"/>
        <v>0</v>
      </c>
      <c r="DC34" s="88">
        <f t="shared" si="239"/>
        <v>0</v>
      </c>
      <c r="DD34" s="88">
        <f t="shared" si="239"/>
        <v>0</v>
      </c>
      <c r="DE34" s="88">
        <f t="shared" si="239"/>
        <v>0</v>
      </c>
      <c r="DF34" s="88">
        <f t="shared" si="239"/>
        <v>0</v>
      </c>
      <c r="DG34" s="88">
        <f t="shared" si="239"/>
        <v>0</v>
      </c>
      <c r="DH34" s="88">
        <f t="shared" si="239"/>
        <v>0</v>
      </c>
      <c r="DI34" s="88">
        <f t="shared" si="239"/>
        <v>0</v>
      </c>
      <c r="DJ34" s="88">
        <f t="shared" si="239"/>
        <v>0</v>
      </c>
      <c r="DK34" s="88">
        <f t="shared" si="239"/>
        <v>0</v>
      </c>
      <c r="DL34" s="88">
        <f t="shared" si="239"/>
        <v>0</v>
      </c>
      <c r="DM34" s="88">
        <f t="shared" si="239"/>
        <v>0</v>
      </c>
      <c r="DN34" s="88">
        <f t="shared" si="239"/>
        <v>0</v>
      </c>
      <c r="DO34" s="88">
        <f t="shared" si="239"/>
        <v>0</v>
      </c>
      <c r="DP34" s="88">
        <f t="shared" si="239"/>
        <v>0</v>
      </c>
      <c r="DQ34" s="88">
        <f t="shared" si="239"/>
        <v>0</v>
      </c>
      <c r="DR34" s="88">
        <f t="shared" si="239"/>
        <v>0</v>
      </c>
      <c r="DS34" s="88">
        <f t="shared" si="239"/>
        <v>0</v>
      </c>
      <c r="DT34" s="88">
        <f t="shared" si="239"/>
        <v>0</v>
      </c>
      <c r="DU34" s="88">
        <f t="shared" si="239"/>
        <v>0</v>
      </c>
      <c r="DV34" s="88">
        <f t="shared" ref="DV34:EY34" si="240">0</f>
        <v>0</v>
      </c>
      <c r="DW34" s="88">
        <f t="shared" si="240"/>
        <v>0</v>
      </c>
      <c r="DX34" s="88">
        <f t="shared" si="240"/>
        <v>0</v>
      </c>
      <c r="DY34" s="88">
        <f t="shared" si="240"/>
        <v>0</v>
      </c>
      <c r="DZ34" s="88">
        <f t="shared" si="240"/>
        <v>0</v>
      </c>
      <c r="EA34" s="88">
        <f t="shared" si="240"/>
        <v>0</v>
      </c>
      <c r="EB34" s="88">
        <f t="shared" si="240"/>
        <v>0</v>
      </c>
      <c r="EC34" s="88">
        <f t="shared" si="240"/>
        <v>0</v>
      </c>
      <c r="ED34" s="88">
        <f t="shared" si="240"/>
        <v>0</v>
      </c>
      <c r="EE34" s="88">
        <f t="shared" si="240"/>
        <v>0</v>
      </c>
      <c r="EF34" s="88">
        <f t="shared" si="240"/>
        <v>0</v>
      </c>
      <c r="EG34" s="88">
        <f t="shared" si="240"/>
        <v>0</v>
      </c>
      <c r="EH34" s="88">
        <f t="shared" si="240"/>
        <v>0</v>
      </c>
      <c r="EI34" s="88">
        <f t="shared" si="240"/>
        <v>0</v>
      </c>
      <c r="EJ34" s="88">
        <f t="shared" si="240"/>
        <v>0</v>
      </c>
      <c r="EK34" s="88">
        <f t="shared" si="240"/>
        <v>0</v>
      </c>
      <c r="EL34" s="88">
        <f t="shared" si="240"/>
        <v>0</v>
      </c>
      <c r="EM34" s="88">
        <f t="shared" si="240"/>
        <v>0</v>
      </c>
      <c r="EN34" s="88">
        <f t="shared" si="240"/>
        <v>0</v>
      </c>
      <c r="EO34" s="88">
        <f t="shared" si="240"/>
        <v>0</v>
      </c>
      <c r="EP34" s="88">
        <f t="shared" si="240"/>
        <v>0</v>
      </c>
      <c r="EQ34" s="88">
        <f t="shared" si="240"/>
        <v>0</v>
      </c>
      <c r="ER34" s="88">
        <f t="shared" si="240"/>
        <v>0</v>
      </c>
      <c r="ES34" s="88">
        <f t="shared" si="240"/>
        <v>0</v>
      </c>
      <c r="ET34" s="88">
        <f t="shared" si="240"/>
        <v>0</v>
      </c>
      <c r="EU34" s="88">
        <f t="shared" si="240"/>
        <v>0</v>
      </c>
      <c r="EV34" s="88">
        <f t="shared" si="240"/>
        <v>0</v>
      </c>
      <c r="EW34" s="88">
        <f t="shared" si="240"/>
        <v>0</v>
      </c>
      <c r="EX34" s="88">
        <f t="shared" si="240"/>
        <v>0</v>
      </c>
      <c r="EY34" s="88">
        <f t="shared" si="240"/>
        <v>0</v>
      </c>
    </row>
    <row r="35">
      <c r="A35" s="181" t="s">
        <v>211</v>
      </c>
      <c r="B35" s="10">
        <f t="shared" ref="B35:DU35" si="241">0</f>
        <v>0</v>
      </c>
      <c r="C35" s="10">
        <f t="shared" si="241"/>
        <v>0</v>
      </c>
      <c r="D35" s="10">
        <f t="shared" si="241"/>
        <v>0</v>
      </c>
      <c r="E35" s="88">
        <f t="shared" si="241"/>
        <v>0</v>
      </c>
      <c r="F35" s="123">
        <f t="shared" si="241"/>
        <v>0</v>
      </c>
      <c r="G35" s="205">
        <f t="shared" si="241"/>
        <v>0</v>
      </c>
      <c r="H35" s="88">
        <f t="shared" si="241"/>
        <v>0</v>
      </c>
      <c r="I35" s="88">
        <f t="shared" si="241"/>
        <v>0</v>
      </c>
      <c r="J35" s="88">
        <f t="shared" si="241"/>
        <v>0</v>
      </c>
      <c r="K35" s="88">
        <f t="shared" si="241"/>
        <v>0</v>
      </c>
      <c r="L35" s="88">
        <f t="shared" si="241"/>
        <v>0</v>
      </c>
      <c r="M35" s="88">
        <f t="shared" si="241"/>
        <v>0</v>
      </c>
      <c r="N35" s="88">
        <f t="shared" si="241"/>
        <v>0</v>
      </c>
      <c r="O35" s="88">
        <f t="shared" si="241"/>
        <v>0</v>
      </c>
      <c r="P35" s="88">
        <f t="shared" si="241"/>
        <v>0</v>
      </c>
      <c r="Q35" s="88">
        <f t="shared" si="241"/>
        <v>0</v>
      </c>
      <c r="R35" s="88">
        <f t="shared" si="241"/>
        <v>0</v>
      </c>
      <c r="S35" s="88">
        <f t="shared" si="241"/>
        <v>0</v>
      </c>
      <c r="T35" s="88">
        <f t="shared" si="241"/>
        <v>0</v>
      </c>
      <c r="U35" s="88">
        <f t="shared" si="241"/>
        <v>0</v>
      </c>
      <c r="V35" s="88">
        <f t="shared" si="241"/>
        <v>0</v>
      </c>
      <c r="W35" s="88">
        <f t="shared" si="241"/>
        <v>0</v>
      </c>
      <c r="X35" s="88">
        <f t="shared" si="241"/>
        <v>0</v>
      </c>
      <c r="Y35" s="88">
        <f t="shared" si="241"/>
        <v>0</v>
      </c>
      <c r="Z35" s="88">
        <f t="shared" si="241"/>
        <v>0</v>
      </c>
      <c r="AA35" s="88">
        <f t="shared" si="241"/>
        <v>0</v>
      </c>
      <c r="AB35" s="88">
        <f t="shared" si="241"/>
        <v>0</v>
      </c>
      <c r="AC35" s="88">
        <f t="shared" si="241"/>
        <v>0</v>
      </c>
      <c r="AD35" s="88">
        <f t="shared" si="241"/>
        <v>0</v>
      </c>
      <c r="AE35" s="88">
        <f t="shared" si="241"/>
        <v>0</v>
      </c>
      <c r="AF35" s="88">
        <f t="shared" si="241"/>
        <v>0</v>
      </c>
      <c r="AG35" s="88">
        <f t="shared" si="241"/>
        <v>0</v>
      </c>
      <c r="AH35" s="88">
        <f t="shared" si="241"/>
        <v>0</v>
      </c>
      <c r="AI35" s="88">
        <f t="shared" si="241"/>
        <v>0</v>
      </c>
      <c r="AJ35" s="88">
        <f t="shared" si="241"/>
        <v>0</v>
      </c>
      <c r="AK35" s="88">
        <f t="shared" si="241"/>
        <v>0</v>
      </c>
      <c r="AL35" s="88">
        <f t="shared" si="241"/>
        <v>0</v>
      </c>
      <c r="AM35" s="88">
        <f t="shared" si="241"/>
        <v>0</v>
      </c>
      <c r="AN35" s="88">
        <f t="shared" si="241"/>
        <v>0</v>
      </c>
      <c r="AO35" s="88">
        <f t="shared" si="241"/>
        <v>0</v>
      </c>
      <c r="AP35" s="88">
        <f t="shared" si="241"/>
        <v>0</v>
      </c>
      <c r="AQ35" s="88">
        <f t="shared" si="241"/>
        <v>0</v>
      </c>
      <c r="AR35" s="88">
        <f t="shared" si="241"/>
        <v>0</v>
      </c>
      <c r="AS35" s="88">
        <f t="shared" si="241"/>
        <v>0</v>
      </c>
      <c r="AT35" s="88">
        <f t="shared" si="241"/>
        <v>0</v>
      </c>
      <c r="AU35" s="88">
        <f t="shared" si="241"/>
        <v>0</v>
      </c>
      <c r="AV35" s="88">
        <f t="shared" si="241"/>
        <v>0</v>
      </c>
      <c r="AW35" s="88">
        <f t="shared" si="241"/>
        <v>0</v>
      </c>
      <c r="AX35" s="88">
        <f t="shared" si="241"/>
        <v>0</v>
      </c>
      <c r="AY35" s="88">
        <f t="shared" si="241"/>
        <v>0</v>
      </c>
      <c r="AZ35" s="88">
        <f t="shared" si="241"/>
        <v>0</v>
      </c>
      <c r="BA35" s="88">
        <f t="shared" si="241"/>
        <v>0</v>
      </c>
      <c r="BB35" s="88">
        <f t="shared" si="241"/>
        <v>0</v>
      </c>
      <c r="BC35" s="88">
        <f t="shared" si="241"/>
        <v>0</v>
      </c>
      <c r="BD35" s="88">
        <f t="shared" si="241"/>
        <v>0</v>
      </c>
      <c r="BE35" s="88">
        <f t="shared" si="241"/>
        <v>0</v>
      </c>
      <c r="BF35" s="88">
        <f t="shared" si="241"/>
        <v>0</v>
      </c>
      <c r="BG35" s="88">
        <f t="shared" si="241"/>
        <v>0</v>
      </c>
      <c r="BH35" s="88">
        <f t="shared" si="241"/>
        <v>0</v>
      </c>
      <c r="BI35" s="88">
        <f t="shared" si="241"/>
        <v>0</v>
      </c>
      <c r="BJ35" s="88">
        <f t="shared" si="241"/>
        <v>0</v>
      </c>
      <c r="BK35" s="88">
        <f t="shared" si="241"/>
        <v>0</v>
      </c>
      <c r="BL35" s="88">
        <f t="shared" si="241"/>
        <v>0</v>
      </c>
      <c r="BM35" s="88">
        <f t="shared" si="241"/>
        <v>0</v>
      </c>
      <c r="BN35" s="88">
        <f t="shared" si="241"/>
        <v>0</v>
      </c>
      <c r="BO35" s="88">
        <f t="shared" si="241"/>
        <v>0</v>
      </c>
      <c r="BP35" s="88">
        <f t="shared" si="241"/>
        <v>0</v>
      </c>
      <c r="BQ35" s="88">
        <f t="shared" si="241"/>
        <v>0</v>
      </c>
      <c r="BR35" s="88">
        <f t="shared" si="241"/>
        <v>0</v>
      </c>
      <c r="BS35" s="88">
        <f t="shared" si="241"/>
        <v>0</v>
      </c>
      <c r="BT35" s="88">
        <f t="shared" si="241"/>
        <v>0</v>
      </c>
      <c r="BU35" s="88">
        <f t="shared" si="241"/>
        <v>0</v>
      </c>
      <c r="BV35" s="88">
        <f t="shared" si="241"/>
        <v>0</v>
      </c>
      <c r="BW35" s="88">
        <f t="shared" si="241"/>
        <v>0</v>
      </c>
      <c r="BX35" s="88">
        <f t="shared" si="241"/>
        <v>0</v>
      </c>
      <c r="BY35" s="88">
        <f t="shared" si="241"/>
        <v>0</v>
      </c>
      <c r="BZ35" s="88">
        <f t="shared" si="241"/>
        <v>0</v>
      </c>
      <c r="CA35" s="88">
        <f t="shared" si="241"/>
        <v>0</v>
      </c>
      <c r="CB35" s="88">
        <f t="shared" si="241"/>
        <v>0</v>
      </c>
      <c r="CC35" s="88">
        <f t="shared" si="241"/>
        <v>0</v>
      </c>
      <c r="CD35" s="88">
        <f t="shared" si="241"/>
        <v>0</v>
      </c>
      <c r="CE35" s="88">
        <f t="shared" si="241"/>
        <v>0</v>
      </c>
      <c r="CF35" s="88">
        <f t="shared" si="241"/>
        <v>0</v>
      </c>
      <c r="CG35" s="88">
        <f t="shared" si="241"/>
        <v>0</v>
      </c>
      <c r="CH35" s="88">
        <f t="shared" si="241"/>
        <v>0</v>
      </c>
      <c r="CI35" s="88">
        <f t="shared" si="241"/>
        <v>0</v>
      </c>
      <c r="CJ35" s="88">
        <f t="shared" si="241"/>
        <v>0</v>
      </c>
      <c r="CK35" s="88">
        <f t="shared" si="241"/>
        <v>0</v>
      </c>
      <c r="CL35" s="88">
        <f t="shared" si="241"/>
        <v>0</v>
      </c>
      <c r="CM35" s="88">
        <f t="shared" si="241"/>
        <v>0</v>
      </c>
      <c r="CN35" s="88">
        <f t="shared" si="241"/>
        <v>0</v>
      </c>
      <c r="CO35" s="88">
        <f t="shared" si="241"/>
        <v>0</v>
      </c>
      <c r="CP35" s="88">
        <f t="shared" si="241"/>
        <v>0</v>
      </c>
      <c r="CQ35" s="88">
        <f t="shared" si="241"/>
        <v>0</v>
      </c>
      <c r="CR35" s="88">
        <f t="shared" si="241"/>
        <v>0</v>
      </c>
      <c r="CS35" s="88">
        <f t="shared" si="241"/>
        <v>0</v>
      </c>
      <c r="CT35" s="88">
        <f t="shared" si="241"/>
        <v>0</v>
      </c>
      <c r="CU35" s="88">
        <f t="shared" si="241"/>
        <v>0</v>
      </c>
      <c r="CV35" s="88">
        <f t="shared" si="241"/>
        <v>0</v>
      </c>
      <c r="CW35" s="88">
        <f t="shared" si="241"/>
        <v>0</v>
      </c>
      <c r="CX35" s="88">
        <f t="shared" si="241"/>
        <v>0</v>
      </c>
      <c r="CY35" s="88">
        <f t="shared" si="241"/>
        <v>0</v>
      </c>
      <c r="CZ35" s="88">
        <f t="shared" si="241"/>
        <v>0</v>
      </c>
      <c r="DA35" s="88">
        <f t="shared" si="241"/>
        <v>0</v>
      </c>
      <c r="DB35" s="88">
        <f t="shared" si="241"/>
        <v>0</v>
      </c>
      <c r="DC35" s="88">
        <f t="shared" si="241"/>
        <v>0</v>
      </c>
      <c r="DD35" s="88">
        <f t="shared" si="241"/>
        <v>0</v>
      </c>
      <c r="DE35" s="88">
        <f t="shared" si="241"/>
        <v>0</v>
      </c>
      <c r="DF35" s="88">
        <f t="shared" si="241"/>
        <v>0</v>
      </c>
      <c r="DG35" s="88">
        <f t="shared" si="241"/>
        <v>0</v>
      </c>
      <c r="DH35" s="88">
        <f t="shared" si="241"/>
        <v>0</v>
      </c>
      <c r="DI35" s="88">
        <f t="shared" si="241"/>
        <v>0</v>
      </c>
      <c r="DJ35" s="88">
        <f t="shared" si="241"/>
        <v>0</v>
      </c>
      <c r="DK35" s="88">
        <f t="shared" si="241"/>
        <v>0</v>
      </c>
      <c r="DL35" s="88">
        <f t="shared" si="241"/>
        <v>0</v>
      </c>
      <c r="DM35" s="88">
        <f t="shared" si="241"/>
        <v>0</v>
      </c>
      <c r="DN35" s="88">
        <f t="shared" si="241"/>
        <v>0</v>
      </c>
      <c r="DO35" s="88">
        <f t="shared" si="241"/>
        <v>0</v>
      </c>
      <c r="DP35" s="88">
        <f t="shared" si="241"/>
        <v>0</v>
      </c>
      <c r="DQ35" s="88">
        <f t="shared" si="241"/>
        <v>0</v>
      </c>
      <c r="DR35" s="88">
        <f t="shared" si="241"/>
        <v>0</v>
      </c>
      <c r="DS35" s="88">
        <f t="shared" si="241"/>
        <v>0</v>
      </c>
      <c r="DT35" s="88">
        <f t="shared" si="241"/>
        <v>0</v>
      </c>
      <c r="DU35" s="88">
        <f t="shared" si="241"/>
        <v>0</v>
      </c>
      <c r="DV35" s="88">
        <f t="shared" ref="DV35:EY35" si="242">0</f>
        <v>0</v>
      </c>
      <c r="DW35" s="88">
        <f t="shared" si="242"/>
        <v>0</v>
      </c>
      <c r="DX35" s="88">
        <f t="shared" si="242"/>
        <v>0</v>
      </c>
      <c r="DY35" s="88">
        <f t="shared" si="242"/>
        <v>0</v>
      </c>
      <c r="DZ35" s="88">
        <f t="shared" si="242"/>
        <v>0</v>
      </c>
      <c r="EA35" s="88">
        <f t="shared" si="242"/>
        <v>0</v>
      </c>
      <c r="EB35" s="88">
        <f t="shared" si="242"/>
        <v>0</v>
      </c>
      <c r="EC35" s="88">
        <f t="shared" si="242"/>
        <v>0</v>
      </c>
      <c r="ED35" s="88">
        <f t="shared" si="242"/>
        <v>0</v>
      </c>
      <c r="EE35" s="88">
        <f t="shared" si="242"/>
        <v>0</v>
      </c>
      <c r="EF35" s="88">
        <f t="shared" si="242"/>
        <v>0</v>
      </c>
      <c r="EG35" s="88">
        <f t="shared" si="242"/>
        <v>0</v>
      </c>
      <c r="EH35" s="88">
        <f t="shared" si="242"/>
        <v>0</v>
      </c>
      <c r="EI35" s="88">
        <f t="shared" si="242"/>
        <v>0</v>
      </c>
      <c r="EJ35" s="88">
        <f t="shared" si="242"/>
        <v>0</v>
      </c>
      <c r="EK35" s="88">
        <f t="shared" si="242"/>
        <v>0</v>
      </c>
      <c r="EL35" s="88">
        <f t="shared" si="242"/>
        <v>0</v>
      </c>
      <c r="EM35" s="88">
        <f t="shared" si="242"/>
        <v>0</v>
      </c>
      <c r="EN35" s="88">
        <f t="shared" si="242"/>
        <v>0</v>
      </c>
      <c r="EO35" s="88">
        <f t="shared" si="242"/>
        <v>0</v>
      </c>
      <c r="EP35" s="88">
        <f t="shared" si="242"/>
        <v>0</v>
      </c>
      <c r="EQ35" s="88">
        <f t="shared" si="242"/>
        <v>0</v>
      </c>
      <c r="ER35" s="88">
        <f t="shared" si="242"/>
        <v>0</v>
      </c>
      <c r="ES35" s="88">
        <f t="shared" si="242"/>
        <v>0</v>
      </c>
      <c r="ET35" s="88">
        <f t="shared" si="242"/>
        <v>0</v>
      </c>
      <c r="EU35" s="88">
        <f t="shared" si="242"/>
        <v>0</v>
      </c>
      <c r="EV35" s="88">
        <f t="shared" si="242"/>
        <v>0</v>
      </c>
      <c r="EW35" s="88">
        <f t="shared" si="242"/>
        <v>0</v>
      </c>
      <c r="EX35" s="88">
        <f t="shared" si="242"/>
        <v>0</v>
      </c>
      <c r="EY35" s="88">
        <f t="shared" si="242"/>
        <v>0</v>
      </c>
    </row>
    <row r="36">
      <c r="A36" s="181" t="s">
        <v>212</v>
      </c>
      <c r="B36" s="10">
        <f t="shared" ref="B36:DU36" si="243">0</f>
        <v>0</v>
      </c>
      <c r="C36" s="10">
        <f t="shared" si="243"/>
        <v>0</v>
      </c>
      <c r="D36" s="10">
        <f t="shared" si="243"/>
        <v>0</v>
      </c>
      <c r="E36" s="88">
        <f t="shared" si="243"/>
        <v>0</v>
      </c>
      <c r="F36" s="123">
        <f t="shared" si="243"/>
        <v>0</v>
      </c>
      <c r="G36" s="205">
        <f t="shared" si="243"/>
        <v>0</v>
      </c>
      <c r="H36" s="88">
        <f t="shared" si="243"/>
        <v>0</v>
      </c>
      <c r="I36" s="88">
        <f t="shared" si="243"/>
        <v>0</v>
      </c>
      <c r="J36" s="88">
        <f t="shared" si="243"/>
        <v>0</v>
      </c>
      <c r="K36" s="88">
        <f t="shared" si="243"/>
        <v>0</v>
      </c>
      <c r="L36" s="88">
        <f t="shared" si="243"/>
        <v>0</v>
      </c>
      <c r="M36" s="88">
        <f t="shared" si="243"/>
        <v>0</v>
      </c>
      <c r="N36" s="88">
        <f t="shared" si="243"/>
        <v>0</v>
      </c>
      <c r="O36" s="88">
        <f t="shared" si="243"/>
        <v>0</v>
      </c>
      <c r="P36" s="88">
        <f t="shared" si="243"/>
        <v>0</v>
      </c>
      <c r="Q36" s="88">
        <f t="shared" si="243"/>
        <v>0</v>
      </c>
      <c r="R36" s="88">
        <f t="shared" si="243"/>
        <v>0</v>
      </c>
      <c r="S36" s="88">
        <f t="shared" si="243"/>
        <v>0</v>
      </c>
      <c r="T36" s="88">
        <f t="shared" si="243"/>
        <v>0</v>
      </c>
      <c r="U36" s="88">
        <f t="shared" si="243"/>
        <v>0</v>
      </c>
      <c r="V36" s="88">
        <f t="shared" si="243"/>
        <v>0</v>
      </c>
      <c r="W36" s="88">
        <f t="shared" si="243"/>
        <v>0</v>
      </c>
      <c r="X36" s="88">
        <f t="shared" si="243"/>
        <v>0</v>
      </c>
      <c r="Y36" s="88">
        <f t="shared" si="243"/>
        <v>0</v>
      </c>
      <c r="Z36" s="88">
        <f t="shared" si="243"/>
        <v>0</v>
      </c>
      <c r="AA36" s="88">
        <f t="shared" si="243"/>
        <v>0</v>
      </c>
      <c r="AB36" s="88">
        <f t="shared" si="243"/>
        <v>0</v>
      </c>
      <c r="AC36" s="88">
        <f t="shared" si="243"/>
        <v>0</v>
      </c>
      <c r="AD36" s="88">
        <f t="shared" si="243"/>
        <v>0</v>
      </c>
      <c r="AE36" s="88">
        <f t="shared" si="243"/>
        <v>0</v>
      </c>
      <c r="AF36" s="88">
        <f t="shared" si="243"/>
        <v>0</v>
      </c>
      <c r="AG36" s="88">
        <f t="shared" si="243"/>
        <v>0</v>
      </c>
      <c r="AH36" s="88">
        <f t="shared" si="243"/>
        <v>0</v>
      </c>
      <c r="AI36" s="88">
        <f t="shared" si="243"/>
        <v>0</v>
      </c>
      <c r="AJ36" s="88">
        <f t="shared" si="243"/>
        <v>0</v>
      </c>
      <c r="AK36" s="88">
        <f t="shared" si="243"/>
        <v>0</v>
      </c>
      <c r="AL36" s="88">
        <f t="shared" si="243"/>
        <v>0</v>
      </c>
      <c r="AM36" s="88">
        <f t="shared" si="243"/>
        <v>0</v>
      </c>
      <c r="AN36" s="88">
        <f t="shared" si="243"/>
        <v>0</v>
      </c>
      <c r="AO36" s="88">
        <f t="shared" si="243"/>
        <v>0</v>
      </c>
      <c r="AP36" s="88">
        <f t="shared" si="243"/>
        <v>0</v>
      </c>
      <c r="AQ36" s="88">
        <f t="shared" si="243"/>
        <v>0</v>
      </c>
      <c r="AR36" s="88">
        <f t="shared" si="243"/>
        <v>0</v>
      </c>
      <c r="AS36" s="88">
        <f t="shared" si="243"/>
        <v>0</v>
      </c>
      <c r="AT36" s="88">
        <f t="shared" si="243"/>
        <v>0</v>
      </c>
      <c r="AU36" s="88">
        <f t="shared" si="243"/>
        <v>0</v>
      </c>
      <c r="AV36" s="88">
        <f t="shared" si="243"/>
        <v>0</v>
      </c>
      <c r="AW36" s="88">
        <f t="shared" si="243"/>
        <v>0</v>
      </c>
      <c r="AX36" s="88">
        <f t="shared" si="243"/>
        <v>0</v>
      </c>
      <c r="AY36" s="88">
        <f t="shared" si="243"/>
        <v>0</v>
      </c>
      <c r="AZ36" s="88">
        <f t="shared" si="243"/>
        <v>0</v>
      </c>
      <c r="BA36" s="88">
        <f t="shared" si="243"/>
        <v>0</v>
      </c>
      <c r="BB36" s="88">
        <f t="shared" si="243"/>
        <v>0</v>
      </c>
      <c r="BC36" s="88">
        <f t="shared" si="243"/>
        <v>0</v>
      </c>
      <c r="BD36" s="88">
        <f t="shared" si="243"/>
        <v>0</v>
      </c>
      <c r="BE36" s="88">
        <f t="shared" si="243"/>
        <v>0</v>
      </c>
      <c r="BF36" s="88">
        <f t="shared" si="243"/>
        <v>0</v>
      </c>
      <c r="BG36" s="88">
        <f t="shared" si="243"/>
        <v>0</v>
      </c>
      <c r="BH36" s="88">
        <f t="shared" si="243"/>
        <v>0</v>
      </c>
      <c r="BI36" s="88">
        <f t="shared" si="243"/>
        <v>0</v>
      </c>
      <c r="BJ36" s="88">
        <f t="shared" si="243"/>
        <v>0</v>
      </c>
      <c r="BK36" s="88">
        <f t="shared" si="243"/>
        <v>0</v>
      </c>
      <c r="BL36" s="88">
        <f t="shared" si="243"/>
        <v>0</v>
      </c>
      <c r="BM36" s="88">
        <f t="shared" si="243"/>
        <v>0</v>
      </c>
      <c r="BN36" s="88">
        <f t="shared" si="243"/>
        <v>0</v>
      </c>
      <c r="BO36" s="88">
        <f t="shared" si="243"/>
        <v>0</v>
      </c>
      <c r="BP36" s="88">
        <f t="shared" si="243"/>
        <v>0</v>
      </c>
      <c r="BQ36" s="88">
        <f t="shared" si="243"/>
        <v>0</v>
      </c>
      <c r="BR36" s="88">
        <f t="shared" si="243"/>
        <v>0</v>
      </c>
      <c r="BS36" s="88">
        <f t="shared" si="243"/>
        <v>0</v>
      </c>
      <c r="BT36" s="88">
        <f t="shared" si="243"/>
        <v>0</v>
      </c>
      <c r="BU36" s="88">
        <f t="shared" si="243"/>
        <v>0</v>
      </c>
      <c r="BV36" s="88">
        <f t="shared" si="243"/>
        <v>0</v>
      </c>
      <c r="BW36" s="88">
        <f t="shared" si="243"/>
        <v>0</v>
      </c>
      <c r="BX36" s="88">
        <f t="shared" si="243"/>
        <v>0</v>
      </c>
      <c r="BY36" s="88">
        <f t="shared" si="243"/>
        <v>0</v>
      </c>
      <c r="BZ36" s="88">
        <f t="shared" si="243"/>
        <v>0</v>
      </c>
      <c r="CA36" s="88">
        <f t="shared" si="243"/>
        <v>0</v>
      </c>
      <c r="CB36" s="88">
        <f t="shared" si="243"/>
        <v>0</v>
      </c>
      <c r="CC36" s="88">
        <f t="shared" si="243"/>
        <v>0</v>
      </c>
      <c r="CD36" s="88">
        <f t="shared" si="243"/>
        <v>0</v>
      </c>
      <c r="CE36" s="88">
        <f t="shared" si="243"/>
        <v>0</v>
      </c>
      <c r="CF36" s="88">
        <f t="shared" si="243"/>
        <v>0</v>
      </c>
      <c r="CG36" s="88">
        <f t="shared" si="243"/>
        <v>0</v>
      </c>
      <c r="CH36" s="88">
        <f t="shared" si="243"/>
        <v>0</v>
      </c>
      <c r="CI36" s="88">
        <f t="shared" si="243"/>
        <v>0</v>
      </c>
      <c r="CJ36" s="88">
        <f t="shared" si="243"/>
        <v>0</v>
      </c>
      <c r="CK36" s="88">
        <f t="shared" si="243"/>
        <v>0</v>
      </c>
      <c r="CL36" s="88">
        <f t="shared" si="243"/>
        <v>0</v>
      </c>
      <c r="CM36" s="88">
        <f t="shared" si="243"/>
        <v>0</v>
      </c>
      <c r="CN36" s="88">
        <f t="shared" si="243"/>
        <v>0</v>
      </c>
      <c r="CO36" s="88">
        <f t="shared" si="243"/>
        <v>0</v>
      </c>
      <c r="CP36" s="88">
        <f t="shared" si="243"/>
        <v>0</v>
      </c>
      <c r="CQ36" s="88">
        <f t="shared" si="243"/>
        <v>0</v>
      </c>
      <c r="CR36" s="88">
        <f t="shared" si="243"/>
        <v>0</v>
      </c>
      <c r="CS36" s="88">
        <f t="shared" si="243"/>
        <v>0</v>
      </c>
      <c r="CT36" s="88">
        <f t="shared" si="243"/>
        <v>0</v>
      </c>
      <c r="CU36" s="88">
        <f t="shared" si="243"/>
        <v>0</v>
      </c>
      <c r="CV36" s="88">
        <f t="shared" si="243"/>
        <v>0</v>
      </c>
      <c r="CW36" s="88">
        <f t="shared" si="243"/>
        <v>0</v>
      </c>
      <c r="CX36" s="88">
        <f t="shared" si="243"/>
        <v>0</v>
      </c>
      <c r="CY36" s="88">
        <f t="shared" si="243"/>
        <v>0</v>
      </c>
      <c r="CZ36" s="88">
        <f t="shared" si="243"/>
        <v>0</v>
      </c>
      <c r="DA36" s="88">
        <f t="shared" si="243"/>
        <v>0</v>
      </c>
      <c r="DB36" s="88">
        <f t="shared" si="243"/>
        <v>0</v>
      </c>
      <c r="DC36" s="88">
        <f t="shared" si="243"/>
        <v>0</v>
      </c>
      <c r="DD36" s="88">
        <f t="shared" si="243"/>
        <v>0</v>
      </c>
      <c r="DE36" s="88">
        <f t="shared" si="243"/>
        <v>0</v>
      </c>
      <c r="DF36" s="88">
        <f t="shared" si="243"/>
        <v>0</v>
      </c>
      <c r="DG36" s="88">
        <f t="shared" si="243"/>
        <v>0</v>
      </c>
      <c r="DH36" s="88">
        <f t="shared" si="243"/>
        <v>0</v>
      </c>
      <c r="DI36" s="88">
        <f t="shared" si="243"/>
        <v>0</v>
      </c>
      <c r="DJ36" s="88">
        <f t="shared" si="243"/>
        <v>0</v>
      </c>
      <c r="DK36" s="88">
        <f t="shared" si="243"/>
        <v>0</v>
      </c>
      <c r="DL36" s="88">
        <f t="shared" si="243"/>
        <v>0</v>
      </c>
      <c r="DM36" s="88">
        <f t="shared" si="243"/>
        <v>0</v>
      </c>
      <c r="DN36" s="88">
        <f t="shared" si="243"/>
        <v>0</v>
      </c>
      <c r="DO36" s="88">
        <f t="shared" si="243"/>
        <v>0</v>
      </c>
      <c r="DP36" s="88">
        <f t="shared" si="243"/>
        <v>0</v>
      </c>
      <c r="DQ36" s="88">
        <f t="shared" si="243"/>
        <v>0</v>
      </c>
      <c r="DR36" s="88">
        <f t="shared" si="243"/>
        <v>0</v>
      </c>
      <c r="DS36" s="88">
        <f t="shared" si="243"/>
        <v>0</v>
      </c>
      <c r="DT36" s="88">
        <f t="shared" si="243"/>
        <v>0</v>
      </c>
      <c r="DU36" s="88">
        <f t="shared" si="243"/>
        <v>0</v>
      </c>
      <c r="DV36" s="88">
        <f t="shared" ref="DV36:EY36" si="244">0</f>
        <v>0</v>
      </c>
      <c r="DW36" s="88">
        <f t="shared" si="244"/>
        <v>0</v>
      </c>
      <c r="DX36" s="88">
        <f t="shared" si="244"/>
        <v>0</v>
      </c>
      <c r="DY36" s="88">
        <f t="shared" si="244"/>
        <v>0</v>
      </c>
      <c r="DZ36" s="88">
        <f t="shared" si="244"/>
        <v>0</v>
      </c>
      <c r="EA36" s="88">
        <f t="shared" si="244"/>
        <v>0</v>
      </c>
      <c r="EB36" s="88">
        <f t="shared" si="244"/>
        <v>0</v>
      </c>
      <c r="EC36" s="88">
        <f t="shared" si="244"/>
        <v>0</v>
      </c>
      <c r="ED36" s="88">
        <f t="shared" si="244"/>
        <v>0</v>
      </c>
      <c r="EE36" s="88">
        <f t="shared" si="244"/>
        <v>0</v>
      </c>
      <c r="EF36" s="88">
        <f t="shared" si="244"/>
        <v>0</v>
      </c>
      <c r="EG36" s="88">
        <f t="shared" si="244"/>
        <v>0</v>
      </c>
      <c r="EH36" s="88">
        <f t="shared" si="244"/>
        <v>0</v>
      </c>
      <c r="EI36" s="88">
        <f t="shared" si="244"/>
        <v>0</v>
      </c>
      <c r="EJ36" s="88">
        <f t="shared" si="244"/>
        <v>0</v>
      </c>
      <c r="EK36" s="88">
        <f t="shared" si="244"/>
        <v>0</v>
      </c>
      <c r="EL36" s="88">
        <f t="shared" si="244"/>
        <v>0</v>
      </c>
      <c r="EM36" s="88">
        <f t="shared" si="244"/>
        <v>0</v>
      </c>
      <c r="EN36" s="88">
        <f t="shared" si="244"/>
        <v>0</v>
      </c>
      <c r="EO36" s="88">
        <f t="shared" si="244"/>
        <v>0</v>
      </c>
      <c r="EP36" s="88">
        <f t="shared" si="244"/>
        <v>0</v>
      </c>
      <c r="EQ36" s="88">
        <f t="shared" si="244"/>
        <v>0</v>
      </c>
      <c r="ER36" s="88">
        <f t="shared" si="244"/>
        <v>0</v>
      </c>
      <c r="ES36" s="88">
        <f t="shared" si="244"/>
        <v>0</v>
      </c>
      <c r="ET36" s="88">
        <f t="shared" si="244"/>
        <v>0</v>
      </c>
      <c r="EU36" s="88">
        <f t="shared" si="244"/>
        <v>0</v>
      </c>
      <c r="EV36" s="88">
        <f t="shared" si="244"/>
        <v>0</v>
      </c>
      <c r="EW36" s="88">
        <f t="shared" si="244"/>
        <v>0</v>
      </c>
      <c r="EX36" s="88">
        <f t="shared" si="244"/>
        <v>0</v>
      </c>
      <c r="EY36" s="88">
        <f t="shared" si="244"/>
        <v>0</v>
      </c>
    </row>
    <row r="37">
      <c r="A37" s="181" t="s">
        <v>213</v>
      </c>
      <c r="B37" s="10">
        <f t="shared" ref="B37:DU37" si="245">0</f>
        <v>0</v>
      </c>
      <c r="C37" s="10">
        <f t="shared" si="245"/>
        <v>0</v>
      </c>
      <c r="D37" s="10">
        <f t="shared" si="245"/>
        <v>0</v>
      </c>
      <c r="E37" s="88">
        <f t="shared" si="245"/>
        <v>0</v>
      </c>
      <c r="F37" s="123">
        <f t="shared" si="245"/>
        <v>0</v>
      </c>
      <c r="G37" s="205">
        <f t="shared" si="245"/>
        <v>0</v>
      </c>
      <c r="H37" s="88">
        <f t="shared" si="245"/>
        <v>0</v>
      </c>
      <c r="I37" s="88">
        <f t="shared" si="245"/>
        <v>0</v>
      </c>
      <c r="J37" s="88">
        <f t="shared" si="245"/>
        <v>0</v>
      </c>
      <c r="K37" s="88">
        <f t="shared" si="245"/>
        <v>0</v>
      </c>
      <c r="L37" s="88">
        <f t="shared" si="245"/>
        <v>0</v>
      </c>
      <c r="M37" s="88">
        <f t="shared" si="245"/>
        <v>0</v>
      </c>
      <c r="N37" s="88">
        <f t="shared" si="245"/>
        <v>0</v>
      </c>
      <c r="O37" s="88">
        <f t="shared" si="245"/>
        <v>0</v>
      </c>
      <c r="P37" s="88">
        <f t="shared" si="245"/>
        <v>0</v>
      </c>
      <c r="Q37" s="88">
        <f t="shared" si="245"/>
        <v>0</v>
      </c>
      <c r="R37" s="88">
        <f t="shared" si="245"/>
        <v>0</v>
      </c>
      <c r="S37" s="88">
        <f t="shared" si="245"/>
        <v>0</v>
      </c>
      <c r="T37" s="88">
        <f t="shared" si="245"/>
        <v>0</v>
      </c>
      <c r="U37" s="88">
        <f t="shared" si="245"/>
        <v>0</v>
      </c>
      <c r="V37" s="88">
        <f t="shared" si="245"/>
        <v>0</v>
      </c>
      <c r="W37" s="88">
        <f t="shared" si="245"/>
        <v>0</v>
      </c>
      <c r="X37" s="88">
        <f t="shared" si="245"/>
        <v>0</v>
      </c>
      <c r="Y37" s="88">
        <f t="shared" si="245"/>
        <v>0</v>
      </c>
      <c r="Z37" s="88">
        <f t="shared" si="245"/>
        <v>0</v>
      </c>
      <c r="AA37" s="88">
        <f t="shared" si="245"/>
        <v>0</v>
      </c>
      <c r="AB37" s="88">
        <f t="shared" si="245"/>
        <v>0</v>
      </c>
      <c r="AC37" s="88">
        <f t="shared" si="245"/>
        <v>0</v>
      </c>
      <c r="AD37" s="88">
        <f t="shared" si="245"/>
        <v>0</v>
      </c>
      <c r="AE37" s="88">
        <f t="shared" si="245"/>
        <v>0</v>
      </c>
      <c r="AF37" s="88">
        <f t="shared" si="245"/>
        <v>0</v>
      </c>
      <c r="AG37" s="88">
        <f t="shared" si="245"/>
        <v>0</v>
      </c>
      <c r="AH37" s="88">
        <f t="shared" si="245"/>
        <v>0</v>
      </c>
      <c r="AI37" s="88">
        <f t="shared" si="245"/>
        <v>0</v>
      </c>
      <c r="AJ37" s="88">
        <f t="shared" si="245"/>
        <v>0</v>
      </c>
      <c r="AK37" s="88">
        <f t="shared" si="245"/>
        <v>0</v>
      </c>
      <c r="AL37" s="88">
        <f t="shared" si="245"/>
        <v>0</v>
      </c>
      <c r="AM37" s="88">
        <f t="shared" si="245"/>
        <v>0</v>
      </c>
      <c r="AN37" s="88">
        <f t="shared" si="245"/>
        <v>0</v>
      </c>
      <c r="AO37" s="88">
        <f t="shared" si="245"/>
        <v>0</v>
      </c>
      <c r="AP37" s="88">
        <f t="shared" si="245"/>
        <v>0</v>
      </c>
      <c r="AQ37" s="88">
        <f t="shared" si="245"/>
        <v>0</v>
      </c>
      <c r="AR37" s="88">
        <f t="shared" si="245"/>
        <v>0</v>
      </c>
      <c r="AS37" s="88">
        <f t="shared" si="245"/>
        <v>0</v>
      </c>
      <c r="AT37" s="88">
        <f t="shared" si="245"/>
        <v>0</v>
      </c>
      <c r="AU37" s="88">
        <f t="shared" si="245"/>
        <v>0</v>
      </c>
      <c r="AV37" s="88">
        <f t="shared" si="245"/>
        <v>0</v>
      </c>
      <c r="AW37" s="88">
        <f t="shared" si="245"/>
        <v>0</v>
      </c>
      <c r="AX37" s="88">
        <f t="shared" si="245"/>
        <v>0</v>
      </c>
      <c r="AY37" s="88">
        <f t="shared" si="245"/>
        <v>0</v>
      </c>
      <c r="AZ37" s="88">
        <f t="shared" si="245"/>
        <v>0</v>
      </c>
      <c r="BA37" s="88">
        <f t="shared" si="245"/>
        <v>0</v>
      </c>
      <c r="BB37" s="88">
        <f t="shared" si="245"/>
        <v>0</v>
      </c>
      <c r="BC37" s="88">
        <f t="shared" si="245"/>
        <v>0</v>
      </c>
      <c r="BD37" s="88">
        <f t="shared" si="245"/>
        <v>0</v>
      </c>
      <c r="BE37" s="88">
        <f t="shared" si="245"/>
        <v>0</v>
      </c>
      <c r="BF37" s="88">
        <f t="shared" si="245"/>
        <v>0</v>
      </c>
      <c r="BG37" s="88">
        <f t="shared" si="245"/>
        <v>0</v>
      </c>
      <c r="BH37" s="88">
        <f t="shared" si="245"/>
        <v>0</v>
      </c>
      <c r="BI37" s="88">
        <f t="shared" si="245"/>
        <v>0</v>
      </c>
      <c r="BJ37" s="88">
        <f t="shared" si="245"/>
        <v>0</v>
      </c>
      <c r="BK37" s="88">
        <f t="shared" si="245"/>
        <v>0</v>
      </c>
      <c r="BL37" s="88">
        <f t="shared" si="245"/>
        <v>0</v>
      </c>
      <c r="BM37" s="88">
        <f t="shared" si="245"/>
        <v>0</v>
      </c>
      <c r="BN37" s="88">
        <f t="shared" si="245"/>
        <v>0</v>
      </c>
      <c r="BO37" s="88">
        <f t="shared" si="245"/>
        <v>0</v>
      </c>
      <c r="BP37" s="88">
        <f t="shared" si="245"/>
        <v>0</v>
      </c>
      <c r="BQ37" s="88">
        <f t="shared" si="245"/>
        <v>0</v>
      </c>
      <c r="BR37" s="88">
        <f t="shared" si="245"/>
        <v>0</v>
      </c>
      <c r="BS37" s="88">
        <f t="shared" si="245"/>
        <v>0</v>
      </c>
      <c r="BT37" s="88">
        <f t="shared" si="245"/>
        <v>0</v>
      </c>
      <c r="BU37" s="88">
        <f t="shared" si="245"/>
        <v>0</v>
      </c>
      <c r="BV37" s="88">
        <f t="shared" si="245"/>
        <v>0</v>
      </c>
      <c r="BW37" s="88">
        <f t="shared" si="245"/>
        <v>0</v>
      </c>
      <c r="BX37" s="88">
        <f t="shared" si="245"/>
        <v>0</v>
      </c>
      <c r="BY37" s="88">
        <f t="shared" si="245"/>
        <v>0</v>
      </c>
      <c r="BZ37" s="88">
        <f t="shared" si="245"/>
        <v>0</v>
      </c>
      <c r="CA37" s="88">
        <f t="shared" si="245"/>
        <v>0</v>
      </c>
      <c r="CB37" s="88">
        <f t="shared" si="245"/>
        <v>0</v>
      </c>
      <c r="CC37" s="88">
        <f t="shared" si="245"/>
        <v>0</v>
      </c>
      <c r="CD37" s="88">
        <f t="shared" si="245"/>
        <v>0</v>
      </c>
      <c r="CE37" s="88">
        <f t="shared" si="245"/>
        <v>0</v>
      </c>
      <c r="CF37" s="88">
        <f t="shared" si="245"/>
        <v>0</v>
      </c>
      <c r="CG37" s="88">
        <f t="shared" si="245"/>
        <v>0</v>
      </c>
      <c r="CH37" s="88">
        <f t="shared" si="245"/>
        <v>0</v>
      </c>
      <c r="CI37" s="88">
        <f t="shared" si="245"/>
        <v>0</v>
      </c>
      <c r="CJ37" s="88">
        <f t="shared" si="245"/>
        <v>0</v>
      </c>
      <c r="CK37" s="88">
        <f t="shared" si="245"/>
        <v>0</v>
      </c>
      <c r="CL37" s="88">
        <f t="shared" si="245"/>
        <v>0</v>
      </c>
      <c r="CM37" s="88">
        <f t="shared" si="245"/>
        <v>0</v>
      </c>
      <c r="CN37" s="88">
        <f t="shared" si="245"/>
        <v>0</v>
      </c>
      <c r="CO37" s="88">
        <f t="shared" si="245"/>
        <v>0</v>
      </c>
      <c r="CP37" s="88">
        <f t="shared" si="245"/>
        <v>0</v>
      </c>
      <c r="CQ37" s="88">
        <f t="shared" si="245"/>
        <v>0</v>
      </c>
      <c r="CR37" s="88">
        <f t="shared" si="245"/>
        <v>0</v>
      </c>
      <c r="CS37" s="88">
        <f t="shared" si="245"/>
        <v>0</v>
      </c>
      <c r="CT37" s="88">
        <f t="shared" si="245"/>
        <v>0</v>
      </c>
      <c r="CU37" s="88">
        <f t="shared" si="245"/>
        <v>0</v>
      </c>
      <c r="CV37" s="88">
        <f t="shared" si="245"/>
        <v>0</v>
      </c>
      <c r="CW37" s="88">
        <f t="shared" si="245"/>
        <v>0</v>
      </c>
      <c r="CX37" s="88">
        <f t="shared" si="245"/>
        <v>0</v>
      </c>
      <c r="CY37" s="88">
        <f t="shared" si="245"/>
        <v>0</v>
      </c>
      <c r="CZ37" s="88">
        <f t="shared" si="245"/>
        <v>0</v>
      </c>
      <c r="DA37" s="88">
        <f t="shared" si="245"/>
        <v>0</v>
      </c>
      <c r="DB37" s="88">
        <f t="shared" si="245"/>
        <v>0</v>
      </c>
      <c r="DC37" s="88">
        <f t="shared" si="245"/>
        <v>0</v>
      </c>
      <c r="DD37" s="88">
        <f t="shared" si="245"/>
        <v>0</v>
      </c>
      <c r="DE37" s="88">
        <f t="shared" si="245"/>
        <v>0</v>
      </c>
      <c r="DF37" s="88">
        <f t="shared" si="245"/>
        <v>0</v>
      </c>
      <c r="DG37" s="88">
        <f t="shared" si="245"/>
        <v>0</v>
      </c>
      <c r="DH37" s="88">
        <f t="shared" si="245"/>
        <v>0</v>
      </c>
      <c r="DI37" s="88">
        <f t="shared" si="245"/>
        <v>0</v>
      </c>
      <c r="DJ37" s="88">
        <f t="shared" si="245"/>
        <v>0</v>
      </c>
      <c r="DK37" s="88">
        <f t="shared" si="245"/>
        <v>0</v>
      </c>
      <c r="DL37" s="88">
        <f t="shared" si="245"/>
        <v>0</v>
      </c>
      <c r="DM37" s="88">
        <f t="shared" si="245"/>
        <v>0</v>
      </c>
      <c r="DN37" s="88">
        <f t="shared" si="245"/>
        <v>0</v>
      </c>
      <c r="DO37" s="88">
        <f t="shared" si="245"/>
        <v>0</v>
      </c>
      <c r="DP37" s="88">
        <f t="shared" si="245"/>
        <v>0</v>
      </c>
      <c r="DQ37" s="88">
        <f t="shared" si="245"/>
        <v>0</v>
      </c>
      <c r="DR37" s="88">
        <f t="shared" si="245"/>
        <v>0</v>
      </c>
      <c r="DS37" s="88">
        <f t="shared" si="245"/>
        <v>0</v>
      </c>
      <c r="DT37" s="88">
        <f t="shared" si="245"/>
        <v>0</v>
      </c>
      <c r="DU37" s="88">
        <f t="shared" si="245"/>
        <v>0</v>
      </c>
      <c r="DV37" s="88">
        <f t="shared" ref="DV37:EY37" si="246">0</f>
        <v>0</v>
      </c>
      <c r="DW37" s="88">
        <f t="shared" si="246"/>
        <v>0</v>
      </c>
      <c r="DX37" s="88">
        <f t="shared" si="246"/>
        <v>0</v>
      </c>
      <c r="DY37" s="88">
        <f t="shared" si="246"/>
        <v>0</v>
      </c>
      <c r="DZ37" s="88">
        <f t="shared" si="246"/>
        <v>0</v>
      </c>
      <c r="EA37" s="88">
        <f t="shared" si="246"/>
        <v>0</v>
      </c>
      <c r="EB37" s="88">
        <f t="shared" si="246"/>
        <v>0</v>
      </c>
      <c r="EC37" s="88">
        <f t="shared" si="246"/>
        <v>0</v>
      </c>
      <c r="ED37" s="88">
        <f t="shared" si="246"/>
        <v>0</v>
      </c>
      <c r="EE37" s="88">
        <f t="shared" si="246"/>
        <v>0</v>
      </c>
      <c r="EF37" s="88">
        <f t="shared" si="246"/>
        <v>0</v>
      </c>
      <c r="EG37" s="88">
        <f t="shared" si="246"/>
        <v>0</v>
      </c>
      <c r="EH37" s="88">
        <f t="shared" si="246"/>
        <v>0</v>
      </c>
      <c r="EI37" s="88">
        <f t="shared" si="246"/>
        <v>0</v>
      </c>
      <c r="EJ37" s="88">
        <f t="shared" si="246"/>
        <v>0</v>
      </c>
      <c r="EK37" s="88">
        <f t="shared" si="246"/>
        <v>0</v>
      </c>
      <c r="EL37" s="88">
        <f t="shared" si="246"/>
        <v>0</v>
      </c>
      <c r="EM37" s="88">
        <f t="shared" si="246"/>
        <v>0</v>
      </c>
      <c r="EN37" s="88">
        <f t="shared" si="246"/>
        <v>0</v>
      </c>
      <c r="EO37" s="88">
        <f t="shared" si="246"/>
        <v>0</v>
      </c>
      <c r="EP37" s="88">
        <f t="shared" si="246"/>
        <v>0</v>
      </c>
      <c r="EQ37" s="88">
        <f t="shared" si="246"/>
        <v>0</v>
      </c>
      <c r="ER37" s="88">
        <f t="shared" si="246"/>
        <v>0</v>
      </c>
      <c r="ES37" s="88">
        <f t="shared" si="246"/>
        <v>0</v>
      </c>
      <c r="ET37" s="88">
        <f t="shared" si="246"/>
        <v>0</v>
      </c>
      <c r="EU37" s="88">
        <f t="shared" si="246"/>
        <v>0</v>
      </c>
      <c r="EV37" s="88">
        <f t="shared" si="246"/>
        <v>0</v>
      </c>
      <c r="EW37" s="88">
        <f t="shared" si="246"/>
        <v>0</v>
      </c>
      <c r="EX37" s="88">
        <f t="shared" si="246"/>
        <v>0</v>
      </c>
      <c r="EY37" s="88">
        <f t="shared" si="246"/>
        <v>0</v>
      </c>
    </row>
    <row r="38">
      <c r="A38" s="181" t="s">
        <v>214</v>
      </c>
      <c r="B38" s="10">
        <f t="shared" ref="B38:DU38" si="247">0</f>
        <v>0</v>
      </c>
      <c r="C38" s="10">
        <f t="shared" si="247"/>
        <v>0</v>
      </c>
      <c r="D38" s="10">
        <f t="shared" si="247"/>
        <v>0</v>
      </c>
      <c r="E38" s="88">
        <f t="shared" si="247"/>
        <v>0</v>
      </c>
      <c r="F38" s="123">
        <f t="shared" si="247"/>
        <v>0</v>
      </c>
      <c r="G38" s="205">
        <f t="shared" si="247"/>
        <v>0</v>
      </c>
      <c r="H38" s="88">
        <f t="shared" si="247"/>
        <v>0</v>
      </c>
      <c r="I38" s="88">
        <f t="shared" si="247"/>
        <v>0</v>
      </c>
      <c r="J38" s="88">
        <f t="shared" si="247"/>
        <v>0</v>
      </c>
      <c r="K38" s="88">
        <f t="shared" si="247"/>
        <v>0</v>
      </c>
      <c r="L38" s="88">
        <f t="shared" si="247"/>
        <v>0</v>
      </c>
      <c r="M38" s="88">
        <f t="shared" si="247"/>
        <v>0</v>
      </c>
      <c r="N38" s="88">
        <f t="shared" si="247"/>
        <v>0</v>
      </c>
      <c r="O38" s="88">
        <f t="shared" si="247"/>
        <v>0</v>
      </c>
      <c r="P38" s="88">
        <f t="shared" si="247"/>
        <v>0</v>
      </c>
      <c r="Q38" s="88">
        <f t="shared" si="247"/>
        <v>0</v>
      </c>
      <c r="R38" s="88">
        <f t="shared" si="247"/>
        <v>0</v>
      </c>
      <c r="S38" s="88">
        <f t="shared" si="247"/>
        <v>0</v>
      </c>
      <c r="T38" s="88">
        <f t="shared" si="247"/>
        <v>0</v>
      </c>
      <c r="U38" s="88">
        <f t="shared" si="247"/>
        <v>0</v>
      </c>
      <c r="V38" s="88">
        <f t="shared" si="247"/>
        <v>0</v>
      </c>
      <c r="W38" s="88">
        <f t="shared" si="247"/>
        <v>0</v>
      </c>
      <c r="X38" s="88">
        <f t="shared" si="247"/>
        <v>0</v>
      </c>
      <c r="Y38" s="88">
        <f t="shared" si="247"/>
        <v>0</v>
      </c>
      <c r="Z38" s="88">
        <f t="shared" si="247"/>
        <v>0</v>
      </c>
      <c r="AA38" s="88">
        <f t="shared" si="247"/>
        <v>0</v>
      </c>
      <c r="AB38" s="88">
        <f t="shared" si="247"/>
        <v>0</v>
      </c>
      <c r="AC38" s="88">
        <f t="shared" si="247"/>
        <v>0</v>
      </c>
      <c r="AD38" s="88">
        <f t="shared" si="247"/>
        <v>0</v>
      </c>
      <c r="AE38" s="88">
        <f t="shared" si="247"/>
        <v>0</v>
      </c>
      <c r="AF38" s="88">
        <f t="shared" si="247"/>
        <v>0</v>
      </c>
      <c r="AG38" s="88">
        <f t="shared" si="247"/>
        <v>0</v>
      </c>
      <c r="AH38" s="88">
        <f t="shared" si="247"/>
        <v>0</v>
      </c>
      <c r="AI38" s="88">
        <f t="shared" si="247"/>
        <v>0</v>
      </c>
      <c r="AJ38" s="88">
        <f t="shared" si="247"/>
        <v>0</v>
      </c>
      <c r="AK38" s="88">
        <f t="shared" si="247"/>
        <v>0</v>
      </c>
      <c r="AL38" s="88">
        <f t="shared" si="247"/>
        <v>0</v>
      </c>
      <c r="AM38" s="88">
        <f t="shared" si="247"/>
        <v>0</v>
      </c>
      <c r="AN38" s="88">
        <f t="shared" si="247"/>
        <v>0</v>
      </c>
      <c r="AO38" s="88">
        <f t="shared" si="247"/>
        <v>0</v>
      </c>
      <c r="AP38" s="88">
        <f t="shared" si="247"/>
        <v>0</v>
      </c>
      <c r="AQ38" s="88">
        <f t="shared" si="247"/>
        <v>0</v>
      </c>
      <c r="AR38" s="88">
        <f t="shared" si="247"/>
        <v>0</v>
      </c>
      <c r="AS38" s="88">
        <f t="shared" si="247"/>
        <v>0</v>
      </c>
      <c r="AT38" s="88">
        <f t="shared" si="247"/>
        <v>0</v>
      </c>
      <c r="AU38" s="88">
        <f t="shared" si="247"/>
        <v>0</v>
      </c>
      <c r="AV38" s="88">
        <f t="shared" si="247"/>
        <v>0</v>
      </c>
      <c r="AW38" s="88">
        <f t="shared" si="247"/>
        <v>0</v>
      </c>
      <c r="AX38" s="88">
        <f t="shared" si="247"/>
        <v>0</v>
      </c>
      <c r="AY38" s="88">
        <f t="shared" si="247"/>
        <v>0</v>
      </c>
      <c r="AZ38" s="88">
        <f t="shared" si="247"/>
        <v>0</v>
      </c>
      <c r="BA38" s="88">
        <f t="shared" si="247"/>
        <v>0</v>
      </c>
      <c r="BB38" s="88">
        <f t="shared" si="247"/>
        <v>0</v>
      </c>
      <c r="BC38" s="88">
        <f t="shared" si="247"/>
        <v>0</v>
      </c>
      <c r="BD38" s="88">
        <f t="shared" si="247"/>
        <v>0</v>
      </c>
      <c r="BE38" s="88">
        <f t="shared" si="247"/>
        <v>0</v>
      </c>
      <c r="BF38" s="88">
        <f t="shared" si="247"/>
        <v>0</v>
      </c>
      <c r="BG38" s="88">
        <f t="shared" si="247"/>
        <v>0</v>
      </c>
      <c r="BH38" s="88">
        <f t="shared" si="247"/>
        <v>0</v>
      </c>
      <c r="BI38" s="88">
        <f t="shared" si="247"/>
        <v>0</v>
      </c>
      <c r="BJ38" s="88">
        <f t="shared" si="247"/>
        <v>0</v>
      </c>
      <c r="BK38" s="88">
        <f t="shared" si="247"/>
        <v>0</v>
      </c>
      <c r="BL38" s="88">
        <f t="shared" si="247"/>
        <v>0</v>
      </c>
      <c r="BM38" s="88">
        <f t="shared" si="247"/>
        <v>0</v>
      </c>
      <c r="BN38" s="88">
        <f t="shared" si="247"/>
        <v>0</v>
      </c>
      <c r="BO38" s="88">
        <f t="shared" si="247"/>
        <v>0</v>
      </c>
      <c r="BP38" s="88">
        <f t="shared" si="247"/>
        <v>0</v>
      </c>
      <c r="BQ38" s="88">
        <f t="shared" si="247"/>
        <v>0</v>
      </c>
      <c r="BR38" s="88">
        <f t="shared" si="247"/>
        <v>0</v>
      </c>
      <c r="BS38" s="88">
        <f t="shared" si="247"/>
        <v>0</v>
      </c>
      <c r="BT38" s="88">
        <f t="shared" si="247"/>
        <v>0</v>
      </c>
      <c r="BU38" s="88">
        <f t="shared" si="247"/>
        <v>0</v>
      </c>
      <c r="BV38" s="88">
        <f t="shared" si="247"/>
        <v>0</v>
      </c>
      <c r="BW38" s="88">
        <f t="shared" si="247"/>
        <v>0</v>
      </c>
      <c r="BX38" s="88">
        <f t="shared" si="247"/>
        <v>0</v>
      </c>
      <c r="BY38" s="88">
        <f t="shared" si="247"/>
        <v>0</v>
      </c>
      <c r="BZ38" s="88">
        <f t="shared" si="247"/>
        <v>0</v>
      </c>
      <c r="CA38" s="88">
        <f t="shared" si="247"/>
        <v>0</v>
      </c>
      <c r="CB38" s="88">
        <f t="shared" si="247"/>
        <v>0</v>
      </c>
      <c r="CC38" s="88">
        <f t="shared" si="247"/>
        <v>0</v>
      </c>
      <c r="CD38" s="88">
        <f t="shared" si="247"/>
        <v>0</v>
      </c>
      <c r="CE38" s="88">
        <f t="shared" si="247"/>
        <v>0</v>
      </c>
      <c r="CF38" s="88">
        <f t="shared" si="247"/>
        <v>0</v>
      </c>
      <c r="CG38" s="88">
        <f t="shared" si="247"/>
        <v>0</v>
      </c>
      <c r="CH38" s="88">
        <f t="shared" si="247"/>
        <v>0</v>
      </c>
      <c r="CI38" s="88">
        <f t="shared" si="247"/>
        <v>0</v>
      </c>
      <c r="CJ38" s="88">
        <f t="shared" si="247"/>
        <v>0</v>
      </c>
      <c r="CK38" s="88">
        <f t="shared" si="247"/>
        <v>0</v>
      </c>
      <c r="CL38" s="88">
        <f t="shared" si="247"/>
        <v>0</v>
      </c>
      <c r="CM38" s="88">
        <f t="shared" si="247"/>
        <v>0</v>
      </c>
      <c r="CN38" s="88">
        <f t="shared" si="247"/>
        <v>0</v>
      </c>
      <c r="CO38" s="88">
        <f t="shared" si="247"/>
        <v>0</v>
      </c>
      <c r="CP38" s="88">
        <f t="shared" si="247"/>
        <v>0</v>
      </c>
      <c r="CQ38" s="88">
        <f t="shared" si="247"/>
        <v>0</v>
      </c>
      <c r="CR38" s="88">
        <f t="shared" si="247"/>
        <v>0</v>
      </c>
      <c r="CS38" s="88">
        <f t="shared" si="247"/>
        <v>0</v>
      </c>
      <c r="CT38" s="88">
        <f t="shared" si="247"/>
        <v>0</v>
      </c>
      <c r="CU38" s="88">
        <f t="shared" si="247"/>
        <v>0</v>
      </c>
      <c r="CV38" s="88">
        <f t="shared" si="247"/>
        <v>0</v>
      </c>
      <c r="CW38" s="88">
        <f t="shared" si="247"/>
        <v>0</v>
      </c>
      <c r="CX38" s="88">
        <f t="shared" si="247"/>
        <v>0</v>
      </c>
      <c r="CY38" s="88">
        <f t="shared" si="247"/>
        <v>0</v>
      </c>
      <c r="CZ38" s="88">
        <f t="shared" si="247"/>
        <v>0</v>
      </c>
      <c r="DA38" s="88">
        <f t="shared" si="247"/>
        <v>0</v>
      </c>
      <c r="DB38" s="88">
        <f t="shared" si="247"/>
        <v>0</v>
      </c>
      <c r="DC38" s="88">
        <f t="shared" si="247"/>
        <v>0</v>
      </c>
      <c r="DD38" s="88">
        <f t="shared" si="247"/>
        <v>0</v>
      </c>
      <c r="DE38" s="88">
        <f t="shared" si="247"/>
        <v>0</v>
      </c>
      <c r="DF38" s="88">
        <f t="shared" si="247"/>
        <v>0</v>
      </c>
      <c r="DG38" s="88">
        <f t="shared" si="247"/>
        <v>0</v>
      </c>
      <c r="DH38" s="88">
        <f t="shared" si="247"/>
        <v>0</v>
      </c>
      <c r="DI38" s="88">
        <f t="shared" si="247"/>
        <v>0</v>
      </c>
      <c r="DJ38" s="88">
        <f t="shared" si="247"/>
        <v>0</v>
      </c>
      <c r="DK38" s="88">
        <f t="shared" si="247"/>
        <v>0</v>
      </c>
      <c r="DL38" s="88">
        <f t="shared" si="247"/>
        <v>0</v>
      </c>
      <c r="DM38" s="88">
        <f t="shared" si="247"/>
        <v>0</v>
      </c>
      <c r="DN38" s="88">
        <f t="shared" si="247"/>
        <v>0</v>
      </c>
      <c r="DO38" s="88">
        <f t="shared" si="247"/>
        <v>0</v>
      </c>
      <c r="DP38" s="88">
        <f t="shared" si="247"/>
        <v>0</v>
      </c>
      <c r="DQ38" s="88">
        <f t="shared" si="247"/>
        <v>0</v>
      </c>
      <c r="DR38" s="88">
        <f t="shared" si="247"/>
        <v>0</v>
      </c>
      <c r="DS38" s="88">
        <f t="shared" si="247"/>
        <v>0</v>
      </c>
      <c r="DT38" s="88">
        <f t="shared" si="247"/>
        <v>0</v>
      </c>
      <c r="DU38" s="88">
        <f t="shared" si="247"/>
        <v>0</v>
      </c>
      <c r="DV38" s="88">
        <f t="shared" ref="DV38:EY38" si="248">0</f>
        <v>0</v>
      </c>
      <c r="DW38" s="88">
        <f t="shared" si="248"/>
        <v>0</v>
      </c>
      <c r="DX38" s="88">
        <f t="shared" si="248"/>
        <v>0</v>
      </c>
      <c r="DY38" s="88">
        <f t="shared" si="248"/>
        <v>0</v>
      </c>
      <c r="DZ38" s="88">
        <f t="shared" si="248"/>
        <v>0</v>
      </c>
      <c r="EA38" s="88">
        <f t="shared" si="248"/>
        <v>0</v>
      </c>
      <c r="EB38" s="88">
        <f t="shared" si="248"/>
        <v>0</v>
      </c>
      <c r="EC38" s="88">
        <f t="shared" si="248"/>
        <v>0</v>
      </c>
      <c r="ED38" s="88">
        <f t="shared" si="248"/>
        <v>0</v>
      </c>
      <c r="EE38" s="88">
        <f t="shared" si="248"/>
        <v>0</v>
      </c>
      <c r="EF38" s="88">
        <f t="shared" si="248"/>
        <v>0</v>
      </c>
      <c r="EG38" s="88">
        <f t="shared" si="248"/>
        <v>0</v>
      </c>
      <c r="EH38" s="88">
        <f t="shared" si="248"/>
        <v>0</v>
      </c>
      <c r="EI38" s="88">
        <f t="shared" si="248"/>
        <v>0</v>
      </c>
      <c r="EJ38" s="88">
        <f t="shared" si="248"/>
        <v>0</v>
      </c>
      <c r="EK38" s="88">
        <f t="shared" si="248"/>
        <v>0</v>
      </c>
      <c r="EL38" s="88">
        <f t="shared" si="248"/>
        <v>0</v>
      </c>
      <c r="EM38" s="88">
        <f t="shared" si="248"/>
        <v>0</v>
      </c>
      <c r="EN38" s="88">
        <f t="shared" si="248"/>
        <v>0</v>
      </c>
      <c r="EO38" s="88">
        <f t="shared" si="248"/>
        <v>0</v>
      </c>
      <c r="EP38" s="88">
        <f t="shared" si="248"/>
        <v>0</v>
      </c>
      <c r="EQ38" s="88">
        <f t="shared" si="248"/>
        <v>0</v>
      </c>
      <c r="ER38" s="88">
        <f t="shared" si="248"/>
        <v>0</v>
      </c>
      <c r="ES38" s="88">
        <f t="shared" si="248"/>
        <v>0</v>
      </c>
      <c r="ET38" s="88">
        <f t="shared" si="248"/>
        <v>0</v>
      </c>
      <c r="EU38" s="88">
        <f t="shared" si="248"/>
        <v>0</v>
      </c>
      <c r="EV38" s="88">
        <f t="shared" si="248"/>
        <v>0</v>
      </c>
      <c r="EW38" s="88">
        <f t="shared" si="248"/>
        <v>0</v>
      </c>
      <c r="EX38" s="88">
        <f t="shared" si="248"/>
        <v>0</v>
      </c>
      <c r="EY38" s="88">
        <f t="shared" si="248"/>
        <v>0</v>
      </c>
    </row>
    <row r="39">
      <c r="A39" s="181" t="s">
        <v>215</v>
      </c>
      <c r="B39" s="10">
        <f t="shared" ref="B39:DU39" si="249">0</f>
        <v>0</v>
      </c>
      <c r="C39" s="10">
        <f t="shared" si="249"/>
        <v>0</v>
      </c>
      <c r="D39" s="10">
        <f t="shared" si="249"/>
        <v>0</v>
      </c>
      <c r="E39" s="88">
        <f t="shared" si="249"/>
        <v>0</v>
      </c>
      <c r="F39" s="123">
        <f t="shared" si="249"/>
        <v>0</v>
      </c>
      <c r="G39" s="205">
        <f t="shared" si="249"/>
        <v>0</v>
      </c>
      <c r="H39" s="88">
        <f t="shared" si="249"/>
        <v>0</v>
      </c>
      <c r="I39" s="88">
        <f t="shared" si="249"/>
        <v>0</v>
      </c>
      <c r="J39" s="88">
        <f t="shared" si="249"/>
        <v>0</v>
      </c>
      <c r="K39" s="88">
        <f t="shared" si="249"/>
        <v>0</v>
      </c>
      <c r="L39" s="88">
        <f t="shared" si="249"/>
        <v>0</v>
      </c>
      <c r="M39" s="88">
        <f t="shared" si="249"/>
        <v>0</v>
      </c>
      <c r="N39" s="88">
        <f t="shared" si="249"/>
        <v>0</v>
      </c>
      <c r="O39" s="88">
        <f t="shared" si="249"/>
        <v>0</v>
      </c>
      <c r="P39" s="88">
        <f t="shared" si="249"/>
        <v>0</v>
      </c>
      <c r="Q39" s="88">
        <f t="shared" si="249"/>
        <v>0</v>
      </c>
      <c r="R39" s="88">
        <f t="shared" si="249"/>
        <v>0</v>
      </c>
      <c r="S39" s="88">
        <f t="shared" si="249"/>
        <v>0</v>
      </c>
      <c r="T39" s="88">
        <f t="shared" si="249"/>
        <v>0</v>
      </c>
      <c r="U39" s="88">
        <f t="shared" si="249"/>
        <v>0</v>
      </c>
      <c r="V39" s="88">
        <f t="shared" si="249"/>
        <v>0</v>
      </c>
      <c r="W39" s="88">
        <f t="shared" si="249"/>
        <v>0</v>
      </c>
      <c r="X39" s="88">
        <f t="shared" si="249"/>
        <v>0</v>
      </c>
      <c r="Y39" s="88">
        <f t="shared" si="249"/>
        <v>0</v>
      </c>
      <c r="Z39" s="88">
        <f t="shared" si="249"/>
        <v>0</v>
      </c>
      <c r="AA39" s="88">
        <f t="shared" si="249"/>
        <v>0</v>
      </c>
      <c r="AB39" s="88">
        <f t="shared" si="249"/>
        <v>0</v>
      </c>
      <c r="AC39" s="88">
        <f t="shared" si="249"/>
        <v>0</v>
      </c>
      <c r="AD39" s="88">
        <f t="shared" si="249"/>
        <v>0</v>
      </c>
      <c r="AE39" s="88">
        <f t="shared" si="249"/>
        <v>0</v>
      </c>
      <c r="AF39" s="88">
        <f t="shared" si="249"/>
        <v>0</v>
      </c>
      <c r="AG39" s="88">
        <f t="shared" si="249"/>
        <v>0</v>
      </c>
      <c r="AH39" s="88">
        <f t="shared" si="249"/>
        <v>0</v>
      </c>
      <c r="AI39" s="88">
        <f t="shared" si="249"/>
        <v>0</v>
      </c>
      <c r="AJ39" s="88">
        <f t="shared" si="249"/>
        <v>0</v>
      </c>
      <c r="AK39" s="88">
        <f t="shared" si="249"/>
        <v>0</v>
      </c>
      <c r="AL39" s="88">
        <f t="shared" si="249"/>
        <v>0</v>
      </c>
      <c r="AM39" s="88">
        <f t="shared" si="249"/>
        <v>0</v>
      </c>
      <c r="AN39" s="88">
        <f t="shared" si="249"/>
        <v>0</v>
      </c>
      <c r="AO39" s="88">
        <f t="shared" si="249"/>
        <v>0</v>
      </c>
      <c r="AP39" s="88">
        <f t="shared" si="249"/>
        <v>0</v>
      </c>
      <c r="AQ39" s="88">
        <f t="shared" si="249"/>
        <v>0</v>
      </c>
      <c r="AR39" s="88">
        <f t="shared" si="249"/>
        <v>0</v>
      </c>
      <c r="AS39" s="88">
        <f t="shared" si="249"/>
        <v>0</v>
      </c>
      <c r="AT39" s="88">
        <f t="shared" si="249"/>
        <v>0</v>
      </c>
      <c r="AU39" s="88">
        <f t="shared" si="249"/>
        <v>0</v>
      </c>
      <c r="AV39" s="88">
        <f t="shared" si="249"/>
        <v>0</v>
      </c>
      <c r="AW39" s="88">
        <f t="shared" si="249"/>
        <v>0</v>
      </c>
      <c r="AX39" s="88">
        <f t="shared" si="249"/>
        <v>0</v>
      </c>
      <c r="AY39" s="88">
        <f t="shared" si="249"/>
        <v>0</v>
      </c>
      <c r="AZ39" s="88">
        <f t="shared" si="249"/>
        <v>0</v>
      </c>
      <c r="BA39" s="88">
        <f t="shared" si="249"/>
        <v>0</v>
      </c>
      <c r="BB39" s="88">
        <f t="shared" si="249"/>
        <v>0</v>
      </c>
      <c r="BC39" s="88">
        <f t="shared" si="249"/>
        <v>0</v>
      </c>
      <c r="BD39" s="88">
        <f t="shared" si="249"/>
        <v>0</v>
      </c>
      <c r="BE39" s="88">
        <f t="shared" si="249"/>
        <v>0</v>
      </c>
      <c r="BF39" s="88">
        <f t="shared" si="249"/>
        <v>0</v>
      </c>
      <c r="BG39" s="88">
        <f t="shared" si="249"/>
        <v>0</v>
      </c>
      <c r="BH39" s="88">
        <f t="shared" si="249"/>
        <v>0</v>
      </c>
      <c r="BI39" s="88">
        <f t="shared" si="249"/>
        <v>0</v>
      </c>
      <c r="BJ39" s="88">
        <f t="shared" si="249"/>
        <v>0</v>
      </c>
      <c r="BK39" s="88">
        <f t="shared" si="249"/>
        <v>0</v>
      </c>
      <c r="BL39" s="88">
        <f t="shared" si="249"/>
        <v>0</v>
      </c>
      <c r="BM39" s="88">
        <f t="shared" si="249"/>
        <v>0</v>
      </c>
      <c r="BN39" s="88">
        <f t="shared" si="249"/>
        <v>0</v>
      </c>
      <c r="BO39" s="88">
        <f t="shared" si="249"/>
        <v>0</v>
      </c>
      <c r="BP39" s="88">
        <f t="shared" si="249"/>
        <v>0</v>
      </c>
      <c r="BQ39" s="88">
        <f t="shared" si="249"/>
        <v>0</v>
      </c>
      <c r="BR39" s="88">
        <f t="shared" si="249"/>
        <v>0</v>
      </c>
      <c r="BS39" s="88">
        <f t="shared" si="249"/>
        <v>0</v>
      </c>
      <c r="BT39" s="88">
        <f t="shared" si="249"/>
        <v>0</v>
      </c>
      <c r="BU39" s="88">
        <f t="shared" si="249"/>
        <v>0</v>
      </c>
      <c r="BV39" s="88">
        <f t="shared" si="249"/>
        <v>0</v>
      </c>
      <c r="BW39" s="88">
        <f t="shared" si="249"/>
        <v>0</v>
      </c>
      <c r="BX39" s="88">
        <f t="shared" si="249"/>
        <v>0</v>
      </c>
      <c r="BY39" s="88">
        <f t="shared" si="249"/>
        <v>0</v>
      </c>
      <c r="BZ39" s="88">
        <f t="shared" si="249"/>
        <v>0</v>
      </c>
      <c r="CA39" s="88">
        <f t="shared" si="249"/>
        <v>0</v>
      </c>
      <c r="CB39" s="88">
        <f t="shared" si="249"/>
        <v>0</v>
      </c>
      <c r="CC39" s="88">
        <f t="shared" si="249"/>
        <v>0</v>
      </c>
      <c r="CD39" s="88">
        <f t="shared" si="249"/>
        <v>0</v>
      </c>
      <c r="CE39" s="88">
        <f t="shared" si="249"/>
        <v>0</v>
      </c>
      <c r="CF39" s="88">
        <f t="shared" si="249"/>
        <v>0</v>
      </c>
      <c r="CG39" s="88">
        <f t="shared" si="249"/>
        <v>0</v>
      </c>
      <c r="CH39" s="88">
        <f t="shared" si="249"/>
        <v>0</v>
      </c>
      <c r="CI39" s="88">
        <f t="shared" si="249"/>
        <v>0</v>
      </c>
      <c r="CJ39" s="88">
        <f t="shared" si="249"/>
        <v>0</v>
      </c>
      <c r="CK39" s="88">
        <f t="shared" si="249"/>
        <v>0</v>
      </c>
      <c r="CL39" s="88">
        <f t="shared" si="249"/>
        <v>0</v>
      </c>
      <c r="CM39" s="88">
        <f t="shared" si="249"/>
        <v>0</v>
      </c>
      <c r="CN39" s="88">
        <f t="shared" si="249"/>
        <v>0</v>
      </c>
      <c r="CO39" s="88">
        <f t="shared" si="249"/>
        <v>0</v>
      </c>
      <c r="CP39" s="88">
        <f t="shared" si="249"/>
        <v>0</v>
      </c>
      <c r="CQ39" s="88">
        <f t="shared" si="249"/>
        <v>0</v>
      </c>
      <c r="CR39" s="88">
        <f t="shared" si="249"/>
        <v>0</v>
      </c>
      <c r="CS39" s="88">
        <f t="shared" si="249"/>
        <v>0</v>
      </c>
      <c r="CT39" s="88">
        <f t="shared" si="249"/>
        <v>0</v>
      </c>
      <c r="CU39" s="88">
        <f t="shared" si="249"/>
        <v>0</v>
      </c>
      <c r="CV39" s="88">
        <f t="shared" si="249"/>
        <v>0</v>
      </c>
      <c r="CW39" s="88">
        <f t="shared" si="249"/>
        <v>0</v>
      </c>
      <c r="CX39" s="88">
        <f t="shared" si="249"/>
        <v>0</v>
      </c>
      <c r="CY39" s="88">
        <f t="shared" si="249"/>
        <v>0</v>
      </c>
      <c r="CZ39" s="88">
        <f t="shared" si="249"/>
        <v>0</v>
      </c>
      <c r="DA39" s="88">
        <f t="shared" si="249"/>
        <v>0</v>
      </c>
      <c r="DB39" s="88">
        <f t="shared" si="249"/>
        <v>0</v>
      </c>
      <c r="DC39" s="88">
        <f t="shared" si="249"/>
        <v>0</v>
      </c>
      <c r="DD39" s="88">
        <f t="shared" si="249"/>
        <v>0</v>
      </c>
      <c r="DE39" s="88">
        <f t="shared" si="249"/>
        <v>0</v>
      </c>
      <c r="DF39" s="88">
        <f t="shared" si="249"/>
        <v>0</v>
      </c>
      <c r="DG39" s="88">
        <f t="shared" si="249"/>
        <v>0</v>
      </c>
      <c r="DH39" s="88">
        <f t="shared" si="249"/>
        <v>0</v>
      </c>
      <c r="DI39" s="88">
        <f t="shared" si="249"/>
        <v>0</v>
      </c>
      <c r="DJ39" s="88">
        <f t="shared" si="249"/>
        <v>0</v>
      </c>
      <c r="DK39" s="88">
        <f t="shared" si="249"/>
        <v>0</v>
      </c>
      <c r="DL39" s="88">
        <f t="shared" si="249"/>
        <v>0</v>
      </c>
      <c r="DM39" s="88">
        <f t="shared" si="249"/>
        <v>0</v>
      </c>
      <c r="DN39" s="88">
        <f t="shared" si="249"/>
        <v>0</v>
      </c>
      <c r="DO39" s="88">
        <f t="shared" si="249"/>
        <v>0</v>
      </c>
      <c r="DP39" s="88">
        <f t="shared" si="249"/>
        <v>0</v>
      </c>
      <c r="DQ39" s="88">
        <f t="shared" si="249"/>
        <v>0</v>
      </c>
      <c r="DR39" s="88">
        <f t="shared" si="249"/>
        <v>0</v>
      </c>
      <c r="DS39" s="88">
        <f t="shared" si="249"/>
        <v>0</v>
      </c>
      <c r="DT39" s="88">
        <f t="shared" si="249"/>
        <v>0</v>
      </c>
      <c r="DU39" s="88">
        <f t="shared" si="249"/>
        <v>0</v>
      </c>
      <c r="DV39" s="88">
        <f t="shared" ref="DV39:EY39" si="250">0</f>
        <v>0</v>
      </c>
      <c r="DW39" s="88">
        <f t="shared" si="250"/>
        <v>0</v>
      </c>
      <c r="DX39" s="88">
        <f t="shared" si="250"/>
        <v>0</v>
      </c>
      <c r="DY39" s="88">
        <f t="shared" si="250"/>
        <v>0</v>
      </c>
      <c r="DZ39" s="88">
        <f t="shared" si="250"/>
        <v>0</v>
      </c>
      <c r="EA39" s="88">
        <f t="shared" si="250"/>
        <v>0</v>
      </c>
      <c r="EB39" s="88">
        <f t="shared" si="250"/>
        <v>0</v>
      </c>
      <c r="EC39" s="88">
        <f t="shared" si="250"/>
        <v>0</v>
      </c>
      <c r="ED39" s="88">
        <f t="shared" si="250"/>
        <v>0</v>
      </c>
      <c r="EE39" s="88">
        <f t="shared" si="250"/>
        <v>0</v>
      </c>
      <c r="EF39" s="88">
        <f t="shared" si="250"/>
        <v>0</v>
      </c>
      <c r="EG39" s="88">
        <f t="shared" si="250"/>
        <v>0</v>
      </c>
      <c r="EH39" s="88">
        <f t="shared" si="250"/>
        <v>0</v>
      </c>
      <c r="EI39" s="88">
        <f t="shared" si="250"/>
        <v>0</v>
      </c>
      <c r="EJ39" s="88">
        <f t="shared" si="250"/>
        <v>0</v>
      </c>
      <c r="EK39" s="88">
        <f t="shared" si="250"/>
        <v>0</v>
      </c>
      <c r="EL39" s="88">
        <f t="shared" si="250"/>
        <v>0</v>
      </c>
      <c r="EM39" s="88">
        <f t="shared" si="250"/>
        <v>0</v>
      </c>
      <c r="EN39" s="88">
        <f t="shared" si="250"/>
        <v>0</v>
      </c>
      <c r="EO39" s="88">
        <f t="shared" si="250"/>
        <v>0</v>
      </c>
      <c r="EP39" s="88">
        <f t="shared" si="250"/>
        <v>0</v>
      </c>
      <c r="EQ39" s="88">
        <f t="shared" si="250"/>
        <v>0</v>
      </c>
      <c r="ER39" s="88">
        <f t="shared" si="250"/>
        <v>0</v>
      </c>
      <c r="ES39" s="88">
        <f t="shared" si="250"/>
        <v>0</v>
      </c>
      <c r="ET39" s="88">
        <f t="shared" si="250"/>
        <v>0</v>
      </c>
      <c r="EU39" s="88">
        <f t="shared" si="250"/>
        <v>0</v>
      </c>
      <c r="EV39" s="88">
        <f t="shared" si="250"/>
        <v>0</v>
      </c>
      <c r="EW39" s="88">
        <f t="shared" si="250"/>
        <v>0</v>
      </c>
      <c r="EX39" s="88">
        <f t="shared" si="250"/>
        <v>0</v>
      </c>
      <c r="EY39" s="88">
        <f t="shared" si="250"/>
        <v>0</v>
      </c>
    </row>
    <row r="40">
      <c r="A40" s="181" t="s">
        <v>216</v>
      </c>
      <c r="B40" s="10">
        <f t="shared" ref="B40:DU40" si="251">0</f>
        <v>0</v>
      </c>
      <c r="C40" s="10">
        <f t="shared" si="251"/>
        <v>0</v>
      </c>
      <c r="D40" s="10">
        <f t="shared" si="251"/>
        <v>0</v>
      </c>
      <c r="E40" s="88">
        <f t="shared" si="251"/>
        <v>0</v>
      </c>
      <c r="F40" s="123">
        <f t="shared" si="251"/>
        <v>0</v>
      </c>
      <c r="G40" s="205">
        <f t="shared" si="251"/>
        <v>0</v>
      </c>
      <c r="H40" s="88">
        <f t="shared" si="251"/>
        <v>0</v>
      </c>
      <c r="I40" s="88">
        <f t="shared" si="251"/>
        <v>0</v>
      </c>
      <c r="J40" s="88">
        <f t="shared" si="251"/>
        <v>0</v>
      </c>
      <c r="K40" s="88">
        <f t="shared" si="251"/>
        <v>0</v>
      </c>
      <c r="L40" s="88">
        <f t="shared" si="251"/>
        <v>0</v>
      </c>
      <c r="M40" s="88">
        <f t="shared" si="251"/>
        <v>0</v>
      </c>
      <c r="N40" s="88">
        <f t="shared" si="251"/>
        <v>0</v>
      </c>
      <c r="O40" s="88">
        <f t="shared" si="251"/>
        <v>0</v>
      </c>
      <c r="P40" s="88">
        <f t="shared" si="251"/>
        <v>0</v>
      </c>
      <c r="Q40" s="88">
        <f t="shared" si="251"/>
        <v>0</v>
      </c>
      <c r="R40" s="88">
        <f t="shared" si="251"/>
        <v>0</v>
      </c>
      <c r="S40" s="88">
        <f t="shared" si="251"/>
        <v>0</v>
      </c>
      <c r="T40" s="88">
        <f t="shared" si="251"/>
        <v>0</v>
      </c>
      <c r="U40" s="88">
        <f t="shared" si="251"/>
        <v>0</v>
      </c>
      <c r="V40" s="88">
        <f t="shared" si="251"/>
        <v>0</v>
      </c>
      <c r="W40" s="88">
        <f t="shared" si="251"/>
        <v>0</v>
      </c>
      <c r="X40" s="88">
        <f t="shared" si="251"/>
        <v>0</v>
      </c>
      <c r="Y40" s="88">
        <f t="shared" si="251"/>
        <v>0</v>
      </c>
      <c r="Z40" s="88">
        <f t="shared" si="251"/>
        <v>0</v>
      </c>
      <c r="AA40" s="88">
        <f t="shared" si="251"/>
        <v>0</v>
      </c>
      <c r="AB40" s="88">
        <f t="shared" si="251"/>
        <v>0</v>
      </c>
      <c r="AC40" s="88">
        <f t="shared" si="251"/>
        <v>0</v>
      </c>
      <c r="AD40" s="88">
        <f t="shared" si="251"/>
        <v>0</v>
      </c>
      <c r="AE40" s="88">
        <f t="shared" si="251"/>
        <v>0</v>
      </c>
      <c r="AF40" s="88">
        <f t="shared" si="251"/>
        <v>0</v>
      </c>
      <c r="AG40" s="88">
        <f t="shared" si="251"/>
        <v>0</v>
      </c>
      <c r="AH40" s="88">
        <f t="shared" si="251"/>
        <v>0</v>
      </c>
      <c r="AI40" s="88">
        <f t="shared" si="251"/>
        <v>0</v>
      </c>
      <c r="AJ40" s="88">
        <f t="shared" si="251"/>
        <v>0</v>
      </c>
      <c r="AK40" s="88">
        <f t="shared" si="251"/>
        <v>0</v>
      </c>
      <c r="AL40" s="88">
        <f t="shared" si="251"/>
        <v>0</v>
      </c>
      <c r="AM40" s="88">
        <f t="shared" si="251"/>
        <v>0</v>
      </c>
      <c r="AN40" s="88">
        <f t="shared" si="251"/>
        <v>0</v>
      </c>
      <c r="AO40" s="88">
        <f t="shared" si="251"/>
        <v>0</v>
      </c>
      <c r="AP40" s="88">
        <f t="shared" si="251"/>
        <v>0</v>
      </c>
      <c r="AQ40" s="88">
        <f t="shared" si="251"/>
        <v>0</v>
      </c>
      <c r="AR40" s="88">
        <f t="shared" si="251"/>
        <v>0</v>
      </c>
      <c r="AS40" s="88">
        <f t="shared" si="251"/>
        <v>0</v>
      </c>
      <c r="AT40" s="88">
        <f t="shared" si="251"/>
        <v>0</v>
      </c>
      <c r="AU40" s="88">
        <f t="shared" si="251"/>
        <v>0</v>
      </c>
      <c r="AV40" s="88">
        <f t="shared" si="251"/>
        <v>0</v>
      </c>
      <c r="AW40" s="88">
        <f t="shared" si="251"/>
        <v>0</v>
      </c>
      <c r="AX40" s="88">
        <f t="shared" si="251"/>
        <v>0</v>
      </c>
      <c r="AY40" s="88">
        <f t="shared" si="251"/>
        <v>0</v>
      </c>
      <c r="AZ40" s="88">
        <f t="shared" si="251"/>
        <v>0</v>
      </c>
      <c r="BA40" s="88">
        <f t="shared" si="251"/>
        <v>0</v>
      </c>
      <c r="BB40" s="88">
        <f t="shared" si="251"/>
        <v>0</v>
      </c>
      <c r="BC40" s="88">
        <f t="shared" si="251"/>
        <v>0</v>
      </c>
      <c r="BD40" s="88">
        <f t="shared" si="251"/>
        <v>0</v>
      </c>
      <c r="BE40" s="88">
        <f t="shared" si="251"/>
        <v>0</v>
      </c>
      <c r="BF40" s="88">
        <f t="shared" si="251"/>
        <v>0</v>
      </c>
      <c r="BG40" s="88">
        <f t="shared" si="251"/>
        <v>0</v>
      </c>
      <c r="BH40" s="88">
        <f t="shared" si="251"/>
        <v>0</v>
      </c>
      <c r="BI40" s="88">
        <f t="shared" si="251"/>
        <v>0</v>
      </c>
      <c r="BJ40" s="88">
        <f t="shared" si="251"/>
        <v>0</v>
      </c>
      <c r="BK40" s="88">
        <f t="shared" si="251"/>
        <v>0</v>
      </c>
      <c r="BL40" s="88">
        <f t="shared" si="251"/>
        <v>0</v>
      </c>
      <c r="BM40" s="88">
        <f t="shared" si="251"/>
        <v>0</v>
      </c>
      <c r="BN40" s="88">
        <f t="shared" si="251"/>
        <v>0</v>
      </c>
      <c r="BO40" s="88">
        <f t="shared" si="251"/>
        <v>0</v>
      </c>
      <c r="BP40" s="88">
        <f t="shared" si="251"/>
        <v>0</v>
      </c>
      <c r="BQ40" s="88">
        <f t="shared" si="251"/>
        <v>0</v>
      </c>
      <c r="BR40" s="88">
        <f t="shared" si="251"/>
        <v>0</v>
      </c>
      <c r="BS40" s="88">
        <f t="shared" si="251"/>
        <v>0</v>
      </c>
      <c r="BT40" s="88">
        <f t="shared" si="251"/>
        <v>0</v>
      </c>
      <c r="BU40" s="88">
        <f t="shared" si="251"/>
        <v>0</v>
      </c>
      <c r="BV40" s="88">
        <f t="shared" si="251"/>
        <v>0</v>
      </c>
      <c r="BW40" s="88">
        <f t="shared" si="251"/>
        <v>0</v>
      </c>
      <c r="BX40" s="88">
        <f t="shared" si="251"/>
        <v>0</v>
      </c>
      <c r="BY40" s="88">
        <f t="shared" si="251"/>
        <v>0</v>
      </c>
      <c r="BZ40" s="88">
        <f t="shared" si="251"/>
        <v>0</v>
      </c>
      <c r="CA40" s="88">
        <f t="shared" si="251"/>
        <v>0</v>
      </c>
      <c r="CB40" s="88">
        <f t="shared" si="251"/>
        <v>0</v>
      </c>
      <c r="CC40" s="88">
        <f t="shared" si="251"/>
        <v>0</v>
      </c>
      <c r="CD40" s="88">
        <f t="shared" si="251"/>
        <v>0</v>
      </c>
      <c r="CE40" s="88">
        <f t="shared" si="251"/>
        <v>0</v>
      </c>
      <c r="CF40" s="88">
        <f t="shared" si="251"/>
        <v>0</v>
      </c>
      <c r="CG40" s="88">
        <f t="shared" si="251"/>
        <v>0</v>
      </c>
      <c r="CH40" s="88">
        <f t="shared" si="251"/>
        <v>0</v>
      </c>
      <c r="CI40" s="88">
        <f t="shared" si="251"/>
        <v>0</v>
      </c>
      <c r="CJ40" s="88">
        <f t="shared" si="251"/>
        <v>0</v>
      </c>
      <c r="CK40" s="88">
        <f t="shared" si="251"/>
        <v>0</v>
      </c>
      <c r="CL40" s="88">
        <f t="shared" si="251"/>
        <v>0</v>
      </c>
      <c r="CM40" s="88">
        <f t="shared" si="251"/>
        <v>0</v>
      </c>
      <c r="CN40" s="88">
        <f t="shared" si="251"/>
        <v>0</v>
      </c>
      <c r="CO40" s="88">
        <f t="shared" si="251"/>
        <v>0</v>
      </c>
      <c r="CP40" s="88">
        <f t="shared" si="251"/>
        <v>0</v>
      </c>
      <c r="CQ40" s="88">
        <f t="shared" si="251"/>
        <v>0</v>
      </c>
      <c r="CR40" s="88">
        <f t="shared" si="251"/>
        <v>0</v>
      </c>
      <c r="CS40" s="88">
        <f t="shared" si="251"/>
        <v>0</v>
      </c>
      <c r="CT40" s="88">
        <f t="shared" si="251"/>
        <v>0</v>
      </c>
      <c r="CU40" s="88">
        <f t="shared" si="251"/>
        <v>0</v>
      </c>
      <c r="CV40" s="88">
        <f t="shared" si="251"/>
        <v>0</v>
      </c>
      <c r="CW40" s="88">
        <f t="shared" si="251"/>
        <v>0</v>
      </c>
      <c r="CX40" s="88">
        <f t="shared" si="251"/>
        <v>0</v>
      </c>
      <c r="CY40" s="88">
        <f t="shared" si="251"/>
        <v>0</v>
      </c>
      <c r="CZ40" s="88">
        <f t="shared" si="251"/>
        <v>0</v>
      </c>
      <c r="DA40" s="88">
        <f t="shared" si="251"/>
        <v>0</v>
      </c>
      <c r="DB40" s="88">
        <f t="shared" si="251"/>
        <v>0</v>
      </c>
      <c r="DC40" s="88">
        <f t="shared" si="251"/>
        <v>0</v>
      </c>
      <c r="DD40" s="88">
        <f t="shared" si="251"/>
        <v>0</v>
      </c>
      <c r="DE40" s="88">
        <f t="shared" si="251"/>
        <v>0</v>
      </c>
      <c r="DF40" s="88">
        <f t="shared" si="251"/>
        <v>0</v>
      </c>
      <c r="DG40" s="88">
        <f t="shared" si="251"/>
        <v>0</v>
      </c>
      <c r="DH40" s="88">
        <f t="shared" si="251"/>
        <v>0</v>
      </c>
      <c r="DI40" s="88">
        <f t="shared" si="251"/>
        <v>0</v>
      </c>
      <c r="DJ40" s="88">
        <f t="shared" si="251"/>
        <v>0</v>
      </c>
      <c r="DK40" s="88">
        <f t="shared" si="251"/>
        <v>0</v>
      </c>
      <c r="DL40" s="88">
        <f t="shared" si="251"/>
        <v>0</v>
      </c>
      <c r="DM40" s="88">
        <f t="shared" si="251"/>
        <v>0</v>
      </c>
      <c r="DN40" s="88">
        <f t="shared" si="251"/>
        <v>0</v>
      </c>
      <c r="DO40" s="88">
        <f t="shared" si="251"/>
        <v>0</v>
      </c>
      <c r="DP40" s="88">
        <f t="shared" si="251"/>
        <v>0</v>
      </c>
      <c r="DQ40" s="88">
        <f t="shared" si="251"/>
        <v>0</v>
      </c>
      <c r="DR40" s="88">
        <f t="shared" si="251"/>
        <v>0</v>
      </c>
      <c r="DS40" s="88">
        <f t="shared" si="251"/>
        <v>0</v>
      </c>
      <c r="DT40" s="88">
        <f t="shared" si="251"/>
        <v>0</v>
      </c>
      <c r="DU40" s="88">
        <f t="shared" si="251"/>
        <v>0</v>
      </c>
      <c r="DV40" s="88">
        <f t="shared" ref="DV40:EY40" si="252">0</f>
        <v>0</v>
      </c>
      <c r="DW40" s="88">
        <f t="shared" si="252"/>
        <v>0</v>
      </c>
      <c r="DX40" s="88">
        <f t="shared" si="252"/>
        <v>0</v>
      </c>
      <c r="DY40" s="88">
        <f t="shared" si="252"/>
        <v>0</v>
      </c>
      <c r="DZ40" s="88">
        <f t="shared" si="252"/>
        <v>0</v>
      </c>
      <c r="EA40" s="88">
        <f t="shared" si="252"/>
        <v>0</v>
      </c>
      <c r="EB40" s="88">
        <f t="shared" si="252"/>
        <v>0</v>
      </c>
      <c r="EC40" s="88">
        <f t="shared" si="252"/>
        <v>0</v>
      </c>
      <c r="ED40" s="88">
        <f t="shared" si="252"/>
        <v>0</v>
      </c>
      <c r="EE40" s="88">
        <f t="shared" si="252"/>
        <v>0</v>
      </c>
      <c r="EF40" s="88">
        <f t="shared" si="252"/>
        <v>0</v>
      </c>
      <c r="EG40" s="88">
        <f t="shared" si="252"/>
        <v>0</v>
      </c>
      <c r="EH40" s="88">
        <f t="shared" si="252"/>
        <v>0</v>
      </c>
      <c r="EI40" s="88">
        <f t="shared" si="252"/>
        <v>0</v>
      </c>
      <c r="EJ40" s="88">
        <f t="shared" si="252"/>
        <v>0</v>
      </c>
      <c r="EK40" s="88">
        <f t="shared" si="252"/>
        <v>0</v>
      </c>
      <c r="EL40" s="88">
        <f t="shared" si="252"/>
        <v>0</v>
      </c>
      <c r="EM40" s="88">
        <f t="shared" si="252"/>
        <v>0</v>
      </c>
      <c r="EN40" s="88">
        <f t="shared" si="252"/>
        <v>0</v>
      </c>
      <c r="EO40" s="88">
        <f t="shared" si="252"/>
        <v>0</v>
      </c>
      <c r="EP40" s="88">
        <f t="shared" si="252"/>
        <v>0</v>
      </c>
      <c r="EQ40" s="88">
        <f t="shared" si="252"/>
        <v>0</v>
      </c>
      <c r="ER40" s="88">
        <f t="shared" si="252"/>
        <v>0</v>
      </c>
      <c r="ES40" s="88">
        <f t="shared" si="252"/>
        <v>0</v>
      </c>
      <c r="ET40" s="88">
        <f t="shared" si="252"/>
        <v>0</v>
      </c>
      <c r="EU40" s="88">
        <f t="shared" si="252"/>
        <v>0</v>
      </c>
      <c r="EV40" s="88">
        <f t="shared" si="252"/>
        <v>0</v>
      </c>
      <c r="EW40" s="88">
        <f t="shared" si="252"/>
        <v>0</v>
      </c>
      <c r="EX40" s="88">
        <f t="shared" si="252"/>
        <v>0</v>
      </c>
      <c r="EY40" s="88">
        <f t="shared" si="252"/>
        <v>0</v>
      </c>
    </row>
    <row r="41">
      <c r="A41" s="181" t="s">
        <v>217</v>
      </c>
      <c r="B41" s="10">
        <f t="shared" ref="B41:DU41" si="253">0</f>
        <v>0</v>
      </c>
      <c r="C41" s="10">
        <f t="shared" si="253"/>
        <v>0</v>
      </c>
      <c r="D41" s="10">
        <f t="shared" si="253"/>
        <v>0</v>
      </c>
      <c r="E41" s="88">
        <f t="shared" si="253"/>
        <v>0</v>
      </c>
      <c r="F41" s="123">
        <f t="shared" si="253"/>
        <v>0</v>
      </c>
      <c r="G41" s="205">
        <f t="shared" si="253"/>
        <v>0</v>
      </c>
      <c r="H41" s="88">
        <f t="shared" si="253"/>
        <v>0</v>
      </c>
      <c r="I41" s="88">
        <f t="shared" si="253"/>
        <v>0</v>
      </c>
      <c r="J41" s="88">
        <f t="shared" si="253"/>
        <v>0</v>
      </c>
      <c r="K41" s="88">
        <f t="shared" si="253"/>
        <v>0</v>
      </c>
      <c r="L41" s="88">
        <f t="shared" si="253"/>
        <v>0</v>
      </c>
      <c r="M41" s="88">
        <f t="shared" si="253"/>
        <v>0</v>
      </c>
      <c r="N41" s="88">
        <f t="shared" si="253"/>
        <v>0</v>
      </c>
      <c r="O41" s="88">
        <f t="shared" si="253"/>
        <v>0</v>
      </c>
      <c r="P41" s="88">
        <f t="shared" si="253"/>
        <v>0</v>
      </c>
      <c r="Q41" s="88">
        <f t="shared" si="253"/>
        <v>0</v>
      </c>
      <c r="R41" s="88">
        <f t="shared" si="253"/>
        <v>0</v>
      </c>
      <c r="S41" s="88">
        <f t="shared" si="253"/>
        <v>0</v>
      </c>
      <c r="T41" s="88">
        <f t="shared" si="253"/>
        <v>0</v>
      </c>
      <c r="U41" s="88">
        <f t="shared" si="253"/>
        <v>0</v>
      </c>
      <c r="V41" s="88">
        <f t="shared" si="253"/>
        <v>0</v>
      </c>
      <c r="W41" s="88">
        <f t="shared" si="253"/>
        <v>0</v>
      </c>
      <c r="X41" s="88">
        <f t="shared" si="253"/>
        <v>0</v>
      </c>
      <c r="Y41" s="88">
        <f t="shared" si="253"/>
        <v>0</v>
      </c>
      <c r="Z41" s="88">
        <f t="shared" si="253"/>
        <v>0</v>
      </c>
      <c r="AA41" s="88">
        <f t="shared" si="253"/>
        <v>0</v>
      </c>
      <c r="AB41" s="88">
        <f t="shared" si="253"/>
        <v>0</v>
      </c>
      <c r="AC41" s="88">
        <f t="shared" si="253"/>
        <v>0</v>
      </c>
      <c r="AD41" s="88">
        <f t="shared" si="253"/>
        <v>0</v>
      </c>
      <c r="AE41" s="88">
        <f t="shared" si="253"/>
        <v>0</v>
      </c>
      <c r="AF41" s="88">
        <f t="shared" si="253"/>
        <v>0</v>
      </c>
      <c r="AG41" s="88">
        <f t="shared" si="253"/>
        <v>0</v>
      </c>
      <c r="AH41" s="88">
        <f t="shared" si="253"/>
        <v>0</v>
      </c>
      <c r="AI41" s="88">
        <f t="shared" si="253"/>
        <v>0</v>
      </c>
      <c r="AJ41" s="88">
        <f t="shared" si="253"/>
        <v>0</v>
      </c>
      <c r="AK41" s="88">
        <f t="shared" si="253"/>
        <v>0</v>
      </c>
      <c r="AL41" s="88">
        <f t="shared" si="253"/>
        <v>0</v>
      </c>
      <c r="AM41" s="88">
        <f t="shared" si="253"/>
        <v>0</v>
      </c>
      <c r="AN41" s="88">
        <f t="shared" si="253"/>
        <v>0</v>
      </c>
      <c r="AO41" s="88">
        <f t="shared" si="253"/>
        <v>0</v>
      </c>
      <c r="AP41" s="88">
        <f t="shared" si="253"/>
        <v>0</v>
      </c>
      <c r="AQ41" s="88">
        <f t="shared" si="253"/>
        <v>0</v>
      </c>
      <c r="AR41" s="88">
        <f t="shared" si="253"/>
        <v>0</v>
      </c>
      <c r="AS41" s="88">
        <f t="shared" si="253"/>
        <v>0</v>
      </c>
      <c r="AT41" s="88">
        <f t="shared" si="253"/>
        <v>0</v>
      </c>
      <c r="AU41" s="88">
        <f t="shared" si="253"/>
        <v>0</v>
      </c>
      <c r="AV41" s="88">
        <f t="shared" si="253"/>
        <v>0</v>
      </c>
      <c r="AW41" s="88">
        <f t="shared" si="253"/>
        <v>0</v>
      </c>
      <c r="AX41" s="88">
        <f t="shared" si="253"/>
        <v>0</v>
      </c>
      <c r="AY41" s="88">
        <f t="shared" si="253"/>
        <v>0</v>
      </c>
      <c r="AZ41" s="88">
        <f t="shared" si="253"/>
        <v>0</v>
      </c>
      <c r="BA41" s="88">
        <f t="shared" si="253"/>
        <v>0</v>
      </c>
      <c r="BB41" s="88">
        <f t="shared" si="253"/>
        <v>0</v>
      </c>
      <c r="BC41" s="88">
        <f t="shared" si="253"/>
        <v>0</v>
      </c>
      <c r="BD41" s="88">
        <f t="shared" si="253"/>
        <v>0</v>
      </c>
      <c r="BE41" s="88">
        <f t="shared" si="253"/>
        <v>0</v>
      </c>
      <c r="BF41" s="88">
        <f t="shared" si="253"/>
        <v>0</v>
      </c>
      <c r="BG41" s="88">
        <f t="shared" si="253"/>
        <v>0</v>
      </c>
      <c r="BH41" s="88">
        <f t="shared" si="253"/>
        <v>0</v>
      </c>
      <c r="BI41" s="88">
        <f t="shared" si="253"/>
        <v>0</v>
      </c>
      <c r="BJ41" s="88">
        <f t="shared" si="253"/>
        <v>0</v>
      </c>
      <c r="BK41" s="88">
        <f t="shared" si="253"/>
        <v>0</v>
      </c>
      <c r="BL41" s="88">
        <f t="shared" si="253"/>
        <v>0</v>
      </c>
      <c r="BM41" s="88">
        <f t="shared" si="253"/>
        <v>0</v>
      </c>
      <c r="BN41" s="88">
        <f t="shared" si="253"/>
        <v>0</v>
      </c>
      <c r="BO41" s="88">
        <f t="shared" si="253"/>
        <v>0</v>
      </c>
      <c r="BP41" s="88">
        <f t="shared" si="253"/>
        <v>0</v>
      </c>
      <c r="BQ41" s="88">
        <f t="shared" si="253"/>
        <v>0</v>
      </c>
      <c r="BR41" s="88">
        <f t="shared" si="253"/>
        <v>0</v>
      </c>
      <c r="BS41" s="88">
        <f t="shared" si="253"/>
        <v>0</v>
      </c>
      <c r="BT41" s="88">
        <f t="shared" si="253"/>
        <v>0</v>
      </c>
      <c r="BU41" s="88">
        <f t="shared" si="253"/>
        <v>0</v>
      </c>
      <c r="BV41" s="88">
        <f t="shared" si="253"/>
        <v>0</v>
      </c>
      <c r="BW41" s="88">
        <f t="shared" si="253"/>
        <v>0</v>
      </c>
      <c r="BX41" s="88">
        <f t="shared" si="253"/>
        <v>0</v>
      </c>
      <c r="BY41" s="88">
        <f t="shared" si="253"/>
        <v>0</v>
      </c>
      <c r="BZ41" s="88">
        <f t="shared" si="253"/>
        <v>0</v>
      </c>
      <c r="CA41" s="88">
        <f t="shared" si="253"/>
        <v>0</v>
      </c>
      <c r="CB41" s="88">
        <f t="shared" si="253"/>
        <v>0</v>
      </c>
      <c r="CC41" s="88">
        <f t="shared" si="253"/>
        <v>0</v>
      </c>
      <c r="CD41" s="88">
        <f t="shared" si="253"/>
        <v>0</v>
      </c>
      <c r="CE41" s="88">
        <f t="shared" si="253"/>
        <v>0</v>
      </c>
      <c r="CF41" s="88">
        <f t="shared" si="253"/>
        <v>0</v>
      </c>
      <c r="CG41" s="88">
        <f t="shared" si="253"/>
        <v>0</v>
      </c>
      <c r="CH41" s="88">
        <f t="shared" si="253"/>
        <v>0</v>
      </c>
      <c r="CI41" s="88">
        <f t="shared" si="253"/>
        <v>0</v>
      </c>
      <c r="CJ41" s="88">
        <f t="shared" si="253"/>
        <v>0</v>
      </c>
      <c r="CK41" s="88">
        <f t="shared" si="253"/>
        <v>0</v>
      </c>
      <c r="CL41" s="88">
        <f t="shared" si="253"/>
        <v>0</v>
      </c>
      <c r="CM41" s="88">
        <f t="shared" si="253"/>
        <v>0</v>
      </c>
      <c r="CN41" s="88">
        <f t="shared" si="253"/>
        <v>0</v>
      </c>
      <c r="CO41" s="88">
        <f t="shared" si="253"/>
        <v>0</v>
      </c>
      <c r="CP41" s="88">
        <f t="shared" si="253"/>
        <v>0</v>
      </c>
      <c r="CQ41" s="88">
        <f t="shared" si="253"/>
        <v>0</v>
      </c>
      <c r="CR41" s="88">
        <f t="shared" si="253"/>
        <v>0</v>
      </c>
      <c r="CS41" s="88">
        <f t="shared" si="253"/>
        <v>0</v>
      </c>
      <c r="CT41" s="88">
        <f t="shared" si="253"/>
        <v>0</v>
      </c>
      <c r="CU41" s="88">
        <f t="shared" si="253"/>
        <v>0</v>
      </c>
      <c r="CV41" s="88">
        <f t="shared" si="253"/>
        <v>0</v>
      </c>
      <c r="CW41" s="88">
        <f t="shared" si="253"/>
        <v>0</v>
      </c>
      <c r="CX41" s="88">
        <f t="shared" si="253"/>
        <v>0</v>
      </c>
      <c r="CY41" s="88">
        <f t="shared" si="253"/>
        <v>0</v>
      </c>
      <c r="CZ41" s="88">
        <f t="shared" si="253"/>
        <v>0</v>
      </c>
      <c r="DA41" s="88">
        <f t="shared" si="253"/>
        <v>0</v>
      </c>
      <c r="DB41" s="88">
        <f t="shared" si="253"/>
        <v>0</v>
      </c>
      <c r="DC41" s="88">
        <f t="shared" si="253"/>
        <v>0</v>
      </c>
      <c r="DD41" s="88">
        <f t="shared" si="253"/>
        <v>0</v>
      </c>
      <c r="DE41" s="88">
        <f t="shared" si="253"/>
        <v>0</v>
      </c>
      <c r="DF41" s="88">
        <f t="shared" si="253"/>
        <v>0</v>
      </c>
      <c r="DG41" s="88">
        <f t="shared" si="253"/>
        <v>0</v>
      </c>
      <c r="DH41" s="88">
        <f t="shared" si="253"/>
        <v>0</v>
      </c>
      <c r="DI41" s="88">
        <f t="shared" si="253"/>
        <v>0</v>
      </c>
      <c r="DJ41" s="88">
        <f t="shared" si="253"/>
        <v>0</v>
      </c>
      <c r="DK41" s="88">
        <f t="shared" si="253"/>
        <v>0</v>
      </c>
      <c r="DL41" s="88">
        <f t="shared" si="253"/>
        <v>0</v>
      </c>
      <c r="DM41" s="88">
        <f t="shared" si="253"/>
        <v>0</v>
      </c>
      <c r="DN41" s="88">
        <f t="shared" si="253"/>
        <v>0</v>
      </c>
      <c r="DO41" s="88">
        <f t="shared" si="253"/>
        <v>0</v>
      </c>
      <c r="DP41" s="88">
        <f t="shared" si="253"/>
        <v>0</v>
      </c>
      <c r="DQ41" s="88">
        <f t="shared" si="253"/>
        <v>0</v>
      </c>
      <c r="DR41" s="88">
        <f t="shared" si="253"/>
        <v>0</v>
      </c>
      <c r="DS41" s="88">
        <f t="shared" si="253"/>
        <v>0</v>
      </c>
      <c r="DT41" s="88">
        <f t="shared" si="253"/>
        <v>0</v>
      </c>
      <c r="DU41" s="88">
        <f t="shared" si="253"/>
        <v>0</v>
      </c>
      <c r="DV41" s="88">
        <f t="shared" ref="DV41:EY41" si="254">0</f>
        <v>0</v>
      </c>
      <c r="DW41" s="88">
        <f t="shared" si="254"/>
        <v>0</v>
      </c>
      <c r="DX41" s="88">
        <f t="shared" si="254"/>
        <v>0</v>
      </c>
      <c r="DY41" s="88">
        <f t="shared" si="254"/>
        <v>0</v>
      </c>
      <c r="DZ41" s="88">
        <f t="shared" si="254"/>
        <v>0</v>
      </c>
      <c r="EA41" s="88">
        <f t="shared" si="254"/>
        <v>0</v>
      </c>
      <c r="EB41" s="88">
        <f t="shared" si="254"/>
        <v>0</v>
      </c>
      <c r="EC41" s="88">
        <f t="shared" si="254"/>
        <v>0</v>
      </c>
      <c r="ED41" s="88">
        <f t="shared" si="254"/>
        <v>0</v>
      </c>
      <c r="EE41" s="88">
        <f t="shared" si="254"/>
        <v>0</v>
      </c>
      <c r="EF41" s="88">
        <f t="shared" si="254"/>
        <v>0</v>
      </c>
      <c r="EG41" s="88">
        <f t="shared" si="254"/>
        <v>0</v>
      </c>
      <c r="EH41" s="88">
        <f t="shared" si="254"/>
        <v>0</v>
      </c>
      <c r="EI41" s="88">
        <f t="shared" si="254"/>
        <v>0</v>
      </c>
      <c r="EJ41" s="88">
        <f t="shared" si="254"/>
        <v>0</v>
      </c>
      <c r="EK41" s="88">
        <f t="shared" si="254"/>
        <v>0</v>
      </c>
      <c r="EL41" s="88">
        <f t="shared" si="254"/>
        <v>0</v>
      </c>
      <c r="EM41" s="88">
        <f t="shared" si="254"/>
        <v>0</v>
      </c>
      <c r="EN41" s="88">
        <f t="shared" si="254"/>
        <v>0</v>
      </c>
      <c r="EO41" s="88">
        <f t="shared" si="254"/>
        <v>0</v>
      </c>
      <c r="EP41" s="88">
        <f t="shared" si="254"/>
        <v>0</v>
      </c>
      <c r="EQ41" s="88">
        <f t="shared" si="254"/>
        <v>0</v>
      </c>
      <c r="ER41" s="88">
        <f t="shared" si="254"/>
        <v>0</v>
      </c>
      <c r="ES41" s="88">
        <f t="shared" si="254"/>
        <v>0</v>
      </c>
      <c r="ET41" s="88">
        <f t="shared" si="254"/>
        <v>0</v>
      </c>
      <c r="EU41" s="88">
        <f t="shared" si="254"/>
        <v>0</v>
      </c>
      <c r="EV41" s="88">
        <f t="shared" si="254"/>
        <v>0</v>
      </c>
      <c r="EW41" s="88">
        <f t="shared" si="254"/>
        <v>0</v>
      </c>
      <c r="EX41" s="88">
        <f t="shared" si="254"/>
        <v>0</v>
      </c>
      <c r="EY41" s="88">
        <f t="shared" si="254"/>
        <v>0</v>
      </c>
    </row>
    <row r="42">
      <c r="A42" s="181" t="s">
        <v>218</v>
      </c>
      <c r="B42" s="10">
        <f t="shared" ref="B42:DU42" si="255">0</f>
        <v>0</v>
      </c>
      <c r="C42" s="10">
        <f t="shared" si="255"/>
        <v>0</v>
      </c>
      <c r="D42" s="10">
        <f t="shared" si="255"/>
        <v>0</v>
      </c>
      <c r="E42" s="88">
        <f t="shared" si="255"/>
        <v>0</v>
      </c>
      <c r="F42" s="123">
        <f t="shared" si="255"/>
        <v>0</v>
      </c>
      <c r="G42" s="205">
        <f t="shared" si="255"/>
        <v>0</v>
      </c>
      <c r="H42" s="88">
        <f t="shared" si="255"/>
        <v>0</v>
      </c>
      <c r="I42" s="88">
        <f t="shared" si="255"/>
        <v>0</v>
      </c>
      <c r="J42" s="88">
        <f t="shared" si="255"/>
        <v>0</v>
      </c>
      <c r="K42" s="88">
        <f t="shared" si="255"/>
        <v>0</v>
      </c>
      <c r="L42" s="88">
        <f t="shared" si="255"/>
        <v>0</v>
      </c>
      <c r="M42" s="88">
        <f t="shared" si="255"/>
        <v>0</v>
      </c>
      <c r="N42" s="88">
        <f t="shared" si="255"/>
        <v>0</v>
      </c>
      <c r="O42" s="88">
        <f t="shared" si="255"/>
        <v>0</v>
      </c>
      <c r="P42" s="88">
        <f t="shared" si="255"/>
        <v>0</v>
      </c>
      <c r="Q42" s="88">
        <f t="shared" si="255"/>
        <v>0</v>
      </c>
      <c r="R42" s="88">
        <f t="shared" si="255"/>
        <v>0</v>
      </c>
      <c r="S42" s="88">
        <f t="shared" si="255"/>
        <v>0</v>
      </c>
      <c r="T42" s="88">
        <f t="shared" si="255"/>
        <v>0</v>
      </c>
      <c r="U42" s="88">
        <f t="shared" si="255"/>
        <v>0</v>
      </c>
      <c r="V42" s="88">
        <f t="shared" si="255"/>
        <v>0</v>
      </c>
      <c r="W42" s="88">
        <f t="shared" si="255"/>
        <v>0</v>
      </c>
      <c r="X42" s="88">
        <f t="shared" si="255"/>
        <v>0</v>
      </c>
      <c r="Y42" s="88">
        <f t="shared" si="255"/>
        <v>0</v>
      </c>
      <c r="Z42" s="88">
        <f t="shared" si="255"/>
        <v>0</v>
      </c>
      <c r="AA42" s="88">
        <f t="shared" si="255"/>
        <v>0</v>
      </c>
      <c r="AB42" s="88">
        <f t="shared" si="255"/>
        <v>0</v>
      </c>
      <c r="AC42" s="88">
        <f t="shared" si="255"/>
        <v>0</v>
      </c>
      <c r="AD42" s="88">
        <f t="shared" si="255"/>
        <v>0</v>
      </c>
      <c r="AE42" s="88">
        <f t="shared" si="255"/>
        <v>0</v>
      </c>
      <c r="AF42" s="88">
        <f t="shared" si="255"/>
        <v>0</v>
      </c>
      <c r="AG42" s="88">
        <f t="shared" si="255"/>
        <v>0</v>
      </c>
      <c r="AH42" s="88">
        <f t="shared" si="255"/>
        <v>0</v>
      </c>
      <c r="AI42" s="88">
        <f t="shared" si="255"/>
        <v>0</v>
      </c>
      <c r="AJ42" s="88">
        <f t="shared" si="255"/>
        <v>0</v>
      </c>
      <c r="AK42" s="88">
        <f t="shared" si="255"/>
        <v>0</v>
      </c>
      <c r="AL42" s="88">
        <f t="shared" si="255"/>
        <v>0</v>
      </c>
      <c r="AM42" s="88">
        <f t="shared" si="255"/>
        <v>0</v>
      </c>
      <c r="AN42" s="88">
        <f t="shared" si="255"/>
        <v>0</v>
      </c>
      <c r="AO42" s="88">
        <f t="shared" si="255"/>
        <v>0</v>
      </c>
      <c r="AP42" s="88">
        <f t="shared" si="255"/>
        <v>0</v>
      </c>
      <c r="AQ42" s="88">
        <f t="shared" si="255"/>
        <v>0</v>
      </c>
      <c r="AR42" s="88">
        <f t="shared" si="255"/>
        <v>0</v>
      </c>
      <c r="AS42" s="88">
        <f t="shared" si="255"/>
        <v>0</v>
      </c>
      <c r="AT42" s="88">
        <f t="shared" si="255"/>
        <v>0</v>
      </c>
      <c r="AU42" s="88">
        <f t="shared" si="255"/>
        <v>0</v>
      </c>
      <c r="AV42" s="88">
        <f t="shared" si="255"/>
        <v>0</v>
      </c>
      <c r="AW42" s="88">
        <f t="shared" si="255"/>
        <v>0</v>
      </c>
      <c r="AX42" s="88">
        <f t="shared" si="255"/>
        <v>0</v>
      </c>
      <c r="AY42" s="88">
        <f t="shared" si="255"/>
        <v>0</v>
      </c>
      <c r="AZ42" s="88">
        <f t="shared" si="255"/>
        <v>0</v>
      </c>
      <c r="BA42" s="88">
        <f t="shared" si="255"/>
        <v>0</v>
      </c>
      <c r="BB42" s="88">
        <f t="shared" si="255"/>
        <v>0</v>
      </c>
      <c r="BC42" s="88">
        <f t="shared" si="255"/>
        <v>0</v>
      </c>
      <c r="BD42" s="88">
        <f t="shared" si="255"/>
        <v>0</v>
      </c>
      <c r="BE42" s="88">
        <f t="shared" si="255"/>
        <v>0</v>
      </c>
      <c r="BF42" s="88">
        <f t="shared" si="255"/>
        <v>0</v>
      </c>
      <c r="BG42" s="88">
        <f t="shared" si="255"/>
        <v>0</v>
      </c>
      <c r="BH42" s="88">
        <f t="shared" si="255"/>
        <v>0</v>
      </c>
      <c r="BI42" s="88">
        <f t="shared" si="255"/>
        <v>0</v>
      </c>
      <c r="BJ42" s="88">
        <f t="shared" si="255"/>
        <v>0</v>
      </c>
      <c r="BK42" s="88">
        <f t="shared" si="255"/>
        <v>0</v>
      </c>
      <c r="BL42" s="88">
        <f t="shared" si="255"/>
        <v>0</v>
      </c>
      <c r="BM42" s="88">
        <f t="shared" si="255"/>
        <v>0</v>
      </c>
      <c r="BN42" s="88">
        <f t="shared" si="255"/>
        <v>0</v>
      </c>
      <c r="BO42" s="88">
        <f t="shared" si="255"/>
        <v>0</v>
      </c>
      <c r="BP42" s="88">
        <f t="shared" si="255"/>
        <v>0</v>
      </c>
      <c r="BQ42" s="88">
        <f t="shared" si="255"/>
        <v>0</v>
      </c>
      <c r="BR42" s="88">
        <f t="shared" si="255"/>
        <v>0</v>
      </c>
      <c r="BS42" s="88">
        <f t="shared" si="255"/>
        <v>0</v>
      </c>
      <c r="BT42" s="88">
        <f t="shared" si="255"/>
        <v>0</v>
      </c>
      <c r="BU42" s="88">
        <f t="shared" si="255"/>
        <v>0</v>
      </c>
      <c r="BV42" s="88">
        <f t="shared" si="255"/>
        <v>0</v>
      </c>
      <c r="BW42" s="88">
        <f t="shared" si="255"/>
        <v>0</v>
      </c>
      <c r="BX42" s="88">
        <f t="shared" si="255"/>
        <v>0</v>
      </c>
      <c r="BY42" s="88">
        <f t="shared" si="255"/>
        <v>0</v>
      </c>
      <c r="BZ42" s="88">
        <f t="shared" si="255"/>
        <v>0</v>
      </c>
      <c r="CA42" s="88">
        <f t="shared" si="255"/>
        <v>0</v>
      </c>
      <c r="CB42" s="88">
        <f t="shared" si="255"/>
        <v>0</v>
      </c>
      <c r="CC42" s="88">
        <f t="shared" si="255"/>
        <v>0</v>
      </c>
      <c r="CD42" s="88">
        <f t="shared" si="255"/>
        <v>0</v>
      </c>
      <c r="CE42" s="88">
        <f t="shared" si="255"/>
        <v>0</v>
      </c>
      <c r="CF42" s="88">
        <f t="shared" si="255"/>
        <v>0</v>
      </c>
      <c r="CG42" s="88">
        <f t="shared" si="255"/>
        <v>0</v>
      </c>
      <c r="CH42" s="88">
        <f t="shared" si="255"/>
        <v>0</v>
      </c>
      <c r="CI42" s="88">
        <f t="shared" si="255"/>
        <v>0</v>
      </c>
      <c r="CJ42" s="88">
        <f t="shared" si="255"/>
        <v>0</v>
      </c>
      <c r="CK42" s="88">
        <f t="shared" si="255"/>
        <v>0</v>
      </c>
      <c r="CL42" s="88">
        <f t="shared" si="255"/>
        <v>0</v>
      </c>
      <c r="CM42" s="88">
        <f t="shared" si="255"/>
        <v>0</v>
      </c>
      <c r="CN42" s="88">
        <f t="shared" si="255"/>
        <v>0</v>
      </c>
      <c r="CO42" s="88">
        <f t="shared" si="255"/>
        <v>0</v>
      </c>
      <c r="CP42" s="88">
        <f t="shared" si="255"/>
        <v>0</v>
      </c>
      <c r="CQ42" s="88">
        <f t="shared" si="255"/>
        <v>0</v>
      </c>
      <c r="CR42" s="88">
        <f t="shared" si="255"/>
        <v>0</v>
      </c>
      <c r="CS42" s="88">
        <f t="shared" si="255"/>
        <v>0</v>
      </c>
      <c r="CT42" s="88">
        <f t="shared" si="255"/>
        <v>0</v>
      </c>
      <c r="CU42" s="88">
        <f t="shared" si="255"/>
        <v>0</v>
      </c>
      <c r="CV42" s="88">
        <f t="shared" si="255"/>
        <v>0</v>
      </c>
      <c r="CW42" s="88">
        <f t="shared" si="255"/>
        <v>0</v>
      </c>
      <c r="CX42" s="88">
        <f t="shared" si="255"/>
        <v>0</v>
      </c>
      <c r="CY42" s="88">
        <f t="shared" si="255"/>
        <v>0</v>
      </c>
      <c r="CZ42" s="88">
        <f t="shared" si="255"/>
        <v>0</v>
      </c>
      <c r="DA42" s="88">
        <f t="shared" si="255"/>
        <v>0</v>
      </c>
      <c r="DB42" s="88">
        <f t="shared" si="255"/>
        <v>0</v>
      </c>
      <c r="DC42" s="88">
        <f t="shared" si="255"/>
        <v>0</v>
      </c>
      <c r="DD42" s="88">
        <f t="shared" si="255"/>
        <v>0</v>
      </c>
      <c r="DE42" s="88">
        <f t="shared" si="255"/>
        <v>0</v>
      </c>
      <c r="DF42" s="88">
        <f t="shared" si="255"/>
        <v>0</v>
      </c>
      <c r="DG42" s="88">
        <f t="shared" si="255"/>
        <v>0</v>
      </c>
      <c r="DH42" s="88">
        <f t="shared" si="255"/>
        <v>0</v>
      </c>
      <c r="DI42" s="88">
        <f t="shared" si="255"/>
        <v>0</v>
      </c>
      <c r="DJ42" s="88">
        <f t="shared" si="255"/>
        <v>0</v>
      </c>
      <c r="DK42" s="88">
        <f t="shared" si="255"/>
        <v>0</v>
      </c>
      <c r="DL42" s="88">
        <f t="shared" si="255"/>
        <v>0</v>
      </c>
      <c r="DM42" s="88">
        <f t="shared" si="255"/>
        <v>0</v>
      </c>
      <c r="DN42" s="88">
        <f t="shared" si="255"/>
        <v>0</v>
      </c>
      <c r="DO42" s="88">
        <f t="shared" si="255"/>
        <v>0</v>
      </c>
      <c r="DP42" s="88">
        <f t="shared" si="255"/>
        <v>0</v>
      </c>
      <c r="DQ42" s="88">
        <f t="shared" si="255"/>
        <v>0</v>
      </c>
      <c r="DR42" s="88">
        <f t="shared" si="255"/>
        <v>0</v>
      </c>
      <c r="DS42" s="88">
        <f t="shared" si="255"/>
        <v>0</v>
      </c>
      <c r="DT42" s="88">
        <f t="shared" si="255"/>
        <v>0</v>
      </c>
      <c r="DU42" s="88">
        <f t="shared" si="255"/>
        <v>0</v>
      </c>
      <c r="DV42" s="88">
        <f t="shared" ref="DV42:EY42" si="256">0</f>
        <v>0</v>
      </c>
      <c r="DW42" s="88">
        <f t="shared" si="256"/>
        <v>0</v>
      </c>
      <c r="DX42" s="88">
        <f t="shared" si="256"/>
        <v>0</v>
      </c>
      <c r="DY42" s="88">
        <f t="shared" si="256"/>
        <v>0</v>
      </c>
      <c r="DZ42" s="88">
        <f t="shared" si="256"/>
        <v>0</v>
      </c>
      <c r="EA42" s="88">
        <f t="shared" si="256"/>
        <v>0</v>
      </c>
      <c r="EB42" s="88">
        <f t="shared" si="256"/>
        <v>0</v>
      </c>
      <c r="EC42" s="88">
        <f t="shared" si="256"/>
        <v>0</v>
      </c>
      <c r="ED42" s="88">
        <f t="shared" si="256"/>
        <v>0</v>
      </c>
      <c r="EE42" s="88">
        <f t="shared" si="256"/>
        <v>0</v>
      </c>
      <c r="EF42" s="88">
        <f t="shared" si="256"/>
        <v>0</v>
      </c>
      <c r="EG42" s="88">
        <f t="shared" si="256"/>
        <v>0</v>
      </c>
      <c r="EH42" s="88">
        <f t="shared" si="256"/>
        <v>0</v>
      </c>
      <c r="EI42" s="88">
        <f t="shared" si="256"/>
        <v>0</v>
      </c>
      <c r="EJ42" s="88">
        <f t="shared" si="256"/>
        <v>0</v>
      </c>
      <c r="EK42" s="88">
        <f t="shared" si="256"/>
        <v>0</v>
      </c>
      <c r="EL42" s="88">
        <f t="shared" si="256"/>
        <v>0</v>
      </c>
      <c r="EM42" s="88">
        <f t="shared" si="256"/>
        <v>0</v>
      </c>
      <c r="EN42" s="88">
        <f t="shared" si="256"/>
        <v>0</v>
      </c>
      <c r="EO42" s="88">
        <f t="shared" si="256"/>
        <v>0</v>
      </c>
      <c r="EP42" s="88">
        <f t="shared" si="256"/>
        <v>0</v>
      </c>
      <c r="EQ42" s="88">
        <f t="shared" si="256"/>
        <v>0</v>
      </c>
      <c r="ER42" s="88">
        <f t="shared" si="256"/>
        <v>0</v>
      </c>
      <c r="ES42" s="88">
        <f t="shared" si="256"/>
        <v>0</v>
      </c>
      <c r="ET42" s="88">
        <f t="shared" si="256"/>
        <v>0</v>
      </c>
      <c r="EU42" s="88">
        <f t="shared" si="256"/>
        <v>0</v>
      </c>
      <c r="EV42" s="88">
        <f t="shared" si="256"/>
        <v>0</v>
      </c>
      <c r="EW42" s="88">
        <f t="shared" si="256"/>
        <v>0</v>
      </c>
      <c r="EX42" s="88">
        <f t="shared" si="256"/>
        <v>0</v>
      </c>
      <c r="EY42" s="88">
        <f t="shared" si="256"/>
        <v>0</v>
      </c>
    </row>
    <row r="43">
      <c r="A43" s="181" t="s">
        <v>219</v>
      </c>
      <c r="B43" s="10">
        <f t="shared" ref="B43:DU43" si="257">0</f>
        <v>0</v>
      </c>
      <c r="C43" s="10">
        <f t="shared" si="257"/>
        <v>0</v>
      </c>
      <c r="D43" s="10">
        <f t="shared" si="257"/>
        <v>0</v>
      </c>
      <c r="E43" s="88">
        <f t="shared" si="257"/>
        <v>0</v>
      </c>
      <c r="F43" s="123">
        <f t="shared" si="257"/>
        <v>0</v>
      </c>
      <c r="G43" s="205">
        <f t="shared" si="257"/>
        <v>0</v>
      </c>
      <c r="H43" s="88">
        <f t="shared" si="257"/>
        <v>0</v>
      </c>
      <c r="I43" s="88">
        <f t="shared" si="257"/>
        <v>0</v>
      </c>
      <c r="J43" s="88">
        <f t="shared" si="257"/>
        <v>0</v>
      </c>
      <c r="K43" s="88">
        <f t="shared" si="257"/>
        <v>0</v>
      </c>
      <c r="L43" s="88">
        <f t="shared" si="257"/>
        <v>0</v>
      </c>
      <c r="M43" s="88">
        <f t="shared" si="257"/>
        <v>0</v>
      </c>
      <c r="N43" s="88">
        <f t="shared" si="257"/>
        <v>0</v>
      </c>
      <c r="O43" s="88">
        <f t="shared" si="257"/>
        <v>0</v>
      </c>
      <c r="P43" s="88">
        <f t="shared" si="257"/>
        <v>0</v>
      </c>
      <c r="Q43" s="88">
        <f t="shared" si="257"/>
        <v>0</v>
      </c>
      <c r="R43" s="88">
        <f t="shared" si="257"/>
        <v>0</v>
      </c>
      <c r="S43" s="88">
        <f t="shared" si="257"/>
        <v>0</v>
      </c>
      <c r="T43" s="88">
        <f t="shared" si="257"/>
        <v>0</v>
      </c>
      <c r="U43" s="88">
        <f t="shared" si="257"/>
        <v>0</v>
      </c>
      <c r="V43" s="88">
        <f t="shared" si="257"/>
        <v>0</v>
      </c>
      <c r="W43" s="88">
        <f t="shared" si="257"/>
        <v>0</v>
      </c>
      <c r="X43" s="88">
        <f t="shared" si="257"/>
        <v>0</v>
      </c>
      <c r="Y43" s="88">
        <f t="shared" si="257"/>
        <v>0</v>
      </c>
      <c r="Z43" s="88">
        <f t="shared" si="257"/>
        <v>0</v>
      </c>
      <c r="AA43" s="88">
        <f t="shared" si="257"/>
        <v>0</v>
      </c>
      <c r="AB43" s="88">
        <f t="shared" si="257"/>
        <v>0</v>
      </c>
      <c r="AC43" s="88">
        <f t="shared" si="257"/>
        <v>0</v>
      </c>
      <c r="AD43" s="88">
        <f t="shared" si="257"/>
        <v>0</v>
      </c>
      <c r="AE43" s="88">
        <f t="shared" si="257"/>
        <v>0</v>
      </c>
      <c r="AF43" s="88">
        <f t="shared" si="257"/>
        <v>0</v>
      </c>
      <c r="AG43" s="88">
        <f t="shared" si="257"/>
        <v>0</v>
      </c>
      <c r="AH43" s="88">
        <f t="shared" si="257"/>
        <v>0</v>
      </c>
      <c r="AI43" s="88">
        <f t="shared" si="257"/>
        <v>0</v>
      </c>
      <c r="AJ43" s="88">
        <f t="shared" si="257"/>
        <v>0</v>
      </c>
      <c r="AK43" s="88">
        <f t="shared" si="257"/>
        <v>0</v>
      </c>
      <c r="AL43" s="88">
        <f t="shared" si="257"/>
        <v>0</v>
      </c>
      <c r="AM43" s="88">
        <f t="shared" si="257"/>
        <v>0</v>
      </c>
      <c r="AN43" s="88">
        <f t="shared" si="257"/>
        <v>0</v>
      </c>
      <c r="AO43" s="88">
        <f t="shared" si="257"/>
        <v>0</v>
      </c>
      <c r="AP43" s="88">
        <f t="shared" si="257"/>
        <v>0</v>
      </c>
      <c r="AQ43" s="88">
        <f t="shared" si="257"/>
        <v>0</v>
      </c>
      <c r="AR43" s="88">
        <f t="shared" si="257"/>
        <v>0</v>
      </c>
      <c r="AS43" s="88">
        <f t="shared" si="257"/>
        <v>0</v>
      </c>
      <c r="AT43" s="88">
        <f t="shared" si="257"/>
        <v>0</v>
      </c>
      <c r="AU43" s="88">
        <f t="shared" si="257"/>
        <v>0</v>
      </c>
      <c r="AV43" s="88">
        <f t="shared" si="257"/>
        <v>0</v>
      </c>
      <c r="AW43" s="88">
        <f t="shared" si="257"/>
        <v>0</v>
      </c>
      <c r="AX43" s="88">
        <f t="shared" si="257"/>
        <v>0</v>
      </c>
      <c r="AY43" s="88">
        <f t="shared" si="257"/>
        <v>0</v>
      </c>
      <c r="AZ43" s="88">
        <f t="shared" si="257"/>
        <v>0</v>
      </c>
      <c r="BA43" s="88">
        <f t="shared" si="257"/>
        <v>0</v>
      </c>
      <c r="BB43" s="88">
        <f t="shared" si="257"/>
        <v>0</v>
      </c>
      <c r="BC43" s="88">
        <f t="shared" si="257"/>
        <v>0</v>
      </c>
      <c r="BD43" s="88">
        <f t="shared" si="257"/>
        <v>0</v>
      </c>
      <c r="BE43" s="88">
        <f t="shared" si="257"/>
        <v>0</v>
      </c>
      <c r="BF43" s="88">
        <f t="shared" si="257"/>
        <v>0</v>
      </c>
      <c r="BG43" s="88">
        <f t="shared" si="257"/>
        <v>0</v>
      </c>
      <c r="BH43" s="88">
        <f t="shared" si="257"/>
        <v>0</v>
      </c>
      <c r="BI43" s="88">
        <f t="shared" si="257"/>
        <v>0</v>
      </c>
      <c r="BJ43" s="88">
        <f t="shared" si="257"/>
        <v>0</v>
      </c>
      <c r="BK43" s="88">
        <f t="shared" si="257"/>
        <v>0</v>
      </c>
      <c r="BL43" s="88">
        <f t="shared" si="257"/>
        <v>0</v>
      </c>
      <c r="BM43" s="88">
        <f t="shared" si="257"/>
        <v>0</v>
      </c>
      <c r="BN43" s="88">
        <f t="shared" si="257"/>
        <v>0</v>
      </c>
      <c r="BO43" s="88">
        <f t="shared" si="257"/>
        <v>0</v>
      </c>
      <c r="BP43" s="88">
        <f t="shared" si="257"/>
        <v>0</v>
      </c>
      <c r="BQ43" s="88">
        <f t="shared" si="257"/>
        <v>0</v>
      </c>
      <c r="BR43" s="88">
        <f t="shared" si="257"/>
        <v>0</v>
      </c>
      <c r="BS43" s="88">
        <f t="shared" si="257"/>
        <v>0</v>
      </c>
      <c r="BT43" s="88">
        <f t="shared" si="257"/>
        <v>0</v>
      </c>
      <c r="BU43" s="88">
        <f t="shared" si="257"/>
        <v>0</v>
      </c>
      <c r="BV43" s="88">
        <f t="shared" si="257"/>
        <v>0</v>
      </c>
      <c r="BW43" s="88">
        <f t="shared" si="257"/>
        <v>0</v>
      </c>
      <c r="BX43" s="88">
        <f t="shared" si="257"/>
        <v>0</v>
      </c>
      <c r="BY43" s="88">
        <f t="shared" si="257"/>
        <v>0</v>
      </c>
      <c r="BZ43" s="88">
        <f t="shared" si="257"/>
        <v>0</v>
      </c>
      <c r="CA43" s="88">
        <f t="shared" si="257"/>
        <v>0</v>
      </c>
      <c r="CB43" s="88">
        <f t="shared" si="257"/>
        <v>0</v>
      </c>
      <c r="CC43" s="88">
        <f t="shared" si="257"/>
        <v>0</v>
      </c>
      <c r="CD43" s="88">
        <f t="shared" si="257"/>
        <v>0</v>
      </c>
      <c r="CE43" s="88">
        <f t="shared" si="257"/>
        <v>0</v>
      </c>
      <c r="CF43" s="88">
        <f t="shared" si="257"/>
        <v>0</v>
      </c>
      <c r="CG43" s="88">
        <f t="shared" si="257"/>
        <v>0</v>
      </c>
      <c r="CH43" s="88">
        <f t="shared" si="257"/>
        <v>0</v>
      </c>
      <c r="CI43" s="88">
        <f t="shared" si="257"/>
        <v>0</v>
      </c>
      <c r="CJ43" s="88">
        <f t="shared" si="257"/>
        <v>0</v>
      </c>
      <c r="CK43" s="88">
        <f t="shared" si="257"/>
        <v>0</v>
      </c>
      <c r="CL43" s="88">
        <f t="shared" si="257"/>
        <v>0</v>
      </c>
      <c r="CM43" s="88">
        <f t="shared" si="257"/>
        <v>0</v>
      </c>
      <c r="CN43" s="88">
        <f t="shared" si="257"/>
        <v>0</v>
      </c>
      <c r="CO43" s="88">
        <f t="shared" si="257"/>
        <v>0</v>
      </c>
      <c r="CP43" s="88">
        <f t="shared" si="257"/>
        <v>0</v>
      </c>
      <c r="CQ43" s="88">
        <f t="shared" si="257"/>
        <v>0</v>
      </c>
      <c r="CR43" s="88">
        <f t="shared" si="257"/>
        <v>0</v>
      </c>
      <c r="CS43" s="88">
        <f t="shared" si="257"/>
        <v>0</v>
      </c>
      <c r="CT43" s="88">
        <f t="shared" si="257"/>
        <v>0</v>
      </c>
      <c r="CU43" s="88">
        <f t="shared" si="257"/>
        <v>0</v>
      </c>
      <c r="CV43" s="88">
        <f t="shared" si="257"/>
        <v>0</v>
      </c>
      <c r="CW43" s="88">
        <f t="shared" si="257"/>
        <v>0</v>
      </c>
      <c r="CX43" s="88">
        <f t="shared" si="257"/>
        <v>0</v>
      </c>
      <c r="CY43" s="88">
        <f t="shared" si="257"/>
        <v>0</v>
      </c>
      <c r="CZ43" s="88">
        <f t="shared" si="257"/>
        <v>0</v>
      </c>
      <c r="DA43" s="88">
        <f t="shared" si="257"/>
        <v>0</v>
      </c>
      <c r="DB43" s="88">
        <f t="shared" si="257"/>
        <v>0</v>
      </c>
      <c r="DC43" s="88">
        <f t="shared" si="257"/>
        <v>0</v>
      </c>
      <c r="DD43" s="88">
        <f t="shared" si="257"/>
        <v>0</v>
      </c>
      <c r="DE43" s="88">
        <f t="shared" si="257"/>
        <v>0</v>
      </c>
      <c r="DF43" s="88">
        <f t="shared" si="257"/>
        <v>0</v>
      </c>
      <c r="DG43" s="88">
        <f t="shared" si="257"/>
        <v>0</v>
      </c>
      <c r="DH43" s="88">
        <f t="shared" si="257"/>
        <v>0</v>
      </c>
      <c r="DI43" s="88">
        <f t="shared" si="257"/>
        <v>0</v>
      </c>
      <c r="DJ43" s="88">
        <f t="shared" si="257"/>
        <v>0</v>
      </c>
      <c r="DK43" s="88">
        <f t="shared" si="257"/>
        <v>0</v>
      </c>
      <c r="DL43" s="88">
        <f t="shared" si="257"/>
        <v>0</v>
      </c>
      <c r="DM43" s="88">
        <f t="shared" si="257"/>
        <v>0</v>
      </c>
      <c r="DN43" s="88">
        <f t="shared" si="257"/>
        <v>0</v>
      </c>
      <c r="DO43" s="88">
        <f t="shared" si="257"/>
        <v>0</v>
      </c>
      <c r="DP43" s="88">
        <f t="shared" si="257"/>
        <v>0</v>
      </c>
      <c r="DQ43" s="88">
        <f t="shared" si="257"/>
        <v>0</v>
      </c>
      <c r="DR43" s="88">
        <f t="shared" si="257"/>
        <v>0</v>
      </c>
      <c r="DS43" s="88">
        <f t="shared" si="257"/>
        <v>0</v>
      </c>
      <c r="DT43" s="88">
        <f t="shared" si="257"/>
        <v>0</v>
      </c>
      <c r="DU43" s="88">
        <f t="shared" si="257"/>
        <v>0</v>
      </c>
      <c r="DV43" s="88">
        <f t="shared" ref="DV43:EY43" si="258">0</f>
        <v>0</v>
      </c>
      <c r="DW43" s="88">
        <f t="shared" si="258"/>
        <v>0</v>
      </c>
      <c r="DX43" s="88">
        <f t="shared" si="258"/>
        <v>0</v>
      </c>
      <c r="DY43" s="88">
        <f t="shared" si="258"/>
        <v>0</v>
      </c>
      <c r="DZ43" s="88">
        <f t="shared" si="258"/>
        <v>0</v>
      </c>
      <c r="EA43" s="88">
        <f t="shared" si="258"/>
        <v>0</v>
      </c>
      <c r="EB43" s="88">
        <f t="shared" si="258"/>
        <v>0</v>
      </c>
      <c r="EC43" s="88">
        <f t="shared" si="258"/>
        <v>0</v>
      </c>
      <c r="ED43" s="88">
        <f t="shared" si="258"/>
        <v>0</v>
      </c>
      <c r="EE43" s="88">
        <f t="shared" si="258"/>
        <v>0</v>
      </c>
      <c r="EF43" s="88">
        <f t="shared" si="258"/>
        <v>0</v>
      </c>
      <c r="EG43" s="88">
        <f t="shared" si="258"/>
        <v>0</v>
      </c>
      <c r="EH43" s="88">
        <f t="shared" si="258"/>
        <v>0</v>
      </c>
      <c r="EI43" s="88">
        <f t="shared" si="258"/>
        <v>0</v>
      </c>
      <c r="EJ43" s="88">
        <f t="shared" si="258"/>
        <v>0</v>
      </c>
      <c r="EK43" s="88">
        <f t="shared" si="258"/>
        <v>0</v>
      </c>
      <c r="EL43" s="88">
        <f t="shared" si="258"/>
        <v>0</v>
      </c>
      <c r="EM43" s="88">
        <f t="shared" si="258"/>
        <v>0</v>
      </c>
      <c r="EN43" s="88">
        <f t="shared" si="258"/>
        <v>0</v>
      </c>
      <c r="EO43" s="88">
        <f t="shared" si="258"/>
        <v>0</v>
      </c>
      <c r="EP43" s="88">
        <f t="shared" si="258"/>
        <v>0</v>
      </c>
      <c r="EQ43" s="88">
        <f t="shared" si="258"/>
        <v>0</v>
      </c>
      <c r="ER43" s="88">
        <f t="shared" si="258"/>
        <v>0</v>
      </c>
      <c r="ES43" s="88">
        <f t="shared" si="258"/>
        <v>0</v>
      </c>
      <c r="ET43" s="88">
        <f t="shared" si="258"/>
        <v>0</v>
      </c>
      <c r="EU43" s="88">
        <f t="shared" si="258"/>
        <v>0</v>
      </c>
      <c r="EV43" s="88">
        <f t="shared" si="258"/>
        <v>0</v>
      </c>
      <c r="EW43" s="88">
        <f t="shared" si="258"/>
        <v>0</v>
      </c>
      <c r="EX43" s="88">
        <f t="shared" si="258"/>
        <v>0</v>
      </c>
      <c r="EY43" s="88">
        <f t="shared" si="258"/>
        <v>0</v>
      </c>
    </row>
    <row r="44">
      <c r="A44" s="181" t="s">
        <v>220</v>
      </c>
      <c r="B44" s="10">
        <f t="shared" ref="B44:BM44" si="259">0</f>
        <v>0</v>
      </c>
      <c r="C44" s="10">
        <f t="shared" si="259"/>
        <v>0</v>
      </c>
      <c r="D44" s="10">
        <f t="shared" si="259"/>
        <v>0</v>
      </c>
      <c r="E44" s="88">
        <f t="shared" si="259"/>
        <v>0</v>
      </c>
      <c r="F44" s="123">
        <f t="shared" si="259"/>
        <v>0</v>
      </c>
      <c r="G44" s="205">
        <f t="shared" si="259"/>
        <v>0</v>
      </c>
      <c r="H44" s="88">
        <f t="shared" si="259"/>
        <v>0</v>
      </c>
      <c r="I44" s="88">
        <f t="shared" si="259"/>
        <v>0</v>
      </c>
      <c r="J44" s="88">
        <f t="shared" si="259"/>
        <v>0</v>
      </c>
      <c r="K44" s="88">
        <f t="shared" si="259"/>
        <v>0</v>
      </c>
      <c r="L44" s="88">
        <f t="shared" si="259"/>
        <v>0</v>
      </c>
      <c r="M44" s="88">
        <f t="shared" si="259"/>
        <v>0</v>
      </c>
      <c r="N44" s="88">
        <f t="shared" si="259"/>
        <v>0</v>
      </c>
      <c r="O44" s="88">
        <f t="shared" si="259"/>
        <v>0</v>
      </c>
      <c r="P44" s="88">
        <f t="shared" si="259"/>
        <v>0</v>
      </c>
      <c r="Q44" s="88">
        <f t="shared" si="259"/>
        <v>0</v>
      </c>
      <c r="R44" s="88">
        <f t="shared" si="259"/>
        <v>0</v>
      </c>
      <c r="S44" s="88">
        <f t="shared" si="259"/>
        <v>0</v>
      </c>
      <c r="T44" s="88">
        <f t="shared" si="259"/>
        <v>0</v>
      </c>
      <c r="U44" s="88">
        <f t="shared" si="259"/>
        <v>0</v>
      </c>
      <c r="V44" s="88">
        <f t="shared" si="259"/>
        <v>0</v>
      </c>
      <c r="W44" s="88">
        <f t="shared" si="259"/>
        <v>0</v>
      </c>
      <c r="X44" s="88">
        <f t="shared" si="259"/>
        <v>0</v>
      </c>
      <c r="Y44" s="88">
        <f t="shared" si="259"/>
        <v>0</v>
      </c>
      <c r="Z44" s="88">
        <f t="shared" si="259"/>
        <v>0</v>
      </c>
      <c r="AA44" s="88">
        <f t="shared" si="259"/>
        <v>0</v>
      </c>
      <c r="AB44" s="88">
        <f t="shared" si="259"/>
        <v>0</v>
      </c>
      <c r="AC44" s="88">
        <f t="shared" si="259"/>
        <v>0</v>
      </c>
      <c r="AD44" s="88">
        <f t="shared" si="259"/>
        <v>0</v>
      </c>
      <c r="AE44" s="88">
        <f t="shared" si="259"/>
        <v>0</v>
      </c>
      <c r="AF44" s="88">
        <f t="shared" si="259"/>
        <v>0</v>
      </c>
      <c r="AG44" s="88">
        <f t="shared" si="259"/>
        <v>0</v>
      </c>
      <c r="AH44" s="88">
        <f t="shared" si="259"/>
        <v>0</v>
      </c>
      <c r="AI44" s="88">
        <f t="shared" si="259"/>
        <v>0</v>
      </c>
      <c r="AJ44" s="88">
        <f t="shared" si="259"/>
        <v>0</v>
      </c>
      <c r="AK44" s="88">
        <f t="shared" si="259"/>
        <v>0</v>
      </c>
      <c r="AL44" s="88">
        <f t="shared" si="259"/>
        <v>0</v>
      </c>
      <c r="AM44" s="88">
        <f t="shared" si="259"/>
        <v>0</v>
      </c>
      <c r="AN44" s="88">
        <f t="shared" si="259"/>
        <v>0</v>
      </c>
      <c r="AO44" s="88">
        <f t="shared" si="259"/>
        <v>0</v>
      </c>
      <c r="AP44" s="88">
        <f t="shared" si="259"/>
        <v>0</v>
      </c>
      <c r="AQ44" s="88">
        <f t="shared" si="259"/>
        <v>0</v>
      </c>
      <c r="AR44" s="88">
        <f t="shared" si="259"/>
        <v>0</v>
      </c>
      <c r="AS44" s="88">
        <f t="shared" si="259"/>
        <v>0</v>
      </c>
      <c r="AT44" s="88">
        <f t="shared" si="259"/>
        <v>0</v>
      </c>
      <c r="AU44" s="88">
        <f t="shared" si="259"/>
        <v>0</v>
      </c>
      <c r="AV44" s="88">
        <f t="shared" si="259"/>
        <v>0</v>
      </c>
      <c r="AW44" s="88">
        <f t="shared" si="259"/>
        <v>0</v>
      </c>
      <c r="AX44" s="88">
        <f t="shared" si="259"/>
        <v>0</v>
      </c>
      <c r="AY44" s="88">
        <f t="shared" si="259"/>
        <v>0</v>
      </c>
      <c r="AZ44" s="88">
        <f t="shared" si="259"/>
        <v>0</v>
      </c>
      <c r="BA44" s="88">
        <f t="shared" si="259"/>
        <v>0</v>
      </c>
      <c r="BB44" s="88">
        <f t="shared" si="259"/>
        <v>0</v>
      </c>
      <c r="BC44" s="88">
        <f t="shared" si="259"/>
        <v>0</v>
      </c>
      <c r="BD44" s="88">
        <f t="shared" si="259"/>
        <v>0</v>
      </c>
      <c r="BE44" s="88">
        <f t="shared" si="259"/>
        <v>0</v>
      </c>
      <c r="BF44" s="88">
        <f t="shared" si="259"/>
        <v>0</v>
      </c>
      <c r="BG44" s="88">
        <f t="shared" si="259"/>
        <v>0</v>
      </c>
      <c r="BH44" s="88">
        <f t="shared" si="259"/>
        <v>0</v>
      </c>
      <c r="BI44" s="88">
        <f t="shared" si="259"/>
        <v>0</v>
      </c>
      <c r="BJ44" s="88">
        <f t="shared" si="259"/>
        <v>0</v>
      </c>
      <c r="BK44" s="88">
        <f t="shared" si="259"/>
        <v>0</v>
      </c>
      <c r="BL44" s="88">
        <f t="shared" si="259"/>
        <v>0</v>
      </c>
      <c r="BM44" s="88">
        <f t="shared" si="259"/>
        <v>0</v>
      </c>
      <c r="BN44" s="88" t="str">
        <f>IFERROR(__xludf.DUMMYFUNCTION("6 + (REGEXEXTRACT(INDIRECT(ADDRESS(ROW() - 42, COLUMN())), ""[\d]"") - 1) * 1.5"),"#N/A")</f>
        <v>#N/A</v>
      </c>
      <c r="BO44" s="88">
        <f t="shared" ref="BO44:DU44" si="260">0</f>
        <v>0</v>
      </c>
      <c r="BP44" s="88">
        <f t="shared" si="260"/>
        <v>0</v>
      </c>
      <c r="BQ44" s="88">
        <f t="shared" si="260"/>
        <v>0</v>
      </c>
      <c r="BR44" s="88">
        <f t="shared" si="260"/>
        <v>0</v>
      </c>
      <c r="BS44" s="88">
        <f t="shared" si="260"/>
        <v>0</v>
      </c>
      <c r="BT44" s="88">
        <f t="shared" si="260"/>
        <v>0</v>
      </c>
      <c r="BU44" s="88">
        <f t="shared" si="260"/>
        <v>0</v>
      </c>
      <c r="BV44" s="88">
        <f t="shared" si="260"/>
        <v>0</v>
      </c>
      <c r="BW44" s="88">
        <f t="shared" si="260"/>
        <v>0</v>
      </c>
      <c r="BX44" s="88">
        <f t="shared" si="260"/>
        <v>0</v>
      </c>
      <c r="BY44" s="88">
        <f t="shared" si="260"/>
        <v>0</v>
      </c>
      <c r="BZ44" s="88">
        <f t="shared" si="260"/>
        <v>0</v>
      </c>
      <c r="CA44" s="88">
        <f t="shared" si="260"/>
        <v>0</v>
      </c>
      <c r="CB44" s="88">
        <f t="shared" si="260"/>
        <v>0</v>
      </c>
      <c r="CC44" s="88">
        <f t="shared" si="260"/>
        <v>0</v>
      </c>
      <c r="CD44" s="88">
        <f t="shared" si="260"/>
        <v>0</v>
      </c>
      <c r="CE44" s="88">
        <f t="shared" si="260"/>
        <v>0</v>
      </c>
      <c r="CF44" s="88">
        <f t="shared" si="260"/>
        <v>0</v>
      </c>
      <c r="CG44" s="88">
        <f t="shared" si="260"/>
        <v>0</v>
      </c>
      <c r="CH44" s="88">
        <f t="shared" si="260"/>
        <v>0</v>
      </c>
      <c r="CI44" s="88">
        <f t="shared" si="260"/>
        <v>0</v>
      </c>
      <c r="CJ44" s="88">
        <f t="shared" si="260"/>
        <v>0</v>
      </c>
      <c r="CK44" s="88">
        <f t="shared" si="260"/>
        <v>0</v>
      </c>
      <c r="CL44" s="88">
        <f t="shared" si="260"/>
        <v>0</v>
      </c>
      <c r="CM44" s="88">
        <f t="shared" si="260"/>
        <v>0</v>
      </c>
      <c r="CN44" s="88">
        <f t="shared" si="260"/>
        <v>0</v>
      </c>
      <c r="CO44" s="88">
        <f t="shared" si="260"/>
        <v>0</v>
      </c>
      <c r="CP44" s="88">
        <f t="shared" si="260"/>
        <v>0</v>
      </c>
      <c r="CQ44" s="88">
        <f t="shared" si="260"/>
        <v>0</v>
      </c>
      <c r="CR44" s="88">
        <f t="shared" si="260"/>
        <v>0</v>
      </c>
      <c r="CS44" s="88">
        <f t="shared" si="260"/>
        <v>0</v>
      </c>
      <c r="CT44" s="88">
        <f t="shared" si="260"/>
        <v>0</v>
      </c>
      <c r="CU44" s="88">
        <f t="shared" si="260"/>
        <v>0</v>
      </c>
      <c r="CV44" s="88">
        <f t="shared" si="260"/>
        <v>0</v>
      </c>
      <c r="CW44" s="88">
        <f t="shared" si="260"/>
        <v>0</v>
      </c>
      <c r="CX44" s="88">
        <f t="shared" si="260"/>
        <v>0</v>
      </c>
      <c r="CY44" s="88">
        <f t="shared" si="260"/>
        <v>0</v>
      </c>
      <c r="CZ44" s="88">
        <f t="shared" si="260"/>
        <v>0</v>
      </c>
      <c r="DA44" s="88">
        <f t="shared" si="260"/>
        <v>0</v>
      </c>
      <c r="DB44" s="88">
        <f t="shared" si="260"/>
        <v>0</v>
      </c>
      <c r="DC44" s="88">
        <f t="shared" si="260"/>
        <v>0</v>
      </c>
      <c r="DD44" s="88">
        <f t="shared" si="260"/>
        <v>0</v>
      </c>
      <c r="DE44" s="88">
        <f t="shared" si="260"/>
        <v>0</v>
      </c>
      <c r="DF44" s="88">
        <f t="shared" si="260"/>
        <v>0</v>
      </c>
      <c r="DG44" s="88">
        <f t="shared" si="260"/>
        <v>0</v>
      </c>
      <c r="DH44" s="88">
        <f t="shared" si="260"/>
        <v>0</v>
      </c>
      <c r="DI44" s="88">
        <f t="shared" si="260"/>
        <v>0</v>
      </c>
      <c r="DJ44" s="88">
        <f t="shared" si="260"/>
        <v>0</v>
      </c>
      <c r="DK44" s="88">
        <f t="shared" si="260"/>
        <v>0</v>
      </c>
      <c r="DL44" s="88">
        <f t="shared" si="260"/>
        <v>0</v>
      </c>
      <c r="DM44" s="88">
        <f t="shared" si="260"/>
        <v>0</v>
      </c>
      <c r="DN44" s="88">
        <f t="shared" si="260"/>
        <v>0</v>
      </c>
      <c r="DO44" s="88">
        <f t="shared" si="260"/>
        <v>0</v>
      </c>
      <c r="DP44" s="88">
        <f t="shared" si="260"/>
        <v>0</v>
      </c>
      <c r="DQ44" s="88">
        <f t="shared" si="260"/>
        <v>0</v>
      </c>
      <c r="DR44" s="88">
        <f t="shared" si="260"/>
        <v>0</v>
      </c>
      <c r="DS44" s="88">
        <f t="shared" si="260"/>
        <v>0</v>
      </c>
      <c r="DT44" s="88">
        <f t="shared" si="260"/>
        <v>0</v>
      </c>
      <c r="DU44" s="88">
        <f t="shared" si="260"/>
        <v>0</v>
      </c>
      <c r="DV44" s="88">
        <f t="shared" ref="DV44:EF44" si="261">0</f>
        <v>0</v>
      </c>
      <c r="DW44" s="88">
        <f t="shared" si="261"/>
        <v>0</v>
      </c>
      <c r="DX44" s="88">
        <f t="shared" si="261"/>
        <v>0</v>
      </c>
      <c r="DY44" s="88">
        <f t="shared" si="261"/>
        <v>0</v>
      </c>
      <c r="DZ44" s="88">
        <f t="shared" si="261"/>
        <v>0</v>
      </c>
      <c r="EA44" s="88">
        <f t="shared" si="261"/>
        <v>0</v>
      </c>
      <c r="EB44" s="88">
        <f t="shared" si="261"/>
        <v>0</v>
      </c>
      <c r="EC44" s="88">
        <f t="shared" si="261"/>
        <v>0</v>
      </c>
      <c r="ED44" s="88">
        <f t="shared" si="261"/>
        <v>0</v>
      </c>
      <c r="EE44" s="88">
        <f t="shared" si="261"/>
        <v>0</v>
      </c>
      <c r="EF44" s="88">
        <f t="shared" si="261"/>
        <v>0</v>
      </c>
      <c r="EG44" s="88" t="str">
        <f>IFERROR(__xludf.DUMMYFUNCTION("8 + (REGEXEXTRACT(INDIRECT(ADDRESS(ROW() - 42, COLUMN())), ""[\d]"") - 1) * 2"),"#N/A")</f>
        <v>#N/A</v>
      </c>
      <c r="EH44" s="88">
        <f t="shared" ref="EH44:EY44" si="262">0</f>
        <v>0</v>
      </c>
      <c r="EI44" s="88">
        <f t="shared" si="262"/>
        <v>0</v>
      </c>
      <c r="EJ44" s="88">
        <f t="shared" si="262"/>
        <v>0</v>
      </c>
      <c r="EK44" s="88">
        <f t="shared" si="262"/>
        <v>0</v>
      </c>
      <c r="EL44" s="88">
        <f t="shared" si="262"/>
        <v>0</v>
      </c>
      <c r="EM44" s="88">
        <f t="shared" si="262"/>
        <v>0</v>
      </c>
      <c r="EN44" s="88">
        <f t="shared" si="262"/>
        <v>0</v>
      </c>
      <c r="EO44" s="88">
        <f t="shared" si="262"/>
        <v>0</v>
      </c>
      <c r="EP44" s="88">
        <f t="shared" si="262"/>
        <v>0</v>
      </c>
      <c r="EQ44" s="88">
        <f t="shared" si="262"/>
        <v>0</v>
      </c>
      <c r="ER44" s="88">
        <f t="shared" si="262"/>
        <v>0</v>
      </c>
      <c r="ES44" s="88">
        <f t="shared" si="262"/>
        <v>0</v>
      </c>
      <c r="ET44" s="88">
        <f t="shared" si="262"/>
        <v>0</v>
      </c>
      <c r="EU44" s="88">
        <f t="shared" si="262"/>
        <v>0</v>
      </c>
      <c r="EV44" s="88">
        <f t="shared" si="262"/>
        <v>0</v>
      </c>
      <c r="EW44" s="88">
        <f t="shared" si="262"/>
        <v>0</v>
      </c>
      <c r="EX44" s="88">
        <f t="shared" si="262"/>
        <v>0</v>
      </c>
      <c r="EY44" s="88">
        <f t="shared" si="262"/>
        <v>0</v>
      </c>
    </row>
    <row r="45">
      <c r="A45" s="181" t="s">
        <v>221</v>
      </c>
      <c r="B45" s="10">
        <f t="shared" ref="B45:DU45" si="263">0</f>
        <v>0</v>
      </c>
      <c r="C45" s="10">
        <f t="shared" si="263"/>
        <v>0</v>
      </c>
      <c r="D45" s="10">
        <f t="shared" si="263"/>
        <v>0</v>
      </c>
      <c r="E45" s="88">
        <f t="shared" si="263"/>
        <v>0</v>
      </c>
      <c r="F45" s="123">
        <f t="shared" si="263"/>
        <v>0</v>
      </c>
      <c r="G45" s="205">
        <f t="shared" si="263"/>
        <v>0</v>
      </c>
      <c r="H45" s="88">
        <f t="shared" si="263"/>
        <v>0</v>
      </c>
      <c r="I45" s="88">
        <f t="shared" si="263"/>
        <v>0</v>
      </c>
      <c r="J45" s="88">
        <f t="shared" si="263"/>
        <v>0</v>
      </c>
      <c r="K45" s="88">
        <f t="shared" si="263"/>
        <v>0</v>
      </c>
      <c r="L45" s="88">
        <f t="shared" si="263"/>
        <v>0</v>
      </c>
      <c r="M45" s="88">
        <f t="shared" si="263"/>
        <v>0</v>
      </c>
      <c r="N45" s="88">
        <f t="shared" si="263"/>
        <v>0</v>
      </c>
      <c r="O45" s="88">
        <f t="shared" si="263"/>
        <v>0</v>
      </c>
      <c r="P45" s="88">
        <f t="shared" si="263"/>
        <v>0</v>
      </c>
      <c r="Q45" s="88">
        <f t="shared" si="263"/>
        <v>0</v>
      </c>
      <c r="R45" s="88">
        <f t="shared" si="263"/>
        <v>0</v>
      </c>
      <c r="S45" s="88">
        <f t="shared" si="263"/>
        <v>0</v>
      </c>
      <c r="T45" s="88">
        <f t="shared" si="263"/>
        <v>0</v>
      </c>
      <c r="U45" s="88">
        <f t="shared" si="263"/>
        <v>0</v>
      </c>
      <c r="V45" s="88">
        <f t="shared" si="263"/>
        <v>0</v>
      </c>
      <c r="W45" s="88">
        <f t="shared" si="263"/>
        <v>0</v>
      </c>
      <c r="X45" s="88">
        <f t="shared" si="263"/>
        <v>0</v>
      </c>
      <c r="Y45" s="88">
        <f t="shared" si="263"/>
        <v>0</v>
      </c>
      <c r="Z45" s="88">
        <f t="shared" si="263"/>
        <v>0</v>
      </c>
      <c r="AA45" s="88">
        <f t="shared" si="263"/>
        <v>0</v>
      </c>
      <c r="AB45" s="88">
        <f t="shared" si="263"/>
        <v>0</v>
      </c>
      <c r="AC45" s="88">
        <f t="shared" si="263"/>
        <v>0</v>
      </c>
      <c r="AD45" s="88">
        <f t="shared" si="263"/>
        <v>0</v>
      </c>
      <c r="AE45" s="88">
        <f t="shared" si="263"/>
        <v>0</v>
      </c>
      <c r="AF45" s="88">
        <f t="shared" si="263"/>
        <v>0</v>
      </c>
      <c r="AG45" s="88">
        <f t="shared" si="263"/>
        <v>0</v>
      </c>
      <c r="AH45" s="88">
        <f t="shared" si="263"/>
        <v>0</v>
      </c>
      <c r="AI45" s="88">
        <f t="shared" si="263"/>
        <v>0</v>
      </c>
      <c r="AJ45" s="88">
        <f t="shared" si="263"/>
        <v>0</v>
      </c>
      <c r="AK45" s="88">
        <f t="shared" si="263"/>
        <v>0</v>
      </c>
      <c r="AL45" s="88">
        <f t="shared" si="263"/>
        <v>0</v>
      </c>
      <c r="AM45" s="88">
        <f t="shared" si="263"/>
        <v>0</v>
      </c>
      <c r="AN45" s="88">
        <f t="shared" si="263"/>
        <v>0</v>
      </c>
      <c r="AO45" s="88">
        <f t="shared" si="263"/>
        <v>0</v>
      </c>
      <c r="AP45" s="88">
        <f t="shared" si="263"/>
        <v>0</v>
      </c>
      <c r="AQ45" s="88">
        <f t="shared" si="263"/>
        <v>0</v>
      </c>
      <c r="AR45" s="88">
        <f t="shared" si="263"/>
        <v>0</v>
      </c>
      <c r="AS45" s="88">
        <f t="shared" si="263"/>
        <v>0</v>
      </c>
      <c r="AT45" s="88">
        <f t="shared" si="263"/>
        <v>0</v>
      </c>
      <c r="AU45" s="88">
        <f t="shared" si="263"/>
        <v>0</v>
      </c>
      <c r="AV45" s="88">
        <f t="shared" si="263"/>
        <v>0</v>
      </c>
      <c r="AW45" s="88">
        <f t="shared" si="263"/>
        <v>0</v>
      </c>
      <c r="AX45" s="88">
        <f t="shared" si="263"/>
        <v>0</v>
      </c>
      <c r="AY45" s="88">
        <f t="shared" si="263"/>
        <v>0</v>
      </c>
      <c r="AZ45" s="88">
        <f t="shared" si="263"/>
        <v>0</v>
      </c>
      <c r="BA45" s="88">
        <f t="shared" si="263"/>
        <v>0</v>
      </c>
      <c r="BB45" s="88">
        <f t="shared" si="263"/>
        <v>0</v>
      </c>
      <c r="BC45" s="88">
        <f t="shared" si="263"/>
        <v>0</v>
      </c>
      <c r="BD45" s="88">
        <f t="shared" si="263"/>
        <v>0</v>
      </c>
      <c r="BE45" s="88">
        <f t="shared" si="263"/>
        <v>0</v>
      </c>
      <c r="BF45" s="88">
        <f t="shared" si="263"/>
        <v>0</v>
      </c>
      <c r="BG45" s="88">
        <f t="shared" si="263"/>
        <v>0</v>
      </c>
      <c r="BH45" s="88">
        <f t="shared" si="263"/>
        <v>0</v>
      </c>
      <c r="BI45" s="88">
        <f t="shared" si="263"/>
        <v>0</v>
      </c>
      <c r="BJ45" s="88">
        <f t="shared" si="263"/>
        <v>0</v>
      </c>
      <c r="BK45" s="88">
        <f t="shared" si="263"/>
        <v>0</v>
      </c>
      <c r="BL45" s="88">
        <f t="shared" si="263"/>
        <v>0</v>
      </c>
      <c r="BM45" s="88">
        <f t="shared" si="263"/>
        <v>0</v>
      </c>
      <c r="BN45" s="88">
        <f t="shared" si="263"/>
        <v>0</v>
      </c>
      <c r="BO45" s="88">
        <f t="shared" si="263"/>
        <v>0</v>
      </c>
      <c r="BP45" s="88">
        <f t="shared" si="263"/>
        <v>0</v>
      </c>
      <c r="BQ45" s="88">
        <f t="shared" si="263"/>
        <v>0</v>
      </c>
      <c r="BR45" s="88">
        <f t="shared" si="263"/>
        <v>0</v>
      </c>
      <c r="BS45" s="88">
        <f t="shared" si="263"/>
        <v>0</v>
      </c>
      <c r="BT45" s="88">
        <f t="shared" si="263"/>
        <v>0</v>
      </c>
      <c r="BU45" s="88">
        <f t="shared" si="263"/>
        <v>0</v>
      </c>
      <c r="BV45" s="88">
        <f t="shared" si="263"/>
        <v>0</v>
      </c>
      <c r="BW45" s="88">
        <f t="shared" si="263"/>
        <v>0</v>
      </c>
      <c r="BX45" s="88">
        <f t="shared" si="263"/>
        <v>0</v>
      </c>
      <c r="BY45" s="88">
        <f t="shared" si="263"/>
        <v>0</v>
      </c>
      <c r="BZ45" s="88">
        <f t="shared" si="263"/>
        <v>0</v>
      </c>
      <c r="CA45" s="88">
        <f t="shared" si="263"/>
        <v>0</v>
      </c>
      <c r="CB45" s="88">
        <f t="shared" si="263"/>
        <v>0</v>
      </c>
      <c r="CC45" s="88">
        <f t="shared" si="263"/>
        <v>0</v>
      </c>
      <c r="CD45" s="88">
        <f t="shared" si="263"/>
        <v>0</v>
      </c>
      <c r="CE45" s="88">
        <f t="shared" si="263"/>
        <v>0</v>
      </c>
      <c r="CF45" s="88">
        <f t="shared" si="263"/>
        <v>0</v>
      </c>
      <c r="CG45" s="88">
        <f t="shared" si="263"/>
        <v>0</v>
      </c>
      <c r="CH45" s="88">
        <f t="shared" si="263"/>
        <v>0</v>
      </c>
      <c r="CI45" s="88">
        <f t="shared" si="263"/>
        <v>0</v>
      </c>
      <c r="CJ45" s="88">
        <f t="shared" si="263"/>
        <v>0</v>
      </c>
      <c r="CK45" s="88">
        <f t="shared" si="263"/>
        <v>0</v>
      </c>
      <c r="CL45" s="88">
        <f t="shared" si="263"/>
        <v>0</v>
      </c>
      <c r="CM45" s="88">
        <f t="shared" si="263"/>
        <v>0</v>
      </c>
      <c r="CN45" s="88">
        <f t="shared" si="263"/>
        <v>0</v>
      </c>
      <c r="CO45" s="88">
        <f t="shared" si="263"/>
        <v>0</v>
      </c>
      <c r="CP45" s="88">
        <f t="shared" si="263"/>
        <v>0</v>
      </c>
      <c r="CQ45" s="88">
        <f t="shared" si="263"/>
        <v>0</v>
      </c>
      <c r="CR45" s="88">
        <f t="shared" si="263"/>
        <v>0</v>
      </c>
      <c r="CS45" s="88">
        <f t="shared" si="263"/>
        <v>0</v>
      </c>
      <c r="CT45" s="88">
        <f t="shared" si="263"/>
        <v>0</v>
      </c>
      <c r="CU45" s="88">
        <f t="shared" si="263"/>
        <v>0</v>
      </c>
      <c r="CV45" s="88">
        <f t="shared" si="263"/>
        <v>0</v>
      </c>
      <c r="CW45" s="88">
        <f t="shared" si="263"/>
        <v>0</v>
      </c>
      <c r="CX45" s="88">
        <f t="shared" si="263"/>
        <v>0</v>
      </c>
      <c r="CY45" s="88">
        <f t="shared" si="263"/>
        <v>0</v>
      </c>
      <c r="CZ45" s="88">
        <f t="shared" si="263"/>
        <v>0</v>
      </c>
      <c r="DA45" s="88">
        <f t="shared" si="263"/>
        <v>0</v>
      </c>
      <c r="DB45" s="88">
        <f t="shared" si="263"/>
        <v>0</v>
      </c>
      <c r="DC45" s="88">
        <f t="shared" si="263"/>
        <v>0</v>
      </c>
      <c r="DD45" s="88">
        <f t="shared" si="263"/>
        <v>0</v>
      </c>
      <c r="DE45" s="88">
        <f t="shared" si="263"/>
        <v>0</v>
      </c>
      <c r="DF45" s="88">
        <f t="shared" si="263"/>
        <v>0</v>
      </c>
      <c r="DG45" s="88">
        <f t="shared" si="263"/>
        <v>0</v>
      </c>
      <c r="DH45" s="88">
        <f t="shared" si="263"/>
        <v>0</v>
      </c>
      <c r="DI45" s="88">
        <f t="shared" si="263"/>
        <v>0</v>
      </c>
      <c r="DJ45" s="88">
        <f t="shared" si="263"/>
        <v>0</v>
      </c>
      <c r="DK45" s="88">
        <f t="shared" si="263"/>
        <v>0</v>
      </c>
      <c r="DL45" s="88">
        <f t="shared" si="263"/>
        <v>0</v>
      </c>
      <c r="DM45" s="88">
        <f t="shared" si="263"/>
        <v>0</v>
      </c>
      <c r="DN45" s="88">
        <f t="shared" si="263"/>
        <v>0</v>
      </c>
      <c r="DO45" s="88">
        <f t="shared" si="263"/>
        <v>0</v>
      </c>
      <c r="DP45" s="88">
        <f t="shared" si="263"/>
        <v>0</v>
      </c>
      <c r="DQ45" s="88">
        <f t="shared" si="263"/>
        <v>0</v>
      </c>
      <c r="DR45" s="88">
        <f t="shared" si="263"/>
        <v>0</v>
      </c>
      <c r="DS45" s="88">
        <f t="shared" si="263"/>
        <v>0</v>
      </c>
      <c r="DT45" s="88">
        <f t="shared" si="263"/>
        <v>0</v>
      </c>
      <c r="DU45" s="88">
        <f t="shared" si="263"/>
        <v>0</v>
      </c>
      <c r="DV45" s="88">
        <f t="shared" ref="DV45:EY45" si="264">0</f>
        <v>0</v>
      </c>
      <c r="DW45" s="88">
        <f t="shared" si="264"/>
        <v>0</v>
      </c>
      <c r="DX45" s="88">
        <f t="shared" si="264"/>
        <v>0</v>
      </c>
      <c r="DY45" s="88">
        <f t="shared" si="264"/>
        <v>0</v>
      </c>
      <c r="DZ45" s="88">
        <f t="shared" si="264"/>
        <v>0</v>
      </c>
      <c r="EA45" s="88">
        <f t="shared" si="264"/>
        <v>0</v>
      </c>
      <c r="EB45" s="88">
        <f t="shared" si="264"/>
        <v>0</v>
      </c>
      <c r="EC45" s="88">
        <f t="shared" si="264"/>
        <v>0</v>
      </c>
      <c r="ED45" s="88">
        <f t="shared" si="264"/>
        <v>0</v>
      </c>
      <c r="EE45" s="88">
        <f t="shared" si="264"/>
        <v>0</v>
      </c>
      <c r="EF45" s="88">
        <f t="shared" si="264"/>
        <v>0</v>
      </c>
      <c r="EG45" s="88">
        <f t="shared" si="264"/>
        <v>0</v>
      </c>
      <c r="EH45" s="88">
        <f t="shared" si="264"/>
        <v>0</v>
      </c>
      <c r="EI45" s="88">
        <f t="shared" si="264"/>
        <v>0</v>
      </c>
      <c r="EJ45" s="88">
        <f t="shared" si="264"/>
        <v>0</v>
      </c>
      <c r="EK45" s="88">
        <f t="shared" si="264"/>
        <v>0</v>
      </c>
      <c r="EL45" s="88">
        <f t="shared" si="264"/>
        <v>0</v>
      </c>
      <c r="EM45" s="88">
        <f t="shared" si="264"/>
        <v>0</v>
      </c>
      <c r="EN45" s="88">
        <f t="shared" si="264"/>
        <v>0</v>
      </c>
      <c r="EO45" s="88">
        <f t="shared" si="264"/>
        <v>0</v>
      </c>
      <c r="EP45" s="88">
        <f t="shared" si="264"/>
        <v>0</v>
      </c>
      <c r="EQ45" s="88">
        <f t="shared" si="264"/>
        <v>0</v>
      </c>
      <c r="ER45" s="88">
        <f t="shared" si="264"/>
        <v>0</v>
      </c>
      <c r="ES45" s="88">
        <f t="shared" si="264"/>
        <v>0</v>
      </c>
      <c r="ET45" s="88">
        <f t="shared" si="264"/>
        <v>0</v>
      </c>
      <c r="EU45" s="88">
        <f t="shared" si="264"/>
        <v>0</v>
      </c>
      <c r="EV45" s="88">
        <f t="shared" si="264"/>
        <v>0</v>
      </c>
      <c r="EW45" s="88">
        <f t="shared" si="264"/>
        <v>0</v>
      </c>
      <c r="EX45" s="88">
        <f t="shared" si="264"/>
        <v>0</v>
      </c>
      <c r="EY45" s="88">
        <f t="shared" si="264"/>
        <v>0</v>
      </c>
    </row>
    <row r="46">
      <c r="A46" s="181" t="s">
        <v>222</v>
      </c>
      <c r="B46" s="10">
        <f t="shared" ref="B46:P46" si="265">0</f>
        <v>0</v>
      </c>
      <c r="C46" s="10">
        <f t="shared" si="265"/>
        <v>0</v>
      </c>
      <c r="D46" s="10">
        <f t="shared" si="265"/>
        <v>0</v>
      </c>
      <c r="E46" s="88">
        <f t="shared" si="265"/>
        <v>0</v>
      </c>
      <c r="F46" s="123">
        <f t="shared" si="265"/>
        <v>0</v>
      </c>
      <c r="G46" s="205">
        <f t="shared" si="265"/>
        <v>0</v>
      </c>
      <c r="H46" s="88">
        <f t="shared" si="265"/>
        <v>0</v>
      </c>
      <c r="I46" s="88">
        <f t="shared" si="265"/>
        <v>0</v>
      </c>
      <c r="J46" s="88">
        <f t="shared" si="265"/>
        <v>0</v>
      </c>
      <c r="K46" s="88">
        <f t="shared" si="265"/>
        <v>0</v>
      </c>
      <c r="L46" s="88">
        <f t="shared" si="265"/>
        <v>0</v>
      </c>
      <c r="M46" s="88">
        <f t="shared" si="265"/>
        <v>0</v>
      </c>
      <c r="N46" s="88">
        <f t="shared" si="265"/>
        <v>0</v>
      </c>
      <c r="O46" s="88">
        <f t="shared" si="265"/>
        <v>0</v>
      </c>
      <c r="P46" s="88">
        <f t="shared" si="265"/>
        <v>0</v>
      </c>
      <c r="Q46" s="88" t="str">
        <f>IFERROR(__xludf.DUMMYFUNCTION("6 + (REGEXEXTRACT(INDIRECT(ADDRESS(ROW() - 44, COLUMN())), ""[\d]"") - 1) * 1.5"),"#N/A")</f>
        <v>#N/A</v>
      </c>
      <c r="R46" s="88">
        <f t="shared" ref="R46:DU46" si="266">0</f>
        <v>0</v>
      </c>
      <c r="S46" s="88">
        <f t="shared" si="266"/>
        <v>0</v>
      </c>
      <c r="T46" s="88">
        <f t="shared" si="266"/>
        <v>0</v>
      </c>
      <c r="U46" s="88">
        <f t="shared" si="266"/>
        <v>0</v>
      </c>
      <c r="V46" s="88">
        <f t="shared" si="266"/>
        <v>0</v>
      </c>
      <c r="W46" s="88">
        <f t="shared" si="266"/>
        <v>0</v>
      </c>
      <c r="X46" s="88">
        <f t="shared" si="266"/>
        <v>0</v>
      </c>
      <c r="Y46" s="88">
        <f t="shared" si="266"/>
        <v>0</v>
      </c>
      <c r="Z46" s="88">
        <f t="shared" si="266"/>
        <v>0</v>
      </c>
      <c r="AA46" s="88">
        <f t="shared" si="266"/>
        <v>0</v>
      </c>
      <c r="AB46" s="88">
        <f t="shared" si="266"/>
        <v>0</v>
      </c>
      <c r="AC46" s="88">
        <f t="shared" si="266"/>
        <v>0</v>
      </c>
      <c r="AD46" s="88">
        <f t="shared" si="266"/>
        <v>0</v>
      </c>
      <c r="AE46" s="88">
        <f t="shared" si="266"/>
        <v>0</v>
      </c>
      <c r="AF46" s="88">
        <f t="shared" si="266"/>
        <v>0</v>
      </c>
      <c r="AG46" s="88">
        <f t="shared" si="266"/>
        <v>0</v>
      </c>
      <c r="AH46" s="88">
        <f t="shared" si="266"/>
        <v>0</v>
      </c>
      <c r="AI46" s="88">
        <f t="shared" si="266"/>
        <v>0</v>
      </c>
      <c r="AJ46" s="88">
        <f t="shared" si="266"/>
        <v>0</v>
      </c>
      <c r="AK46" s="88">
        <f t="shared" si="266"/>
        <v>0</v>
      </c>
      <c r="AL46" s="88">
        <f t="shared" si="266"/>
        <v>0</v>
      </c>
      <c r="AM46" s="88">
        <f t="shared" si="266"/>
        <v>0</v>
      </c>
      <c r="AN46" s="88">
        <f t="shared" si="266"/>
        <v>0</v>
      </c>
      <c r="AO46" s="88">
        <f t="shared" si="266"/>
        <v>0</v>
      </c>
      <c r="AP46" s="88">
        <f t="shared" si="266"/>
        <v>0</v>
      </c>
      <c r="AQ46" s="88">
        <f t="shared" si="266"/>
        <v>0</v>
      </c>
      <c r="AR46" s="88">
        <f t="shared" si="266"/>
        <v>0</v>
      </c>
      <c r="AS46" s="88">
        <f t="shared" si="266"/>
        <v>0</v>
      </c>
      <c r="AT46" s="88">
        <f t="shared" si="266"/>
        <v>0</v>
      </c>
      <c r="AU46" s="88">
        <f t="shared" si="266"/>
        <v>0</v>
      </c>
      <c r="AV46" s="88">
        <f t="shared" si="266"/>
        <v>0</v>
      </c>
      <c r="AW46" s="88">
        <f t="shared" si="266"/>
        <v>0</v>
      </c>
      <c r="AX46" s="88">
        <f t="shared" si="266"/>
        <v>0</v>
      </c>
      <c r="AY46" s="88">
        <f t="shared" si="266"/>
        <v>0</v>
      </c>
      <c r="AZ46" s="88">
        <f t="shared" si="266"/>
        <v>0</v>
      </c>
      <c r="BA46" s="88">
        <f t="shared" si="266"/>
        <v>0</v>
      </c>
      <c r="BB46" s="88">
        <f t="shared" si="266"/>
        <v>0</v>
      </c>
      <c r="BC46" s="88">
        <f t="shared" si="266"/>
        <v>0</v>
      </c>
      <c r="BD46" s="88">
        <f t="shared" si="266"/>
        <v>0</v>
      </c>
      <c r="BE46" s="88">
        <f t="shared" si="266"/>
        <v>0</v>
      </c>
      <c r="BF46" s="88">
        <f t="shared" si="266"/>
        <v>0</v>
      </c>
      <c r="BG46" s="88">
        <f t="shared" si="266"/>
        <v>0</v>
      </c>
      <c r="BH46" s="88">
        <f t="shared" si="266"/>
        <v>0</v>
      </c>
      <c r="BI46" s="88">
        <f t="shared" si="266"/>
        <v>0</v>
      </c>
      <c r="BJ46" s="88">
        <f t="shared" si="266"/>
        <v>0</v>
      </c>
      <c r="BK46" s="88">
        <f t="shared" si="266"/>
        <v>0</v>
      </c>
      <c r="BL46" s="88">
        <f t="shared" si="266"/>
        <v>0</v>
      </c>
      <c r="BM46" s="88">
        <f t="shared" si="266"/>
        <v>0</v>
      </c>
      <c r="BN46" s="88">
        <f t="shared" si="266"/>
        <v>0</v>
      </c>
      <c r="BO46" s="88">
        <f t="shared" si="266"/>
        <v>0</v>
      </c>
      <c r="BP46" s="88">
        <f t="shared" si="266"/>
        <v>0</v>
      </c>
      <c r="BQ46" s="88">
        <f t="shared" si="266"/>
        <v>0</v>
      </c>
      <c r="BR46" s="88">
        <f t="shared" si="266"/>
        <v>0</v>
      </c>
      <c r="BS46" s="88">
        <f t="shared" si="266"/>
        <v>0</v>
      </c>
      <c r="BT46" s="88">
        <f t="shared" si="266"/>
        <v>0</v>
      </c>
      <c r="BU46" s="88">
        <f t="shared" si="266"/>
        <v>0</v>
      </c>
      <c r="BV46" s="88">
        <f t="shared" si="266"/>
        <v>0</v>
      </c>
      <c r="BW46" s="88">
        <f t="shared" si="266"/>
        <v>0</v>
      </c>
      <c r="BX46" s="88">
        <f t="shared" si="266"/>
        <v>0</v>
      </c>
      <c r="BY46" s="88">
        <f t="shared" si="266"/>
        <v>0</v>
      </c>
      <c r="BZ46" s="88">
        <f t="shared" si="266"/>
        <v>0</v>
      </c>
      <c r="CA46" s="88">
        <f t="shared" si="266"/>
        <v>0</v>
      </c>
      <c r="CB46" s="88">
        <f t="shared" si="266"/>
        <v>0</v>
      </c>
      <c r="CC46" s="88">
        <f t="shared" si="266"/>
        <v>0</v>
      </c>
      <c r="CD46" s="88">
        <f t="shared" si="266"/>
        <v>0</v>
      </c>
      <c r="CE46" s="88">
        <f t="shared" si="266"/>
        <v>0</v>
      </c>
      <c r="CF46" s="88">
        <f t="shared" si="266"/>
        <v>0</v>
      </c>
      <c r="CG46" s="88">
        <f t="shared" si="266"/>
        <v>0</v>
      </c>
      <c r="CH46" s="88">
        <f t="shared" si="266"/>
        <v>0</v>
      </c>
      <c r="CI46" s="88">
        <f t="shared" si="266"/>
        <v>0</v>
      </c>
      <c r="CJ46" s="88">
        <f t="shared" si="266"/>
        <v>0</v>
      </c>
      <c r="CK46" s="88">
        <f t="shared" si="266"/>
        <v>0</v>
      </c>
      <c r="CL46" s="88">
        <f t="shared" si="266"/>
        <v>0</v>
      </c>
      <c r="CM46" s="88">
        <f t="shared" si="266"/>
        <v>0</v>
      </c>
      <c r="CN46" s="88">
        <f t="shared" si="266"/>
        <v>0</v>
      </c>
      <c r="CO46" s="88">
        <f t="shared" si="266"/>
        <v>0</v>
      </c>
      <c r="CP46" s="88">
        <f t="shared" si="266"/>
        <v>0</v>
      </c>
      <c r="CQ46" s="88">
        <f t="shared" si="266"/>
        <v>0</v>
      </c>
      <c r="CR46" s="88">
        <f t="shared" si="266"/>
        <v>0</v>
      </c>
      <c r="CS46" s="88">
        <f t="shared" si="266"/>
        <v>0</v>
      </c>
      <c r="CT46" s="88">
        <f t="shared" si="266"/>
        <v>0</v>
      </c>
      <c r="CU46" s="88">
        <f t="shared" si="266"/>
        <v>0</v>
      </c>
      <c r="CV46" s="88">
        <f t="shared" si="266"/>
        <v>0</v>
      </c>
      <c r="CW46" s="88">
        <f t="shared" si="266"/>
        <v>0</v>
      </c>
      <c r="CX46" s="88">
        <f t="shared" si="266"/>
        <v>0</v>
      </c>
      <c r="CY46" s="88">
        <f t="shared" si="266"/>
        <v>0</v>
      </c>
      <c r="CZ46" s="88">
        <f t="shared" si="266"/>
        <v>0</v>
      </c>
      <c r="DA46" s="88">
        <f t="shared" si="266"/>
        <v>0</v>
      </c>
      <c r="DB46" s="88">
        <f t="shared" si="266"/>
        <v>0</v>
      </c>
      <c r="DC46" s="88">
        <f t="shared" si="266"/>
        <v>0</v>
      </c>
      <c r="DD46" s="88">
        <f t="shared" si="266"/>
        <v>0</v>
      </c>
      <c r="DE46" s="88">
        <f t="shared" si="266"/>
        <v>0</v>
      </c>
      <c r="DF46" s="88">
        <f t="shared" si="266"/>
        <v>0</v>
      </c>
      <c r="DG46" s="88">
        <f t="shared" si="266"/>
        <v>0</v>
      </c>
      <c r="DH46" s="88">
        <f t="shared" si="266"/>
        <v>0</v>
      </c>
      <c r="DI46" s="88">
        <f t="shared" si="266"/>
        <v>0</v>
      </c>
      <c r="DJ46" s="88">
        <f t="shared" si="266"/>
        <v>0</v>
      </c>
      <c r="DK46" s="88">
        <f t="shared" si="266"/>
        <v>0</v>
      </c>
      <c r="DL46" s="88">
        <f t="shared" si="266"/>
        <v>0</v>
      </c>
      <c r="DM46" s="88">
        <f t="shared" si="266"/>
        <v>0</v>
      </c>
      <c r="DN46" s="88">
        <f t="shared" si="266"/>
        <v>0</v>
      </c>
      <c r="DO46" s="88">
        <f t="shared" si="266"/>
        <v>0</v>
      </c>
      <c r="DP46" s="88">
        <f t="shared" si="266"/>
        <v>0</v>
      </c>
      <c r="DQ46" s="88">
        <f t="shared" si="266"/>
        <v>0</v>
      </c>
      <c r="DR46" s="88">
        <f t="shared" si="266"/>
        <v>0</v>
      </c>
      <c r="DS46" s="88">
        <f t="shared" si="266"/>
        <v>0</v>
      </c>
      <c r="DT46" s="88">
        <f t="shared" si="266"/>
        <v>0</v>
      </c>
      <c r="DU46" s="88">
        <f t="shared" si="266"/>
        <v>0</v>
      </c>
      <c r="DV46" s="88">
        <f t="shared" ref="DV46:EY46" si="267">0</f>
        <v>0</v>
      </c>
      <c r="DW46" s="88">
        <f t="shared" si="267"/>
        <v>0</v>
      </c>
      <c r="DX46" s="88">
        <f t="shared" si="267"/>
        <v>0</v>
      </c>
      <c r="DY46" s="88">
        <f t="shared" si="267"/>
        <v>0</v>
      </c>
      <c r="DZ46" s="88">
        <f t="shared" si="267"/>
        <v>0</v>
      </c>
      <c r="EA46" s="88">
        <f t="shared" si="267"/>
        <v>0</v>
      </c>
      <c r="EB46" s="88">
        <f t="shared" si="267"/>
        <v>0</v>
      </c>
      <c r="EC46" s="88">
        <f t="shared" si="267"/>
        <v>0</v>
      </c>
      <c r="ED46" s="88">
        <f t="shared" si="267"/>
        <v>0</v>
      </c>
      <c r="EE46" s="88">
        <f t="shared" si="267"/>
        <v>0</v>
      </c>
      <c r="EF46" s="88">
        <f t="shared" si="267"/>
        <v>0</v>
      </c>
      <c r="EG46" s="88">
        <f t="shared" si="267"/>
        <v>0</v>
      </c>
      <c r="EH46" s="88">
        <f t="shared" si="267"/>
        <v>0</v>
      </c>
      <c r="EI46" s="88">
        <f t="shared" si="267"/>
        <v>0</v>
      </c>
      <c r="EJ46" s="88">
        <f t="shared" si="267"/>
        <v>0</v>
      </c>
      <c r="EK46" s="88">
        <f t="shared" si="267"/>
        <v>0</v>
      </c>
      <c r="EL46" s="88">
        <f t="shared" si="267"/>
        <v>0</v>
      </c>
      <c r="EM46" s="88">
        <f t="shared" si="267"/>
        <v>0</v>
      </c>
      <c r="EN46" s="88">
        <f t="shared" si="267"/>
        <v>0</v>
      </c>
      <c r="EO46" s="88">
        <f t="shared" si="267"/>
        <v>0</v>
      </c>
      <c r="EP46" s="88">
        <f t="shared" si="267"/>
        <v>0</v>
      </c>
      <c r="EQ46" s="88">
        <f t="shared" si="267"/>
        <v>0</v>
      </c>
      <c r="ER46" s="88">
        <f t="shared" si="267"/>
        <v>0</v>
      </c>
      <c r="ES46" s="88">
        <f t="shared" si="267"/>
        <v>0</v>
      </c>
      <c r="ET46" s="88">
        <f t="shared" si="267"/>
        <v>0</v>
      </c>
      <c r="EU46" s="88">
        <f t="shared" si="267"/>
        <v>0</v>
      </c>
      <c r="EV46" s="88">
        <f t="shared" si="267"/>
        <v>0</v>
      </c>
      <c r="EW46" s="88">
        <f t="shared" si="267"/>
        <v>0</v>
      </c>
      <c r="EX46" s="88">
        <f t="shared" si="267"/>
        <v>0</v>
      </c>
      <c r="EY46" s="88">
        <f t="shared" si="267"/>
        <v>0</v>
      </c>
    </row>
    <row r="47">
      <c r="A47" s="181" t="s">
        <v>223</v>
      </c>
      <c r="B47" s="10">
        <f t="shared" ref="B47:DU47" si="268">0</f>
        <v>0</v>
      </c>
      <c r="C47" s="10">
        <f t="shared" si="268"/>
        <v>0</v>
      </c>
      <c r="D47" s="10">
        <f t="shared" si="268"/>
        <v>0</v>
      </c>
      <c r="E47" s="88">
        <f t="shared" si="268"/>
        <v>0</v>
      </c>
      <c r="F47" s="123">
        <f t="shared" si="268"/>
        <v>0</v>
      </c>
      <c r="G47" s="205">
        <f t="shared" si="268"/>
        <v>0</v>
      </c>
      <c r="H47" s="88">
        <f t="shared" si="268"/>
        <v>0</v>
      </c>
      <c r="I47" s="88">
        <f t="shared" si="268"/>
        <v>0</v>
      </c>
      <c r="J47" s="88">
        <f t="shared" si="268"/>
        <v>0</v>
      </c>
      <c r="K47" s="88">
        <f t="shared" si="268"/>
        <v>0</v>
      </c>
      <c r="L47" s="88">
        <f t="shared" si="268"/>
        <v>0</v>
      </c>
      <c r="M47" s="88">
        <f t="shared" si="268"/>
        <v>0</v>
      </c>
      <c r="N47" s="88">
        <f t="shared" si="268"/>
        <v>0</v>
      </c>
      <c r="O47" s="88">
        <f t="shared" si="268"/>
        <v>0</v>
      </c>
      <c r="P47" s="88">
        <f t="shared" si="268"/>
        <v>0</v>
      </c>
      <c r="Q47" s="88">
        <f t="shared" si="268"/>
        <v>0</v>
      </c>
      <c r="R47" s="88">
        <f t="shared" si="268"/>
        <v>0</v>
      </c>
      <c r="S47" s="88">
        <f t="shared" si="268"/>
        <v>0</v>
      </c>
      <c r="T47" s="88">
        <f t="shared" si="268"/>
        <v>0</v>
      </c>
      <c r="U47" s="88">
        <f t="shared" si="268"/>
        <v>0</v>
      </c>
      <c r="V47" s="88">
        <f t="shared" si="268"/>
        <v>0</v>
      </c>
      <c r="W47" s="88">
        <f t="shared" si="268"/>
        <v>0</v>
      </c>
      <c r="X47" s="88">
        <f t="shared" si="268"/>
        <v>0</v>
      </c>
      <c r="Y47" s="88">
        <f t="shared" si="268"/>
        <v>0</v>
      </c>
      <c r="Z47" s="88">
        <f t="shared" si="268"/>
        <v>0</v>
      </c>
      <c r="AA47" s="88">
        <f t="shared" si="268"/>
        <v>0</v>
      </c>
      <c r="AB47" s="88">
        <f t="shared" si="268"/>
        <v>0</v>
      </c>
      <c r="AC47" s="88">
        <f t="shared" si="268"/>
        <v>0</v>
      </c>
      <c r="AD47" s="88">
        <f t="shared" si="268"/>
        <v>0</v>
      </c>
      <c r="AE47" s="88">
        <f t="shared" si="268"/>
        <v>0</v>
      </c>
      <c r="AF47" s="88">
        <f t="shared" si="268"/>
        <v>0</v>
      </c>
      <c r="AG47" s="88">
        <f t="shared" si="268"/>
        <v>0</v>
      </c>
      <c r="AH47" s="88">
        <f t="shared" si="268"/>
        <v>0</v>
      </c>
      <c r="AI47" s="88">
        <f t="shared" si="268"/>
        <v>0</v>
      </c>
      <c r="AJ47" s="88">
        <f t="shared" si="268"/>
        <v>0</v>
      </c>
      <c r="AK47" s="88">
        <f t="shared" si="268"/>
        <v>0</v>
      </c>
      <c r="AL47" s="88">
        <f t="shared" si="268"/>
        <v>0</v>
      </c>
      <c r="AM47" s="88">
        <f t="shared" si="268"/>
        <v>0</v>
      </c>
      <c r="AN47" s="88">
        <f t="shared" si="268"/>
        <v>0</v>
      </c>
      <c r="AO47" s="88">
        <f t="shared" si="268"/>
        <v>0</v>
      </c>
      <c r="AP47" s="88">
        <f t="shared" si="268"/>
        <v>0</v>
      </c>
      <c r="AQ47" s="88">
        <f t="shared" si="268"/>
        <v>0</v>
      </c>
      <c r="AR47" s="88">
        <f t="shared" si="268"/>
        <v>0</v>
      </c>
      <c r="AS47" s="88">
        <f t="shared" si="268"/>
        <v>0</v>
      </c>
      <c r="AT47" s="88">
        <f t="shared" si="268"/>
        <v>0</v>
      </c>
      <c r="AU47" s="88">
        <f t="shared" si="268"/>
        <v>0</v>
      </c>
      <c r="AV47" s="88">
        <f t="shared" si="268"/>
        <v>0</v>
      </c>
      <c r="AW47" s="88">
        <f t="shared" si="268"/>
        <v>0</v>
      </c>
      <c r="AX47" s="88">
        <f t="shared" si="268"/>
        <v>0</v>
      </c>
      <c r="AY47" s="88">
        <f t="shared" si="268"/>
        <v>0</v>
      </c>
      <c r="AZ47" s="88">
        <f t="shared" si="268"/>
        <v>0</v>
      </c>
      <c r="BA47" s="88">
        <f t="shared" si="268"/>
        <v>0</v>
      </c>
      <c r="BB47" s="88">
        <f t="shared" si="268"/>
        <v>0</v>
      </c>
      <c r="BC47" s="88">
        <f t="shared" si="268"/>
        <v>0</v>
      </c>
      <c r="BD47" s="88">
        <f t="shared" si="268"/>
        <v>0</v>
      </c>
      <c r="BE47" s="88">
        <f t="shared" si="268"/>
        <v>0</v>
      </c>
      <c r="BF47" s="88">
        <f t="shared" si="268"/>
        <v>0</v>
      </c>
      <c r="BG47" s="88">
        <f t="shared" si="268"/>
        <v>0</v>
      </c>
      <c r="BH47" s="88">
        <f t="shared" si="268"/>
        <v>0</v>
      </c>
      <c r="BI47" s="88">
        <f t="shared" si="268"/>
        <v>0</v>
      </c>
      <c r="BJ47" s="88">
        <f t="shared" si="268"/>
        <v>0</v>
      </c>
      <c r="BK47" s="88">
        <f t="shared" si="268"/>
        <v>0</v>
      </c>
      <c r="BL47" s="88">
        <f t="shared" si="268"/>
        <v>0</v>
      </c>
      <c r="BM47" s="88">
        <f t="shared" si="268"/>
        <v>0</v>
      </c>
      <c r="BN47" s="88">
        <f t="shared" si="268"/>
        <v>0</v>
      </c>
      <c r="BO47" s="88">
        <f t="shared" si="268"/>
        <v>0</v>
      </c>
      <c r="BP47" s="88">
        <f t="shared" si="268"/>
        <v>0</v>
      </c>
      <c r="BQ47" s="88">
        <f t="shared" si="268"/>
        <v>0</v>
      </c>
      <c r="BR47" s="88">
        <f t="shared" si="268"/>
        <v>0</v>
      </c>
      <c r="BS47" s="88">
        <f t="shared" si="268"/>
        <v>0</v>
      </c>
      <c r="BT47" s="88">
        <f t="shared" si="268"/>
        <v>0</v>
      </c>
      <c r="BU47" s="88">
        <f t="shared" si="268"/>
        <v>0</v>
      </c>
      <c r="BV47" s="88">
        <f t="shared" si="268"/>
        <v>0</v>
      </c>
      <c r="BW47" s="88">
        <f t="shared" si="268"/>
        <v>0</v>
      </c>
      <c r="BX47" s="88">
        <f t="shared" si="268"/>
        <v>0</v>
      </c>
      <c r="BY47" s="88">
        <f t="shared" si="268"/>
        <v>0</v>
      </c>
      <c r="BZ47" s="88">
        <f t="shared" si="268"/>
        <v>0</v>
      </c>
      <c r="CA47" s="88">
        <f t="shared" si="268"/>
        <v>0</v>
      </c>
      <c r="CB47" s="88">
        <f t="shared" si="268"/>
        <v>0</v>
      </c>
      <c r="CC47" s="88">
        <f t="shared" si="268"/>
        <v>0</v>
      </c>
      <c r="CD47" s="88">
        <f t="shared" si="268"/>
        <v>0</v>
      </c>
      <c r="CE47" s="88">
        <f t="shared" si="268"/>
        <v>0</v>
      </c>
      <c r="CF47" s="88">
        <f t="shared" si="268"/>
        <v>0</v>
      </c>
      <c r="CG47" s="88">
        <f t="shared" si="268"/>
        <v>0</v>
      </c>
      <c r="CH47" s="88">
        <f t="shared" si="268"/>
        <v>0</v>
      </c>
      <c r="CI47" s="88">
        <f t="shared" si="268"/>
        <v>0</v>
      </c>
      <c r="CJ47" s="88">
        <f t="shared" si="268"/>
        <v>0</v>
      </c>
      <c r="CK47" s="88">
        <f t="shared" si="268"/>
        <v>0</v>
      </c>
      <c r="CL47" s="88">
        <f t="shared" si="268"/>
        <v>0</v>
      </c>
      <c r="CM47" s="88">
        <f t="shared" si="268"/>
        <v>0</v>
      </c>
      <c r="CN47" s="88">
        <f t="shared" si="268"/>
        <v>0</v>
      </c>
      <c r="CO47" s="88">
        <f t="shared" si="268"/>
        <v>0</v>
      </c>
      <c r="CP47" s="88">
        <f t="shared" si="268"/>
        <v>0</v>
      </c>
      <c r="CQ47" s="88">
        <f t="shared" si="268"/>
        <v>0</v>
      </c>
      <c r="CR47" s="88">
        <f t="shared" si="268"/>
        <v>0</v>
      </c>
      <c r="CS47" s="88">
        <f t="shared" si="268"/>
        <v>0</v>
      </c>
      <c r="CT47" s="88">
        <f t="shared" si="268"/>
        <v>0</v>
      </c>
      <c r="CU47" s="88">
        <f t="shared" si="268"/>
        <v>0</v>
      </c>
      <c r="CV47" s="88">
        <f t="shared" si="268"/>
        <v>0</v>
      </c>
      <c r="CW47" s="88">
        <f t="shared" si="268"/>
        <v>0</v>
      </c>
      <c r="CX47" s="88">
        <f t="shared" si="268"/>
        <v>0</v>
      </c>
      <c r="CY47" s="88">
        <f t="shared" si="268"/>
        <v>0</v>
      </c>
      <c r="CZ47" s="88">
        <f t="shared" si="268"/>
        <v>0</v>
      </c>
      <c r="DA47" s="88">
        <f t="shared" si="268"/>
        <v>0</v>
      </c>
      <c r="DB47" s="88">
        <f t="shared" si="268"/>
        <v>0</v>
      </c>
      <c r="DC47" s="88">
        <f t="shared" si="268"/>
        <v>0</v>
      </c>
      <c r="DD47" s="88">
        <f t="shared" si="268"/>
        <v>0</v>
      </c>
      <c r="DE47" s="88">
        <f t="shared" si="268"/>
        <v>0</v>
      </c>
      <c r="DF47" s="88">
        <f t="shared" si="268"/>
        <v>0</v>
      </c>
      <c r="DG47" s="88">
        <f t="shared" si="268"/>
        <v>0</v>
      </c>
      <c r="DH47" s="88">
        <f t="shared" si="268"/>
        <v>0</v>
      </c>
      <c r="DI47" s="88">
        <f t="shared" si="268"/>
        <v>0</v>
      </c>
      <c r="DJ47" s="88">
        <f t="shared" si="268"/>
        <v>0</v>
      </c>
      <c r="DK47" s="88">
        <f t="shared" si="268"/>
        <v>0</v>
      </c>
      <c r="DL47" s="88">
        <f t="shared" si="268"/>
        <v>0</v>
      </c>
      <c r="DM47" s="88">
        <f t="shared" si="268"/>
        <v>0</v>
      </c>
      <c r="DN47" s="88">
        <f t="shared" si="268"/>
        <v>0</v>
      </c>
      <c r="DO47" s="88">
        <f t="shared" si="268"/>
        <v>0</v>
      </c>
      <c r="DP47" s="88">
        <f t="shared" si="268"/>
        <v>0</v>
      </c>
      <c r="DQ47" s="88">
        <f t="shared" si="268"/>
        <v>0</v>
      </c>
      <c r="DR47" s="88">
        <f t="shared" si="268"/>
        <v>0</v>
      </c>
      <c r="DS47" s="88">
        <f t="shared" si="268"/>
        <v>0</v>
      </c>
      <c r="DT47" s="88">
        <f t="shared" si="268"/>
        <v>0</v>
      </c>
      <c r="DU47" s="88">
        <f t="shared" si="268"/>
        <v>0</v>
      </c>
      <c r="DV47" s="88">
        <f t="shared" ref="DV47:EY47" si="269">0</f>
        <v>0</v>
      </c>
      <c r="DW47" s="88">
        <f t="shared" si="269"/>
        <v>0</v>
      </c>
      <c r="DX47" s="88">
        <f t="shared" si="269"/>
        <v>0</v>
      </c>
      <c r="DY47" s="88">
        <f t="shared" si="269"/>
        <v>0</v>
      </c>
      <c r="DZ47" s="88">
        <f t="shared" si="269"/>
        <v>0</v>
      </c>
      <c r="EA47" s="88">
        <f t="shared" si="269"/>
        <v>0</v>
      </c>
      <c r="EB47" s="88">
        <f t="shared" si="269"/>
        <v>0</v>
      </c>
      <c r="EC47" s="88">
        <f t="shared" si="269"/>
        <v>0</v>
      </c>
      <c r="ED47" s="88">
        <f t="shared" si="269"/>
        <v>0</v>
      </c>
      <c r="EE47" s="88">
        <f t="shared" si="269"/>
        <v>0</v>
      </c>
      <c r="EF47" s="88">
        <f t="shared" si="269"/>
        <v>0</v>
      </c>
      <c r="EG47" s="88">
        <f t="shared" si="269"/>
        <v>0</v>
      </c>
      <c r="EH47" s="88">
        <f t="shared" si="269"/>
        <v>0</v>
      </c>
      <c r="EI47" s="88">
        <f t="shared" si="269"/>
        <v>0</v>
      </c>
      <c r="EJ47" s="88">
        <f t="shared" si="269"/>
        <v>0</v>
      </c>
      <c r="EK47" s="88">
        <f t="shared" si="269"/>
        <v>0</v>
      </c>
      <c r="EL47" s="88">
        <f t="shared" si="269"/>
        <v>0</v>
      </c>
      <c r="EM47" s="88">
        <f t="shared" si="269"/>
        <v>0</v>
      </c>
      <c r="EN47" s="88">
        <f t="shared" si="269"/>
        <v>0</v>
      </c>
      <c r="EO47" s="88">
        <f t="shared" si="269"/>
        <v>0</v>
      </c>
      <c r="EP47" s="88">
        <f t="shared" si="269"/>
        <v>0</v>
      </c>
      <c r="EQ47" s="88">
        <f t="shared" si="269"/>
        <v>0</v>
      </c>
      <c r="ER47" s="88">
        <f t="shared" si="269"/>
        <v>0</v>
      </c>
      <c r="ES47" s="88">
        <f t="shared" si="269"/>
        <v>0</v>
      </c>
      <c r="ET47" s="88">
        <f t="shared" si="269"/>
        <v>0</v>
      </c>
      <c r="EU47" s="88">
        <f t="shared" si="269"/>
        <v>0</v>
      </c>
      <c r="EV47" s="88">
        <f t="shared" si="269"/>
        <v>0</v>
      </c>
      <c r="EW47" s="88">
        <f t="shared" si="269"/>
        <v>0</v>
      </c>
      <c r="EX47" s="88">
        <f t="shared" si="269"/>
        <v>0</v>
      </c>
      <c r="EY47" s="88">
        <f t="shared" si="269"/>
        <v>0</v>
      </c>
    </row>
    <row r="48">
      <c r="A48" s="181" t="s">
        <v>224</v>
      </c>
      <c r="B48" s="10">
        <f t="shared" ref="B48:BA48" si="270">0</f>
        <v>0</v>
      </c>
      <c r="C48" s="10">
        <f t="shared" si="270"/>
        <v>0</v>
      </c>
      <c r="D48" s="10">
        <f t="shared" si="270"/>
        <v>0</v>
      </c>
      <c r="E48" s="88">
        <f t="shared" si="270"/>
        <v>0</v>
      </c>
      <c r="F48" s="123">
        <f t="shared" si="270"/>
        <v>0</v>
      </c>
      <c r="G48" s="205">
        <f t="shared" si="270"/>
        <v>0</v>
      </c>
      <c r="H48" s="88">
        <f t="shared" si="270"/>
        <v>0</v>
      </c>
      <c r="I48" s="88">
        <f t="shared" si="270"/>
        <v>0</v>
      </c>
      <c r="J48" s="88">
        <f t="shared" si="270"/>
        <v>0</v>
      </c>
      <c r="K48" s="88">
        <f t="shared" si="270"/>
        <v>0</v>
      </c>
      <c r="L48" s="88">
        <f t="shared" si="270"/>
        <v>0</v>
      </c>
      <c r="M48" s="88">
        <f t="shared" si="270"/>
        <v>0</v>
      </c>
      <c r="N48" s="88">
        <f t="shared" si="270"/>
        <v>0</v>
      </c>
      <c r="O48" s="88">
        <f t="shared" si="270"/>
        <v>0</v>
      </c>
      <c r="P48" s="88">
        <f t="shared" si="270"/>
        <v>0</v>
      </c>
      <c r="Q48" s="88">
        <f t="shared" si="270"/>
        <v>0</v>
      </c>
      <c r="R48" s="88">
        <f t="shared" si="270"/>
        <v>0</v>
      </c>
      <c r="S48" s="88">
        <f t="shared" si="270"/>
        <v>0</v>
      </c>
      <c r="T48" s="88">
        <f t="shared" si="270"/>
        <v>0</v>
      </c>
      <c r="U48" s="88">
        <f t="shared" si="270"/>
        <v>0</v>
      </c>
      <c r="V48" s="88">
        <f t="shared" si="270"/>
        <v>0</v>
      </c>
      <c r="W48" s="88">
        <f t="shared" si="270"/>
        <v>0</v>
      </c>
      <c r="X48" s="88">
        <f t="shared" si="270"/>
        <v>0</v>
      </c>
      <c r="Y48" s="88">
        <f t="shared" si="270"/>
        <v>0</v>
      </c>
      <c r="Z48" s="88">
        <f t="shared" si="270"/>
        <v>0</v>
      </c>
      <c r="AA48" s="88">
        <f t="shared" si="270"/>
        <v>0</v>
      </c>
      <c r="AB48" s="88">
        <f t="shared" si="270"/>
        <v>0</v>
      </c>
      <c r="AC48" s="88">
        <f t="shared" si="270"/>
        <v>0</v>
      </c>
      <c r="AD48" s="88">
        <f t="shared" si="270"/>
        <v>0</v>
      </c>
      <c r="AE48" s="88">
        <f t="shared" si="270"/>
        <v>0</v>
      </c>
      <c r="AF48" s="88">
        <f t="shared" si="270"/>
        <v>0</v>
      </c>
      <c r="AG48" s="88">
        <f t="shared" si="270"/>
        <v>0</v>
      </c>
      <c r="AH48" s="88">
        <f t="shared" si="270"/>
        <v>0</v>
      </c>
      <c r="AI48" s="88">
        <f t="shared" si="270"/>
        <v>0</v>
      </c>
      <c r="AJ48" s="88">
        <f t="shared" si="270"/>
        <v>0</v>
      </c>
      <c r="AK48" s="88">
        <f t="shared" si="270"/>
        <v>0</v>
      </c>
      <c r="AL48" s="88">
        <f t="shared" si="270"/>
        <v>0</v>
      </c>
      <c r="AM48" s="88">
        <f t="shared" si="270"/>
        <v>0</v>
      </c>
      <c r="AN48" s="88">
        <f t="shared" si="270"/>
        <v>0</v>
      </c>
      <c r="AO48" s="88">
        <f t="shared" si="270"/>
        <v>0</v>
      </c>
      <c r="AP48" s="88">
        <f t="shared" si="270"/>
        <v>0</v>
      </c>
      <c r="AQ48" s="88">
        <f t="shared" si="270"/>
        <v>0</v>
      </c>
      <c r="AR48" s="88">
        <f t="shared" si="270"/>
        <v>0</v>
      </c>
      <c r="AS48" s="88">
        <f t="shared" si="270"/>
        <v>0</v>
      </c>
      <c r="AT48" s="88">
        <f t="shared" si="270"/>
        <v>0</v>
      </c>
      <c r="AU48" s="88">
        <f t="shared" si="270"/>
        <v>0</v>
      </c>
      <c r="AV48" s="88">
        <f t="shared" si="270"/>
        <v>0</v>
      </c>
      <c r="AW48" s="88">
        <f t="shared" si="270"/>
        <v>0</v>
      </c>
      <c r="AX48" s="88">
        <f t="shared" si="270"/>
        <v>0</v>
      </c>
      <c r="AY48" s="88">
        <f t="shared" si="270"/>
        <v>0</v>
      </c>
      <c r="AZ48" s="88">
        <f t="shared" si="270"/>
        <v>0</v>
      </c>
      <c r="BA48" s="88">
        <f t="shared" si="270"/>
        <v>0</v>
      </c>
      <c r="BB48" s="88" t="str">
        <f>IFERROR(__xludf.DUMMYFUNCTION("12 + (REGEXEXTRACT(INDIRECT(ADDRESS(ROW() - 46, COLUMN())), ""[\d]"") - 1) * 3"),"#N/A")</f>
        <v>#N/A</v>
      </c>
      <c r="BC48" s="88">
        <f t="shared" ref="BC48:DU48" si="271">0</f>
        <v>0</v>
      </c>
      <c r="BD48" s="88">
        <f t="shared" si="271"/>
        <v>0</v>
      </c>
      <c r="BE48" s="88">
        <f t="shared" si="271"/>
        <v>0</v>
      </c>
      <c r="BF48" s="88">
        <f t="shared" si="271"/>
        <v>0</v>
      </c>
      <c r="BG48" s="88">
        <f t="shared" si="271"/>
        <v>0</v>
      </c>
      <c r="BH48" s="88">
        <f t="shared" si="271"/>
        <v>0</v>
      </c>
      <c r="BI48" s="88">
        <f t="shared" si="271"/>
        <v>0</v>
      </c>
      <c r="BJ48" s="88">
        <f t="shared" si="271"/>
        <v>0</v>
      </c>
      <c r="BK48" s="88">
        <f t="shared" si="271"/>
        <v>0</v>
      </c>
      <c r="BL48" s="88">
        <f t="shared" si="271"/>
        <v>0</v>
      </c>
      <c r="BM48" s="88">
        <f t="shared" si="271"/>
        <v>0</v>
      </c>
      <c r="BN48" s="88">
        <f t="shared" si="271"/>
        <v>0</v>
      </c>
      <c r="BO48" s="88">
        <f t="shared" si="271"/>
        <v>0</v>
      </c>
      <c r="BP48" s="88">
        <f t="shared" si="271"/>
        <v>0</v>
      </c>
      <c r="BQ48" s="88">
        <f t="shared" si="271"/>
        <v>0</v>
      </c>
      <c r="BR48" s="88">
        <f t="shared" si="271"/>
        <v>0</v>
      </c>
      <c r="BS48" s="88">
        <f t="shared" si="271"/>
        <v>0</v>
      </c>
      <c r="BT48" s="88">
        <f t="shared" si="271"/>
        <v>0</v>
      </c>
      <c r="BU48" s="88">
        <f t="shared" si="271"/>
        <v>0</v>
      </c>
      <c r="BV48" s="88">
        <f t="shared" si="271"/>
        <v>0</v>
      </c>
      <c r="BW48" s="88">
        <f t="shared" si="271"/>
        <v>0</v>
      </c>
      <c r="BX48" s="88">
        <f t="shared" si="271"/>
        <v>0</v>
      </c>
      <c r="BY48" s="88">
        <f t="shared" si="271"/>
        <v>0</v>
      </c>
      <c r="BZ48" s="88">
        <f t="shared" si="271"/>
        <v>0</v>
      </c>
      <c r="CA48" s="88">
        <f t="shared" si="271"/>
        <v>0</v>
      </c>
      <c r="CB48" s="88">
        <f t="shared" si="271"/>
        <v>0</v>
      </c>
      <c r="CC48" s="88">
        <f t="shared" si="271"/>
        <v>0</v>
      </c>
      <c r="CD48" s="88">
        <f t="shared" si="271"/>
        <v>0</v>
      </c>
      <c r="CE48" s="88">
        <f t="shared" si="271"/>
        <v>0</v>
      </c>
      <c r="CF48" s="88">
        <f t="shared" si="271"/>
        <v>0</v>
      </c>
      <c r="CG48" s="88">
        <f t="shared" si="271"/>
        <v>0</v>
      </c>
      <c r="CH48" s="88">
        <f t="shared" si="271"/>
        <v>0</v>
      </c>
      <c r="CI48" s="88">
        <f t="shared" si="271"/>
        <v>0</v>
      </c>
      <c r="CJ48" s="88">
        <f t="shared" si="271"/>
        <v>0</v>
      </c>
      <c r="CK48" s="88">
        <f t="shared" si="271"/>
        <v>0</v>
      </c>
      <c r="CL48" s="88">
        <f t="shared" si="271"/>
        <v>0</v>
      </c>
      <c r="CM48" s="88">
        <f t="shared" si="271"/>
        <v>0</v>
      </c>
      <c r="CN48" s="88">
        <f t="shared" si="271"/>
        <v>0</v>
      </c>
      <c r="CO48" s="88">
        <f t="shared" si="271"/>
        <v>0</v>
      </c>
      <c r="CP48" s="88">
        <f t="shared" si="271"/>
        <v>0</v>
      </c>
      <c r="CQ48" s="88">
        <f t="shared" si="271"/>
        <v>0</v>
      </c>
      <c r="CR48" s="88">
        <f t="shared" si="271"/>
        <v>0</v>
      </c>
      <c r="CS48" s="88">
        <f t="shared" si="271"/>
        <v>0</v>
      </c>
      <c r="CT48" s="88">
        <f t="shared" si="271"/>
        <v>0</v>
      </c>
      <c r="CU48" s="88">
        <f t="shared" si="271"/>
        <v>0</v>
      </c>
      <c r="CV48" s="88">
        <f t="shared" si="271"/>
        <v>0</v>
      </c>
      <c r="CW48" s="88">
        <f t="shared" si="271"/>
        <v>0</v>
      </c>
      <c r="CX48" s="88">
        <f t="shared" si="271"/>
        <v>0</v>
      </c>
      <c r="CY48" s="88">
        <f t="shared" si="271"/>
        <v>0</v>
      </c>
      <c r="CZ48" s="88">
        <f t="shared" si="271"/>
        <v>0</v>
      </c>
      <c r="DA48" s="88">
        <f t="shared" si="271"/>
        <v>0</v>
      </c>
      <c r="DB48" s="88">
        <f t="shared" si="271"/>
        <v>0</v>
      </c>
      <c r="DC48" s="88">
        <f t="shared" si="271"/>
        <v>0</v>
      </c>
      <c r="DD48" s="88">
        <f t="shared" si="271"/>
        <v>0</v>
      </c>
      <c r="DE48" s="88">
        <f t="shared" si="271"/>
        <v>0</v>
      </c>
      <c r="DF48" s="88">
        <f t="shared" si="271"/>
        <v>0</v>
      </c>
      <c r="DG48" s="88">
        <f t="shared" si="271"/>
        <v>0</v>
      </c>
      <c r="DH48" s="88">
        <f t="shared" si="271"/>
        <v>0</v>
      </c>
      <c r="DI48" s="88">
        <f t="shared" si="271"/>
        <v>0</v>
      </c>
      <c r="DJ48" s="88">
        <f t="shared" si="271"/>
        <v>0</v>
      </c>
      <c r="DK48" s="88">
        <f t="shared" si="271"/>
        <v>0</v>
      </c>
      <c r="DL48" s="88">
        <f t="shared" si="271"/>
        <v>0</v>
      </c>
      <c r="DM48" s="88">
        <f t="shared" si="271"/>
        <v>0</v>
      </c>
      <c r="DN48" s="88">
        <f t="shared" si="271"/>
        <v>0</v>
      </c>
      <c r="DO48" s="88">
        <f t="shared" si="271"/>
        <v>0</v>
      </c>
      <c r="DP48" s="88">
        <f t="shared" si="271"/>
        <v>0</v>
      </c>
      <c r="DQ48" s="88">
        <f t="shared" si="271"/>
        <v>0</v>
      </c>
      <c r="DR48" s="88">
        <f t="shared" si="271"/>
        <v>0</v>
      </c>
      <c r="DS48" s="88">
        <f t="shared" si="271"/>
        <v>0</v>
      </c>
      <c r="DT48" s="88">
        <f t="shared" si="271"/>
        <v>0</v>
      </c>
      <c r="DU48" s="88">
        <f t="shared" si="271"/>
        <v>0</v>
      </c>
      <c r="DV48" s="88">
        <f t="shared" ref="DV48:EY48" si="272">0</f>
        <v>0</v>
      </c>
      <c r="DW48" s="88">
        <f t="shared" si="272"/>
        <v>0</v>
      </c>
      <c r="DX48" s="88">
        <f t="shared" si="272"/>
        <v>0</v>
      </c>
      <c r="DY48" s="88">
        <f t="shared" si="272"/>
        <v>0</v>
      </c>
      <c r="DZ48" s="88">
        <f t="shared" si="272"/>
        <v>0</v>
      </c>
      <c r="EA48" s="88">
        <f t="shared" si="272"/>
        <v>0</v>
      </c>
      <c r="EB48" s="88">
        <f t="shared" si="272"/>
        <v>0</v>
      </c>
      <c r="EC48" s="88">
        <f t="shared" si="272"/>
        <v>0</v>
      </c>
      <c r="ED48" s="88">
        <f t="shared" si="272"/>
        <v>0</v>
      </c>
      <c r="EE48" s="88">
        <f t="shared" si="272"/>
        <v>0</v>
      </c>
      <c r="EF48" s="88">
        <f t="shared" si="272"/>
        <v>0</v>
      </c>
      <c r="EG48" s="88">
        <f t="shared" si="272"/>
        <v>0</v>
      </c>
      <c r="EH48" s="88">
        <f t="shared" si="272"/>
        <v>0</v>
      </c>
      <c r="EI48" s="88">
        <f t="shared" si="272"/>
        <v>0</v>
      </c>
      <c r="EJ48" s="88">
        <f t="shared" si="272"/>
        <v>0</v>
      </c>
      <c r="EK48" s="88">
        <f t="shared" si="272"/>
        <v>0</v>
      </c>
      <c r="EL48" s="88">
        <f t="shared" si="272"/>
        <v>0</v>
      </c>
      <c r="EM48" s="88">
        <f t="shared" si="272"/>
        <v>0</v>
      </c>
      <c r="EN48" s="88">
        <f t="shared" si="272"/>
        <v>0</v>
      </c>
      <c r="EO48" s="88">
        <f t="shared" si="272"/>
        <v>0</v>
      </c>
      <c r="EP48" s="88">
        <f t="shared" si="272"/>
        <v>0</v>
      </c>
      <c r="EQ48" s="88">
        <f t="shared" si="272"/>
        <v>0</v>
      </c>
      <c r="ER48" s="88">
        <f t="shared" si="272"/>
        <v>0</v>
      </c>
      <c r="ES48" s="88">
        <f t="shared" si="272"/>
        <v>0</v>
      </c>
      <c r="ET48" s="88">
        <f t="shared" si="272"/>
        <v>0</v>
      </c>
      <c r="EU48" s="88">
        <f t="shared" si="272"/>
        <v>0</v>
      </c>
      <c r="EV48" s="88">
        <f t="shared" si="272"/>
        <v>0</v>
      </c>
      <c r="EW48" s="88">
        <f t="shared" si="272"/>
        <v>0</v>
      </c>
      <c r="EX48" s="88">
        <f t="shared" si="272"/>
        <v>0</v>
      </c>
      <c r="EY48" s="88">
        <f t="shared" si="272"/>
        <v>0</v>
      </c>
    </row>
    <row r="49">
      <c r="A49" s="181" t="s">
        <v>225</v>
      </c>
      <c r="B49" s="10">
        <f t="shared" ref="B49:DU49" si="273">0</f>
        <v>0</v>
      </c>
      <c r="C49" s="10">
        <f t="shared" si="273"/>
        <v>0</v>
      </c>
      <c r="D49" s="10">
        <f t="shared" si="273"/>
        <v>0</v>
      </c>
      <c r="E49" s="88">
        <f t="shared" si="273"/>
        <v>0</v>
      </c>
      <c r="F49" s="123">
        <f t="shared" si="273"/>
        <v>0</v>
      </c>
      <c r="G49" s="205">
        <f t="shared" si="273"/>
        <v>0</v>
      </c>
      <c r="H49" s="88">
        <f t="shared" si="273"/>
        <v>0</v>
      </c>
      <c r="I49" s="88">
        <f t="shared" si="273"/>
        <v>0</v>
      </c>
      <c r="J49" s="88">
        <f t="shared" si="273"/>
        <v>0</v>
      </c>
      <c r="K49" s="88">
        <f t="shared" si="273"/>
        <v>0</v>
      </c>
      <c r="L49" s="88">
        <f t="shared" si="273"/>
        <v>0</v>
      </c>
      <c r="M49" s="88">
        <f t="shared" si="273"/>
        <v>0</v>
      </c>
      <c r="N49" s="88">
        <f t="shared" si="273"/>
        <v>0</v>
      </c>
      <c r="O49" s="88">
        <f t="shared" si="273"/>
        <v>0</v>
      </c>
      <c r="P49" s="88">
        <f t="shared" si="273"/>
        <v>0</v>
      </c>
      <c r="Q49" s="88">
        <f t="shared" si="273"/>
        <v>0</v>
      </c>
      <c r="R49" s="88">
        <f t="shared" si="273"/>
        <v>0</v>
      </c>
      <c r="S49" s="88">
        <f t="shared" si="273"/>
        <v>0</v>
      </c>
      <c r="T49" s="88">
        <f t="shared" si="273"/>
        <v>0</v>
      </c>
      <c r="U49" s="88">
        <f t="shared" si="273"/>
        <v>0</v>
      </c>
      <c r="V49" s="88">
        <f t="shared" si="273"/>
        <v>0</v>
      </c>
      <c r="W49" s="88">
        <f t="shared" si="273"/>
        <v>0</v>
      </c>
      <c r="X49" s="88">
        <f t="shared" si="273"/>
        <v>0</v>
      </c>
      <c r="Y49" s="88">
        <f t="shared" si="273"/>
        <v>0</v>
      </c>
      <c r="Z49" s="88">
        <f t="shared" si="273"/>
        <v>0</v>
      </c>
      <c r="AA49" s="88">
        <f t="shared" si="273"/>
        <v>0</v>
      </c>
      <c r="AB49" s="88">
        <f t="shared" si="273"/>
        <v>0</v>
      </c>
      <c r="AC49" s="88">
        <f t="shared" si="273"/>
        <v>0</v>
      </c>
      <c r="AD49" s="88">
        <f t="shared" si="273"/>
        <v>0</v>
      </c>
      <c r="AE49" s="88">
        <f t="shared" si="273"/>
        <v>0</v>
      </c>
      <c r="AF49" s="88">
        <f t="shared" si="273"/>
        <v>0</v>
      </c>
      <c r="AG49" s="88">
        <f t="shared" si="273"/>
        <v>0</v>
      </c>
      <c r="AH49" s="88">
        <f t="shared" si="273"/>
        <v>0</v>
      </c>
      <c r="AI49" s="88">
        <f t="shared" si="273"/>
        <v>0</v>
      </c>
      <c r="AJ49" s="88">
        <f t="shared" si="273"/>
        <v>0</v>
      </c>
      <c r="AK49" s="88">
        <f t="shared" si="273"/>
        <v>0</v>
      </c>
      <c r="AL49" s="88">
        <f t="shared" si="273"/>
        <v>0</v>
      </c>
      <c r="AM49" s="88">
        <f t="shared" si="273"/>
        <v>0</v>
      </c>
      <c r="AN49" s="88">
        <f t="shared" si="273"/>
        <v>0</v>
      </c>
      <c r="AO49" s="88">
        <f t="shared" si="273"/>
        <v>0</v>
      </c>
      <c r="AP49" s="88">
        <f t="shared" si="273"/>
        <v>0</v>
      </c>
      <c r="AQ49" s="88">
        <f t="shared" si="273"/>
        <v>0</v>
      </c>
      <c r="AR49" s="88">
        <f t="shared" si="273"/>
        <v>0</v>
      </c>
      <c r="AS49" s="88">
        <f t="shared" si="273"/>
        <v>0</v>
      </c>
      <c r="AT49" s="88">
        <f t="shared" si="273"/>
        <v>0</v>
      </c>
      <c r="AU49" s="88">
        <f t="shared" si="273"/>
        <v>0</v>
      </c>
      <c r="AV49" s="88">
        <f t="shared" si="273"/>
        <v>0</v>
      </c>
      <c r="AW49" s="88">
        <f t="shared" si="273"/>
        <v>0</v>
      </c>
      <c r="AX49" s="88">
        <f t="shared" si="273"/>
        <v>0</v>
      </c>
      <c r="AY49" s="88">
        <f t="shared" si="273"/>
        <v>0</v>
      </c>
      <c r="AZ49" s="88">
        <f t="shared" si="273"/>
        <v>0</v>
      </c>
      <c r="BA49" s="88">
        <f t="shared" si="273"/>
        <v>0</v>
      </c>
      <c r="BB49" s="88">
        <f t="shared" si="273"/>
        <v>0</v>
      </c>
      <c r="BC49" s="88">
        <f t="shared" si="273"/>
        <v>0</v>
      </c>
      <c r="BD49" s="88">
        <f t="shared" si="273"/>
        <v>0</v>
      </c>
      <c r="BE49" s="88">
        <f t="shared" si="273"/>
        <v>0</v>
      </c>
      <c r="BF49" s="88">
        <f t="shared" si="273"/>
        <v>0</v>
      </c>
      <c r="BG49" s="88">
        <f t="shared" si="273"/>
        <v>0</v>
      </c>
      <c r="BH49" s="88">
        <f t="shared" si="273"/>
        <v>0</v>
      </c>
      <c r="BI49" s="88">
        <f t="shared" si="273"/>
        <v>0</v>
      </c>
      <c r="BJ49" s="88">
        <f t="shared" si="273"/>
        <v>0</v>
      </c>
      <c r="BK49" s="88">
        <f t="shared" si="273"/>
        <v>0</v>
      </c>
      <c r="BL49" s="88">
        <f t="shared" si="273"/>
        <v>0</v>
      </c>
      <c r="BM49" s="88">
        <f t="shared" si="273"/>
        <v>0</v>
      </c>
      <c r="BN49" s="88">
        <f t="shared" si="273"/>
        <v>0</v>
      </c>
      <c r="BO49" s="88">
        <f t="shared" si="273"/>
        <v>0</v>
      </c>
      <c r="BP49" s="88">
        <f t="shared" si="273"/>
        <v>0</v>
      </c>
      <c r="BQ49" s="88">
        <f t="shared" si="273"/>
        <v>0</v>
      </c>
      <c r="BR49" s="88">
        <f t="shared" si="273"/>
        <v>0</v>
      </c>
      <c r="BS49" s="88">
        <f t="shared" si="273"/>
        <v>0</v>
      </c>
      <c r="BT49" s="88">
        <f t="shared" si="273"/>
        <v>0</v>
      </c>
      <c r="BU49" s="88">
        <f t="shared" si="273"/>
        <v>0</v>
      </c>
      <c r="BV49" s="88">
        <f t="shared" si="273"/>
        <v>0</v>
      </c>
      <c r="BW49" s="88">
        <f t="shared" si="273"/>
        <v>0</v>
      </c>
      <c r="BX49" s="88">
        <f t="shared" si="273"/>
        <v>0</v>
      </c>
      <c r="BY49" s="88">
        <f t="shared" si="273"/>
        <v>0</v>
      </c>
      <c r="BZ49" s="88">
        <f t="shared" si="273"/>
        <v>0</v>
      </c>
      <c r="CA49" s="88">
        <f t="shared" si="273"/>
        <v>0</v>
      </c>
      <c r="CB49" s="88">
        <f t="shared" si="273"/>
        <v>0</v>
      </c>
      <c r="CC49" s="88">
        <f t="shared" si="273"/>
        <v>0</v>
      </c>
      <c r="CD49" s="88">
        <f t="shared" si="273"/>
        <v>0</v>
      </c>
      <c r="CE49" s="88">
        <f t="shared" si="273"/>
        <v>0</v>
      </c>
      <c r="CF49" s="88">
        <f t="shared" si="273"/>
        <v>0</v>
      </c>
      <c r="CG49" s="88">
        <f t="shared" si="273"/>
        <v>0</v>
      </c>
      <c r="CH49" s="88">
        <f t="shared" si="273"/>
        <v>0</v>
      </c>
      <c r="CI49" s="88">
        <f t="shared" si="273"/>
        <v>0</v>
      </c>
      <c r="CJ49" s="88">
        <f t="shared" si="273"/>
        <v>0</v>
      </c>
      <c r="CK49" s="88">
        <f t="shared" si="273"/>
        <v>0</v>
      </c>
      <c r="CL49" s="88">
        <f t="shared" si="273"/>
        <v>0</v>
      </c>
      <c r="CM49" s="88">
        <f t="shared" si="273"/>
        <v>0</v>
      </c>
      <c r="CN49" s="88">
        <f t="shared" si="273"/>
        <v>0</v>
      </c>
      <c r="CO49" s="88">
        <f t="shared" si="273"/>
        <v>0</v>
      </c>
      <c r="CP49" s="88">
        <f t="shared" si="273"/>
        <v>0</v>
      </c>
      <c r="CQ49" s="88">
        <f t="shared" si="273"/>
        <v>0</v>
      </c>
      <c r="CR49" s="88">
        <f t="shared" si="273"/>
        <v>0</v>
      </c>
      <c r="CS49" s="88">
        <f t="shared" si="273"/>
        <v>0</v>
      </c>
      <c r="CT49" s="88">
        <f t="shared" si="273"/>
        <v>0</v>
      </c>
      <c r="CU49" s="88">
        <f t="shared" si="273"/>
        <v>0</v>
      </c>
      <c r="CV49" s="88">
        <f t="shared" si="273"/>
        <v>0</v>
      </c>
      <c r="CW49" s="88">
        <f t="shared" si="273"/>
        <v>0</v>
      </c>
      <c r="CX49" s="88">
        <f t="shared" si="273"/>
        <v>0</v>
      </c>
      <c r="CY49" s="88">
        <f t="shared" si="273"/>
        <v>0</v>
      </c>
      <c r="CZ49" s="88">
        <f t="shared" si="273"/>
        <v>0</v>
      </c>
      <c r="DA49" s="88">
        <f t="shared" si="273"/>
        <v>0</v>
      </c>
      <c r="DB49" s="88">
        <f t="shared" si="273"/>
        <v>0</v>
      </c>
      <c r="DC49" s="88">
        <f t="shared" si="273"/>
        <v>0</v>
      </c>
      <c r="DD49" s="88">
        <f t="shared" si="273"/>
        <v>0</v>
      </c>
      <c r="DE49" s="88">
        <f t="shared" si="273"/>
        <v>0</v>
      </c>
      <c r="DF49" s="88">
        <f t="shared" si="273"/>
        <v>0</v>
      </c>
      <c r="DG49" s="88">
        <f t="shared" si="273"/>
        <v>0</v>
      </c>
      <c r="DH49" s="88">
        <f t="shared" si="273"/>
        <v>0</v>
      </c>
      <c r="DI49" s="88">
        <f t="shared" si="273"/>
        <v>0</v>
      </c>
      <c r="DJ49" s="88">
        <f t="shared" si="273"/>
        <v>0</v>
      </c>
      <c r="DK49" s="88">
        <f t="shared" si="273"/>
        <v>0</v>
      </c>
      <c r="DL49" s="88">
        <f t="shared" si="273"/>
        <v>0</v>
      </c>
      <c r="DM49" s="88">
        <f t="shared" si="273"/>
        <v>0</v>
      </c>
      <c r="DN49" s="88">
        <f t="shared" si="273"/>
        <v>0</v>
      </c>
      <c r="DO49" s="88">
        <f t="shared" si="273"/>
        <v>0</v>
      </c>
      <c r="DP49" s="88">
        <f t="shared" si="273"/>
        <v>0</v>
      </c>
      <c r="DQ49" s="88">
        <f t="shared" si="273"/>
        <v>0</v>
      </c>
      <c r="DR49" s="88">
        <f t="shared" si="273"/>
        <v>0</v>
      </c>
      <c r="DS49" s="88">
        <f t="shared" si="273"/>
        <v>0</v>
      </c>
      <c r="DT49" s="88">
        <f t="shared" si="273"/>
        <v>0</v>
      </c>
      <c r="DU49" s="88">
        <f t="shared" si="273"/>
        <v>0</v>
      </c>
      <c r="DV49" s="88">
        <f t="shared" ref="DV49:EY49" si="274">0</f>
        <v>0</v>
      </c>
      <c r="DW49" s="88">
        <f t="shared" si="274"/>
        <v>0</v>
      </c>
      <c r="DX49" s="88">
        <f t="shared" si="274"/>
        <v>0</v>
      </c>
      <c r="DY49" s="88">
        <f t="shared" si="274"/>
        <v>0</v>
      </c>
      <c r="DZ49" s="88">
        <f t="shared" si="274"/>
        <v>0</v>
      </c>
      <c r="EA49" s="88">
        <f t="shared" si="274"/>
        <v>0</v>
      </c>
      <c r="EB49" s="88">
        <f t="shared" si="274"/>
        <v>0</v>
      </c>
      <c r="EC49" s="88">
        <f t="shared" si="274"/>
        <v>0</v>
      </c>
      <c r="ED49" s="88">
        <f t="shared" si="274"/>
        <v>0</v>
      </c>
      <c r="EE49" s="88">
        <f t="shared" si="274"/>
        <v>0</v>
      </c>
      <c r="EF49" s="88">
        <f t="shared" si="274"/>
        <v>0</v>
      </c>
      <c r="EG49" s="88">
        <f t="shared" si="274"/>
        <v>0</v>
      </c>
      <c r="EH49" s="88">
        <f t="shared" si="274"/>
        <v>0</v>
      </c>
      <c r="EI49" s="88">
        <f t="shared" si="274"/>
        <v>0</v>
      </c>
      <c r="EJ49" s="88">
        <f t="shared" si="274"/>
        <v>0</v>
      </c>
      <c r="EK49" s="88">
        <f t="shared" si="274"/>
        <v>0</v>
      </c>
      <c r="EL49" s="88">
        <f t="shared" si="274"/>
        <v>0</v>
      </c>
      <c r="EM49" s="88">
        <f t="shared" si="274"/>
        <v>0</v>
      </c>
      <c r="EN49" s="88">
        <f t="shared" si="274"/>
        <v>0</v>
      </c>
      <c r="EO49" s="88">
        <f t="shared" si="274"/>
        <v>0</v>
      </c>
      <c r="EP49" s="88">
        <f t="shared" si="274"/>
        <v>0</v>
      </c>
      <c r="EQ49" s="88">
        <f t="shared" si="274"/>
        <v>0</v>
      </c>
      <c r="ER49" s="88">
        <f t="shared" si="274"/>
        <v>0</v>
      </c>
      <c r="ES49" s="88">
        <f t="shared" si="274"/>
        <v>0</v>
      </c>
      <c r="ET49" s="88">
        <f t="shared" si="274"/>
        <v>0</v>
      </c>
      <c r="EU49" s="88">
        <f t="shared" si="274"/>
        <v>0</v>
      </c>
      <c r="EV49" s="88">
        <f t="shared" si="274"/>
        <v>0</v>
      </c>
      <c r="EW49" s="88">
        <f t="shared" si="274"/>
        <v>0</v>
      </c>
      <c r="EX49" s="88">
        <f t="shared" si="274"/>
        <v>0</v>
      </c>
      <c r="EY49" s="88">
        <f t="shared" si="274"/>
        <v>0</v>
      </c>
    </row>
    <row r="50">
      <c r="A50" s="181" t="s">
        <v>226</v>
      </c>
      <c r="B50" s="10">
        <f t="shared" ref="B50:C50" si="275">0</f>
        <v>0</v>
      </c>
      <c r="C50" s="10">
        <f t="shared" si="275"/>
        <v>0</v>
      </c>
      <c r="D50" s="10" t="str">
        <f>IFERROR(__xludf.DUMMYFUNCTION("20 + (REGEXEXTRACT(INDIRECT(ADDRESS(ROW() - 48, COLUMN())), ""[\d]"") - 1) * 4"),"#N/A")</f>
        <v>#N/A</v>
      </c>
      <c r="E50" s="88">
        <f t="shared" ref="E50:X50" si="276">0</f>
        <v>0</v>
      </c>
      <c r="F50" s="123">
        <f t="shared" si="276"/>
        <v>0</v>
      </c>
      <c r="G50" s="205">
        <f t="shared" si="276"/>
        <v>0</v>
      </c>
      <c r="H50" s="88">
        <f t="shared" si="276"/>
        <v>0</v>
      </c>
      <c r="I50" s="88">
        <f t="shared" si="276"/>
        <v>0</v>
      </c>
      <c r="J50" s="88">
        <f t="shared" si="276"/>
        <v>0</v>
      </c>
      <c r="K50" s="88">
        <f t="shared" si="276"/>
        <v>0</v>
      </c>
      <c r="L50" s="88">
        <f t="shared" si="276"/>
        <v>0</v>
      </c>
      <c r="M50" s="88">
        <f t="shared" si="276"/>
        <v>0</v>
      </c>
      <c r="N50" s="88">
        <f t="shared" si="276"/>
        <v>0</v>
      </c>
      <c r="O50" s="88">
        <f t="shared" si="276"/>
        <v>0</v>
      </c>
      <c r="P50" s="88">
        <f t="shared" si="276"/>
        <v>0</v>
      </c>
      <c r="Q50" s="88">
        <f t="shared" si="276"/>
        <v>0</v>
      </c>
      <c r="R50" s="88">
        <f t="shared" si="276"/>
        <v>0</v>
      </c>
      <c r="S50" s="88">
        <f t="shared" si="276"/>
        <v>0</v>
      </c>
      <c r="T50" s="88">
        <f t="shared" si="276"/>
        <v>0</v>
      </c>
      <c r="U50" s="88">
        <f t="shared" si="276"/>
        <v>0</v>
      </c>
      <c r="V50" s="88">
        <f t="shared" si="276"/>
        <v>0</v>
      </c>
      <c r="W50" s="88">
        <f t="shared" si="276"/>
        <v>0</v>
      </c>
      <c r="X50" s="88">
        <f t="shared" si="276"/>
        <v>0</v>
      </c>
      <c r="Y50" s="10" t="str">
        <f>IFERROR(__xludf.DUMMYFUNCTION("12 + (REGEXEXTRACT(INDIRECT(ADDRESS(ROW() - 48, COLUMN())), ""[\d]"") - 1) * 3"),"#N/A")</f>
        <v>#N/A</v>
      </c>
      <c r="Z50" s="88">
        <f t="shared" ref="Z50:BA50" si="277">0</f>
        <v>0</v>
      </c>
      <c r="AA50" s="88">
        <f t="shared" si="277"/>
        <v>0</v>
      </c>
      <c r="AB50" s="88">
        <f t="shared" si="277"/>
        <v>0</v>
      </c>
      <c r="AC50" s="88">
        <f t="shared" si="277"/>
        <v>0</v>
      </c>
      <c r="AD50" s="88">
        <f t="shared" si="277"/>
        <v>0</v>
      </c>
      <c r="AE50" s="88">
        <f t="shared" si="277"/>
        <v>0</v>
      </c>
      <c r="AF50" s="88">
        <f t="shared" si="277"/>
        <v>0</v>
      </c>
      <c r="AG50" s="88">
        <f t="shared" si="277"/>
        <v>0</v>
      </c>
      <c r="AH50" s="88">
        <f t="shared" si="277"/>
        <v>0</v>
      </c>
      <c r="AI50" s="88">
        <f t="shared" si="277"/>
        <v>0</v>
      </c>
      <c r="AJ50" s="88">
        <f t="shared" si="277"/>
        <v>0</v>
      </c>
      <c r="AK50" s="88">
        <f t="shared" si="277"/>
        <v>0</v>
      </c>
      <c r="AL50" s="88">
        <f t="shared" si="277"/>
        <v>0</v>
      </c>
      <c r="AM50" s="88">
        <f t="shared" si="277"/>
        <v>0</v>
      </c>
      <c r="AN50" s="88">
        <f t="shared" si="277"/>
        <v>0</v>
      </c>
      <c r="AO50" s="88">
        <f t="shared" si="277"/>
        <v>0</v>
      </c>
      <c r="AP50" s="88">
        <f t="shared" si="277"/>
        <v>0</v>
      </c>
      <c r="AQ50" s="88">
        <f t="shared" si="277"/>
        <v>0</v>
      </c>
      <c r="AR50" s="88">
        <f t="shared" si="277"/>
        <v>0</v>
      </c>
      <c r="AS50" s="88">
        <f t="shared" si="277"/>
        <v>0</v>
      </c>
      <c r="AT50" s="88">
        <f t="shared" si="277"/>
        <v>0</v>
      </c>
      <c r="AU50" s="88">
        <f t="shared" si="277"/>
        <v>0</v>
      </c>
      <c r="AV50" s="88">
        <f t="shared" si="277"/>
        <v>0</v>
      </c>
      <c r="AW50" s="88">
        <f t="shared" si="277"/>
        <v>0</v>
      </c>
      <c r="AX50" s="88">
        <f t="shared" si="277"/>
        <v>0</v>
      </c>
      <c r="AY50" s="88">
        <f t="shared" si="277"/>
        <v>0</v>
      </c>
      <c r="AZ50" s="88">
        <f t="shared" si="277"/>
        <v>0</v>
      </c>
      <c r="BA50" s="88">
        <f t="shared" si="277"/>
        <v>0</v>
      </c>
      <c r="BB50" s="88" t="str">
        <f>IFERROR(__xludf.DUMMYFUNCTION("12 + (REGEXEXTRACT(INDIRECT(ADDRESS(ROW() - 48, COLUMN())), ""[\d]"") - 1) * 3"),"#N/A")</f>
        <v>#N/A</v>
      </c>
      <c r="BC50" s="88">
        <f t="shared" ref="BC50:CB50" si="278">0</f>
        <v>0</v>
      </c>
      <c r="BD50" s="88">
        <f t="shared" si="278"/>
        <v>0</v>
      </c>
      <c r="BE50" s="88">
        <f t="shared" si="278"/>
        <v>0</v>
      </c>
      <c r="BF50" s="88">
        <f t="shared" si="278"/>
        <v>0</v>
      </c>
      <c r="BG50" s="88">
        <f t="shared" si="278"/>
        <v>0</v>
      </c>
      <c r="BH50" s="88">
        <f t="shared" si="278"/>
        <v>0</v>
      </c>
      <c r="BI50" s="88">
        <f t="shared" si="278"/>
        <v>0</v>
      </c>
      <c r="BJ50" s="88">
        <f t="shared" si="278"/>
        <v>0</v>
      </c>
      <c r="BK50" s="88">
        <f t="shared" si="278"/>
        <v>0</v>
      </c>
      <c r="BL50" s="88">
        <f t="shared" si="278"/>
        <v>0</v>
      </c>
      <c r="BM50" s="88">
        <f t="shared" si="278"/>
        <v>0</v>
      </c>
      <c r="BN50" s="88">
        <f t="shared" si="278"/>
        <v>0</v>
      </c>
      <c r="BO50" s="88">
        <f t="shared" si="278"/>
        <v>0</v>
      </c>
      <c r="BP50" s="88">
        <f t="shared" si="278"/>
        <v>0</v>
      </c>
      <c r="BQ50" s="88">
        <f t="shared" si="278"/>
        <v>0</v>
      </c>
      <c r="BR50" s="88">
        <f t="shared" si="278"/>
        <v>0</v>
      </c>
      <c r="BS50" s="88">
        <f t="shared" si="278"/>
        <v>0</v>
      </c>
      <c r="BT50" s="88">
        <f t="shared" si="278"/>
        <v>0</v>
      </c>
      <c r="BU50" s="88">
        <f t="shared" si="278"/>
        <v>0</v>
      </c>
      <c r="BV50" s="88">
        <f t="shared" si="278"/>
        <v>0</v>
      </c>
      <c r="BW50" s="88">
        <f t="shared" si="278"/>
        <v>0</v>
      </c>
      <c r="BX50" s="88">
        <f t="shared" si="278"/>
        <v>0</v>
      </c>
      <c r="BY50" s="88">
        <f t="shared" si="278"/>
        <v>0</v>
      </c>
      <c r="BZ50" s="88">
        <f t="shared" si="278"/>
        <v>0</v>
      </c>
      <c r="CA50" s="88">
        <f t="shared" si="278"/>
        <v>0</v>
      </c>
      <c r="CB50" s="88">
        <f t="shared" si="278"/>
        <v>0</v>
      </c>
      <c r="CC50" s="88" t="str">
        <f>IFERROR(__xludf.DUMMYFUNCTION("20 + (REGEXEXTRACT(INDIRECT(ADDRESS(ROW() - 48, COLUMN())), ""[\d]"") - 1) * 4"),"#N/A")</f>
        <v>#N/A</v>
      </c>
      <c r="CD50" s="88">
        <f t="shared" ref="CD50:CT50" si="279">0</f>
        <v>0</v>
      </c>
      <c r="CE50" s="88">
        <f t="shared" si="279"/>
        <v>0</v>
      </c>
      <c r="CF50" s="88">
        <f t="shared" si="279"/>
        <v>0</v>
      </c>
      <c r="CG50" s="88">
        <f t="shared" si="279"/>
        <v>0</v>
      </c>
      <c r="CH50" s="88">
        <f t="shared" si="279"/>
        <v>0</v>
      </c>
      <c r="CI50" s="88">
        <f t="shared" si="279"/>
        <v>0</v>
      </c>
      <c r="CJ50" s="88">
        <f t="shared" si="279"/>
        <v>0</v>
      </c>
      <c r="CK50" s="88">
        <f t="shared" si="279"/>
        <v>0</v>
      </c>
      <c r="CL50" s="88">
        <f t="shared" si="279"/>
        <v>0</v>
      </c>
      <c r="CM50" s="88">
        <f t="shared" si="279"/>
        <v>0</v>
      </c>
      <c r="CN50" s="88">
        <f t="shared" si="279"/>
        <v>0</v>
      </c>
      <c r="CO50" s="88">
        <f t="shared" si="279"/>
        <v>0</v>
      </c>
      <c r="CP50" s="88">
        <f t="shared" si="279"/>
        <v>0</v>
      </c>
      <c r="CQ50" s="88">
        <f t="shared" si="279"/>
        <v>0</v>
      </c>
      <c r="CR50" s="88">
        <f t="shared" si="279"/>
        <v>0</v>
      </c>
      <c r="CS50" s="88">
        <f t="shared" si="279"/>
        <v>0</v>
      </c>
      <c r="CT50" s="88">
        <f t="shared" si="279"/>
        <v>0</v>
      </c>
      <c r="CU50" s="88" t="str">
        <f>IFERROR(__xludf.DUMMYFUNCTION("12 + (REGEXEXTRACT(INDIRECT(ADDRESS(ROW() - 48, COLUMN())), ""[\d]"") - 1) * 3"),"#N/A")</f>
        <v>#N/A</v>
      </c>
      <c r="CV50" s="88">
        <f t="shared" ref="CV50:DU50" si="280">0</f>
        <v>0</v>
      </c>
      <c r="CW50" s="88">
        <f t="shared" si="280"/>
        <v>0</v>
      </c>
      <c r="CX50" s="88">
        <f t="shared" si="280"/>
        <v>0</v>
      </c>
      <c r="CY50" s="88">
        <f t="shared" si="280"/>
        <v>0</v>
      </c>
      <c r="CZ50" s="88">
        <f t="shared" si="280"/>
        <v>0</v>
      </c>
      <c r="DA50" s="88">
        <f t="shared" si="280"/>
        <v>0</v>
      </c>
      <c r="DB50" s="88">
        <f t="shared" si="280"/>
        <v>0</v>
      </c>
      <c r="DC50" s="88">
        <f t="shared" si="280"/>
        <v>0</v>
      </c>
      <c r="DD50" s="88">
        <f t="shared" si="280"/>
        <v>0</v>
      </c>
      <c r="DE50" s="88">
        <f t="shared" si="280"/>
        <v>0</v>
      </c>
      <c r="DF50" s="88">
        <f t="shared" si="280"/>
        <v>0</v>
      </c>
      <c r="DG50" s="88">
        <f t="shared" si="280"/>
        <v>0</v>
      </c>
      <c r="DH50" s="88">
        <f t="shared" si="280"/>
        <v>0</v>
      </c>
      <c r="DI50" s="88">
        <f t="shared" si="280"/>
        <v>0</v>
      </c>
      <c r="DJ50" s="88">
        <f t="shared" si="280"/>
        <v>0</v>
      </c>
      <c r="DK50" s="88">
        <f t="shared" si="280"/>
        <v>0</v>
      </c>
      <c r="DL50" s="88">
        <f t="shared" si="280"/>
        <v>0</v>
      </c>
      <c r="DM50" s="88">
        <f t="shared" si="280"/>
        <v>0</v>
      </c>
      <c r="DN50" s="88">
        <f t="shared" si="280"/>
        <v>0</v>
      </c>
      <c r="DO50" s="88">
        <f t="shared" si="280"/>
        <v>0</v>
      </c>
      <c r="DP50" s="88">
        <f t="shared" si="280"/>
        <v>0</v>
      </c>
      <c r="DQ50" s="88">
        <f t="shared" si="280"/>
        <v>0</v>
      </c>
      <c r="DR50" s="88">
        <f t="shared" si="280"/>
        <v>0</v>
      </c>
      <c r="DS50" s="88">
        <f t="shared" si="280"/>
        <v>0</v>
      </c>
      <c r="DT50" s="88">
        <f t="shared" si="280"/>
        <v>0</v>
      </c>
      <c r="DU50" s="88">
        <f t="shared" si="280"/>
        <v>0</v>
      </c>
      <c r="DV50" s="88">
        <f t="shared" ref="DV50:EY50" si="281">0</f>
        <v>0</v>
      </c>
      <c r="DW50" s="88">
        <f t="shared" si="281"/>
        <v>0</v>
      </c>
      <c r="DX50" s="88">
        <f t="shared" si="281"/>
        <v>0</v>
      </c>
      <c r="DY50" s="88">
        <f t="shared" si="281"/>
        <v>0</v>
      </c>
      <c r="DZ50" s="88">
        <f t="shared" si="281"/>
        <v>0</v>
      </c>
      <c r="EA50" s="88">
        <f t="shared" si="281"/>
        <v>0</v>
      </c>
      <c r="EB50" s="88">
        <f t="shared" si="281"/>
        <v>0</v>
      </c>
      <c r="EC50" s="88">
        <f t="shared" si="281"/>
        <v>0</v>
      </c>
      <c r="ED50" s="88">
        <f t="shared" si="281"/>
        <v>0</v>
      </c>
      <c r="EE50" s="88">
        <f t="shared" si="281"/>
        <v>0</v>
      </c>
      <c r="EF50" s="88">
        <f t="shared" si="281"/>
        <v>0</v>
      </c>
      <c r="EG50" s="88">
        <f t="shared" si="281"/>
        <v>0</v>
      </c>
      <c r="EH50" s="88">
        <f t="shared" si="281"/>
        <v>0</v>
      </c>
      <c r="EI50" s="88">
        <f t="shared" si="281"/>
        <v>0</v>
      </c>
      <c r="EJ50" s="88">
        <f t="shared" si="281"/>
        <v>0</v>
      </c>
      <c r="EK50" s="88">
        <f t="shared" si="281"/>
        <v>0</v>
      </c>
      <c r="EL50" s="88">
        <f t="shared" si="281"/>
        <v>0</v>
      </c>
      <c r="EM50" s="88">
        <f t="shared" si="281"/>
        <v>0</v>
      </c>
      <c r="EN50" s="88">
        <f t="shared" si="281"/>
        <v>0</v>
      </c>
      <c r="EO50" s="88">
        <f t="shared" si="281"/>
        <v>0</v>
      </c>
      <c r="EP50" s="88">
        <f t="shared" si="281"/>
        <v>0</v>
      </c>
      <c r="EQ50" s="88">
        <f t="shared" si="281"/>
        <v>0</v>
      </c>
      <c r="ER50" s="88">
        <f t="shared" si="281"/>
        <v>0</v>
      </c>
      <c r="ES50" s="88">
        <f t="shared" si="281"/>
        <v>0</v>
      </c>
      <c r="ET50" s="88">
        <f t="shared" si="281"/>
        <v>0</v>
      </c>
      <c r="EU50" s="88">
        <f t="shared" si="281"/>
        <v>0</v>
      </c>
      <c r="EV50" s="88">
        <f t="shared" si="281"/>
        <v>0</v>
      </c>
      <c r="EW50" s="88">
        <f t="shared" si="281"/>
        <v>0</v>
      </c>
      <c r="EX50" s="88">
        <f t="shared" si="281"/>
        <v>0</v>
      </c>
      <c r="EY50" s="88">
        <f t="shared" si="281"/>
        <v>0</v>
      </c>
    </row>
    <row r="51">
      <c r="A51" s="181" t="s">
        <v>227</v>
      </c>
      <c r="B51" s="10">
        <f t="shared" ref="B51:DU51" si="282">0</f>
        <v>0</v>
      </c>
      <c r="C51" s="10">
        <f t="shared" si="282"/>
        <v>0</v>
      </c>
      <c r="D51" s="10">
        <f t="shared" si="282"/>
        <v>0</v>
      </c>
      <c r="E51" s="88">
        <f t="shared" si="282"/>
        <v>0</v>
      </c>
      <c r="F51" s="123">
        <f t="shared" si="282"/>
        <v>0</v>
      </c>
      <c r="G51" s="205">
        <f t="shared" si="282"/>
        <v>0</v>
      </c>
      <c r="H51" s="88">
        <f t="shared" si="282"/>
        <v>0</v>
      </c>
      <c r="I51" s="88">
        <f t="shared" si="282"/>
        <v>0</v>
      </c>
      <c r="J51" s="88">
        <f t="shared" si="282"/>
        <v>0</v>
      </c>
      <c r="K51" s="88">
        <f t="shared" si="282"/>
        <v>0</v>
      </c>
      <c r="L51" s="88">
        <f t="shared" si="282"/>
        <v>0</v>
      </c>
      <c r="M51" s="88">
        <f t="shared" si="282"/>
        <v>0</v>
      </c>
      <c r="N51" s="88">
        <f t="shared" si="282"/>
        <v>0</v>
      </c>
      <c r="O51" s="88">
        <f t="shared" si="282"/>
        <v>0</v>
      </c>
      <c r="P51" s="88">
        <f t="shared" si="282"/>
        <v>0</v>
      </c>
      <c r="Q51" s="88">
        <f t="shared" si="282"/>
        <v>0</v>
      </c>
      <c r="R51" s="88">
        <f t="shared" si="282"/>
        <v>0</v>
      </c>
      <c r="S51" s="88">
        <f t="shared" si="282"/>
        <v>0</v>
      </c>
      <c r="T51" s="88">
        <f t="shared" si="282"/>
        <v>0</v>
      </c>
      <c r="U51" s="88">
        <f t="shared" si="282"/>
        <v>0</v>
      </c>
      <c r="V51" s="88">
        <f t="shared" si="282"/>
        <v>0</v>
      </c>
      <c r="W51" s="88">
        <f t="shared" si="282"/>
        <v>0</v>
      </c>
      <c r="X51" s="88">
        <f t="shared" si="282"/>
        <v>0</v>
      </c>
      <c r="Y51" s="88">
        <f t="shared" si="282"/>
        <v>0</v>
      </c>
      <c r="Z51" s="88">
        <f t="shared" si="282"/>
        <v>0</v>
      </c>
      <c r="AA51" s="88">
        <f t="shared" si="282"/>
        <v>0</v>
      </c>
      <c r="AB51" s="88">
        <f t="shared" si="282"/>
        <v>0</v>
      </c>
      <c r="AC51" s="88">
        <f t="shared" si="282"/>
        <v>0</v>
      </c>
      <c r="AD51" s="88">
        <f t="shared" si="282"/>
        <v>0</v>
      </c>
      <c r="AE51" s="88">
        <f t="shared" si="282"/>
        <v>0</v>
      </c>
      <c r="AF51" s="88">
        <f t="shared" si="282"/>
        <v>0</v>
      </c>
      <c r="AG51" s="88">
        <f t="shared" si="282"/>
        <v>0</v>
      </c>
      <c r="AH51" s="88">
        <f t="shared" si="282"/>
        <v>0</v>
      </c>
      <c r="AI51" s="88">
        <f t="shared" si="282"/>
        <v>0</v>
      </c>
      <c r="AJ51" s="88">
        <f t="shared" si="282"/>
        <v>0</v>
      </c>
      <c r="AK51" s="88">
        <f t="shared" si="282"/>
        <v>0</v>
      </c>
      <c r="AL51" s="88">
        <f t="shared" si="282"/>
        <v>0</v>
      </c>
      <c r="AM51" s="88">
        <f t="shared" si="282"/>
        <v>0</v>
      </c>
      <c r="AN51" s="88">
        <f t="shared" si="282"/>
        <v>0</v>
      </c>
      <c r="AO51" s="88">
        <f t="shared" si="282"/>
        <v>0</v>
      </c>
      <c r="AP51" s="88">
        <f t="shared" si="282"/>
        <v>0</v>
      </c>
      <c r="AQ51" s="88">
        <f t="shared" si="282"/>
        <v>0</v>
      </c>
      <c r="AR51" s="88">
        <f t="shared" si="282"/>
        <v>0</v>
      </c>
      <c r="AS51" s="88">
        <f t="shared" si="282"/>
        <v>0</v>
      </c>
      <c r="AT51" s="88">
        <f t="shared" si="282"/>
        <v>0</v>
      </c>
      <c r="AU51" s="88">
        <f t="shared" si="282"/>
        <v>0</v>
      </c>
      <c r="AV51" s="88">
        <f t="shared" si="282"/>
        <v>0</v>
      </c>
      <c r="AW51" s="88">
        <f t="shared" si="282"/>
        <v>0</v>
      </c>
      <c r="AX51" s="88">
        <f t="shared" si="282"/>
        <v>0</v>
      </c>
      <c r="AY51" s="88">
        <f t="shared" si="282"/>
        <v>0</v>
      </c>
      <c r="AZ51" s="88">
        <f t="shared" si="282"/>
        <v>0</v>
      </c>
      <c r="BA51" s="88">
        <f t="shared" si="282"/>
        <v>0</v>
      </c>
      <c r="BB51" s="88">
        <f t="shared" si="282"/>
        <v>0</v>
      </c>
      <c r="BC51" s="88">
        <f t="shared" si="282"/>
        <v>0</v>
      </c>
      <c r="BD51" s="88">
        <f t="shared" si="282"/>
        <v>0</v>
      </c>
      <c r="BE51" s="88">
        <f t="shared" si="282"/>
        <v>0</v>
      </c>
      <c r="BF51" s="88">
        <f t="shared" si="282"/>
        <v>0</v>
      </c>
      <c r="BG51" s="88">
        <f t="shared" si="282"/>
        <v>0</v>
      </c>
      <c r="BH51" s="88">
        <f t="shared" si="282"/>
        <v>0</v>
      </c>
      <c r="BI51" s="88">
        <f t="shared" si="282"/>
        <v>0</v>
      </c>
      <c r="BJ51" s="88">
        <f t="shared" si="282"/>
        <v>0</v>
      </c>
      <c r="BK51" s="88">
        <f t="shared" si="282"/>
        <v>0</v>
      </c>
      <c r="BL51" s="88">
        <f t="shared" si="282"/>
        <v>0</v>
      </c>
      <c r="BM51" s="88">
        <f t="shared" si="282"/>
        <v>0</v>
      </c>
      <c r="BN51" s="88">
        <f t="shared" si="282"/>
        <v>0</v>
      </c>
      <c r="BO51" s="88">
        <f t="shared" si="282"/>
        <v>0</v>
      </c>
      <c r="BP51" s="88">
        <f t="shared" si="282"/>
        <v>0</v>
      </c>
      <c r="BQ51" s="88">
        <f t="shared" si="282"/>
        <v>0</v>
      </c>
      <c r="BR51" s="88">
        <f t="shared" si="282"/>
        <v>0</v>
      </c>
      <c r="BS51" s="88">
        <f t="shared" si="282"/>
        <v>0</v>
      </c>
      <c r="BT51" s="88">
        <f t="shared" si="282"/>
        <v>0</v>
      </c>
      <c r="BU51" s="88">
        <f t="shared" si="282"/>
        <v>0</v>
      </c>
      <c r="BV51" s="88">
        <f t="shared" si="282"/>
        <v>0</v>
      </c>
      <c r="BW51" s="88">
        <f t="shared" si="282"/>
        <v>0</v>
      </c>
      <c r="BX51" s="88">
        <f t="shared" si="282"/>
        <v>0</v>
      </c>
      <c r="BY51" s="88">
        <f t="shared" si="282"/>
        <v>0</v>
      </c>
      <c r="BZ51" s="88">
        <f t="shared" si="282"/>
        <v>0</v>
      </c>
      <c r="CA51" s="88">
        <f t="shared" si="282"/>
        <v>0</v>
      </c>
      <c r="CB51" s="88">
        <f t="shared" si="282"/>
        <v>0</v>
      </c>
      <c r="CC51" s="88">
        <f t="shared" si="282"/>
        <v>0</v>
      </c>
      <c r="CD51" s="88">
        <f t="shared" si="282"/>
        <v>0</v>
      </c>
      <c r="CE51" s="88">
        <f t="shared" si="282"/>
        <v>0</v>
      </c>
      <c r="CF51" s="88">
        <f t="shared" si="282"/>
        <v>0</v>
      </c>
      <c r="CG51" s="88">
        <f t="shared" si="282"/>
        <v>0</v>
      </c>
      <c r="CH51" s="88">
        <f t="shared" si="282"/>
        <v>0</v>
      </c>
      <c r="CI51" s="88">
        <f t="shared" si="282"/>
        <v>0</v>
      </c>
      <c r="CJ51" s="88">
        <f t="shared" si="282"/>
        <v>0</v>
      </c>
      <c r="CK51" s="88">
        <f t="shared" si="282"/>
        <v>0</v>
      </c>
      <c r="CL51" s="88">
        <f t="shared" si="282"/>
        <v>0</v>
      </c>
      <c r="CM51" s="88">
        <f t="shared" si="282"/>
        <v>0</v>
      </c>
      <c r="CN51" s="88">
        <f t="shared" si="282"/>
        <v>0</v>
      </c>
      <c r="CO51" s="88">
        <f t="shared" si="282"/>
        <v>0</v>
      </c>
      <c r="CP51" s="88">
        <f t="shared" si="282"/>
        <v>0</v>
      </c>
      <c r="CQ51" s="88">
        <f t="shared" si="282"/>
        <v>0</v>
      </c>
      <c r="CR51" s="88">
        <f t="shared" si="282"/>
        <v>0</v>
      </c>
      <c r="CS51" s="88">
        <f t="shared" si="282"/>
        <v>0</v>
      </c>
      <c r="CT51" s="88">
        <f t="shared" si="282"/>
        <v>0</v>
      </c>
      <c r="CU51" s="88">
        <f t="shared" si="282"/>
        <v>0</v>
      </c>
      <c r="CV51" s="88">
        <f t="shared" si="282"/>
        <v>0</v>
      </c>
      <c r="CW51" s="88">
        <f t="shared" si="282"/>
        <v>0</v>
      </c>
      <c r="CX51" s="88">
        <f t="shared" si="282"/>
        <v>0</v>
      </c>
      <c r="CY51" s="88">
        <f t="shared" si="282"/>
        <v>0</v>
      </c>
      <c r="CZ51" s="88">
        <f t="shared" si="282"/>
        <v>0</v>
      </c>
      <c r="DA51" s="88">
        <f t="shared" si="282"/>
        <v>0</v>
      </c>
      <c r="DB51" s="88">
        <f t="shared" si="282"/>
        <v>0</v>
      </c>
      <c r="DC51" s="88">
        <f t="shared" si="282"/>
        <v>0</v>
      </c>
      <c r="DD51" s="88">
        <f t="shared" si="282"/>
        <v>0</v>
      </c>
      <c r="DE51" s="88">
        <f t="shared" si="282"/>
        <v>0</v>
      </c>
      <c r="DF51" s="88">
        <f t="shared" si="282"/>
        <v>0</v>
      </c>
      <c r="DG51" s="88">
        <f t="shared" si="282"/>
        <v>0</v>
      </c>
      <c r="DH51" s="88">
        <f t="shared" si="282"/>
        <v>0</v>
      </c>
      <c r="DI51" s="88">
        <f t="shared" si="282"/>
        <v>0</v>
      </c>
      <c r="DJ51" s="88">
        <f t="shared" si="282"/>
        <v>0</v>
      </c>
      <c r="DK51" s="88">
        <f t="shared" si="282"/>
        <v>0</v>
      </c>
      <c r="DL51" s="88">
        <f t="shared" si="282"/>
        <v>0</v>
      </c>
      <c r="DM51" s="88">
        <f t="shared" si="282"/>
        <v>0</v>
      </c>
      <c r="DN51" s="88">
        <f t="shared" si="282"/>
        <v>0</v>
      </c>
      <c r="DO51" s="88">
        <f t="shared" si="282"/>
        <v>0</v>
      </c>
      <c r="DP51" s="88">
        <f t="shared" si="282"/>
        <v>0</v>
      </c>
      <c r="DQ51" s="88">
        <f t="shared" si="282"/>
        <v>0</v>
      </c>
      <c r="DR51" s="88">
        <f t="shared" si="282"/>
        <v>0</v>
      </c>
      <c r="DS51" s="88">
        <f t="shared" si="282"/>
        <v>0</v>
      </c>
      <c r="DT51" s="88">
        <f t="shared" si="282"/>
        <v>0</v>
      </c>
      <c r="DU51" s="88">
        <f t="shared" si="282"/>
        <v>0</v>
      </c>
      <c r="DV51" s="88">
        <f t="shared" ref="DV51:EY51" si="283">0</f>
        <v>0</v>
      </c>
      <c r="DW51" s="88">
        <f t="shared" si="283"/>
        <v>0</v>
      </c>
      <c r="DX51" s="88">
        <f t="shared" si="283"/>
        <v>0</v>
      </c>
      <c r="DY51" s="88">
        <f t="shared" si="283"/>
        <v>0</v>
      </c>
      <c r="DZ51" s="88">
        <f t="shared" si="283"/>
        <v>0</v>
      </c>
      <c r="EA51" s="88">
        <f t="shared" si="283"/>
        <v>0</v>
      </c>
      <c r="EB51" s="88">
        <f t="shared" si="283"/>
        <v>0</v>
      </c>
      <c r="EC51" s="88">
        <f t="shared" si="283"/>
        <v>0</v>
      </c>
      <c r="ED51" s="88">
        <f t="shared" si="283"/>
        <v>0</v>
      </c>
      <c r="EE51" s="88">
        <f t="shared" si="283"/>
        <v>0</v>
      </c>
      <c r="EF51" s="88">
        <f t="shared" si="283"/>
        <v>0</v>
      </c>
      <c r="EG51" s="88">
        <f t="shared" si="283"/>
        <v>0</v>
      </c>
      <c r="EH51" s="88">
        <f t="shared" si="283"/>
        <v>0</v>
      </c>
      <c r="EI51" s="88">
        <f t="shared" si="283"/>
        <v>0</v>
      </c>
      <c r="EJ51" s="88">
        <f t="shared" si="283"/>
        <v>0</v>
      </c>
      <c r="EK51" s="88">
        <f t="shared" si="283"/>
        <v>0</v>
      </c>
      <c r="EL51" s="88">
        <f t="shared" si="283"/>
        <v>0</v>
      </c>
      <c r="EM51" s="88">
        <f t="shared" si="283"/>
        <v>0</v>
      </c>
      <c r="EN51" s="88">
        <f t="shared" si="283"/>
        <v>0</v>
      </c>
      <c r="EO51" s="88">
        <f t="shared" si="283"/>
        <v>0</v>
      </c>
      <c r="EP51" s="88">
        <f t="shared" si="283"/>
        <v>0</v>
      </c>
      <c r="EQ51" s="88">
        <f t="shared" si="283"/>
        <v>0</v>
      </c>
      <c r="ER51" s="88">
        <f t="shared" si="283"/>
        <v>0</v>
      </c>
      <c r="ES51" s="88">
        <f t="shared" si="283"/>
        <v>0</v>
      </c>
      <c r="ET51" s="88">
        <f t="shared" si="283"/>
        <v>0</v>
      </c>
      <c r="EU51" s="88">
        <f t="shared" si="283"/>
        <v>0</v>
      </c>
      <c r="EV51" s="88">
        <f t="shared" si="283"/>
        <v>0</v>
      </c>
      <c r="EW51" s="88">
        <f t="shared" si="283"/>
        <v>0</v>
      </c>
      <c r="EX51" s="88">
        <f t="shared" si="283"/>
        <v>0</v>
      </c>
      <c r="EY51" s="88">
        <f t="shared" si="283"/>
        <v>0</v>
      </c>
    </row>
    <row r="52">
      <c r="A52" s="181" t="s">
        <v>228</v>
      </c>
      <c r="B52" s="10">
        <f t="shared" ref="B52:BD52" si="284">0</f>
        <v>0</v>
      </c>
      <c r="C52" s="10">
        <f t="shared" si="284"/>
        <v>0</v>
      </c>
      <c r="D52" s="10">
        <f t="shared" si="284"/>
        <v>0</v>
      </c>
      <c r="E52" s="88">
        <f t="shared" si="284"/>
        <v>0</v>
      </c>
      <c r="F52" s="123">
        <f t="shared" si="284"/>
        <v>0</v>
      </c>
      <c r="G52" s="205">
        <f t="shared" si="284"/>
        <v>0</v>
      </c>
      <c r="H52" s="88">
        <f t="shared" si="284"/>
        <v>0</v>
      </c>
      <c r="I52" s="88">
        <f t="shared" si="284"/>
        <v>0</v>
      </c>
      <c r="J52" s="88">
        <f t="shared" si="284"/>
        <v>0</v>
      </c>
      <c r="K52" s="88">
        <f t="shared" si="284"/>
        <v>0</v>
      </c>
      <c r="L52" s="88">
        <f t="shared" si="284"/>
        <v>0</v>
      </c>
      <c r="M52" s="88">
        <f t="shared" si="284"/>
        <v>0</v>
      </c>
      <c r="N52" s="88">
        <f t="shared" si="284"/>
        <v>0</v>
      </c>
      <c r="O52" s="88">
        <f t="shared" si="284"/>
        <v>0</v>
      </c>
      <c r="P52" s="88">
        <f t="shared" si="284"/>
        <v>0</v>
      </c>
      <c r="Q52" s="88">
        <f t="shared" si="284"/>
        <v>0</v>
      </c>
      <c r="R52" s="88">
        <f t="shared" si="284"/>
        <v>0</v>
      </c>
      <c r="S52" s="88">
        <f t="shared" si="284"/>
        <v>0</v>
      </c>
      <c r="T52" s="88">
        <f t="shared" si="284"/>
        <v>0</v>
      </c>
      <c r="U52" s="88">
        <f t="shared" si="284"/>
        <v>0</v>
      </c>
      <c r="V52" s="88">
        <f t="shared" si="284"/>
        <v>0</v>
      </c>
      <c r="W52" s="88">
        <f t="shared" si="284"/>
        <v>0</v>
      </c>
      <c r="X52" s="88">
        <f t="shared" si="284"/>
        <v>0</v>
      </c>
      <c r="Y52" s="88">
        <f t="shared" si="284"/>
        <v>0</v>
      </c>
      <c r="Z52" s="88">
        <f t="shared" si="284"/>
        <v>0</v>
      </c>
      <c r="AA52" s="88">
        <f t="shared" si="284"/>
        <v>0</v>
      </c>
      <c r="AB52" s="88">
        <f t="shared" si="284"/>
        <v>0</v>
      </c>
      <c r="AC52" s="88">
        <f t="shared" si="284"/>
        <v>0</v>
      </c>
      <c r="AD52" s="88">
        <f t="shared" si="284"/>
        <v>0</v>
      </c>
      <c r="AE52" s="88">
        <f t="shared" si="284"/>
        <v>0</v>
      </c>
      <c r="AF52" s="88">
        <f t="shared" si="284"/>
        <v>0</v>
      </c>
      <c r="AG52" s="88">
        <f t="shared" si="284"/>
        <v>0</v>
      </c>
      <c r="AH52" s="88">
        <f t="shared" si="284"/>
        <v>0</v>
      </c>
      <c r="AI52" s="88">
        <f t="shared" si="284"/>
        <v>0</v>
      </c>
      <c r="AJ52" s="88">
        <f t="shared" si="284"/>
        <v>0</v>
      </c>
      <c r="AK52" s="88">
        <f t="shared" si="284"/>
        <v>0</v>
      </c>
      <c r="AL52" s="88">
        <f t="shared" si="284"/>
        <v>0</v>
      </c>
      <c r="AM52" s="88">
        <f t="shared" si="284"/>
        <v>0</v>
      </c>
      <c r="AN52" s="88">
        <f t="shared" si="284"/>
        <v>0</v>
      </c>
      <c r="AO52" s="88">
        <f t="shared" si="284"/>
        <v>0</v>
      </c>
      <c r="AP52" s="88">
        <f t="shared" si="284"/>
        <v>0</v>
      </c>
      <c r="AQ52" s="88">
        <f t="shared" si="284"/>
        <v>0</v>
      </c>
      <c r="AR52" s="88">
        <f t="shared" si="284"/>
        <v>0</v>
      </c>
      <c r="AS52" s="88">
        <f t="shared" si="284"/>
        <v>0</v>
      </c>
      <c r="AT52" s="88">
        <f t="shared" si="284"/>
        <v>0</v>
      </c>
      <c r="AU52" s="88">
        <f t="shared" si="284"/>
        <v>0</v>
      </c>
      <c r="AV52" s="88">
        <f t="shared" si="284"/>
        <v>0</v>
      </c>
      <c r="AW52" s="88">
        <f t="shared" si="284"/>
        <v>0</v>
      </c>
      <c r="AX52" s="88">
        <f t="shared" si="284"/>
        <v>0</v>
      </c>
      <c r="AY52" s="88">
        <f t="shared" si="284"/>
        <v>0</v>
      </c>
      <c r="AZ52" s="88">
        <f t="shared" si="284"/>
        <v>0</v>
      </c>
      <c r="BA52" s="88">
        <f t="shared" si="284"/>
        <v>0</v>
      </c>
      <c r="BB52" s="88">
        <f t="shared" si="284"/>
        <v>0</v>
      </c>
      <c r="BC52" s="88">
        <f t="shared" si="284"/>
        <v>0</v>
      </c>
      <c r="BD52" s="88">
        <f t="shared" si="284"/>
        <v>0</v>
      </c>
      <c r="BE52" s="88" t="str">
        <f>IFERROR(__xludf.DUMMYFUNCTION("20 + (REGEXEXTRACT(INDIRECT(ADDRESS(ROW() - 50, COLUMN())), ""[\d]"") - 1) * 4"),"#N/A")</f>
        <v>#N/A</v>
      </c>
      <c r="BF52" s="88">
        <f t="shared" ref="BF52:BX52" si="285">0</f>
        <v>0</v>
      </c>
      <c r="BG52" s="88">
        <f t="shared" si="285"/>
        <v>0</v>
      </c>
      <c r="BH52" s="88">
        <f t="shared" si="285"/>
        <v>0</v>
      </c>
      <c r="BI52" s="88">
        <f t="shared" si="285"/>
        <v>0</v>
      </c>
      <c r="BJ52" s="88">
        <f t="shared" si="285"/>
        <v>0</v>
      </c>
      <c r="BK52" s="88">
        <f t="shared" si="285"/>
        <v>0</v>
      </c>
      <c r="BL52" s="88">
        <f t="shared" si="285"/>
        <v>0</v>
      </c>
      <c r="BM52" s="88">
        <f t="shared" si="285"/>
        <v>0</v>
      </c>
      <c r="BN52" s="88">
        <f t="shared" si="285"/>
        <v>0</v>
      </c>
      <c r="BO52" s="88">
        <f t="shared" si="285"/>
        <v>0</v>
      </c>
      <c r="BP52" s="88">
        <f t="shared" si="285"/>
        <v>0</v>
      </c>
      <c r="BQ52" s="88">
        <f t="shared" si="285"/>
        <v>0</v>
      </c>
      <c r="BR52" s="88">
        <f t="shared" si="285"/>
        <v>0</v>
      </c>
      <c r="BS52" s="88">
        <f t="shared" si="285"/>
        <v>0</v>
      </c>
      <c r="BT52" s="88">
        <f t="shared" si="285"/>
        <v>0</v>
      </c>
      <c r="BU52" s="88">
        <f t="shared" si="285"/>
        <v>0</v>
      </c>
      <c r="BV52" s="88">
        <f t="shared" si="285"/>
        <v>0</v>
      </c>
      <c r="BW52" s="88">
        <f t="shared" si="285"/>
        <v>0</v>
      </c>
      <c r="BX52" s="88">
        <f t="shared" si="285"/>
        <v>0</v>
      </c>
      <c r="BY52" s="88" t="str">
        <f>IFERROR(__xludf.DUMMYFUNCTION("12 + (REGEXEXTRACT(INDIRECT(ADDRESS(ROW() - 50, COLUMN())), ""[\d]"") - 1) * 3"),"#N/A")</f>
        <v>#N/A</v>
      </c>
      <c r="BZ52" s="88">
        <f t="shared" ref="BZ52:CB52" si="286">0</f>
        <v>0</v>
      </c>
      <c r="CA52" s="88">
        <f t="shared" si="286"/>
        <v>0</v>
      </c>
      <c r="CB52" s="88">
        <f t="shared" si="286"/>
        <v>0</v>
      </c>
      <c r="CC52" s="88" t="str">
        <f>IFERROR(__xludf.DUMMYFUNCTION("20 + (REGEXEXTRACT(INDIRECT(ADDRESS(ROW() - 50, COLUMN())), ""[\d]"") - 1) * 4"),"#N/A")</f>
        <v>#N/A</v>
      </c>
      <c r="CD52" s="88">
        <f t="shared" ref="CD52:CT52" si="287">0</f>
        <v>0</v>
      </c>
      <c r="CE52" s="88">
        <f t="shared" si="287"/>
        <v>0</v>
      </c>
      <c r="CF52" s="88">
        <f t="shared" si="287"/>
        <v>0</v>
      </c>
      <c r="CG52" s="88">
        <f t="shared" si="287"/>
        <v>0</v>
      </c>
      <c r="CH52" s="88">
        <f t="shared" si="287"/>
        <v>0</v>
      </c>
      <c r="CI52" s="88">
        <f t="shared" si="287"/>
        <v>0</v>
      </c>
      <c r="CJ52" s="88">
        <f t="shared" si="287"/>
        <v>0</v>
      </c>
      <c r="CK52" s="88">
        <f t="shared" si="287"/>
        <v>0</v>
      </c>
      <c r="CL52" s="88">
        <f t="shared" si="287"/>
        <v>0</v>
      </c>
      <c r="CM52" s="88">
        <f t="shared" si="287"/>
        <v>0</v>
      </c>
      <c r="CN52" s="88">
        <f t="shared" si="287"/>
        <v>0</v>
      </c>
      <c r="CO52" s="88">
        <f t="shared" si="287"/>
        <v>0</v>
      </c>
      <c r="CP52" s="88">
        <f t="shared" si="287"/>
        <v>0</v>
      </c>
      <c r="CQ52" s="88">
        <f t="shared" si="287"/>
        <v>0</v>
      </c>
      <c r="CR52" s="88">
        <f t="shared" si="287"/>
        <v>0</v>
      </c>
      <c r="CS52" s="88">
        <f t="shared" si="287"/>
        <v>0</v>
      </c>
      <c r="CT52" s="88">
        <f t="shared" si="287"/>
        <v>0</v>
      </c>
      <c r="CU52" s="88" t="str">
        <f>IFERROR(__xludf.DUMMYFUNCTION("12 + (REGEXEXTRACT(INDIRECT(ADDRESS(ROW() - 50, COLUMN())), ""[\d]"") - 1) * 3"),"#N/A")</f>
        <v>#N/A</v>
      </c>
      <c r="CV52" s="88">
        <f t="shared" ref="CV52:DU52" si="288">0</f>
        <v>0</v>
      </c>
      <c r="CW52" s="88">
        <f t="shared" si="288"/>
        <v>0</v>
      </c>
      <c r="CX52" s="88">
        <f t="shared" si="288"/>
        <v>0</v>
      </c>
      <c r="CY52" s="88">
        <f t="shared" si="288"/>
        <v>0</v>
      </c>
      <c r="CZ52" s="88">
        <f t="shared" si="288"/>
        <v>0</v>
      </c>
      <c r="DA52" s="88">
        <f t="shared" si="288"/>
        <v>0</v>
      </c>
      <c r="DB52" s="88">
        <f t="shared" si="288"/>
        <v>0</v>
      </c>
      <c r="DC52" s="88">
        <f t="shared" si="288"/>
        <v>0</v>
      </c>
      <c r="DD52" s="88">
        <f t="shared" si="288"/>
        <v>0</v>
      </c>
      <c r="DE52" s="88">
        <f t="shared" si="288"/>
        <v>0</v>
      </c>
      <c r="DF52" s="88">
        <f t="shared" si="288"/>
        <v>0</v>
      </c>
      <c r="DG52" s="88">
        <f t="shared" si="288"/>
        <v>0</v>
      </c>
      <c r="DH52" s="88">
        <f t="shared" si="288"/>
        <v>0</v>
      </c>
      <c r="DI52" s="88">
        <f t="shared" si="288"/>
        <v>0</v>
      </c>
      <c r="DJ52" s="88">
        <f t="shared" si="288"/>
        <v>0</v>
      </c>
      <c r="DK52" s="88">
        <f t="shared" si="288"/>
        <v>0</v>
      </c>
      <c r="DL52" s="88">
        <f t="shared" si="288"/>
        <v>0</v>
      </c>
      <c r="DM52" s="88">
        <f t="shared" si="288"/>
        <v>0</v>
      </c>
      <c r="DN52" s="88">
        <f t="shared" si="288"/>
        <v>0</v>
      </c>
      <c r="DO52" s="88">
        <f t="shared" si="288"/>
        <v>0</v>
      </c>
      <c r="DP52" s="88">
        <f t="shared" si="288"/>
        <v>0</v>
      </c>
      <c r="DQ52" s="88">
        <f t="shared" si="288"/>
        <v>0</v>
      </c>
      <c r="DR52" s="88">
        <f t="shared" si="288"/>
        <v>0</v>
      </c>
      <c r="DS52" s="88">
        <f t="shared" si="288"/>
        <v>0</v>
      </c>
      <c r="DT52" s="88">
        <f t="shared" si="288"/>
        <v>0</v>
      </c>
      <c r="DU52" s="88">
        <f t="shared" si="288"/>
        <v>0</v>
      </c>
      <c r="DV52" s="88">
        <f t="shared" ref="DV52:EY52" si="289">0</f>
        <v>0</v>
      </c>
      <c r="DW52" s="88">
        <f t="shared" si="289"/>
        <v>0</v>
      </c>
      <c r="DX52" s="88">
        <f t="shared" si="289"/>
        <v>0</v>
      </c>
      <c r="DY52" s="88">
        <f t="shared" si="289"/>
        <v>0</v>
      </c>
      <c r="DZ52" s="88">
        <f t="shared" si="289"/>
        <v>0</v>
      </c>
      <c r="EA52" s="88">
        <f t="shared" si="289"/>
        <v>0</v>
      </c>
      <c r="EB52" s="88">
        <f t="shared" si="289"/>
        <v>0</v>
      </c>
      <c r="EC52" s="88">
        <f t="shared" si="289"/>
        <v>0</v>
      </c>
      <c r="ED52" s="88">
        <f t="shared" si="289"/>
        <v>0</v>
      </c>
      <c r="EE52" s="88">
        <f t="shared" si="289"/>
        <v>0</v>
      </c>
      <c r="EF52" s="88">
        <f t="shared" si="289"/>
        <v>0</v>
      </c>
      <c r="EG52" s="88">
        <f t="shared" si="289"/>
        <v>0</v>
      </c>
      <c r="EH52" s="88">
        <f t="shared" si="289"/>
        <v>0</v>
      </c>
      <c r="EI52" s="88">
        <f t="shared" si="289"/>
        <v>0</v>
      </c>
      <c r="EJ52" s="88">
        <f t="shared" si="289"/>
        <v>0</v>
      </c>
      <c r="EK52" s="88">
        <f t="shared" si="289"/>
        <v>0</v>
      </c>
      <c r="EL52" s="88">
        <f t="shared" si="289"/>
        <v>0</v>
      </c>
      <c r="EM52" s="88">
        <f t="shared" si="289"/>
        <v>0</v>
      </c>
      <c r="EN52" s="88">
        <f t="shared" si="289"/>
        <v>0</v>
      </c>
      <c r="EO52" s="88">
        <f t="shared" si="289"/>
        <v>0</v>
      </c>
      <c r="EP52" s="88">
        <f t="shared" si="289"/>
        <v>0</v>
      </c>
      <c r="EQ52" s="88">
        <f t="shared" si="289"/>
        <v>0</v>
      </c>
      <c r="ER52" s="88">
        <f t="shared" si="289"/>
        <v>0</v>
      </c>
      <c r="ES52" s="88">
        <f t="shared" si="289"/>
        <v>0</v>
      </c>
      <c r="ET52" s="88">
        <f t="shared" si="289"/>
        <v>0</v>
      </c>
      <c r="EU52" s="88">
        <f t="shared" si="289"/>
        <v>0</v>
      </c>
      <c r="EV52" s="88">
        <f t="shared" si="289"/>
        <v>0</v>
      </c>
      <c r="EW52" s="88">
        <f t="shared" si="289"/>
        <v>0</v>
      </c>
      <c r="EX52" s="88">
        <f t="shared" si="289"/>
        <v>0</v>
      </c>
      <c r="EY52" s="88">
        <f t="shared" si="289"/>
        <v>0</v>
      </c>
    </row>
    <row r="53">
      <c r="A53" s="181" t="s">
        <v>229</v>
      </c>
      <c r="B53" s="10">
        <f t="shared" ref="B53:DU53" si="290">0</f>
        <v>0</v>
      </c>
      <c r="C53" s="10">
        <f t="shared" si="290"/>
        <v>0</v>
      </c>
      <c r="D53" s="10">
        <f t="shared" si="290"/>
        <v>0</v>
      </c>
      <c r="E53" s="88">
        <f t="shared" si="290"/>
        <v>0</v>
      </c>
      <c r="F53" s="123">
        <f t="shared" si="290"/>
        <v>0</v>
      </c>
      <c r="G53" s="205">
        <f t="shared" si="290"/>
        <v>0</v>
      </c>
      <c r="H53" s="88">
        <f t="shared" si="290"/>
        <v>0</v>
      </c>
      <c r="I53" s="88">
        <f t="shared" si="290"/>
        <v>0</v>
      </c>
      <c r="J53" s="88">
        <f t="shared" si="290"/>
        <v>0</v>
      </c>
      <c r="K53" s="88">
        <f t="shared" si="290"/>
        <v>0</v>
      </c>
      <c r="L53" s="88">
        <f t="shared" si="290"/>
        <v>0</v>
      </c>
      <c r="M53" s="88">
        <f t="shared" si="290"/>
        <v>0</v>
      </c>
      <c r="N53" s="88">
        <f t="shared" si="290"/>
        <v>0</v>
      </c>
      <c r="O53" s="88">
        <f t="shared" si="290"/>
        <v>0</v>
      </c>
      <c r="P53" s="88">
        <f t="shared" si="290"/>
        <v>0</v>
      </c>
      <c r="Q53" s="88">
        <f t="shared" si="290"/>
        <v>0</v>
      </c>
      <c r="R53" s="88">
        <f t="shared" si="290"/>
        <v>0</v>
      </c>
      <c r="S53" s="88">
        <f t="shared" si="290"/>
        <v>0</v>
      </c>
      <c r="T53" s="88">
        <f t="shared" si="290"/>
        <v>0</v>
      </c>
      <c r="U53" s="88">
        <f t="shared" si="290"/>
        <v>0</v>
      </c>
      <c r="V53" s="88">
        <f t="shared" si="290"/>
        <v>0</v>
      </c>
      <c r="W53" s="88">
        <f t="shared" si="290"/>
        <v>0</v>
      </c>
      <c r="X53" s="88">
        <f t="shared" si="290"/>
        <v>0</v>
      </c>
      <c r="Y53" s="88">
        <f t="shared" si="290"/>
        <v>0</v>
      </c>
      <c r="Z53" s="88">
        <f t="shared" si="290"/>
        <v>0</v>
      </c>
      <c r="AA53" s="88">
        <f t="shared" si="290"/>
        <v>0</v>
      </c>
      <c r="AB53" s="88">
        <f t="shared" si="290"/>
        <v>0</v>
      </c>
      <c r="AC53" s="88">
        <f t="shared" si="290"/>
        <v>0</v>
      </c>
      <c r="AD53" s="88">
        <f t="shared" si="290"/>
        <v>0</v>
      </c>
      <c r="AE53" s="88">
        <f t="shared" si="290"/>
        <v>0</v>
      </c>
      <c r="AF53" s="88">
        <f t="shared" si="290"/>
        <v>0</v>
      </c>
      <c r="AG53" s="88">
        <f t="shared" si="290"/>
        <v>0</v>
      </c>
      <c r="AH53" s="88">
        <f t="shared" si="290"/>
        <v>0</v>
      </c>
      <c r="AI53" s="88">
        <f t="shared" si="290"/>
        <v>0</v>
      </c>
      <c r="AJ53" s="88">
        <f t="shared" si="290"/>
        <v>0</v>
      </c>
      <c r="AK53" s="88">
        <f t="shared" si="290"/>
        <v>0</v>
      </c>
      <c r="AL53" s="88">
        <f t="shared" si="290"/>
        <v>0</v>
      </c>
      <c r="AM53" s="88">
        <f t="shared" si="290"/>
        <v>0</v>
      </c>
      <c r="AN53" s="88">
        <f t="shared" si="290"/>
        <v>0</v>
      </c>
      <c r="AO53" s="88">
        <f t="shared" si="290"/>
        <v>0</v>
      </c>
      <c r="AP53" s="88">
        <f t="shared" si="290"/>
        <v>0</v>
      </c>
      <c r="AQ53" s="88">
        <f t="shared" si="290"/>
        <v>0</v>
      </c>
      <c r="AR53" s="88">
        <f t="shared" si="290"/>
        <v>0</v>
      </c>
      <c r="AS53" s="88">
        <f t="shared" si="290"/>
        <v>0</v>
      </c>
      <c r="AT53" s="88">
        <f t="shared" si="290"/>
        <v>0</v>
      </c>
      <c r="AU53" s="88">
        <f t="shared" si="290"/>
        <v>0</v>
      </c>
      <c r="AV53" s="88">
        <f t="shared" si="290"/>
        <v>0</v>
      </c>
      <c r="AW53" s="88">
        <f t="shared" si="290"/>
        <v>0</v>
      </c>
      <c r="AX53" s="88">
        <f t="shared" si="290"/>
        <v>0</v>
      </c>
      <c r="AY53" s="88">
        <f t="shared" si="290"/>
        <v>0</v>
      </c>
      <c r="AZ53" s="88">
        <f t="shared" si="290"/>
        <v>0</v>
      </c>
      <c r="BA53" s="88">
        <f t="shared" si="290"/>
        <v>0</v>
      </c>
      <c r="BB53" s="88">
        <f t="shared" si="290"/>
        <v>0</v>
      </c>
      <c r="BC53" s="88">
        <f t="shared" si="290"/>
        <v>0</v>
      </c>
      <c r="BD53" s="88">
        <f t="shared" si="290"/>
        <v>0</v>
      </c>
      <c r="BE53" s="88">
        <f t="shared" si="290"/>
        <v>0</v>
      </c>
      <c r="BF53" s="88">
        <f t="shared" si="290"/>
        <v>0</v>
      </c>
      <c r="BG53" s="88">
        <f t="shared" si="290"/>
        <v>0</v>
      </c>
      <c r="BH53" s="88">
        <f t="shared" si="290"/>
        <v>0</v>
      </c>
      <c r="BI53" s="88">
        <f t="shared" si="290"/>
        <v>0</v>
      </c>
      <c r="BJ53" s="88">
        <f t="shared" si="290"/>
        <v>0</v>
      </c>
      <c r="BK53" s="88">
        <f t="shared" si="290"/>
        <v>0</v>
      </c>
      <c r="BL53" s="88">
        <f t="shared" si="290"/>
        <v>0</v>
      </c>
      <c r="BM53" s="88">
        <f t="shared" si="290"/>
        <v>0</v>
      </c>
      <c r="BN53" s="88">
        <f t="shared" si="290"/>
        <v>0</v>
      </c>
      <c r="BO53" s="88">
        <f t="shared" si="290"/>
        <v>0</v>
      </c>
      <c r="BP53" s="88">
        <f t="shared" si="290"/>
        <v>0</v>
      </c>
      <c r="BQ53" s="88">
        <f t="shared" si="290"/>
        <v>0</v>
      </c>
      <c r="BR53" s="88">
        <f t="shared" si="290"/>
        <v>0</v>
      </c>
      <c r="BS53" s="88">
        <f t="shared" si="290"/>
        <v>0</v>
      </c>
      <c r="BT53" s="88">
        <f t="shared" si="290"/>
        <v>0</v>
      </c>
      <c r="BU53" s="88">
        <f t="shared" si="290"/>
        <v>0</v>
      </c>
      <c r="BV53" s="88">
        <f t="shared" si="290"/>
        <v>0</v>
      </c>
      <c r="BW53" s="88">
        <f t="shared" si="290"/>
        <v>0</v>
      </c>
      <c r="BX53" s="88">
        <f t="shared" si="290"/>
        <v>0</v>
      </c>
      <c r="BY53" s="88">
        <f t="shared" si="290"/>
        <v>0</v>
      </c>
      <c r="BZ53" s="88">
        <f t="shared" si="290"/>
        <v>0</v>
      </c>
      <c r="CA53" s="88">
        <f t="shared" si="290"/>
        <v>0</v>
      </c>
      <c r="CB53" s="88">
        <f t="shared" si="290"/>
        <v>0</v>
      </c>
      <c r="CC53" s="88">
        <f t="shared" si="290"/>
        <v>0</v>
      </c>
      <c r="CD53" s="88">
        <f t="shared" si="290"/>
        <v>0</v>
      </c>
      <c r="CE53" s="88">
        <f t="shared" si="290"/>
        <v>0</v>
      </c>
      <c r="CF53" s="88">
        <f t="shared" si="290"/>
        <v>0</v>
      </c>
      <c r="CG53" s="88">
        <f t="shared" si="290"/>
        <v>0</v>
      </c>
      <c r="CH53" s="88">
        <f t="shared" si="290"/>
        <v>0</v>
      </c>
      <c r="CI53" s="88">
        <f t="shared" si="290"/>
        <v>0</v>
      </c>
      <c r="CJ53" s="88">
        <f t="shared" si="290"/>
        <v>0</v>
      </c>
      <c r="CK53" s="88">
        <f t="shared" si="290"/>
        <v>0</v>
      </c>
      <c r="CL53" s="88">
        <f t="shared" si="290"/>
        <v>0</v>
      </c>
      <c r="CM53" s="88">
        <f t="shared" si="290"/>
        <v>0</v>
      </c>
      <c r="CN53" s="88">
        <f t="shared" si="290"/>
        <v>0</v>
      </c>
      <c r="CO53" s="88">
        <f t="shared" si="290"/>
        <v>0</v>
      </c>
      <c r="CP53" s="88">
        <f t="shared" si="290"/>
        <v>0</v>
      </c>
      <c r="CQ53" s="88">
        <f t="shared" si="290"/>
        <v>0</v>
      </c>
      <c r="CR53" s="88">
        <f t="shared" si="290"/>
        <v>0</v>
      </c>
      <c r="CS53" s="88">
        <f t="shared" si="290"/>
        <v>0</v>
      </c>
      <c r="CT53" s="88">
        <f t="shared" si="290"/>
        <v>0</v>
      </c>
      <c r="CU53" s="88">
        <f t="shared" si="290"/>
        <v>0</v>
      </c>
      <c r="CV53" s="88">
        <f t="shared" si="290"/>
        <v>0</v>
      </c>
      <c r="CW53" s="88">
        <f t="shared" si="290"/>
        <v>0</v>
      </c>
      <c r="CX53" s="88">
        <f t="shared" si="290"/>
        <v>0</v>
      </c>
      <c r="CY53" s="88">
        <f t="shared" si="290"/>
        <v>0</v>
      </c>
      <c r="CZ53" s="88">
        <f t="shared" si="290"/>
        <v>0</v>
      </c>
      <c r="DA53" s="88">
        <f t="shared" si="290"/>
        <v>0</v>
      </c>
      <c r="DB53" s="88">
        <f t="shared" si="290"/>
        <v>0</v>
      </c>
      <c r="DC53" s="88">
        <f t="shared" si="290"/>
        <v>0</v>
      </c>
      <c r="DD53" s="88">
        <f t="shared" si="290"/>
        <v>0</v>
      </c>
      <c r="DE53" s="88">
        <f t="shared" si="290"/>
        <v>0</v>
      </c>
      <c r="DF53" s="88">
        <f t="shared" si="290"/>
        <v>0</v>
      </c>
      <c r="DG53" s="88">
        <f t="shared" si="290"/>
        <v>0</v>
      </c>
      <c r="DH53" s="88">
        <f t="shared" si="290"/>
        <v>0</v>
      </c>
      <c r="DI53" s="88">
        <f t="shared" si="290"/>
        <v>0</v>
      </c>
      <c r="DJ53" s="88">
        <f t="shared" si="290"/>
        <v>0</v>
      </c>
      <c r="DK53" s="88">
        <f t="shared" si="290"/>
        <v>0</v>
      </c>
      <c r="DL53" s="88">
        <f t="shared" si="290"/>
        <v>0</v>
      </c>
      <c r="DM53" s="88">
        <f t="shared" si="290"/>
        <v>0</v>
      </c>
      <c r="DN53" s="88">
        <f t="shared" si="290"/>
        <v>0</v>
      </c>
      <c r="DO53" s="88">
        <f t="shared" si="290"/>
        <v>0</v>
      </c>
      <c r="DP53" s="88">
        <f t="shared" si="290"/>
        <v>0</v>
      </c>
      <c r="DQ53" s="88">
        <f t="shared" si="290"/>
        <v>0</v>
      </c>
      <c r="DR53" s="88">
        <f t="shared" si="290"/>
        <v>0</v>
      </c>
      <c r="DS53" s="88">
        <f t="shared" si="290"/>
        <v>0</v>
      </c>
      <c r="DT53" s="88">
        <f t="shared" si="290"/>
        <v>0</v>
      </c>
      <c r="DU53" s="88">
        <f t="shared" si="290"/>
        <v>0</v>
      </c>
      <c r="DV53" s="88">
        <f t="shared" ref="DV53:EY53" si="291">0</f>
        <v>0</v>
      </c>
      <c r="DW53" s="88">
        <f t="shared" si="291"/>
        <v>0</v>
      </c>
      <c r="DX53" s="88">
        <f t="shared" si="291"/>
        <v>0</v>
      </c>
      <c r="DY53" s="88">
        <f t="shared" si="291"/>
        <v>0</v>
      </c>
      <c r="DZ53" s="88">
        <f t="shared" si="291"/>
        <v>0</v>
      </c>
      <c r="EA53" s="88">
        <f t="shared" si="291"/>
        <v>0</v>
      </c>
      <c r="EB53" s="88">
        <f t="shared" si="291"/>
        <v>0</v>
      </c>
      <c r="EC53" s="88">
        <f t="shared" si="291"/>
        <v>0</v>
      </c>
      <c r="ED53" s="88">
        <f t="shared" si="291"/>
        <v>0</v>
      </c>
      <c r="EE53" s="88">
        <f t="shared" si="291"/>
        <v>0</v>
      </c>
      <c r="EF53" s="88">
        <f t="shared" si="291"/>
        <v>0</v>
      </c>
      <c r="EG53" s="88">
        <f t="shared" si="291"/>
        <v>0</v>
      </c>
      <c r="EH53" s="88">
        <f t="shared" si="291"/>
        <v>0</v>
      </c>
      <c r="EI53" s="88">
        <f t="shared" si="291"/>
        <v>0</v>
      </c>
      <c r="EJ53" s="88">
        <f t="shared" si="291"/>
        <v>0</v>
      </c>
      <c r="EK53" s="88">
        <f t="shared" si="291"/>
        <v>0</v>
      </c>
      <c r="EL53" s="88">
        <f t="shared" si="291"/>
        <v>0</v>
      </c>
      <c r="EM53" s="88">
        <f t="shared" si="291"/>
        <v>0</v>
      </c>
      <c r="EN53" s="88">
        <f t="shared" si="291"/>
        <v>0</v>
      </c>
      <c r="EO53" s="88">
        <f t="shared" si="291"/>
        <v>0</v>
      </c>
      <c r="EP53" s="88">
        <f t="shared" si="291"/>
        <v>0</v>
      </c>
      <c r="EQ53" s="88">
        <f t="shared" si="291"/>
        <v>0</v>
      </c>
      <c r="ER53" s="88">
        <f t="shared" si="291"/>
        <v>0</v>
      </c>
      <c r="ES53" s="88">
        <f t="shared" si="291"/>
        <v>0</v>
      </c>
      <c r="ET53" s="88">
        <f t="shared" si="291"/>
        <v>0</v>
      </c>
      <c r="EU53" s="88">
        <f t="shared" si="291"/>
        <v>0</v>
      </c>
      <c r="EV53" s="88">
        <f t="shared" si="291"/>
        <v>0</v>
      </c>
      <c r="EW53" s="88">
        <f t="shared" si="291"/>
        <v>0</v>
      </c>
      <c r="EX53" s="88">
        <f t="shared" si="291"/>
        <v>0</v>
      </c>
      <c r="EY53" s="88">
        <f t="shared" si="291"/>
        <v>0</v>
      </c>
    </row>
    <row r="54">
      <c r="A54" s="181" t="s">
        <v>230</v>
      </c>
      <c r="B54" s="10">
        <f t="shared" ref="B54:DU54" si="292">0</f>
        <v>0</v>
      </c>
      <c r="C54" s="10">
        <f t="shared" si="292"/>
        <v>0</v>
      </c>
      <c r="D54" s="10">
        <f t="shared" si="292"/>
        <v>0</v>
      </c>
      <c r="E54" s="88">
        <f t="shared" si="292"/>
        <v>0</v>
      </c>
      <c r="F54" s="123">
        <f t="shared" si="292"/>
        <v>0</v>
      </c>
      <c r="G54" s="205">
        <f t="shared" si="292"/>
        <v>0</v>
      </c>
      <c r="H54" s="88">
        <f t="shared" si="292"/>
        <v>0</v>
      </c>
      <c r="I54" s="88">
        <f t="shared" si="292"/>
        <v>0</v>
      </c>
      <c r="J54" s="88">
        <f t="shared" si="292"/>
        <v>0</v>
      </c>
      <c r="K54" s="88">
        <f t="shared" si="292"/>
        <v>0</v>
      </c>
      <c r="L54" s="88">
        <f t="shared" si="292"/>
        <v>0</v>
      </c>
      <c r="M54" s="88">
        <f t="shared" si="292"/>
        <v>0</v>
      </c>
      <c r="N54" s="88">
        <f t="shared" si="292"/>
        <v>0</v>
      </c>
      <c r="O54" s="88">
        <f t="shared" si="292"/>
        <v>0</v>
      </c>
      <c r="P54" s="88">
        <f t="shared" si="292"/>
        <v>0</v>
      </c>
      <c r="Q54" s="88">
        <f t="shared" si="292"/>
        <v>0</v>
      </c>
      <c r="R54" s="88">
        <f t="shared" si="292"/>
        <v>0</v>
      </c>
      <c r="S54" s="88">
        <f t="shared" si="292"/>
        <v>0</v>
      </c>
      <c r="T54" s="88">
        <f t="shared" si="292"/>
        <v>0</v>
      </c>
      <c r="U54" s="88">
        <f t="shared" si="292"/>
        <v>0</v>
      </c>
      <c r="V54" s="88">
        <f t="shared" si="292"/>
        <v>0</v>
      </c>
      <c r="W54" s="88">
        <f t="shared" si="292"/>
        <v>0</v>
      </c>
      <c r="X54" s="88">
        <f t="shared" si="292"/>
        <v>0</v>
      </c>
      <c r="Y54" s="88">
        <f t="shared" si="292"/>
        <v>0</v>
      </c>
      <c r="Z54" s="88">
        <f t="shared" si="292"/>
        <v>0</v>
      </c>
      <c r="AA54" s="88">
        <f t="shared" si="292"/>
        <v>0</v>
      </c>
      <c r="AB54" s="88">
        <f t="shared" si="292"/>
        <v>0</v>
      </c>
      <c r="AC54" s="88">
        <f t="shared" si="292"/>
        <v>0</v>
      </c>
      <c r="AD54" s="88">
        <f t="shared" si="292"/>
        <v>0</v>
      </c>
      <c r="AE54" s="88">
        <f t="shared" si="292"/>
        <v>0</v>
      </c>
      <c r="AF54" s="88">
        <f t="shared" si="292"/>
        <v>0</v>
      </c>
      <c r="AG54" s="88">
        <f t="shared" si="292"/>
        <v>0</v>
      </c>
      <c r="AH54" s="88">
        <f t="shared" si="292"/>
        <v>0</v>
      </c>
      <c r="AI54" s="88">
        <f t="shared" si="292"/>
        <v>0</v>
      </c>
      <c r="AJ54" s="88">
        <f t="shared" si="292"/>
        <v>0</v>
      </c>
      <c r="AK54" s="88">
        <f t="shared" si="292"/>
        <v>0</v>
      </c>
      <c r="AL54" s="88">
        <f t="shared" si="292"/>
        <v>0</v>
      </c>
      <c r="AM54" s="88">
        <f t="shared" si="292"/>
        <v>0</v>
      </c>
      <c r="AN54" s="88">
        <f t="shared" si="292"/>
        <v>0</v>
      </c>
      <c r="AO54" s="88">
        <f t="shared" si="292"/>
        <v>0</v>
      </c>
      <c r="AP54" s="88">
        <f t="shared" si="292"/>
        <v>0</v>
      </c>
      <c r="AQ54" s="88">
        <f t="shared" si="292"/>
        <v>0</v>
      </c>
      <c r="AR54" s="88">
        <f t="shared" si="292"/>
        <v>0</v>
      </c>
      <c r="AS54" s="88">
        <f t="shared" si="292"/>
        <v>0</v>
      </c>
      <c r="AT54" s="88">
        <f t="shared" si="292"/>
        <v>0</v>
      </c>
      <c r="AU54" s="88">
        <f t="shared" si="292"/>
        <v>0</v>
      </c>
      <c r="AV54" s="88">
        <f t="shared" si="292"/>
        <v>0</v>
      </c>
      <c r="AW54" s="88">
        <f t="shared" si="292"/>
        <v>0</v>
      </c>
      <c r="AX54" s="88">
        <f t="shared" si="292"/>
        <v>0</v>
      </c>
      <c r="AY54" s="88">
        <f t="shared" si="292"/>
        <v>0</v>
      </c>
      <c r="AZ54" s="88">
        <f t="shared" si="292"/>
        <v>0</v>
      </c>
      <c r="BA54" s="88">
        <f t="shared" si="292"/>
        <v>0</v>
      </c>
      <c r="BB54" s="88">
        <f t="shared" si="292"/>
        <v>0</v>
      </c>
      <c r="BC54" s="88">
        <f t="shared" si="292"/>
        <v>0</v>
      </c>
      <c r="BD54" s="88">
        <f t="shared" si="292"/>
        <v>0</v>
      </c>
      <c r="BE54" s="88">
        <f t="shared" si="292"/>
        <v>0</v>
      </c>
      <c r="BF54" s="88">
        <f t="shared" si="292"/>
        <v>0</v>
      </c>
      <c r="BG54" s="88">
        <f t="shared" si="292"/>
        <v>0</v>
      </c>
      <c r="BH54" s="88">
        <f t="shared" si="292"/>
        <v>0</v>
      </c>
      <c r="BI54" s="88">
        <f t="shared" si="292"/>
        <v>0</v>
      </c>
      <c r="BJ54" s="88">
        <f t="shared" si="292"/>
        <v>0</v>
      </c>
      <c r="BK54" s="88">
        <f t="shared" si="292"/>
        <v>0</v>
      </c>
      <c r="BL54" s="88">
        <f t="shared" si="292"/>
        <v>0</v>
      </c>
      <c r="BM54" s="88">
        <f t="shared" si="292"/>
        <v>0</v>
      </c>
      <c r="BN54" s="88">
        <f t="shared" si="292"/>
        <v>0</v>
      </c>
      <c r="BO54" s="88">
        <f t="shared" si="292"/>
        <v>0</v>
      </c>
      <c r="BP54" s="88">
        <f t="shared" si="292"/>
        <v>0</v>
      </c>
      <c r="BQ54" s="88">
        <f t="shared" si="292"/>
        <v>0</v>
      </c>
      <c r="BR54" s="88">
        <f t="shared" si="292"/>
        <v>0</v>
      </c>
      <c r="BS54" s="88">
        <f t="shared" si="292"/>
        <v>0</v>
      </c>
      <c r="BT54" s="88">
        <f t="shared" si="292"/>
        <v>0</v>
      </c>
      <c r="BU54" s="88">
        <f t="shared" si="292"/>
        <v>0</v>
      </c>
      <c r="BV54" s="88">
        <f t="shared" si="292"/>
        <v>0</v>
      </c>
      <c r="BW54" s="88">
        <f t="shared" si="292"/>
        <v>0</v>
      </c>
      <c r="BX54" s="88">
        <f t="shared" si="292"/>
        <v>0</v>
      </c>
      <c r="BY54" s="88">
        <f t="shared" si="292"/>
        <v>0</v>
      </c>
      <c r="BZ54" s="88">
        <f t="shared" si="292"/>
        <v>0</v>
      </c>
      <c r="CA54" s="88">
        <f t="shared" si="292"/>
        <v>0</v>
      </c>
      <c r="CB54" s="88">
        <f t="shared" si="292"/>
        <v>0</v>
      </c>
      <c r="CC54" s="88">
        <f t="shared" si="292"/>
        <v>0</v>
      </c>
      <c r="CD54" s="88">
        <f t="shared" si="292"/>
        <v>0</v>
      </c>
      <c r="CE54" s="88">
        <f t="shared" si="292"/>
        <v>0</v>
      </c>
      <c r="CF54" s="88">
        <f t="shared" si="292"/>
        <v>0</v>
      </c>
      <c r="CG54" s="88">
        <f t="shared" si="292"/>
        <v>0</v>
      </c>
      <c r="CH54" s="88">
        <f t="shared" si="292"/>
        <v>0</v>
      </c>
      <c r="CI54" s="88">
        <f t="shared" si="292"/>
        <v>0</v>
      </c>
      <c r="CJ54" s="88">
        <f t="shared" si="292"/>
        <v>0</v>
      </c>
      <c r="CK54" s="88">
        <f t="shared" si="292"/>
        <v>0</v>
      </c>
      <c r="CL54" s="88">
        <f t="shared" si="292"/>
        <v>0</v>
      </c>
      <c r="CM54" s="88">
        <f t="shared" si="292"/>
        <v>0</v>
      </c>
      <c r="CN54" s="88">
        <f t="shared" si="292"/>
        <v>0</v>
      </c>
      <c r="CO54" s="88">
        <f t="shared" si="292"/>
        <v>0</v>
      </c>
      <c r="CP54" s="88">
        <f t="shared" si="292"/>
        <v>0</v>
      </c>
      <c r="CQ54" s="88">
        <f t="shared" si="292"/>
        <v>0</v>
      </c>
      <c r="CR54" s="88">
        <f t="shared" si="292"/>
        <v>0</v>
      </c>
      <c r="CS54" s="88">
        <f t="shared" si="292"/>
        <v>0</v>
      </c>
      <c r="CT54" s="88">
        <f t="shared" si="292"/>
        <v>0</v>
      </c>
      <c r="CU54" s="88">
        <f t="shared" si="292"/>
        <v>0</v>
      </c>
      <c r="CV54" s="88">
        <f t="shared" si="292"/>
        <v>0</v>
      </c>
      <c r="CW54" s="88">
        <f t="shared" si="292"/>
        <v>0</v>
      </c>
      <c r="CX54" s="88">
        <f t="shared" si="292"/>
        <v>0</v>
      </c>
      <c r="CY54" s="88">
        <f t="shared" si="292"/>
        <v>0</v>
      </c>
      <c r="CZ54" s="88">
        <f t="shared" si="292"/>
        <v>0</v>
      </c>
      <c r="DA54" s="88">
        <f t="shared" si="292"/>
        <v>0</v>
      </c>
      <c r="DB54" s="88">
        <f t="shared" si="292"/>
        <v>0</v>
      </c>
      <c r="DC54" s="88">
        <f t="shared" si="292"/>
        <v>0</v>
      </c>
      <c r="DD54" s="88">
        <f t="shared" si="292"/>
        <v>0</v>
      </c>
      <c r="DE54" s="88">
        <f t="shared" si="292"/>
        <v>0</v>
      </c>
      <c r="DF54" s="88">
        <f t="shared" si="292"/>
        <v>0</v>
      </c>
      <c r="DG54" s="88">
        <f t="shared" si="292"/>
        <v>0</v>
      </c>
      <c r="DH54" s="88">
        <f t="shared" si="292"/>
        <v>0</v>
      </c>
      <c r="DI54" s="88">
        <f t="shared" si="292"/>
        <v>0</v>
      </c>
      <c r="DJ54" s="88">
        <f t="shared" si="292"/>
        <v>0</v>
      </c>
      <c r="DK54" s="88">
        <f t="shared" si="292"/>
        <v>0</v>
      </c>
      <c r="DL54" s="88">
        <f t="shared" si="292"/>
        <v>0</v>
      </c>
      <c r="DM54" s="88">
        <f t="shared" si="292"/>
        <v>0</v>
      </c>
      <c r="DN54" s="88">
        <f t="shared" si="292"/>
        <v>0</v>
      </c>
      <c r="DO54" s="88">
        <f t="shared" si="292"/>
        <v>0</v>
      </c>
      <c r="DP54" s="88">
        <f t="shared" si="292"/>
        <v>0</v>
      </c>
      <c r="DQ54" s="88">
        <f t="shared" si="292"/>
        <v>0</v>
      </c>
      <c r="DR54" s="88">
        <f t="shared" si="292"/>
        <v>0</v>
      </c>
      <c r="DS54" s="88">
        <f t="shared" si="292"/>
        <v>0</v>
      </c>
      <c r="DT54" s="88">
        <f t="shared" si="292"/>
        <v>0</v>
      </c>
      <c r="DU54" s="88">
        <f t="shared" si="292"/>
        <v>0</v>
      </c>
      <c r="DV54" s="88">
        <f t="shared" ref="DV54:EY54" si="293">0</f>
        <v>0</v>
      </c>
      <c r="DW54" s="88">
        <f t="shared" si="293"/>
        <v>0</v>
      </c>
      <c r="DX54" s="88">
        <f t="shared" si="293"/>
        <v>0</v>
      </c>
      <c r="DY54" s="88">
        <f t="shared" si="293"/>
        <v>0</v>
      </c>
      <c r="DZ54" s="88">
        <f t="shared" si="293"/>
        <v>0</v>
      </c>
      <c r="EA54" s="88">
        <f t="shared" si="293"/>
        <v>0</v>
      </c>
      <c r="EB54" s="88">
        <f t="shared" si="293"/>
        <v>0</v>
      </c>
      <c r="EC54" s="88">
        <f t="shared" si="293"/>
        <v>0</v>
      </c>
      <c r="ED54" s="88">
        <f t="shared" si="293"/>
        <v>0</v>
      </c>
      <c r="EE54" s="88">
        <f t="shared" si="293"/>
        <v>0</v>
      </c>
      <c r="EF54" s="88">
        <f t="shared" si="293"/>
        <v>0</v>
      </c>
      <c r="EG54" s="88">
        <f t="shared" si="293"/>
        <v>0</v>
      </c>
      <c r="EH54" s="88">
        <f t="shared" si="293"/>
        <v>0</v>
      </c>
      <c r="EI54" s="88">
        <f t="shared" si="293"/>
        <v>0</v>
      </c>
      <c r="EJ54" s="88">
        <f t="shared" si="293"/>
        <v>0</v>
      </c>
      <c r="EK54" s="88">
        <f t="shared" si="293"/>
        <v>0</v>
      </c>
      <c r="EL54" s="88">
        <f t="shared" si="293"/>
        <v>0</v>
      </c>
      <c r="EM54" s="88">
        <f t="shared" si="293"/>
        <v>0</v>
      </c>
      <c r="EN54" s="88">
        <f t="shared" si="293"/>
        <v>0</v>
      </c>
      <c r="EO54" s="88">
        <f t="shared" si="293"/>
        <v>0</v>
      </c>
      <c r="EP54" s="88">
        <f t="shared" si="293"/>
        <v>0</v>
      </c>
      <c r="EQ54" s="88">
        <f t="shared" si="293"/>
        <v>0</v>
      </c>
      <c r="ER54" s="88">
        <f t="shared" si="293"/>
        <v>0</v>
      </c>
      <c r="ES54" s="88">
        <f t="shared" si="293"/>
        <v>0</v>
      </c>
      <c r="ET54" s="88">
        <f t="shared" si="293"/>
        <v>0</v>
      </c>
      <c r="EU54" s="88">
        <f t="shared" si="293"/>
        <v>0</v>
      </c>
      <c r="EV54" s="88">
        <f t="shared" si="293"/>
        <v>0</v>
      </c>
      <c r="EW54" s="88">
        <f t="shared" si="293"/>
        <v>0</v>
      </c>
      <c r="EX54" s="88">
        <f t="shared" si="293"/>
        <v>0</v>
      </c>
      <c r="EY54" s="88">
        <f t="shared" si="293"/>
        <v>0</v>
      </c>
    </row>
    <row r="55">
      <c r="A55" s="181" t="s">
        <v>231</v>
      </c>
      <c r="B55" s="10">
        <f t="shared" ref="B55:DU55" si="294">0</f>
        <v>0</v>
      </c>
      <c r="C55" s="10">
        <f t="shared" si="294"/>
        <v>0</v>
      </c>
      <c r="D55" s="10">
        <f t="shared" si="294"/>
        <v>0</v>
      </c>
      <c r="E55" s="88">
        <f t="shared" si="294"/>
        <v>0</v>
      </c>
      <c r="F55" s="123">
        <f t="shared" si="294"/>
        <v>0</v>
      </c>
      <c r="G55" s="205">
        <f t="shared" si="294"/>
        <v>0</v>
      </c>
      <c r="H55" s="88">
        <f t="shared" si="294"/>
        <v>0</v>
      </c>
      <c r="I55" s="88">
        <f t="shared" si="294"/>
        <v>0</v>
      </c>
      <c r="J55" s="88">
        <f t="shared" si="294"/>
        <v>0</v>
      </c>
      <c r="K55" s="88">
        <f t="shared" si="294"/>
        <v>0</v>
      </c>
      <c r="L55" s="88">
        <f t="shared" si="294"/>
        <v>0</v>
      </c>
      <c r="M55" s="88">
        <f t="shared" si="294"/>
        <v>0</v>
      </c>
      <c r="N55" s="88">
        <f t="shared" si="294"/>
        <v>0</v>
      </c>
      <c r="O55" s="88">
        <f t="shared" si="294"/>
        <v>0</v>
      </c>
      <c r="P55" s="88">
        <f t="shared" si="294"/>
        <v>0</v>
      </c>
      <c r="Q55" s="88">
        <f t="shared" si="294"/>
        <v>0</v>
      </c>
      <c r="R55" s="88">
        <f t="shared" si="294"/>
        <v>0</v>
      </c>
      <c r="S55" s="88">
        <f t="shared" si="294"/>
        <v>0</v>
      </c>
      <c r="T55" s="88">
        <f t="shared" si="294"/>
        <v>0</v>
      </c>
      <c r="U55" s="88">
        <f t="shared" si="294"/>
        <v>0</v>
      </c>
      <c r="V55" s="88">
        <f t="shared" si="294"/>
        <v>0</v>
      </c>
      <c r="W55" s="88">
        <f t="shared" si="294"/>
        <v>0</v>
      </c>
      <c r="X55" s="88">
        <f t="shared" si="294"/>
        <v>0</v>
      </c>
      <c r="Y55" s="88">
        <f t="shared" si="294"/>
        <v>0</v>
      </c>
      <c r="Z55" s="88">
        <f t="shared" si="294"/>
        <v>0</v>
      </c>
      <c r="AA55" s="88">
        <f t="shared" si="294"/>
        <v>0</v>
      </c>
      <c r="AB55" s="88">
        <f t="shared" si="294"/>
        <v>0</v>
      </c>
      <c r="AC55" s="88">
        <f t="shared" si="294"/>
        <v>0</v>
      </c>
      <c r="AD55" s="88">
        <f t="shared" si="294"/>
        <v>0</v>
      </c>
      <c r="AE55" s="88">
        <f t="shared" si="294"/>
        <v>0</v>
      </c>
      <c r="AF55" s="88">
        <f t="shared" si="294"/>
        <v>0</v>
      </c>
      <c r="AG55" s="88">
        <f t="shared" si="294"/>
        <v>0</v>
      </c>
      <c r="AH55" s="88">
        <f t="shared" si="294"/>
        <v>0</v>
      </c>
      <c r="AI55" s="88">
        <f t="shared" si="294"/>
        <v>0</v>
      </c>
      <c r="AJ55" s="88">
        <f t="shared" si="294"/>
        <v>0</v>
      </c>
      <c r="AK55" s="88">
        <f t="shared" si="294"/>
        <v>0</v>
      </c>
      <c r="AL55" s="88">
        <f t="shared" si="294"/>
        <v>0</v>
      </c>
      <c r="AM55" s="88">
        <f t="shared" si="294"/>
        <v>0</v>
      </c>
      <c r="AN55" s="88">
        <f t="shared" si="294"/>
        <v>0</v>
      </c>
      <c r="AO55" s="88">
        <f t="shared" si="294"/>
        <v>0</v>
      </c>
      <c r="AP55" s="88">
        <f t="shared" si="294"/>
        <v>0</v>
      </c>
      <c r="AQ55" s="88">
        <f t="shared" si="294"/>
        <v>0</v>
      </c>
      <c r="AR55" s="88">
        <f t="shared" si="294"/>
        <v>0</v>
      </c>
      <c r="AS55" s="88">
        <f t="shared" si="294"/>
        <v>0</v>
      </c>
      <c r="AT55" s="88">
        <f t="shared" si="294"/>
        <v>0</v>
      </c>
      <c r="AU55" s="88">
        <f t="shared" si="294"/>
        <v>0</v>
      </c>
      <c r="AV55" s="88">
        <f t="shared" si="294"/>
        <v>0</v>
      </c>
      <c r="AW55" s="88">
        <f t="shared" si="294"/>
        <v>0</v>
      </c>
      <c r="AX55" s="88">
        <f t="shared" si="294"/>
        <v>0</v>
      </c>
      <c r="AY55" s="88">
        <f t="shared" si="294"/>
        <v>0</v>
      </c>
      <c r="AZ55" s="88">
        <f t="shared" si="294"/>
        <v>0</v>
      </c>
      <c r="BA55" s="88">
        <f t="shared" si="294"/>
        <v>0</v>
      </c>
      <c r="BB55" s="88">
        <f t="shared" si="294"/>
        <v>0</v>
      </c>
      <c r="BC55" s="88">
        <f t="shared" si="294"/>
        <v>0</v>
      </c>
      <c r="BD55" s="88">
        <f t="shared" si="294"/>
        <v>0</v>
      </c>
      <c r="BE55" s="88">
        <f t="shared" si="294"/>
        <v>0</v>
      </c>
      <c r="BF55" s="88">
        <f t="shared" si="294"/>
        <v>0</v>
      </c>
      <c r="BG55" s="88">
        <f t="shared" si="294"/>
        <v>0</v>
      </c>
      <c r="BH55" s="88">
        <f t="shared" si="294"/>
        <v>0</v>
      </c>
      <c r="BI55" s="88">
        <f t="shared" si="294"/>
        <v>0</v>
      </c>
      <c r="BJ55" s="88">
        <f t="shared" si="294"/>
        <v>0</v>
      </c>
      <c r="BK55" s="88">
        <f t="shared" si="294"/>
        <v>0</v>
      </c>
      <c r="BL55" s="88">
        <f t="shared" si="294"/>
        <v>0</v>
      </c>
      <c r="BM55" s="88">
        <f t="shared" si="294"/>
        <v>0</v>
      </c>
      <c r="BN55" s="88">
        <f t="shared" si="294"/>
        <v>0</v>
      </c>
      <c r="BO55" s="88">
        <f t="shared" si="294"/>
        <v>0</v>
      </c>
      <c r="BP55" s="88">
        <f t="shared" si="294"/>
        <v>0</v>
      </c>
      <c r="BQ55" s="88">
        <f t="shared" si="294"/>
        <v>0</v>
      </c>
      <c r="BR55" s="88">
        <f t="shared" si="294"/>
        <v>0</v>
      </c>
      <c r="BS55" s="88">
        <f t="shared" si="294"/>
        <v>0</v>
      </c>
      <c r="BT55" s="88">
        <f t="shared" si="294"/>
        <v>0</v>
      </c>
      <c r="BU55" s="88">
        <f t="shared" si="294"/>
        <v>0</v>
      </c>
      <c r="BV55" s="88">
        <f t="shared" si="294"/>
        <v>0</v>
      </c>
      <c r="BW55" s="88">
        <f t="shared" si="294"/>
        <v>0</v>
      </c>
      <c r="BX55" s="88">
        <f t="shared" si="294"/>
        <v>0</v>
      </c>
      <c r="BY55" s="88">
        <f t="shared" si="294"/>
        <v>0</v>
      </c>
      <c r="BZ55" s="88">
        <f t="shared" si="294"/>
        <v>0</v>
      </c>
      <c r="CA55" s="88">
        <f t="shared" si="294"/>
        <v>0</v>
      </c>
      <c r="CB55" s="88">
        <f t="shared" si="294"/>
        <v>0</v>
      </c>
      <c r="CC55" s="88">
        <f t="shared" si="294"/>
        <v>0</v>
      </c>
      <c r="CD55" s="88">
        <f t="shared" si="294"/>
        <v>0</v>
      </c>
      <c r="CE55" s="88">
        <f t="shared" si="294"/>
        <v>0</v>
      </c>
      <c r="CF55" s="88">
        <f t="shared" si="294"/>
        <v>0</v>
      </c>
      <c r="CG55" s="88">
        <f t="shared" si="294"/>
        <v>0</v>
      </c>
      <c r="CH55" s="88">
        <f t="shared" si="294"/>
        <v>0</v>
      </c>
      <c r="CI55" s="88">
        <f t="shared" si="294"/>
        <v>0</v>
      </c>
      <c r="CJ55" s="88">
        <f t="shared" si="294"/>
        <v>0</v>
      </c>
      <c r="CK55" s="88">
        <f t="shared" si="294"/>
        <v>0</v>
      </c>
      <c r="CL55" s="88">
        <f t="shared" si="294"/>
        <v>0</v>
      </c>
      <c r="CM55" s="88">
        <f t="shared" si="294"/>
        <v>0</v>
      </c>
      <c r="CN55" s="88">
        <f t="shared" si="294"/>
        <v>0</v>
      </c>
      <c r="CO55" s="88">
        <f t="shared" si="294"/>
        <v>0</v>
      </c>
      <c r="CP55" s="88">
        <f t="shared" si="294"/>
        <v>0</v>
      </c>
      <c r="CQ55" s="88">
        <f t="shared" si="294"/>
        <v>0</v>
      </c>
      <c r="CR55" s="88">
        <f t="shared" si="294"/>
        <v>0</v>
      </c>
      <c r="CS55" s="88">
        <f t="shared" si="294"/>
        <v>0</v>
      </c>
      <c r="CT55" s="88">
        <f t="shared" si="294"/>
        <v>0</v>
      </c>
      <c r="CU55" s="88">
        <f t="shared" si="294"/>
        <v>0</v>
      </c>
      <c r="CV55" s="88">
        <f t="shared" si="294"/>
        <v>0</v>
      </c>
      <c r="CW55" s="88">
        <f t="shared" si="294"/>
        <v>0</v>
      </c>
      <c r="CX55" s="88">
        <f t="shared" si="294"/>
        <v>0</v>
      </c>
      <c r="CY55" s="88">
        <f t="shared" si="294"/>
        <v>0</v>
      </c>
      <c r="CZ55" s="88">
        <f t="shared" si="294"/>
        <v>0</v>
      </c>
      <c r="DA55" s="88">
        <f t="shared" si="294"/>
        <v>0</v>
      </c>
      <c r="DB55" s="88">
        <f t="shared" si="294"/>
        <v>0</v>
      </c>
      <c r="DC55" s="88">
        <f t="shared" si="294"/>
        <v>0</v>
      </c>
      <c r="DD55" s="88">
        <f t="shared" si="294"/>
        <v>0</v>
      </c>
      <c r="DE55" s="88">
        <f t="shared" si="294"/>
        <v>0</v>
      </c>
      <c r="DF55" s="88">
        <f t="shared" si="294"/>
        <v>0</v>
      </c>
      <c r="DG55" s="88">
        <f t="shared" si="294"/>
        <v>0</v>
      </c>
      <c r="DH55" s="88">
        <f t="shared" si="294"/>
        <v>0</v>
      </c>
      <c r="DI55" s="88">
        <f t="shared" si="294"/>
        <v>0</v>
      </c>
      <c r="DJ55" s="88">
        <f t="shared" si="294"/>
        <v>0</v>
      </c>
      <c r="DK55" s="88">
        <f t="shared" si="294"/>
        <v>0</v>
      </c>
      <c r="DL55" s="88">
        <f t="shared" si="294"/>
        <v>0</v>
      </c>
      <c r="DM55" s="88">
        <f t="shared" si="294"/>
        <v>0</v>
      </c>
      <c r="DN55" s="88">
        <f t="shared" si="294"/>
        <v>0</v>
      </c>
      <c r="DO55" s="88">
        <f t="shared" si="294"/>
        <v>0</v>
      </c>
      <c r="DP55" s="88">
        <f t="shared" si="294"/>
        <v>0</v>
      </c>
      <c r="DQ55" s="88">
        <f t="shared" si="294"/>
        <v>0</v>
      </c>
      <c r="DR55" s="88">
        <f t="shared" si="294"/>
        <v>0</v>
      </c>
      <c r="DS55" s="88">
        <f t="shared" si="294"/>
        <v>0</v>
      </c>
      <c r="DT55" s="88">
        <f t="shared" si="294"/>
        <v>0</v>
      </c>
      <c r="DU55" s="88">
        <f t="shared" si="294"/>
        <v>0</v>
      </c>
      <c r="DV55" s="88">
        <f t="shared" ref="DV55:EY55" si="295">0</f>
        <v>0</v>
      </c>
      <c r="DW55" s="88">
        <f t="shared" si="295"/>
        <v>0</v>
      </c>
      <c r="DX55" s="88">
        <f t="shared" si="295"/>
        <v>0</v>
      </c>
      <c r="DY55" s="88">
        <f t="shared" si="295"/>
        <v>0</v>
      </c>
      <c r="DZ55" s="88">
        <f t="shared" si="295"/>
        <v>0</v>
      </c>
      <c r="EA55" s="88">
        <f t="shared" si="295"/>
        <v>0</v>
      </c>
      <c r="EB55" s="88">
        <f t="shared" si="295"/>
        <v>0</v>
      </c>
      <c r="EC55" s="88">
        <f t="shared" si="295"/>
        <v>0</v>
      </c>
      <c r="ED55" s="88">
        <f t="shared" si="295"/>
        <v>0</v>
      </c>
      <c r="EE55" s="88">
        <f t="shared" si="295"/>
        <v>0</v>
      </c>
      <c r="EF55" s="88">
        <f t="shared" si="295"/>
        <v>0</v>
      </c>
      <c r="EG55" s="88">
        <f t="shared" si="295"/>
        <v>0</v>
      </c>
      <c r="EH55" s="88">
        <f t="shared" si="295"/>
        <v>0</v>
      </c>
      <c r="EI55" s="88">
        <f t="shared" si="295"/>
        <v>0</v>
      </c>
      <c r="EJ55" s="88">
        <f t="shared" si="295"/>
        <v>0</v>
      </c>
      <c r="EK55" s="88">
        <f t="shared" si="295"/>
        <v>0</v>
      </c>
      <c r="EL55" s="88">
        <f t="shared" si="295"/>
        <v>0</v>
      </c>
      <c r="EM55" s="88">
        <f t="shared" si="295"/>
        <v>0</v>
      </c>
      <c r="EN55" s="88">
        <f t="shared" si="295"/>
        <v>0</v>
      </c>
      <c r="EO55" s="88">
        <f t="shared" si="295"/>
        <v>0</v>
      </c>
      <c r="EP55" s="88">
        <f t="shared" si="295"/>
        <v>0</v>
      </c>
      <c r="EQ55" s="88">
        <f t="shared" si="295"/>
        <v>0</v>
      </c>
      <c r="ER55" s="88">
        <f t="shared" si="295"/>
        <v>0</v>
      </c>
      <c r="ES55" s="88">
        <f t="shared" si="295"/>
        <v>0</v>
      </c>
      <c r="ET55" s="88">
        <f t="shared" si="295"/>
        <v>0</v>
      </c>
      <c r="EU55" s="88">
        <f t="shared" si="295"/>
        <v>0</v>
      </c>
      <c r="EV55" s="88">
        <f t="shared" si="295"/>
        <v>0</v>
      </c>
      <c r="EW55" s="88">
        <f t="shared" si="295"/>
        <v>0</v>
      </c>
      <c r="EX55" s="88">
        <f t="shared" si="295"/>
        <v>0</v>
      </c>
      <c r="EY55" s="88">
        <f t="shared" si="295"/>
        <v>0</v>
      </c>
    </row>
    <row r="56">
      <c r="A56" s="181" t="s">
        <v>232</v>
      </c>
      <c r="B56" s="10">
        <f t="shared" ref="B56:C56" si="296">0</f>
        <v>0</v>
      </c>
      <c r="C56" s="10">
        <f t="shared" si="296"/>
        <v>0</v>
      </c>
      <c r="D56" s="10" t="str">
        <f>IFERROR(__xludf.DUMMYFUNCTION("20 + (REGEXEXTRACT(INDIRECT(ADDRESS(ROW() - 54, COLUMN())), ""[\d]"") - 1) * 4"),"#N/A")</f>
        <v>#N/A</v>
      </c>
      <c r="E56" s="88">
        <f t="shared" ref="E56:X56" si="297">0</f>
        <v>0</v>
      </c>
      <c r="F56" s="123">
        <f t="shared" si="297"/>
        <v>0</v>
      </c>
      <c r="G56" s="205">
        <f t="shared" si="297"/>
        <v>0</v>
      </c>
      <c r="H56" s="88">
        <f t="shared" si="297"/>
        <v>0</v>
      </c>
      <c r="I56" s="88">
        <f t="shared" si="297"/>
        <v>0</v>
      </c>
      <c r="J56" s="88">
        <f t="shared" si="297"/>
        <v>0</v>
      </c>
      <c r="K56" s="88">
        <f t="shared" si="297"/>
        <v>0</v>
      </c>
      <c r="L56" s="88">
        <f t="shared" si="297"/>
        <v>0</v>
      </c>
      <c r="M56" s="88">
        <f t="shared" si="297"/>
        <v>0</v>
      </c>
      <c r="N56" s="88">
        <f t="shared" si="297"/>
        <v>0</v>
      </c>
      <c r="O56" s="88">
        <f t="shared" si="297"/>
        <v>0</v>
      </c>
      <c r="P56" s="88">
        <f t="shared" si="297"/>
        <v>0</v>
      </c>
      <c r="Q56" s="88">
        <f t="shared" si="297"/>
        <v>0</v>
      </c>
      <c r="R56" s="88">
        <f t="shared" si="297"/>
        <v>0</v>
      </c>
      <c r="S56" s="88">
        <f t="shared" si="297"/>
        <v>0</v>
      </c>
      <c r="T56" s="88">
        <f t="shared" si="297"/>
        <v>0</v>
      </c>
      <c r="U56" s="88">
        <f t="shared" si="297"/>
        <v>0</v>
      </c>
      <c r="V56" s="88">
        <f t="shared" si="297"/>
        <v>0</v>
      </c>
      <c r="W56" s="88">
        <f t="shared" si="297"/>
        <v>0</v>
      </c>
      <c r="X56" s="88">
        <f t="shared" si="297"/>
        <v>0</v>
      </c>
      <c r="Y56" s="88" t="str">
        <f>IFERROR(__xludf.DUMMYFUNCTION("12 + (REGEXEXTRACT(INDIRECT(ADDRESS(ROW() - 54, COLUMN())), ""[\d]"") - 1) * 3"),"#N/A")</f>
        <v>#N/A</v>
      </c>
      <c r="Z56" s="88">
        <f t="shared" ref="Z56:BD56" si="298">0</f>
        <v>0</v>
      </c>
      <c r="AA56" s="88">
        <f t="shared" si="298"/>
        <v>0</v>
      </c>
      <c r="AB56" s="88">
        <f t="shared" si="298"/>
        <v>0</v>
      </c>
      <c r="AC56" s="88">
        <f t="shared" si="298"/>
        <v>0</v>
      </c>
      <c r="AD56" s="88">
        <f t="shared" si="298"/>
        <v>0</v>
      </c>
      <c r="AE56" s="88">
        <f t="shared" si="298"/>
        <v>0</v>
      </c>
      <c r="AF56" s="88">
        <f t="shared" si="298"/>
        <v>0</v>
      </c>
      <c r="AG56" s="88">
        <f t="shared" si="298"/>
        <v>0</v>
      </c>
      <c r="AH56" s="88">
        <f t="shared" si="298"/>
        <v>0</v>
      </c>
      <c r="AI56" s="88">
        <f t="shared" si="298"/>
        <v>0</v>
      </c>
      <c r="AJ56" s="88">
        <f t="shared" si="298"/>
        <v>0</v>
      </c>
      <c r="AK56" s="88">
        <f t="shared" si="298"/>
        <v>0</v>
      </c>
      <c r="AL56" s="88">
        <f t="shared" si="298"/>
        <v>0</v>
      </c>
      <c r="AM56" s="88">
        <f t="shared" si="298"/>
        <v>0</v>
      </c>
      <c r="AN56" s="88">
        <f t="shared" si="298"/>
        <v>0</v>
      </c>
      <c r="AO56" s="88">
        <f t="shared" si="298"/>
        <v>0</v>
      </c>
      <c r="AP56" s="88">
        <f t="shared" si="298"/>
        <v>0</v>
      </c>
      <c r="AQ56" s="88">
        <f t="shared" si="298"/>
        <v>0</v>
      </c>
      <c r="AR56" s="88">
        <f t="shared" si="298"/>
        <v>0</v>
      </c>
      <c r="AS56" s="88">
        <f t="shared" si="298"/>
        <v>0</v>
      </c>
      <c r="AT56" s="88">
        <f t="shared" si="298"/>
        <v>0</v>
      </c>
      <c r="AU56" s="88">
        <f t="shared" si="298"/>
        <v>0</v>
      </c>
      <c r="AV56" s="88">
        <f t="shared" si="298"/>
        <v>0</v>
      </c>
      <c r="AW56" s="88">
        <f t="shared" si="298"/>
        <v>0</v>
      </c>
      <c r="AX56" s="88">
        <f t="shared" si="298"/>
        <v>0</v>
      </c>
      <c r="AY56" s="88">
        <f t="shared" si="298"/>
        <v>0</v>
      </c>
      <c r="AZ56" s="88">
        <f t="shared" si="298"/>
        <v>0</v>
      </c>
      <c r="BA56" s="88">
        <f t="shared" si="298"/>
        <v>0</v>
      </c>
      <c r="BB56" s="88">
        <f t="shared" si="298"/>
        <v>0</v>
      </c>
      <c r="BC56" s="88">
        <f t="shared" si="298"/>
        <v>0</v>
      </c>
      <c r="BD56" s="88">
        <f t="shared" si="298"/>
        <v>0</v>
      </c>
      <c r="BE56" s="88" t="str">
        <f>IFERROR(__xludf.DUMMYFUNCTION("20 + (REGEXEXTRACT(INDIRECT(ADDRESS(ROW() - 54, COLUMN())), ""[\d]"") - 1) * 4"),"#N/A")</f>
        <v>#N/A</v>
      </c>
      <c r="BF56" s="88">
        <f t="shared" ref="BF56:BX56" si="299">0</f>
        <v>0</v>
      </c>
      <c r="BG56" s="88">
        <f t="shared" si="299"/>
        <v>0</v>
      </c>
      <c r="BH56" s="88">
        <f t="shared" si="299"/>
        <v>0</v>
      </c>
      <c r="BI56" s="88">
        <f t="shared" si="299"/>
        <v>0</v>
      </c>
      <c r="BJ56" s="88">
        <f t="shared" si="299"/>
        <v>0</v>
      </c>
      <c r="BK56" s="88">
        <f t="shared" si="299"/>
        <v>0</v>
      </c>
      <c r="BL56" s="88">
        <f t="shared" si="299"/>
        <v>0</v>
      </c>
      <c r="BM56" s="88">
        <f t="shared" si="299"/>
        <v>0</v>
      </c>
      <c r="BN56" s="88">
        <f t="shared" si="299"/>
        <v>0</v>
      </c>
      <c r="BO56" s="88">
        <f t="shared" si="299"/>
        <v>0</v>
      </c>
      <c r="BP56" s="88">
        <f t="shared" si="299"/>
        <v>0</v>
      </c>
      <c r="BQ56" s="88">
        <f t="shared" si="299"/>
        <v>0</v>
      </c>
      <c r="BR56" s="88">
        <f t="shared" si="299"/>
        <v>0</v>
      </c>
      <c r="BS56" s="88">
        <f t="shared" si="299"/>
        <v>0</v>
      </c>
      <c r="BT56" s="88">
        <f t="shared" si="299"/>
        <v>0</v>
      </c>
      <c r="BU56" s="88">
        <f t="shared" si="299"/>
        <v>0</v>
      </c>
      <c r="BV56" s="88">
        <f t="shared" si="299"/>
        <v>0</v>
      </c>
      <c r="BW56" s="88">
        <f t="shared" si="299"/>
        <v>0</v>
      </c>
      <c r="BX56" s="88">
        <f t="shared" si="299"/>
        <v>0</v>
      </c>
      <c r="BY56" s="88" t="str">
        <f>IFERROR(__xludf.DUMMYFUNCTION("12 + (REGEXEXTRACT(INDIRECT(ADDRESS(ROW() - 24, COLUMN())), ""[\d]"") - 1) * 3"),"#VALUE!")</f>
        <v>#VALUE!</v>
      </c>
      <c r="BZ56" s="88">
        <f t="shared" ref="BZ56:DU56" si="300">0</f>
        <v>0</v>
      </c>
      <c r="CA56" s="88">
        <f t="shared" si="300"/>
        <v>0</v>
      </c>
      <c r="CB56" s="88">
        <f t="shared" si="300"/>
        <v>0</v>
      </c>
      <c r="CC56" s="88">
        <f t="shared" si="300"/>
        <v>0</v>
      </c>
      <c r="CD56" s="88">
        <f t="shared" si="300"/>
        <v>0</v>
      </c>
      <c r="CE56" s="88">
        <f t="shared" si="300"/>
        <v>0</v>
      </c>
      <c r="CF56" s="88">
        <f t="shared" si="300"/>
        <v>0</v>
      </c>
      <c r="CG56" s="88">
        <f t="shared" si="300"/>
        <v>0</v>
      </c>
      <c r="CH56" s="88">
        <f t="shared" si="300"/>
        <v>0</v>
      </c>
      <c r="CI56" s="88">
        <f t="shared" si="300"/>
        <v>0</v>
      </c>
      <c r="CJ56" s="88">
        <f t="shared" si="300"/>
        <v>0</v>
      </c>
      <c r="CK56" s="88">
        <f t="shared" si="300"/>
        <v>0</v>
      </c>
      <c r="CL56" s="88">
        <f t="shared" si="300"/>
        <v>0</v>
      </c>
      <c r="CM56" s="88">
        <f t="shared" si="300"/>
        <v>0</v>
      </c>
      <c r="CN56" s="88">
        <f t="shared" si="300"/>
        <v>0</v>
      </c>
      <c r="CO56" s="88">
        <f t="shared" si="300"/>
        <v>0</v>
      </c>
      <c r="CP56" s="88">
        <f t="shared" si="300"/>
        <v>0</v>
      </c>
      <c r="CQ56" s="88">
        <f t="shared" si="300"/>
        <v>0</v>
      </c>
      <c r="CR56" s="88">
        <f t="shared" si="300"/>
        <v>0</v>
      </c>
      <c r="CS56" s="88">
        <f t="shared" si="300"/>
        <v>0</v>
      </c>
      <c r="CT56" s="88">
        <f t="shared" si="300"/>
        <v>0</v>
      </c>
      <c r="CU56" s="88">
        <f t="shared" si="300"/>
        <v>0</v>
      </c>
      <c r="CV56" s="88">
        <f t="shared" si="300"/>
        <v>0</v>
      </c>
      <c r="CW56" s="88">
        <f t="shared" si="300"/>
        <v>0</v>
      </c>
      <c r="CX56" s="88">
        <f t="shared" si="300"/>
        <v>0</v>
      </c>
      <c r="CY56" s="88">
        <f t="shared" si="300"/>
        <v>0</v>
      </c>
      <c r="CZ56" s="88">
        <f t="shared" si="300"/>
        <v>0</v>
      </c>
      <c r="DA56" s="88">
        <f t="shared" si="300"/>
        <v>0</v>
      </c>
      <c r="DB56" s="88">
        <f t="shared" si="300"/>
        <v>0</v>
      </c>
      <c r="DC56" s="88">
        <f t="shared" si="300"/>
        <v>0</v>
      </c>
      <c r="DD56" s="88">
        <f t="shared" si="300"/>
        <v>0</v>
      </c>
      <c r="DE56" s="88">
        <f t="shared" si="300"/>
        <v>0</v>
      </c>
      <c r="DF56" s="88">
        <f t="shared" si="300"/>
        <v>0</v>
      </c>
      <c r="DG56" s="88">
        <f t="shared" si="300"/>
        <v>0</v>
      </c>
      <c r="DH56" s="88">
        <f t="shared" si="300"/>
        <v>0</v>
      </c>
      <c r="DI56" s="88">
        <f t="shared" si="300"/>
        <v>0</v>
      </c>
      <c r="DJ56" s="88">
        <f t="shared" si="300"/>
        <v>0</v>
      </c>
      <c r="DK56" s="88">
        <f t="shared" si="300"/>
        <v>0</v>
      </c>
      <c r="DL56" s="88">
        <f t="shared" si="300"/>
        <v>0</v>
      </c>
      <c r="DM56" s="88">
        <f t="shared" si="300"/>
        <v>0</v>
      </c>
      <c r="DN56" s="88">
        <f t="shared" si="300"/>
        <v>0</v>
      </c>
      <c r="DO56" s="88">
        <f t="shared" si="300"/>
        <v>0</v>
      </c>
      <c r="DP56" s="88">
        <f t="shared" si="300"/>
        <v>0</v>
      </c>
      <c r="DQ56" s="88">
        <f t="shared" si="300"/>
        <v>0</v>
      </c>
      <c r="DR56" s="88">
        <f t="shared" si="300"/>
        <v>0</v>
      </c>
      <c r="DS56" s="88">
        <f t="shared" si="300"/>
        <v>0</v>
      </c>
      <c r="DT56" s="88">
        <f t="shared" si="300"/>
        <v>0</v>
      </c>
      <c r="DU56" s="88">
        <f t="shared" si="300"/>
        <v>0</v>
      </c>
      <c r="DV56" s="88">
        <f t="shared" ref="DV56:EY56" si="301">0</f>
        <v>0</v>
      </c>
      <c r="DW56" s="88">
        <f t="shared" si="301"/>
        <v>0</v>
      </c>
      <c r="DX56" s="88">
        <f t="shared" si="301"/>
        <v>0</v>
      </c>
      <c r="DY56" s="88">
        <f t="shared" si="301"/>
        <v>0</v>
      </c>
      <c r="DZ56" s="88">
        <f t="shared" si="301"/>
        <v>0</v>
      </c>
      <c r="EA56" s="88">
        <f t="shared" si="301"/>
        <v>0</v>
      </c>
      <c r="EB56" s="88">
        <f t="shared" si="301"/>
        <v>0</v>
      </c>
      <c r="EC56" s="88">
        <f t="shared" si="301"/>
        <v>0</v>
      </c>
      <c r="ED56" s="88">
        <f t="shared" si="301"/>
        <v>0</v>
      </c>
      <c r="EE56" s="88">
        <f t="shared" si="301"/>
        <v>0</v>
      </c>
      <c r="EF56" s="88">
        <f t="shared" si="301"/>
        <v>0</v>
      </c>
      <c r="EG56" s="88">
        <f t="shared" si="301"/>
        <v>0</v>
      </c>
      <c r="EH56" s="88">
        <f t="shared" si="301"/>
        <v>0</v>
      </c>
      <c r="EI56" s="88">
        <f t="shared" si="301"/>
        <v>0</v>
      </c>
      <c r="EJ56" s="88">
        <f t="shared" si="301"/>
        <v>0</v>
      </c>
      <c r="EK56" s="88">
        <f t="shared" si="301"/>
        <v>0</v>
      </c>
      <c r="EL56" s="88">
        <f t="shared" si="301"/>
        <v>0</v>
      </c>
      <c r="EM56" s="88">
        <f t="shared" si="301"/>
        <v>0</v>
      </c>
      <c r="EN56" s="88">
        <f t="shared" si="301"/>
        <v>0</v>
      </c>
      <c r="EO56" s="88">
        <f t="shared" si="301"/>
        <v>0</v>
      </c>
      <c r="EP56" s="88">
        <f t="shared" si="301"/>
        <v>0</v>
      </c>
      <c r="EQ56" s="88">
        <f t="shared" si="301"/>
        <v>0</v>
      </c>
      <c r="ER56" s="88">
        <f t="shared" si="301"/>
        <v>0</v>
      </c>
      <c r="ES56" s="88">
        <f t="shared" si="301"/>
        <v>0</v>
      </c>
      <c r="ET56" s="88">
        <f t="shared" si="301"/>
        <v>0</v>
      </c>
      <c r="EU56" s="88">
        <f t="shared" si="301"/>
        <v>0</v>
      </c>
      <c r="EV56" s="88">
        <f t="shared" si="301"/>
        <v>0</v>
      </c>
      <c r="EW56" s="88">
        <f t="shared" si="301"/>
        <v>0</v>
      </c>
      <c r="EX56" s="88">
        <f t="shared" si="301"/>
        <v>0</v>
      </c>
      <c r="EY56" s="88">
        <f t="shared" si="301"/>
        <v>0</v>
      </c>
    </row>
    <row r="57">
      <c r="A57" s="181" t="s">
        <v>233</v>
      </c>
      <c r="B57" s="10">
        <f t="shared" ref="B57:DU57" si="302">0</f>
        <v>0</v>
      </c>
      <c r="C57" s="10">
        <f t="shared" si="302"/>
        <v>0</v>
      </c>
      <c r="D57" s="10">
        <f t="shared" si="302"/>
        <v>0</v>
      </c>
      <c r="E57" s="88">
        <f t="shared" si="302"/>
        <v>0</v>
      </c>
      <c r="F57" s="123">
        <f t="shared" si="302"/>
        <v>0</v>
      </c>
      <c r="G57" s="205">
        <f t="shared" si="302"/>
        <v>0</v>
      </c>
      <c r="H57" s="88">
        <f t="shared" si="302"/>
        <v>0</v>
      </c>
      <c r="I57" s="88">
        <f t="shared" si="302"/>
        <v>0</v>
      </c>
      <c r="J57" s="88">
        <f t="shared" si="302"/>
        <v>0</v>
      </c>
      <c r="K57" s="88">
        <f t="shared" si="302"/>
        <v>0</v>
      </c>
      <c r="L57" s="88">
        <f t="shared" si="302"/>
        <v>0</v>
      </c>
      <c r="M57" s="88">
        <f t="shared" si="302"/>
        <v>0</v>
      </c>
      <c r="N57" s="88">
        <f t="shared" si="302"/>
        <v>0</v>
      </c>
      <c r="O57" s="88">
        <f t="shared" si="302"/>
        <v>0</v>
      </c>
      <c r="P57" s="88">
        <f t="shared" si="302"/>
        <v>0</v>
      </c>
      <c r="Q57" s="88">
        <f t="shared" si="302"/>
        <v>0</v>
      </c>
      <c r="R57" s="88">
        <f t="shared" si="302"/>
        <v>0</v>
      </c>
      <c r="S57" s="88">
        <f t="shared" si="302"/>
        <v>0</v>
      </c>
      <c r="T57" s="88">
        <f t="shared" si="302"/>
        <v>0</v>
      </c>
      <c r="U57" s="88">
        <f t="shared" si="302"/>
        <v>0</v>
      </c>
      <c r="V57" s="88">
        <f t="shared" si="302"/>
        <v>0</v>
      </c>
      <c r="W57" s="88">
        <f t="shared" si="302"/>
        <v>0</v>
      </c>
      <c r="X57" s="88">
        <f t="shared" si="302"/>
        <v>0</v>
      </c>
      <c r="Y57" s="88">
        <f t="shared" si="302"/>
        <v>0</v>
      </c>
      <c r="Z57" s="88">
        <f t="shared" si="302"/>
        <v>0</v>
      </c>
      <c r="AA57" s="88">
        <f t="shared" si="302"/>
        <v>0</v>
      </c>
      <c r="AB57" s="88">
        <f t="shared" si="302"/>
        <v>0</v>
      </c>
      <c r="AC57" s="88">
        <f t="shared" si="302"/>
        <v>0</v>
      </c>
      <c r="AD57" s="88">
        <f t="shared" si="302"/>
        <v>0</v>
      </c>
      <c r="AE57" s="88">
        <f t="shared" si="302"/>
        <v>0</v>
      </c>
      <c r="AF57" s="88">
        <f t="shared" si="302"/>
        <v>0</v>
      </c>
      <c r="AG57" s="88">
        <f t="shared" si="302"/>
        <v>0</v>
      </c>
      <c r="AH57" s="88">
        <f t="shared" si="302"/>
        <v>0</v>
      </c>
      <c r="AI57" s="88">
        <f t="shared" si="302"/>
        <v>0</v>
      </c>
      <c r="AJ57" s="88">
        <f t="shared" si="302"/>
        <v>0</v>
      </c>
      <c r="AK57" s="88">
        <f t="shared" si="302"/>
        <v>0</v>
      </c>
      <c r="AL57" s="88">
        <f t="shared" si="302"/>
        <v>0</v>
      </c>
      <c r="AM57" s="88">
        <f t="shared" si="302"/>
        <v>0</v>
      </c>
      <c r="AN57" s="88">
        <f t="shared" si="302"/>
        <v>0</v>
      </c>
      <c r="AO57" s="88">
        <f t="shared" si="302"/>
        <v>0</v>
      </c>
      <c r="AP57" s="88">
        <f t="shared" si="302"/>
        <v>0</v>
      </c>
      <c r="AQ57" s="88">
        <f t="shared" si="302"/>
        <v>0</v>
      </c>
      <c r="AR57" s="88">
        <f t="shared" si="302"/>
        <v>0</v>
      </c>
      <c r="AS57" s="88">
        <f t="shared" si="302"/>
        <v>0</v>
      </c>
      <c r="AT57" s="88">
        <f t="shared" si="302"/>
        <v>0</v>
      </c>
      <c r="AU57" s="88">
        <f t="shared" si="302"/>
        <v>0</v>
      </c>
      <c r="AV57" s="88">
        <f t="shared" si="302"/>
        <v>0</v>
      </c>
      <c r="AW57" s="88">
        <f t="shared" si="302"/>
        <v>0</v>
      </c>
      <c r="AX57" s="88">
        <f t="shared" si="302"/>
        <v>0</v>
      </c>
      <c r="AY57" s="88">
        <f t="shared" si="302"/>
        <v>0</v>
      </c>
      <c r="AZ57" s="88">
        <f t="shared" si="302"/>
        <v>0</v>
      </c>
      <c r="BA57" s="88">
        <f t="shared" si="302"/>
        <v>0</v>
      </c>
      <c r="BB57" s="88">
        <f t="shared" si="302"/>
        <v>0</v>
      </c>
      <c r="BC57" s="88">
        <f t="shared" si="302"/>
        <v>0</v>
      </c>
      <c r="BD57" s="88">
        <f t="shared" si="302"/>
        <v>0</v>
      </c>
      <c r="BE57" s="88">
        <f t="shared" si="302"/>
        <v>0</v>
      </c>
      <c r="BF57" s="88">
        <f t="shared" si="302"/>
        <v>0</v>
      </c>
      <c r="BG57" s="88">
        <f t="shared" si="302"/>
        <v>0</v>
      </c>
      <c r="BH57" s="88">
        <f t="shared" si="302"/>
        <v>0</v>
      </c>
      <c r="BI57" s="88">
        <f t="shared" si="302"/>
        <v>0</v>
      </c>
      <c r="BJ57" s="88">
        <f t="shared" si="302"/>
        <v>0</v>
      </c>
      <c r="BK57" s="88">
        <f t="shared" si="302"/>
        <v>0</v>
      </c>
      <c r="BL57" s="88">
        <f t="shared" si="302"/>
        <v>0</v>
      </c>
      <c r="BM57" s="88">
        <f t="shared" si="302"/>
        <v>0</v>
      </c>
      <c r="BN57" s="88">
        <f t="shared" si="302"/>
        <v>0</v>
      </c>
      <c r="BO57" s="88">
        <f t="shared" si="302"/>
        <v>0</v>
      </c>
      <c r="BP57" s="88">
        <f t="shared" si="302"/>
        <v>0</v>
      </c>
      <c r="BQ57" s="88">
        <f t="shared" si="302"/>
        <v>0</v>
      </c>
      <c r="BR57" s="88">
        <f t="shared" si="302"/>
        <v>0</v>
      </c>
      <c r="BS57" s="88">
        <f t="shared" si="302"/>
        <v>0</v>
      </c>
      <c r="BT57" s="88">
        <f t="shared" si="302"/>
        <v>0</v>
      </c>
      <c r="BU57" s="88">
        <f t="shared" si="302"/>
        <v>0</v>
      </c>
      <c r="BV57" s="88">
        <f t="shared" si="302"/>
        <v>0</v>
      </c>
      <c r="BW57" s="88">
        <f t="shared" si="302"/>
        <v>0</v>
      </c>
      <c r="BX57" s="88">
        <f t="shared" si="302"/>
        <v>0</v>
      </c>
      <c r="BY57" s="88">
        <f t="shared" si="302"/>
        <v>0</v>
      </c>
      <c r="BZ57" s="88">
        <f t="shared" si="302"/>
        <v>0</v>
      </c>
      <c r="CA57" s="88">
        <f t="shared" si="302"/>
        <v>0</v>
      </c>
      <c r="CB57" s="88">
        <f t="shared" si="302"/>
        <v>0</v>
      </c>
      <c r="CC57" s="88">
        <f t="shared" si="302"/>
        <v>0</v>
      </c>
      <c r="CD57" s="88">
        <f t="shared" si="302"/>
        <v>0</v>
      </c>
      <c r="CE57" s="88">
        <f t="shared" si="302"/>
        <v>0</v>
      </c>
      <c r="CF57" s="88">
        <f t="shared" si="302"/>
        <v>0</v>
      </c>
      <c r="CG57" s="88">
        <f t="shared" si="302"/>
        <v>0</v>
      </c>
      <c r="CH57" s="88">
        <f t="shared" si="302"/>
        <v>0</v>
      </c>
      <c r="CI57" s="88">
        <f t="shared" si="302"/>
        <v>0</v>
      </c>
      <c r="CJ57" s="88">
        <f t="shared" si="302"/>
        <v>0</v>
      </c>
      <c r="CK57" s="88">
        <f t="shared" si="302"/>
        <v>0</v>
      </c>
      <c r="CL57" s="88">
        <f t="shared" si="302"/>
        <v>0</v>
      </c>
      <c r="CM57" s="88">
        <f t="shared" si="302"/>
        <v>0</v>
      </c>
      <c r="CN57" s="88">
        <f t="shared" si="302"/>
        <v>0</v>
      </c>
      <c r="CO57" s="88">
        <f t="shared" si="302"/>
        <v>0</v>
      </c>
      <c r="CP57" s="88">
        <f t="shared" si="302"/>
        <v>0</v>
      </c>
      <c r="CQ57" s="88">
        <f t="shared" si="302"/>
        <v>0</v>
      </c>
      <c r="CR57" s="88">
        <f t="shared" si="302"/>
        <v>0</v>
      </c>
      <c r="CS57" s="88">
        <f t="shared" si="302"/>
        <v>0</v>
      </c>
      <c r="CT57" s="88">
        <f t="shared" si="302"/>
        <v>0</v>
      </c>
      <c r="CU57" s="88">
        <f t="shared" si="302"/>
        <v>0</v>
      </c>
      <c r="CV57" s="88">
        <f t="shared" si="302"/>
        <v>0</v>
      </c>
      <c r="CW57" s="88">
        <f t="shared" si="302"/>
        <v>0</v>
      </c>
      <c r="CX57" s="88">
        <f t="shared" si="302"/>
        <v>0</v>
      </c>
      <c r="CY57" s="88">
        <f t="shared" si="302"/>
        <v>0</v>
      </c>
      <c r="CZ57" s="88">
        <f t="shared" si="302"/>
        <v>0</v>
      </c>
      <c r="DA57" s="88">
        <f t="shared" si="302"/>
        <v>0</v>
      </c>
      <c r="DB57" s="88">
        <f t="shared" si="302"/>
        <v>0</v>
      </c>
      <c r="DC57" s="88">
        <f t="shared" si="302"/>
        <v>0</v>
      </c>
      <c r="DD57" s="88">
        <f t="shared" si="302"/>
        <v>0</v>
      </c>
      <c r="DE57" s="88">
        <f t="shared" si="302"/>
        <v>0</v>
      </c>
      <c r="DF57" s="88">
        <f t="shared" si="302"/>
        <v>0</v>
      </c>
      <c r="DG57" s="88">
        <f t="shared" si="302"/>
        <v>0</v>
      </c>
      <c r="DH57" s="88">
        <f t="shared" si="302"/>
        <v>0</v>
      </c>
      <c r="DI57" s="88">
        <f t="shared" si="302"/>
        <v>0</v>
      </c>
      <c r="DJ57" s="88">
        <f t="shared" si="302"/>
        <v>0</v>
      </c>
      <c r="DK57" s="88">
        <f t="shared" si="302"/>
        <v>0</v>
      </c>
      <c r="DL57" s="88">
        <f t="shared" si="302"/>
        <v>0</v>
      </c>
      <c r="DM57" s="88">
        <f t="shared" si="302"/>
        <v>0</v>
      </c>
      <c r="DN57" s="88">
        <f t="shared" si="302"/>
        <v>0</v>
      </c>
      <c r="DO57" s="88">
        <f t="shared" si="302"/>
        <v>0</v>
      </c>
      <c r="DP57" s="88">
        <f t="shared" si="302"/>
        <v>0</v>
      </c>
      <c r="DQ57" s="88">
        <f t="shared" si="302"/>
        <v>0</v>
      </c>
      <c r="DR57" s="88">
        <f t="shared" si="302"/>
        <v>0</v>
      </c>
      <c r="DS57" s="88">
        <f t="shared" si="302"/>
        <v>0</v>
      </c>
      <c r="DT57" s="88">
        <f t="shared" si="302"/>
        <v>0</v>
      </c>
      <c r="DU57" s="88">
        <f t="shared" si="302"/>
        <v>0</v>
      </c>
      <c r="DV57" s="88">
        <f t="shared" ref="DV57:EY57" si="303">0</f>
        <v>0</v>
      </c>
      <c r="DW57" s="88">
        <f t="shared" si="303"/>
        <v>0</v>
      </c>
      <c r="DX57" s="88">
        <f t="shared" si="303"/>
        <v>0</v>
      </c>
      <c r="DY57" s="88">
        <f t="shared" si="303"/>
        <v>0</v>
      </c>
      <c r="DZ57" s="88">
        <f t="shared" si="303"/>
        <v>0</v>
      </c>
      <c r="EA57" s="88">
        <f t="shared" si="303"/>
        <v>0</v>
      </c>
      <c r="EB57" s="88">
        <f t="shared" si="303"/>
        <v>0</v>
      </c>
      <c r="EC57" s="88">
        <f t="shared" si="303"/>
        <v>0</v>
      </c>
      <c r="ED57" s="88">
        <f t="shared" si="303"/>
        <v>0</v>
      </c>
      <c r="EE57" s="88">
        <f t="shared" si="303"/>
        <v>0</v>
      </c>
      <c r="EF57" s="88">
        <f t="shared" si="303"/>
        <v>0</v>
      </c>
      <c r="EG57" s="88">
        <f t="shared" si="303"/>
        <v>0</v>
      </c>
      <c r="EH57" s="88">
        <f t="shared" si="303"/>
        <v>0</v>
      </c>
      <c r="EI57" s="88">
        <f t="shared" si="303"/>
        <v>0</v>
      </c>
      <c r="EJ57" s="88">
        <f t="shared" si="303"/>
        <v>0</v>
      </c>
      <c r="EK57" s="88">
        <f t="shared" si="303"/>
        <v>0</v>
      </c>
      <c r="EL57" s="88">
        <f t="shared" si="303"/>
        <v>0</v>
      </c>
      <c r="EM57" s="88">
        <f t="shared" si="303"/>
        <v>0</v>
      </c>
      <c r="EN57" s="88">
        <f t="shared" si="303"/>
        <v>0</v>
      </c>
      <c r="EO57" s="88">
        <f t="shared" si="303"/>
        <v>0</v>
      </c>
      <c r="EP57" s="88">
        <f t="shared" si="303"/>
        <v>0</v>
      </c>
      <c r="EQ57" s="88">
        <f t="shared" si="303"/>
        <v>0</v>
      </c>
      <c r="ER57" s="88">
        <f t="shared" si="303"/>
        <v>0</v>
      </c>
      <c r="ES57" s="88">
        <f t="shared" si="303"/>
        <v>0</v>
      </c>
      <c r="ET57" s="88">
        <f t="shared" si="303"/>
        <v>0</v>
      </c>
      <c r="EU57" s="88">
        <f t="shared" si="303"/>
        <v>0</v>
      </c>
      <c r="EV57" s="88">
        <f t="shared" si="303"/>
        <v>0</v>
      </c>
      <c r="EW57" s="88">
        <f t="shared" si="303"/>
        <v>0</v>
      </c>
      <c r="EX57" s="88">
        <f t="shared" si="303"/>
        <v>0</v>
      </c>
      <c r="EY57" s="88">
        <f t="shared" si="303"/>
        <v>0</v>
      </c>
    </row>
    <row r="58">
      <c r="A58" s="181" t="s">
        <v>234</v>
      </c>
      <c r="B58" s="10">
        <f t="shared" ref="B58:DU58" si="304">0</f>
        <v>0</v>
      </c>
      <c r="C58" s="10">
        <f t="shared" si="304"/>
        <v>0</v>
      </c>
      <c r="D58" s="10">
        <f t="shared" si="304"/>
        <v>0</v>
      </c>
      <c r="E58" s="88">
        <f t="shared" si="304"/>
        <v>0</v>
      </c>
      <c r="F58" s="123">
        <f t="shared" si="304"/>
        <v>0</v>
      </c>
      <c r="G58" s="205">
        <f t="shared" si="304"/>
        <v>0</v>
      </c>
      <c r="H58" s="88">
        <f t="shared" si="304"/>
        <v>0</v>
      </c>
      <c r="I58" s="88">
        <f t="shared" si="304"/>
        <v>0</v>
      </c>
      <c r="J58" s="88">
        <f t="shared" si="304"/>
        <v>0</v>
      </c>
      <c r="K58" s="88">
        <f t="shared" si="304"/>
        <v>0</v>
      </c>
      <c r="L58" s="88">
        <f t="shared" si="304"/>
        <v>0</v>
      </c>
      <c r="M58" s="88">
        <f t="shared" si="304"/>
        <v>0</v>
      </c>
      <c r="N58" s="88">
        <f t="shared" si="304"/>
        <v>0</v>
      </c>
      <c r="O58" s="88">
        <f t="shared" si="304"/>
        <v>0</v>
      </c>
      <c r="P58" s="88">
        <f t="shared" si="304"/>
        <v>0</v>
      </c>
      <c r="Q58" s="88">
        <f t="shared" si="304"/>
        <v>0</v>
      </c>
      <c r="R58" s="88">
        <f t="shared" si="304"/>
        <v>0</v>
      </c>
      <c r="S58" s="88">
        <f t="shared" si="304"/>
        <v>0</v>
      </c>
      <c r="T58" s="88">
        <f t="shared" si="304"/>
        <v>0</v>
      </c>
      <c r="U58" s="88">
        <f t="shared" si="304"/>
        <v>0</v>
      </c>
      <c r="V58" s="88">
        <f t="shared" si="304"/>
        <v>0</v>
      </c>
      <c r="W58" s="88">
        <f t="shared" si="304"/>
        <v>0</v>
      </c>
      <c r="X58" s="88">
        <f t="shared" si="304"/>
        <v>0</v>
      </c>
      <c r="Y58" s="88">
        <f t="shared" si="304"/>
        <v>0</v>
      </c>
      <c r="Z58" s="88">
        <f t="shared" si="304"/>
        <v>0</v>
      </c>
      <c r="AA58" s="88">
        <f t="shared" si="304"/>
        <v>0</v>
      </c>
      <c r="AB58" s="88">
        <f t="shared" si="304"/>
        <v>0</v>
      </c>
      <c r="AC58" s="88">
        <f t="shared" si="304"/>
        <v>0</v>
      </c>
      <c r="AD58" s="88">
        <f t="shared" si="304"/>
        <v>0</v>
      </c>
      <c r="AE58" s="88">
        <f t="shared" si="304"/>
        <v>0</v>
      </c>
      <c r="AF58" s="88">
        <f t="shared" si="304"/>
        <v>0</v>
      </c>
      <c r="AG58" s="88">
        <f t="shared" si="304"/>
        <v>0</v>
      </c>
      <c r="AH58" s="88">
        <f t="shared" si="304"/>
        <v>0</v>
      </c>
      <c r="AI58" s="88">
        <f t="shared" si="304"/>
        <v>0</v>
      </c>
      <c r="AJ58" s="88">
        <f t="shared" si="304"/>
        <v>0</v>
      </c>
      <c r="AK58" s="88">
        <f t="shared" si="304"/>
        <v>0</v>
      </c>
      <c r="AL58" s="88">
        <f t="shared" si="304"/>
        <v>0</v>
      </c>
      <c r="AM58" s="88">
        <f t="shared" si="304"/>
        <v>0</v>
      </c>
      <c r="AN58" s="88">
        <f t="shared" si="304"/>
        <v>0</v>
      </c>
      <c r="AO58" s="88">
        <f t="shared" si="304"/>
        <v>0</v>
      </c>
      <c r="AP58" s="88">
        <f t="shared" si="304"/>
        <v>0</v>
      </c>
      <c r="AQ58" s="88">
        <f t="shared" si="304"/>
        <v>0</v>
      </c>
      <c r="AR58" s="88">
        <f t="shared" si="304"/>
        <v>0</v>
      </c>
      <c r="AS58" s="88">
        <f t="shared" si="304"/>
        <v>0</v>
      </c>
      <c r="AT58" s="88">
        <f t="shared" si="304"/>
        <v>0</v>
      </c>
      <c r="AU58" s="88">
        <f t="shared" si="304"/>
        <v>0</v>
      </c>
      <c r="AV58" s="88">
        <f t="shared" si="304"/>
        <v>0</v>
      </c>
      <c r="AW58" s="88">
        <f t="shared" si="304"/>
        <v>0</v>
      </c>
      <c r="AX58" s="88">
        <f t="shared" si="304"/>
        <v>0</v>
      </c>
      <c r="AY58" s="88">
        <f t="shared" si="304"/>
        <v>0</v>
      </c>
      <c r="AZ58" s="88">
        <f t="shared" si="304"/>
        <v>0</v>
      </c>
      <c r="BA58" s="88">
        <f t="shared" si="304"/>
        <v>0</v>
      </c>
      <c r="BB58" s="88">
        <f t="shared" si="304"/>
        <v>0</v>
      </c>
      <c r="BC58" s="88">
        <f t="shared" si="304"/>
        <v>0</v>
      </c>
      <c r="BD58" s="88">
        <f t="shared" si="304"/>
        <v>0</v>
      </c>
      <c r="BE58" s="88">
        <f t="shared" si="304"/>
        <v>0</v>
      </c>
      <c r="BF58" s="88">
        <f t="shared" si="304"/>
        <v>0</v>
      </c>
      <c r="BG58" s="88">
        <f t="shared" si="304"/>
        <v>0</v>
      </c>
      <c r="BH58" s="88">
        <f t="shared" si="304"/>
        <v>0</v>
      </c>
      <c r="BI58" s="88">
        <f t="shared" si="304"/>
        <v>0</v>
      </c>
      <c r="BJ58" s="88">
        <f t="shared" si="304"/>
        <v>0</v>
      </c>
      <c r="BK58" s="88">
        <f t="shared" si="304"/>
        <v>0</v>
      </c>
      <c r="BL58" s="88">
        <f t="shared" si="304"/>
        <v>0</v>
      </c>
      <c r="BM58" s="88">
        <f t="shared" si="304"/>
        <v>0</v>
      </c>
      <c r="BN58" s="88">
        <f t="shared" si="304"/>
        <v>0</v>
      </c>
      <c r="BO58" s="88">
        <f t="shared" si="304"/>
        <v>0</v>
      </c>
      <c r="BP58" s="88">
        <f t="shared" si="304"/>
        <v>0</v>
      </c>
      <c r="BQ58" s="88">
        <f t="shared" si="304"/>
        <v>0</v>
      </c>
      <c r="BR58" s="88">
        <f t="shared" si="304"/>
        <v>0</v>
      </c>
      <c r="BS58" s="88">
        <f t="shared" si="304"/>
        <v>0</v>
      </c>
      <c r="BT58" s="88">
        <f t="shared" si="304"/>
        <v>0</v>
      </c>
      <c r="BU58" s="88">
        <f t="shared" si="304"/>
        <v>0</v>
      </c>
      <c r="BV58" s="88">
        <f t="shared" si="304"/>
        <v>0</v>
      </c>
      <c r="BW58" s="88">
        <f t="shared" si="304"/>
        <v>0</v>
      </c>
      <c r="BX58" s="88">
        <f t="shared" si="304"/>
        <v>0</v>
      </c>
      <c r="BY58" s="88">
        <f t="shared" si="304"/>
        <v>0</v>
      </c>
      <c r="BZ58" s="88">
        <f t="shared" si="304"/>
        <v>0</v>
      </c>
      <c r="CA58" s="88">
        <f t="shared" si="304"/>
        <v>0</v>
      </c>
      <c r="CB58" s="88">
        <f t="shared" si="304"/>
        <v>0</v>
      </c>
      <c r="CC58" s="88">
        <f t="shared" si="304"/>
        <v>0</v>
      </c>
      <c r="CD58" s="88">
        <f t="shared" si="304"/>
        <v>0</v>
      </c>
      <c r="CE58" s="88">
        <f t="shared" si="304"/>
        <v>0</v>
      </c>
      <c r="CF58" s="88">
        <f t="shared" si="304"/>
        <v>0</v>
      </c>
      <c r="CG58" s="88">
        <f t="shared" si="304"/>
        <v>0</v>
      </c>
      <c r="CH58" s="88">
        <f t="shared" si="304"/>
        <v>0</v>
      </c>
      <c r="CI58" s="88">
        <f t="shared" si="304"/>
        <v>0</v>
      </c>
      <c r="CJ58" s="88">
        <f t="shared" si="304"/>
        <v>0</v>
      </c>
      <c r="CK58" s="88">
        <f t="shared" si="304"/>
        <v>0</v>
      </c>
      <c r="CL58" s="88">
        <f t="shared" si="304"/>
        <v>0</v>
      </c>
      <c r="CM58" s="88">
        <f t="shared" si="304"/>
        <v>0</v>
      </c>
      <c r="CN58" s="88">
        <f t="shared" si="304"/>
        <v>0</v>
      </c>
      <c r="CO58" s="88">
        <f t="shared" si="304"/>
        <v>0</v>
      </c>
      <c r="CP58" s="88">
        <f t="shared" si="304"/>
        <v>0</v>
      </c>
      <c r="CQ58" s="88">
        <f t="shared" si="304"/>
        <v>0</v>
      </c>
      <c r="CR58" s="88">
        <f t="shared" si="304"/>
        <v>0</v>
      </c>
      <c r="CS58" s="88">
        <f t="shared" si="304"/>
        <v>0</v>
      </c>
      <c r="CT58" s="88">
        <f t="shared" si="304"/>
        <v>0</v>
      </c>
      <c r="CU58" s="88">
        <f t="shared" si="304"/>
        <v>0</v>
      </c>
      <c r="CV58" s="88">
        <f t="shared" si="304"/>
        <v>0</v>
      </c>
      <c r="CW58" s="88">
        <f t="shared" si="304"/>
        <v>0</v>
      </c>
      <c r="CX58" s="88">
        <f t="shared" si="304"/>
        <v>0</v>
      </c>
      <c r="CY58" s="88">
        <f t="shared" si="304"/>
        <v>0</v>
      </c>
      <c r="CZ58" s="88">
        <f t="shared" si="304"/>
        <v>0</v>
      </c>
      <c r="DA58" s="88">
        <f t="shared" si="304"/>
        <v>0</v>
      </c>
      <c r="DB58" s="88">
        <f t="shared" si="304"/>
        <v>0</v>
      </c>
      <c r="DC58" s="88">
        <f t="shared" si="304"/>
        <v>0</v>
      </c>
      <c r="DD58" s="88">
        <f t="shared" si="304"/>
        <v>0</v>
      </c>
      <c r="DE58" s="88">
        <f t="shared" si="304"/>
        <v>0</v>
      </c>
      <c r="DF58" s="88">
        <f t="shared" si="304"/>
        <v>0</v>
      </c>
      <c r="DG58" s="88">
        <f t="shared" si="304"/>
        <v>0</v>
      </c>
      <c r="DH58" s="88">
        <f t="shared" si="304"/>
        <v>0</v>
      </c>
      <c r="DI58" s="88">
        <f t="shared" si="304"/>
        <v>0</v>
      </c>
      <c r="DJ58" s="88">
        <f t="shared" si="304"/>
        <v>0</v>
      </c>
      <c r="DK58" s="88">
        <f t="shared" si="304"/>
        <v>0</v>
      </c>
      <c r="DL58" s="88">
        <f t="shared" si="304"/>
        <v>0</v>
      </c>
      <c r="DM58" s="88">
        <f t="shared" si="304"/>
        <v>0</v>
      </c>
      <c r="DN58" s="88">
        <f t="shared" si="304"/>
        <v>0</v>
      </c>
      <c r="DO58" s="88">
        <f t="shared" si="304"/>
        <v>0</v>
      </c>
      <c r="DP58" s="88">
        <f t="shared" si="304"/>
        <v>0</v>
      </c>
      <c r="DQ58" s="88">
        <f t="shared" si="304"/>
        <v>0</v>
      </c>
      <c r="DR58" s="88">
        <f t="shared" si="304"/>
        <v>0</v>
      </c>
      <c r="DS58" s="88">
        <f t="shared" si="304"/>
        <v>0</v>
      </c>
      <c r="DT58" s="88">
        <f t="shared" si="304"/>
        <v>0</v>
      </c>
      <c r="DU58" s="88">
        <f t="shared" si="304"/>
        <v>0</v>
      </c>
      <c r="DV58" s="88">
        <f t="shared" ref="DV58:EY58" si="305">0</f>
        <v>0</v>
      </c>
      <c r="DW58" s="88">
        <f t="shared" si="305"/>
        <v>0</v>
      </c>
      <c r="DX58" s="88">
        <f t="shared" si="305"/>
        <v>0</v>
      </c>
      <c r="DY58" s="88">
        <f t="shared" si="305"/>
        <v>0</v>
      </c>
      <c r="DZ58" s="88">
        <f t="shared" si="305"/>
        <v>0</v>
      </c>
      <c r="EA58" s="88">
        <f t="shared" si="305"/>
        <v>0</v>
      </c>
      <c r="EB58" s="88">
        <f t="shared" si="305"/>
        <v>0</v>
      </c>
      <c r="EC58" s="88">
        <f t="shared" si="305"/>
        <v>0</v>
      </c>
      <c r="ED58" s="88">
        <f t="shared" si="305"/>
        <v>0</v>
      </c>
      <c r="EE58" s="88">
        <f t="shared" si="305"/>
        <v>0</v>
      </c>
      <c r="EF58" s="88">
        <f t="shared" si="305"/>
        <v>0</v>
      </c>
      <c r="EG58" s="88">
        <f t="shared" si="305"/>
        <v>0</v>
      </c>
      <c r="EH58" s="88">
        <f t="shared" si="305"/>
        <v>0</v>
      </c>
      <c r="EI58" s="88">
        <f t="shared" si="305"/>
        <v>0</v>
      </c>
      <c r="EJ58" s="88">
        <f t="shared" si="305"/>
        <v>0</v>
      </c>
      <c r="EK58" s="88">
        <f t="shared" si="305"/>
        <v>0</v>
      </c>
      <c r="EL58" s="88">
        <f t="shared" si="305"/>
        <v>0</v>
      </c>
      <c r="EM58" s="88">
        <f t="shared" si="305"/>
        <v>0</v>
      </c>
      <c r="EN58" s="88">
        <f t="shared" si="305"/>
        <v>0</v>
      </c>
      <c r="EO58" s="88">
        <f t="shared" si="305"/>
        <v>0</v>
      </c>
      <c r="EP58" s="88">
        <f t="shared" si="305"/>
        <v>0</v>
      </c>
      <c r="EQ58" s="88">
        <f t="shared" si="305"/>
        <v>0</v>
      </c>
      <c r="ER58" s="88">
        <f t="shared" si="305"/>
        <v>0</v>
      </c>
      <c r="ES58" s="88">
        <f t="shared" si="305"/>
        <v>0</v>
      </c>
      <c r="ET58" s="88">
        <f t="shared" si="305"/>
        <v>0</v>
      </c>
      <c r="EU58" s="88">
        <f t="shared" si="305"/>
        <v>0</v>
      </c>
      <c r="EV58" s="88">
        <f t="shared" si="305"/>
        <v>0</v>
      </c>
      <c r="EW58" s="88">
        <f t="shared" si="305"/>
        <v>0</v>
      </c>
      <c r="EX58" s="88">
        <f t="shared" si="305"/>
        <v>0</v>
      </c>
      <c r="EY58" s="88">
        <f t="shared" si="305"/>
        <v>0</v>
      </c>
    </row>
    <row r="59">
      <c r="A59" s="181" t="s">
        <v>235</v>
      </c>
      <c r="B59" s="10">
        <f t="shared" ref="B59:DU59" si="306">0</f>
        <v>0</v>
      </c>
      <c r="C59" s="10">
        <f t="shared" si="306"/>
        <v>0</v>
      </c>
      <c r="D59" s="10">
        <f t="shared" si="306"/>
        <v>0</v>
      </c>
      <c r="E59" s="88">
        <f t="shared" si="306"/>
        <v>0</v>
      </c>
      <c r="F59" s="123">
        <f t="shared" si="306"/>
        <v>0</v>
      </c>
      <c r="G59" s="205">
        <f t="shared" si="306"/>
        <v>0</v>
      </c>
      <c r="H59" s="88">
        <f t="shared" si="306"/>
        <v>0</v>
      </c>
      <c r="I59" s="88">
        <f t="shared" si="306"/>
        <v>0</v>
      </c>
      <c r="J59" s="88">
        <f t="shared" si="306"/>
        <v>0</v>
      </c>
      <c r="K59" s="88">
        <f t="shared" si="306"/>
        <v>0</v>
      </c>
      <c r="L59" s="88">
        <f t="shared" si="306"/>
        <v>0</v>
      </c>
      <c r="M59" s="88">
        <f t="shared" si="306"/>
        <v>0</v>
      </c>
      <c r="N59" s="88">
        <f t="shared" si="306"/>
        <v>0</v>
      </c>
      <c r="O59" s="88">
        <f t="shared" si="306"/>
        <v>0</v>
      </c>
      <c r="P59" s="88">
        <f t="shared" si="306"/>
        <v>0</v>
      </c>
      <c r="Q59" s="88">
        <f t="shared" si="306"/>
        <v>0</v>
      </c>
      <c r="R59" s="88">
        <f t="shared" si="306"/>
        <v>0</v>
      </c>
      <c r="S59" s="88">
        <f t="shared" si="306"/>
        <v>0</v>
      </c>
      <c r="T59" s="88">
        <f t="shared" si="306"/>
        <v>0</v>
      </c>
      <c r="U59" s="88">
        <f t="shared" si="306"/>
        <v>0</v>
      </c>
      <c r="V59" s="88">
        <f t="shared" si="306"/>
        <v>0</v>
      </c>
      <c r="W59" s="88">
        <f t="shared" si="306"/>
        <v>0</v>
      </c>
      <c r="X59" s="88">
        <f t="shared" si="306"/>
        <v>0</v>
      </c>
      <c r="Y59" s="88">
        <f t="shared" si="306"/>
        <v>0</v>
      </c>
      <c r="Z59" s="88">
        <f t="shared" si="306"/>
        <v>0</v>
      </c>
      <c r="AA59" s="88">
        <f t="shared" si="306"/>
        <v>0</v>
      </c>
      <c r="AB59" s="88">
        <f t="shared" si="306"/>
        <v>0</v>
      </c>
      <c r="AC59" s="88">
        <f t="shared" si="306"/>
        <v>0</v>
      </c>
      <c r="AD59" s="88">
        <f t="shared" si="306"/>
        <v>0</v>
      </c>
      <c r="AE59" s="88">
        <f t="shared" si="306"/>
        <v>0</v>
      </c>
      <c r="AF59" s="88">
        <f t="shared" si="306"/>
        <v>0</v>
      </c>
      <c r="AG59" s="88">
        <f t="shared" si="306"/>
        <v>0</v>
      </c>
      <c r="AH59" s="88">
        <f t="shared" si="306"/>
        <v>0</v>
      </c>
      <c r="AI59" s="88">
        <f t="shared" si="306"/>
        <v>0</v>
      </c>
      <c r="AJ59" s="88">
        <f t="shared" si="306"/>
        <v>0</v>
      </c>
      <c r="AK59" s="88">
        <f t="shared" si="306"/>
        <v>0</v>
      </c>
      <c r="AL59" s="88">
        <f t="shared" si="306"/>
        <v>0</v>
      </c>
      <c r="AM59" s="88">
        <f t="shared" si="306"/>
        <v>0</v>
      </c>
      <c r="AN59" s="88">
        <f t="shared" si="306"/>
        <v>0</v>
      </c>
      <c r="AO59" s="88">
        <f t="shared" si="306"/>
        <v>0</v>
      </c>
      <c r="AP59" s="88">
        <f t="shared" si="306"/>
        <v>0</v>
      </c>
      <c r="AQ59" s="88">
        <f t="shared" si="306"/>
        <v>0</v>
      </c>
      <c r="AR59" s="88">
        <f t="shared" si="306"/>
        <v>0</v>
      </c>
      <c r="AS59" s="88">
        <f t="shared" si="306"/>
        <v>0</v>
      </c>
      <c r="AT59" s="88">
        <f t="shared" si="306"/>
        <v>0</v>
      </c>
      <c r="AU59" s="88">
        <f t="shared" si="306"/>
        <v>0</v>
      </c>
      <c r="AV59" s="88">
        <f t="shared" si="306"/>
        <v>0</v>
      </c>
      <c r="AW59" s="88">
        <f t="shared" si="306"/>
        <v>0</v>
      </c>
      <c r="AX59" s="88">
        <f t="shared" si="306"/>
        <v>0</v>
      </c>
      <c r="AY59" s="88">
        <f t="shared" si="306"/>
        <v>0</v>
      </c>
      <c r="AZ59" s="88">
        <f t="shared" si="306"/>
        <v>0</v>
      </c>
      <c r="BA59" s="88">
        <f t="shared" si="306"/>
        <v>0</v>
      </c>
      <c r="BB59" s="88">
        <f t="shared" si="306"/>
        <v>0</v>
      </c>
      <c r="BC59" s="88">
        <f t="shared" si="306"/>
        <v>0</v>
      </c>
      <c r="BD59" s="88">
        <f t="shared" si="306"/>
        <v>0</v>
      </c>
      <c r="BE59" s="88">
        <f t="shared" si="306"/>
        <v>0</v>
      </c>
      <c r="BF59" s="88">
        <f t="shared" si="306"/>
        <v>0</v>
      </c>
      <c r="BG59" s="88">
        <f t="shared" si="306"/>
        <v>0</v>
      </c>
      <c r="BH59" s="88">
        <f t="shared" si="306"/>
        <v>0</v>
      </c>
      <c r="BI59" s="88">
        <f t="shared" si="306"/>
        <v>0</v>
      </c>
      <c r="BJ59" s="88">
        <f t="shared" si="306"/>
        <v>0</v>
      </c>
      <c r="BK59" s="88">
        <f t="shared" si="306"/>
        <v>0</v>
      </c>
      <c r="BL59" s="88">
        <f t="shared" si="306"/>
        <v>0</v>
      </c>
      <c r="BM59" s="88">
        <f t="shared" si="306"/>
        <v>0</v>
      </c>
      <c r="BN59" s="88">
        <f t="shared" si="306"/>
        <v>0</v>
      </c>
      <c r="BO59" s="88">
        <f t="shared" si="306"/>
        <v>0</v>
      </c>
      <c r="BP59" s="88">
        <f t="shared" si="306"/>
        <v>0</v>
      </c>
      <c r="BQ59" s="88">
        <f t="shared" si="306"/>
        <v>0</v>
      </c>
      <c r="BR59" s="88">
        <f t="shared" si="306"/>
        <v>0</v>
      </c>
      <c r="BS59" s="88">
        <f t="shared" si="306"/>
        <v>0</v>
      </c>
      <c r="BT59" s="88">
        <f t="shared" si="306"/>
        <v>0</v>
      </c>
      <c r="BU59" s="88">
        <f t="shared" si="306"/>
        <v>0</v>
      </c>
      <c r="BV59" s="88">
        <f t="shared" si="306"/>
        <v>0</v>
      </c>
      <c r="BW59" s="88">
        <f t="shared" si="306"/>
        <v>0</v>
      </c>
      <c r="BX59" s="88">
        <f t="shared" si="306"/>
        <v>0</v>
      </c>
      <c r="BY59" s="88">
        <f t="shared" si="306"/>
        <v>0</v>
      </c>
      <c r="BZ59" s="88">
        <f t="shared" si="306"/>
        <v>0</v>
      </c>
      <c r="CA59" s="88">
        <f t="shared" si="306"/>
        <v>0</v>
      </c>
      <c r="CB59" s="88">
        <f t="shared" si="306"/>
        <v>0</v>
      </c>
      <c r="CC59" s="88">
        <f t="shared" si="306"/>
        <v>0</v>
      </c>
      <c r="CD59" s="88">
        <f t="shared" si="306"/>
        <v>0</v>
      </c>
      <c r="CE59" s="88">
        <f t="shared" si="306"/>
        <v>0</v>
      </c>
      <c r="CF59" s="88">
        <f t="shared" si="306"/>
        <v>0</v>
      </c>
      <c r="CG59" s="88">
        <f t="shared" si="306"/>
        <v>0</v>
      </c>
      <c r="CH59" s="88">
        <f t="shared" si="306"/>
        <v>0</v>
      </c>
      <c r="CI59" s="88">
        <f t="shared" si="306"/>
        <v>0</v>
      </c>
      <c r="CJ59" s="88">
        <f t="shared" si="306"/>
        <v>0</v>
      </c>
      <c r="CK59" s="88">
        <f t="shared" si="306"/>
        <v>0</v>
      </c>
      <c r="CL59" s="88">
        <f t="shared" si="306"/>
        <v>0</v>
      </c>
      <c r="CM59" s="88">
        <f t="shared" si="306"/>
        <v>0</v>
      </c>
      <c r="CN59" s="88">
        <f t="shared" si="306"/>
        <v>0</v>
      </c>
      <c r="CO59" s="88">
        <f t="shared" si="306"/>
        <v>0</v>
      </c>
      <c r="CP59" s="88">
        <f t="shared" si="306"/>
        <v>0</v>
      </c>
      <c r="CQ59" s="88">
        <f t="shared" si="306"/>
        <v>0</v>
      </c>
      <c r="CR59" s="88">
        <f t="shared" si="306"/>
        <v>0</v>
      </c>
      <c r="CS59" s="88">
        <f t="shared" si="306"/>
        <v>0</v>
      </c>
      <c r="CT59" s="88">
        <f t="shared" si="306"/>
        <v>0</v>
      </c>
      <c r="CU59" s="88">
        <f t="shared" si="306"/>
        <v>0</v>
      </c>
      <c r="CV59" s="88">
        <f t="shared" si="306"/>
        <v>0</v>
      </c>
      <c r="CW59" s="88">
        <f t="shared" si="306"/>
        <v>0</v>
      </c>
      <c r="CX59" s="88">
        <f t="shared" si="306"/>
        <v>0</v>
      </c>
      <c r="CY59" s="88">
        <f t="shared" si="306"/>
        <v>0</v>
      </c>
      <c r="CZ59" s="88">
        <f t="shared" si="306"/>
        <v>0</v>
      </c>
      <c r="DA59" s="88">
        <f t="shared" si="306"/>
        <v>0</v>
      </c>
      <c r="DB59" s="88">
        <f t="shared" si="306"/>
        <v>0</v>
      </c>
      <c r="DC59" s="88">
        <f t="shared" si="306"/>
        <v>0</v>
      </c>
      <c r="DD59" s="88">
        <f t="shared" si="306"/>
        <v>0</v>
      </c>
      <c r="DE59" s="88">
        <f t="shared" si="306"/>
        <v>0</v>
      </c>
      <c r="DF59" s="88">
        <f t="shared" si="306"/>
        <v>0</v>
      </c>
      <c r="DG59" s="88">
        <f t="shared" si="306"/>
        <v>0</v>
      </c>
      <c r="DH59" s="88">
        <f t="shared" si="306"/>
        <v>0</v>
      </c>
      <c r="DI59" s="88">
        <f t="shared" si="306"/>
        <v>0</v>
      </c>
      <c r="DJ59" s="88">
        <f t="shared" si="306"/>
        <v>0</v>
      </c>
      <c r="DK59" s="88">
        <f t="shared" si="306"/>
        <v>0</v>
      </c>
      <c r="DL59" s="88">
        <f t="shared" si="306"/>
        <v>0</v>
      </c>
      <c r="DM59" s="88">
        <f t="shared" si="306"/>
        <v>0</v>
      </c>
      <c r="DN59" s="88">
        <f t="shared" si="306"/>
        <v>0</v>
      </c>
      <c r="DO59" s="88">
        <f t="shared" si="306"/>
        <v>0</v>
      </c>
      <c r="DP59" s="88">
        <f t="shared" si="306"/>
        <v>0</v>
      </c>
      <c r="DQ59" s="88">
        <f t="shared" si="306"/>
        <v>0</v>
      </c>
      <c r="DR59" s="88">
        <f t="shared" si="306"/>
        <v>0</v>
      </c>
      <c r="DS59" s="88">
        <f t="shared" si="306"/>
        <v>0</v>
      </c>
      <c r="DT59" s="88">
        <f t="shared" si="306"/>
        <v>0</v>
      </c>
      <c r="DU59" s="88">
        <f t="shared" si="306"/>
        <v>0</v>
      </c>
      <c r="DV59" s="88">
        <f t="shared" ref="DV59:EY59" si="307">0</f>
        <v>0</v>
      </c>
      <c r="DW59" s="88">
        <f t="shared" si="307"/>
        <v>0</v>
      </c>
      <c r="DX59" s="88">
        <f t="shared" si="307"/>
        <v>0</v>
      </c>
      <c r="DY59" s="88">
        <f t="shared" si="307"/>
        <v>0</v>
      </c>
      <c r="DZ59" s="88">
        <f t="shared" si="307"/>
        <v>0</v>
      </c>
      <c r="EA59" s="88">
        <f t="shared" si="307"/>
        <v>0</v>
      </c>
      <c r="EB59" s="88">
        <f t="shared" si="307"/>
        <v>0</v>
      </c>
      <c r="EC59" s="88">
        <f t="shared" si="307"/>
        <v>0</v>
      </c>
      <c r="ED59" s="88">
        <f t="shared" si="307"/>
        <v>0</v>
      </c>
      <c r="EE59" s="88">
        <f t="shared" si="307"/>
        <v>0</v>
      </c>
      <c r="EF59" s="88">
        <f t="shared" si="307"/>
        <v>0</v>
      </c>
      <c r="EG59" s="88">
        <f t="shared" si="307"/>
        <v>0</v>
      </c>
      <c r="EH59" s="88">
        <f t="shared" si="307"/>
        <v>0</v>
      </c>
      <c r="EI59" s="88">
        <f t="shared" si="307"/>
        <v>0</v>
      </c>
      <c r="EJ59" s="88">
        <f t="shared" si="307"/>
        <v>0</v>
      </c>
      <c r="EK59" s="88">
        <f t="shared" si="307"/>
        <v>0</v>
      </c>
      <c r="EL59" s="88">
        <f t="shared" si="307"/>
        <v>0</v>
      </c>
      <c r="EM59" s="88">
        <f t="shared" si="307"/>
        <v>0</v>
      </c>
      <c r="EN59" s="88">
        <f t="shared" si="307"/>
        <v>0</v>
      </c>
      <c r="EO59" s="88">
        <f t="shared" si="307"/>
        <v>0</v>
      </c>
      <c r="EP59" s="88">
        <f t="shared" si="307"/>
        <v>0</v>
      </c>
      <c r="EQ59" s="88">
        <f t="shared" si="307"/>
        <v>0</v>
      </c>
      <c r="ER59" s="88">
        <f t="shared" si="307"/>
        <v>0</v>
      </c>
      <c r="ES59" s="88">
        <f t="shared" si="307"/>
        <v>0</v>
      </c>
      <c r="ET59" s="88">
        <f t="shared" si="307"/>
        <v>0</v>
      </c>
      <c r="EU59" s="88">
        <f t="shared" si="307"/>
        <v>0</v>
      </c>
      <c r="EV59" s="88">
        <f t="shared" si="307"/>
        <v>0</v>
      </c>
      <c r="EW59" s="88">
        <f t="shared" si="307"/>
        <v>0</v>
      </c>
      <c r="EX59" s="88">
        <f t="shared" si="307"/>
        <v>0</v>
      </c>
      <c r="EY59" s="88">
        <f t="shared" si="307"/>
        <v>0</v>
      </c>
    </row>
    <row r="60">
      <c r="A60" s="181" t="s">
        <v>236</v>
      </c>
      <c r="B60" s="10">
        <f t="shared" ref="B60:DU60" si="308">0</f>
        <v>0</v>
      </c>
      <c r="C60" s="10">
        <f t="shared" si="308"/>
        <v>0</v>
      </c>
      <c r="D60" s="10">
        <f t="shared" si="308"/>
        <v>0</v>
      </c>
      <c r="E60" s="88">
        <f t="shared" si="308"/>
        <v>0</v>
      </c>
      <c r="F60" s="123">
        <f t="shared" si="308"/>
        <v>0</v>
      </c>
      <c r="G60" s="205">
        <f t="shared" si="308"/>
        <v>0</v>
      </c>
      <c r="H60" s="88">
        <f t="shared" si="308"/>
        <v>0</v>
      </c>
      <c r="I60" s="88">
        <f t="shared" si="308"/>
        <v>0</v>
      </c>
      <c r="J60" s="88">
        <f t="shared" si="308"/>
        <v>0</v>
      </c>
      <c r="K60" s="88">
        <f t="shared" si="308"/>
        <v>0</v>
      </c>
      <c r="L60" s="88">
        <f t="shared" si="308"/>
        <v>0</v>
      </c>
      <c r="M60" s="88">
        <f t="shared" si="308"/>
        <v>0</v>
      </c>
      <c r="N60" s="88">
        <f t="shared" si="308"/>
        <v>0</v>
      </c>
      <c r="O60" s="88">
        <f t="shared" si="308"/>
        <v>0</v>
      </c>
      <c r="P60" s="88">
        <f t="shared" si="308"/>
        <v>0</v>
      </c>
      <c r="Q60" s="88">
        <f t="shared" si="308"/>
        <v>0</v>
      </c>
      <c r="R60" s="88">
        <f t="shared" si="308"/>
        <v>0</v>
      </c>
      <c r="S60" s="88">
        <f t="shared" si="308"/>
        <v>0</v>
      </c>
      <c r="T60" s="88">
        <f t="shared" si="308"/>
        <v>0</v>
      </c>
      <c r="U60" s="88">
        <f t="shared" si="308"/>
        <v>0</v>
      </c>
      <c r="V60" s="88">
        <f t="shared" si="308"/>
        <v>0</v>
      </c>
      <c r="W60" s="88">
        <f t="shared" si="308"/>
        <v>0</v>
      </c>
      <c r="X60" s="88">
        <f t="shared" si="308"/>
        <v>0</v>
      </c>
      <c r="Y60" s="88">
        <f t="shared" si="308"/>
        <v>0</v>
      </c>
      <c r="Z60" s="88">
        <f t="shared" si="308"/>
        <v>0</v>
      </c>
      <c r="AA60" s="88">
        <f t="shared" si="308"/>
        <v>0</v>
      </c>
      <c r="AB60" s="88">
        <f t="shared" si="308"/>
        <v>0</v>
      </c>
      <c r="AC60" s="88">
        <f t="shared" si="308"/>
        <v>0</v>
      </c>
      <c r="AD60" s="88">
        <f t="shared" si="308"/>
        <v>0</v>
      </c>
      <c r="AE60" s="88">
        <f t="shared" si="308"/>
        <v>0</v>
      </c>
      <c r="AF60" s="88">
        <f t="shared" si="308"/>
        <v>0</v>
      </c>
      <c r="AG60" s="88">
        <f t="shared" si="308"/>
        <v>0</v>
      </c>
      <c r="AH60" s="88">
        <f t="shared" si="308"/>
        <v>0</v>
      </c>
      <c r="AI60" s="88">
        <f t="shared" si="308"/>
        <v>0</v>
      </c>
      <c r="AJ60" s="88">
        <f t="shared" si="308"/>
        <v>0</v>
      </c>
      <c r="AK60" s="88">
        <f t="shared" si="308"/>
        <v>0</v>
      </c>
      <c r="AL60" s="88">
        <f t="shared" si="308"/>
        <v>0</v>
      </c>
      <c r="AM60" s="88">
        <f t="shared" si="308"/>
        <v>0</v>
      </c>
      <c r="AN60" s="88">
        <f t="shared" si="308"/>
        <v>0</v>
      </c>
      <c r="AO60" s="88">
        <f t="shared" si="308"/>
        <v>0</v>
      </c>
      <c r="AP60" s="88">
        <f t="shared" si="308"/>
        <v>0</v>
      </c>
      <c r="AQ60" s="88">
        <f t="shared" si="308"/>
        <v>0</v>
      </c>
      <c r="AR60" s="88">
        <f t="shared" si="308"/>
        <v>0</v>
      </c>
      <c r="AS60" s="88">
        <f t="shared" si="308"/>
        <v>0</v>
      </c>
      <c r="AT60" s="88">
        <f t="shared" si="308"/>
        <v>0</v>
      </c>
      <c r="AU60" s="88">
        <f t="shared" si="308"/>
        <v>0</v>
      </c>
      <c r="AV60" s="88">
        <f t="shared" si="308"/>
        <v>0</v>
      </c>
      <c r="AW60" s="88">
        <f t="shared" si="308"/>
        <v>0</v>
      </c>
      <c r="AX60" s="88">
        <f t="shared" si="308"/>
        <v>0</v>
      </c>
      <c r="AY60" s="88">
        <f t="shared" si="308"/>
        <v>0</v>
      </c>
      <c r="AZ60" s="88">
        <f t="shared" si="308"/>
        <v>0</v>
      </c>
      <c r="BA60" s="88">
        <f t="shared" si="308"/>
        <v>0</v>
      </c>
      <c r="BB60" s="88">
        <f t="shared" si="308"/>
        <v>0</v>
      </c>
      <c r="BC60" s="88">
        <f t="shared" si="308"/>
        <v>0</v>
      </c>
      <c r="BD60" s="88">
        <f t="shared" si="308"/>
        <v>0</v>
      </c>
      <c r="BE60" s="88">
        <f t="shared" si="308"/>
        <v>0</v>
      </c>
      <c r="BF60" s="88">
        <f t="shared" si="308"/>
        <v>0</v>
      </c>
      <c r="BG60" s="88">
        <f t="shared" si="308"/>
        <v>0</v>
      </c>
      <c r="BH60" s="88">
        <f t="shared" si="308"/>
        <v>0</v>
      </c>
      <c r="BI60" s="88">
        <f t="shared" si="308"/>
        <v>0</v>
      </c>
      <c r="BJ60" s="88">
        <f t="shared" si="308"/>
        <v>0</v>
      </c>
      <c r="BK60" s="88">
        <f t="shared" si="308"/>
        <v>0</v>
      </c>
      <c r="BL60" s="88">
        <f t="shared" si="308"/>
        <v>0</v>
      </c>
      <c r="BM60" s="88">
        <f t="shared" si="308"/>
        <v>0</v>
      </c>
      <c r="BN60" s="88">
        <f t="shared" si="308"/>
        <v>0</v>
      </c>
      <c r="BO60" s="88">
        <f t="shared" si="308"/>
        <v>0</v>
      </c>
      <c r="BP60" s="88">
        <f t="shared" si="308"/>
        <v>0</v>
      </c>
      <c r="BQ60" s="88">
        <f t="shared" si="308"/>
        <v>0</v>
      </c>
      <c r="BR60" s="88">
        <f t="shared" si="308"/>
        <v>0</v>
      </c>
      <c r="BS60" s="88">
        <f t="shared" si="308"/>
        <v>0</v>
      </c>
      <c r="BT60" s="88">
        <f t="shared" si="308"/>
        <v>0</v>
      </c>
      <c r="BU60" s="88">
        <f t="shared" si="308"/>
        <v>0</v>
      </c>
      <c r="BV60" s="88">
        <f t="shared" si="308"/>
        <v>0</v>
      </c>
      <c r="BW60" s="88">
        <f t="shared" si="308"/>
        <v>0</v>
      </c>
      <c r="BX60" s="88">
        <f t="shared" si="308"/>
        <v>0</v>
      </c>
      <c r="BY60" s="88">
        <f t="shared" si="308"/>
        <v>0</v>
      </c>
      <c r="BZ60" s="88">
        <f t="shared" si="308"/>
        <v>0</v>
      </c>
      <c r="CA60" s="88">
        <f t="shared" si="308"/>
        <v>0</v>
      </c>
      <c r="CB60" s="88">
        <f t="shared" si="308"/>
        <v>0</v>
      </c>
      <c r="CC60" s="88">
        <f t="shared" si="308"/>
        <v>0</v>
      </c>
      <c r="CD60" s="88">
        <f t="shared" si="308"/>
        <v>0</v>
      </c>
      <c r="CE60" s="88">
        <f t="shared" si="308"/>
        <v>0</v>
      </c>
      <c r="CF60" s="88">
        <f t="shared" si="308"/>
        <v>0</v>
      </c>
      <c r="CG60" s="88">
        <f t="shared" si="308"/>
        <v>0</v>
      </c>
      <c r="CH60" s="88">
        <f t="shared" si="308"/>
        <v>0</v>
      </c>
      <c r="CI60" s="88">
        <f t="shared" si="308"/>
        <v>0</v>
      </c>
      <c r="CJ60" s="88">
        <f t="shared" si="308"/>
        <v>0</v>
      </c>
      <c r="CK60" s="88">
        <f t="shared" si="308"/>
        <v>0</v>
      </c>
      <c r="CL60" s="88">
        <f t="shared" si="308"/>
        <v>0</v>
      </c>
      <c r="CM60" s="88">
        <f t="shared" si="308"/>
        <v>0</v>
      </c>
      <c r="CN60" s="88">
        <f t="shared" si="308"/>
        <v>0</v>
      </c>
      <c r="CO60" s="88">
        <f t="shared" si="308"/>
        <v>0</v>
      </c>
      <c r="CP60" s="88">
        <f t="shared" si="308"/>
        <v>0</v>
      </c>
      <c r="CQ60" s="88">
        <f t="shared" si="308"/>
        <v>0</v>
      </c>
      <c r="CR60" s="88">
        <f t="shared" si="308"/>
        <v>0</v>
      </c>
      <c r="CS60" s="88">
        <f t="shared" si="308"/>
        <v>0</v>
      </c>
      <c r="CT60" s="88">
        <f t="shared" si="308"/>
        <v>0</v>
      </c>
      <c r="CU60" s="88">
        <f t="shared" si="308"/>
        <v>0</v>
      </c>
      <c r="CV60" s="88">
        <f t="shared" si="308"/>
        <v>0</v>
      </c>
      <c r="CW60" s="88">
        <f t="shared" si="308"/>
        <v>0</v>
      </c>
      <c r="CX60" s="88">
        <f t="shared" si="308"/>
        <v>0</v>
      </c>
      <c r="CY60" s="88">
        <f t="shared" si="308"/>
        <v>0</v>
      </c>
      <c r="CZ60" s="88">
        <f t="shared" si="308"/>
        <v>0</v>
      </c>
      <c r="DA60" s="88">
        <f t="shared" si="308"/>
        <v>0</v>
      </c>
      <c r="DB60" s="88">
        <f t="shared" si="308"/>
        <v>0</v>
      </c>
      <c r="DC60" s="88">
        <f t="shared" si="308"/>
        <v>0</v>
      </c>
      <c r="DD60" s="88">
        <f t="shared" si="308"/>
        <v>0</v>
      </c>
      <c r="DE60" s="88">
        <f t="shared" si="308"/>
        <v>0</v>
      </c>
      <c r="DF60" s="88">
        <f t="shared" si="308"/>
        <v>0</v>
      </c>
      <c r="DG60" s="88">
        <f t="shared" si="308"/>
        <v>0</v>
      </c>
      <c r="DH60" s="88">
        <f t="shared" si="308"/>
        <v>0</v>
      </c>
      <c r="DI60" s="88">
        <f t="shared" si="308"/>
        <v>0</v>
      </c>
      <c r="DJ60" s="88">
        <f t="shared" si="308"/>
        <v>0</v>
      </c>
      <c r="DK60" s="88">
        <f t="shared" si="308"/>
        <v>0</v>
      </c>
      <c r="DL60" s="88">
        <f t="shared" si="308"/>
        <v>0</v>
      </c>
      <c r="DM60" s="88">
        <f t="shared" si="308"/>
        <v>0</v>
      </c>
      <c r="DN60" s="88">
        <f t="shared" si="308"/>
        <v>0</v>
      </c>
      <c r="DO60" s="88">
        <f t="shared" si="308"/>
        <v>0</v>
      </c>
      <c r="DP60" s="88">
        <f t="shared" si="308"/>
        <v>0</v>
      </c>
      <c r="DQ60" s="88">
        <f t="shared" si="308"/>
        <v>0</v>
      </c>
      <c r="DR60" s="88">
        <f t="shared" si="308"/>
        <v>0</v>
      </c>
      <c r="DS60" s="88">
        <f t="shared" si="308"/>
        <v>0</v>
      </c>
      <c r="DT60" s="88">
        <f t="shared" si="308"/>
        <v>0</v>
      </c>
      <c r="DU60" s="88">
        <f t="shared" si="308"/>
        <v>0</v>
      </c>
      <c r="DV60" s="88">
        <f t="shared" ref="DV60:EY60" si="309">0</f>
        <v>0</v>
      </c>
      <c r="DW60" s="88">
        <f t="shared" si="309"/>
        <v>0</v>
      </c>
      <c r="DX60" s="88">
        <f t="shared" si="309"/>
        <v>0</v>
      </c>
      <c r="DY60" s="88">
        <f t="shared" si="309"/>
        <v>0</v>
      </c>
      <c r="DZ60" s="88">
        <f t="shared" si="309"/>
        <v>0</v>
      </c>
      <c r="EA60" s="88">
        <f t="shared" si="309"/>
        <v>0</v>
      </c>
      <c r="EB60" s="88">
        <f t="shared" si="309"/>
        <v>0</v>
      </c>
      <c r="EC60" s="88">
        <f t="shared" si="309"/>
        <v>0</v>
      </c>
      <c r="ED60" s="88">
        <f t="shared" si="309"/>
        <v>0</v>
      </c>
      <c r="EE60" s="88">
        <f t="shared" si="309"/>
        <v>0</v>
      </c>
      <c r="EF60" s="88">
        <f t="shared" si="309"/>
        <v>0</v>
      </c>
      <c r="EG60" s="88">
        <f t="shared" si="309"/>
        <v>0</v>
      </c>
      <c r="EH60" s="88">
        <f t="shared" si="309"/>
        <v>0</v>
      </c>
      <c r="EI60" s="88">
        <f t="shared" si="309"/>
        <v>0</v>
      </c>
      <c r="EJ60" s="88">
        <f t="shared" si="309"/>
        <v>0</v>
      </c>
      <c r="EK60" s="88">
        <f t="shared" si="309"/>
        <v>0</v>
      </c>
      <c r="EL60" s="88">
        <f t="shared" si="309"/>
        <v>0</v>
      </c>
      <c r="EM60" s="88">
        <f t="shared" si="309"/>
        <v>0</v>
      </c>
      <c r="EN60" s="88">
        <f t="shared" si="309"/>
        <v>0</v>
      </c>
      <c r="EO60" s="88">
        <f t="shared" si="309"/>
        <v>0</v>
      </c>
      <c r="EP60" s="88">
        <f t="shared" si="309"/>
        <v>0</v>
      </c>
      <c r="EQ60" s="88">
        <f t="shared" si="309"/>
        <v>0</v>
      </c>
      <c r="ER60" s="88">
        <f t="shared" si="309"/>
        <v>0</v>
      </c>
      <c r="ES60" s="88">
        <f t="shared" si="309"/>
        <v>0</v>
      </c>
      <c r="ET60" s="88">
        <f t="shared" si="309"/>
        <v>0</v>
      </c>
      <c r="EU60" s="88">
        <f t="shared" si="309"/>
        <v>0</v>
      </c>
      <c r="EV60" s="88">
        <f t="shared" si="309"/>
        <v>0</v>
      </c>
      <c r="EW60" s="88">
        <f t="shared" si="309"/>
        <v>0</v>
      </c>
      <c r="EX60" s="88">
        <f t="shared" si="309"/>
        <v>0</v>
      </c>
      <c r="EY60" s="88">
        <f t="shared" si="309"/>
        <v>0</v>
      </c>
    </row>
    <row r="61">
      <c r="A61" s="181" t="s">
        <v>237</v>
      </c>
      <c r="B61" s="10">
        <f t="shared" ref="B61:DU61" si="310">0</f>
        <v>0</v>
      </c>
      <c r="C61" s="10">
        <f t="shared" si="310"/>
        <v>0</v>
      </c>
      <c r="D61" s="10">
        <f t="shared" si="310"/>
        <v>0</v>
      </c>
      <c r="E61" s="88">
        <f t="shared" si="310"/>
        <v>0</v>
      </c>
      <c r="F61" s="123">
        <f t="shared" si="310"/>
        <v>0</v>
      </c>
      <c r="G61" s="205">
        <f t="shared" si="310"/>
        <v>0</v>
      </c>
      <c r="H61" s="88">
        <f t="shared" si="310"/>
        <v>0</v>
      </c>
      <c r="I61" s="88">
        <f t="shared" si="310"/>
        <v>0</v>
      </c>
      <c r="J61" s="88">
        <f t="shared" si="310"/>
        <v>0</v>
      </c>
      <c r="K61" s="88">
        <f t="shared" si="310"/>
        <v>0</v>
      </c>
      <c r="L61" s="88">
        <f t="shared" si="310"/>
        <v>0</v>
      </c>
      <c r="M61" s="88">
        <f t="shared" si="310"/>
        <v>0</v>
      </c>
      <c r="N61" s="88">
        <f t="shared" si="310"/>
        <v>0</v>
      </c>
      <c r="O61" s="88">
        <f t="shared" si="310"/>
        <v>0</v>
      </c>
      <c r="P61" s="88">
        <f t="shared" si="310"/>
        <v>0</v>
      </c>
      <c r="Q61" s="88">
        <f t="shared" si="310"/>
        <v>0</v>
      </c>
      <c r="R61" s="88">
        <f t="shared" si="310"/>
        <v>0</v>
      </c>
      <c r="S61" s="88">
        <f t="shared" si="310"/>
        <v>0</v>
      </c>
      <c r="T61" s="88">
        <f t="shared" si="310"/>
        <v>0</v>
      </c>
      <c r="U61" s="88">
        <f t="shared" si="310"/>
        <v>0</v>
      </c>
      <c r="V61" s="88">
        <f t="shared" si="310"/>
        <v>0</v>
      </c>
      <c r="W61" s="88">
        <f t="shared" si="310"/>
        <v>0</v>
      </c>
      <c r="X61" s="88">
        <f t="shared" si="310"/>
        <v>0</v>
      </c>
      <c r="Y61" s="88">
        <f t="shared" si="310"/>
        <v>0</v>
      </c>
      <c r="Z61" s="88">
        <f t="shared" si="310"/>
        <v>0</v>
      </c>
      <c r="AA61" s="88">
        <f t="shared" si="310"/>
        <v>0</v>
      </c>
      <c r="AB61" s="88">
        <f t="shared" si="310"/>
        <v>0</v>
      </c>
      <c r="AC61" s="88">
        <f t="shared" si="310"/>
        <v>0</v>
      </c>
      <c r="AD61" s="88">
        <f t="shared" si="310"/>
        <v>0</v>
      </c>
      <c r="AE61" s="88">
        <f t="shared" si="310"/>
        <v>0</v>
      </c>
      <c r="AF61" s="88">
        <f t="shared" si="310"/>
        <v>0</v>
      </c>
      <c r="AG61" s="88">
        <f t="shared" si="310"/>
        <v>0</v>
      </c>
      <c r="AH61" s="88">
        <f t="shared" si="310"/>
        <v>0</v>
      </c>
      <c r="AI61" s="88">
        <f t="shared" si="310"/>
        <v>0</v>
      </c>
      <c r="AJ61" s="88">
        <f t="shared" si="310"/>
        <v>0</v>
      </c>
      <c r="AK61" s="88">
        <f t="shared" si="310"/>
        <v>0</v>
      </c>
      <c r="AL61" s="88">
        <f t="shared" si="310"/>
        <v>0</v>
      </c>
      <c r="AM61" s="88">
        <f t="shared" si="310"/>
        <v>0</v>
      </c>
      <c r="AN61" s="88">
        <f t="shared" si="310"/>
        <v>0</v>
      </c>
      <c r="AO61" s="88">
        <f t="shared" si="310"/>
        <v>0</v>
      </c>
      <c r="AP61" s="88">
        <f t="shared" si="310"/>
        <v>0</v>
      </c>
      <c r="AQ61" s="88">
        <f t="shared" si="310"/>
        <v>0</v>
      </c>
      <c r="AR61" s="88">
        <f t="shared" si="310"/>
        <v>0</v>
      </c>
      <c r="AS61" s="88">
        <f t="shared" si="310"/>
        <v>0</v>
      </c>
      <c r="AT61" s="88">
        <f t="shared" si="310"/>
        <v>0</v>
      </c>
      <c r="AU61" s="88">
        <f t="shared" si="310"/>
        <v>0</v>
      </c>
      <c r="AV61" s="88">
        <f t="shared" si="310"/>
        <v>0</v>
      </c>
      <c r="AW61" s="88">
        <f t="shared" si="310"/>
        <v>0</v>
      </c>
      <c r="AX61" s="88">
        <f t="shared" si="310"/>
        <v>0</v>
      </c>
      <c r="AY61" s="88">
        <f t="shared" si="310"/>
        <v>0</v>
      </c>
      <c r="AZ61" s="88">
        <f t="shared" si="310"/>
        <v>0</v>
      </c>
      <c r="BA61" s="88">
        <f t="shared" si="310"/>
        <v>0</v>
      </c>
      <c r="BB61" s="88">
        <f t="shared" si="310"/>
        <v>0</v>
      </c>
      <c r="BC61" s="88">
        <f t="shared" si="310"/>
        <v>0</v>
      </c>
      <c r="BD61" s="88">
        <f t="shared" si="310"/>
        <v>0</v>
      </c>
      <c r="BE61" s="88">
        <f t="shared" si="310"/>
        <v>0</v>
      </c>
      <c r="BF61" s="88">
        <f t="shared" si="310"/>
        <v>0</v>
      </c>
      <c r="BG61" s="88">
        <f t="shared" si="310"/>
        <v>0</v>
      </c>
      <c r="BH61" s="88">
        <f t="shared" si="310"/>
        <v>0</v>
      </c>
      <c r="BI61" s="88">
        <f t="shared" si="310"/>
        <v>0</v>
      </c>
      <c r="BJ61" s="88">
        <f t="shared" si="310"/>
        <v>0</v>
      </c>
      <c r="BK61" s="88">
        <f t="shared" si="310"/>
        <v>0</v>
      </c>
      <c r="BL61" s="88">
        <f t="shared" si="310"/>
        <v>0</v>
      </c>
      <c r="BM61" s="88">
        <f t="shared" si="310"/>
        <v>0</v>
      </c>
      <c r="BN61" s="88">
        <f t="shared" si="310"/>
        <v>0</v>
      </c>
      <c r="BO61" s="88">
        <f t="shared" si="310"/>
        <v>0</v>
      </c>
      <c r="BP61" s="88">
        <f t="shared" si="310"/>
        <v>0</v>
      </c>
      <c r="BQ61" s="88">
        <f t="shared" si="310"/>
        <v>0</v>
      </c>
      <c r="BR61" s="88">
        <f t="shared" si="310"/>
        <v>0</v>
      </c>
      <c r="BS61" s="88">
        <f t="shared" si="310"/>
        <v>0</v>
      </c>
      <c r="BT61" s="88">
        <f t="shared" si="310"/>
        <v>0</v>
      </c>
      <c r="BU61" s="88">
        <f t="shared" si="310"/>
        <v>0</v>
      </c>
      <c r="BV61" s="88">
        <f t="shared" si="310"/>
        <v>0</v>
      </c>
      <c r="BW61" s="88">
        <f t="shared" si="310"/>
        <v>0</v>
      </c>
      <c r="BX61" s="88">
        <f t="shared" si="310"/>
        <v>0</v>
      </c>
      <c r="BY61" s="88">
        <f t="shared" si="310"/>
        <v>0</v>
      </c>
      <c r="BZ61" s="88">
        <f t="shared" si="310"/>
        <v>0</v>
      </c>
      <c r="CA61" s="88">
        <f t="shared" si="310"/>
        <v>0</v>
      </c>
      <c r="CB61" s="88">
        <f t="shared" si="310"/>
        <v>0</v>
      </c>
      <c r="CC61" s="88">
        <f t="shared" si="310"/>
        <v>0</v>
      </c>
      <c r="CD61" s="88">
        <f t="shared" si="310"/>
        <v>0</v>
      </c>
      <c r="CE61" s="88">
        <f t="shared" si="310"/>
        <v>0</v>
      </c>
      <c r="CF61" s="88">
        <f t="shared" si="310"/>
        <v>0</v>
      </c>
      <c r="CG61" s="88">
        <f t="shared" si="310"/>
        <v>0</v>
      </c>
      <c r="CH61" s="88">
        <f t="shared" si="310"/>
        <v>0</v>
      </c>
      <c r="CI61" s="88">
        <f t="shared" si="310"/>
        <v>0</v>
      </c>
      <c r="CJ61" s="88">
        <f t="shared" si="310"/>
        <v>0</v>
      </c>
      <c r="CK61" s="88">
        <f t="shared" si="310"/>
        <v>0</v>
      </c>
      <c r="CL61" s="88">
        <f t="shared" si="310"/>
        <v>0</v>
      </c>
      <c r="CM61" s="88">
        <f t="shared" si="310"/>
        <v>0</v>
      </c>
      <c r="CN61" s="88">
        <f t="shared" si="310"/>
        <v>0</v>
      </c>
      <c r="CO61" s="88">
        <f t="shared" si="310"/>
        <v>0</v>
      </c>
      <c r="CP61" s="88">
        <f t="shared" si="310"/>
        <v>0</v>
      </c>
      <c r="CQ61" s="88">
        <f t="shared" si="310"/>
        <v>0</v>
      </c>
      <c r="CR61" s="88">
        <f t="shared" si="310"/>
        <v>0</v>
      </c>
      <c r="CS61" s="88">
        <f t="shared" si="310"/>
        <v>0</v>
      </c>
      <c r="CT61" s="88">
        <f t="shared" si="310"/>
        <v>0</v>
      </c>
      <c r="CU61" s="88">
        <f t="shared" si="310"/>
        <v>0</v>
      </c>
      <c r="CV61" s="88">
        <f t="shared" si="310"/>
        <v>0</v>
      </c>
      <c r="CW61" s="88">
        <f t="shared" si="310"/>
        <v>0</v>
      </c>
      <c r="CX61" s="88">
        <f t="shared" si="310"/>
        <v>0</v>
      </c>
      <c r="CY61" s="88">
        <f t="shared" si="310"/>
        <v>0</v>
      </c>
      <c r="CZ61" s="88">
        <f t="shared" si="310"/>
        <v>0</v>
      </c>
      <c r="DA61" s="88">
        <f t="shared" si="310"/>
        <v>0</v>
      </c>
      <c r="DB61" s="88">
        <f t="shared" si="310"/>
        <v>0</v>
      </c>
      <c r="DC61" s="88">
        <f t="shared" si="310"/>
        <v>0</v>
      </c>
      <c r="DD61" s="88">
        <f t="shared" si="310"/>
        <v>0</v>
      </c>
      <c r="DE61" s="88">
        <f t="shared" si="310"/>
        <v>0</v>
      </c>
      <c r="DF61" s="88">
        <f t="shared" si="310"/>
        <v>0</v>
      </c>
      <c r="DG61" s="88">
        <f t="shared" si="310"/>
        <v>0</v>
      </c>
      <c r="DH61" s="88">
        <f t="shared" si="310"/>
        <v>0</v>
      </c>
      <c r="DI61" s="88">
        <f t="shared" si="310"/>
        <v>0</v>
      </c>
      <c r="DJ61" s="88">
        <f t="shared" si="310"/>
        <v>0</v>
      </c>
      <c r="DK61" s="88">
        <f t="shared" si="310"/>
        <v>0</v>
      </c>
      <c r="DL61" s="88">
        <f t="shared" si="310"/>
        <v>0</v>
      </c>
      <c r="DM61" s="88">
        <f t="shared" si="310"/>
        <v>0</v>
      </c>
      <c r="DN61" s="88">
        <f t="shared" si="310"/>
        <v>0</v>
      </c>
      <c r="DO61" s="88">
        <f t="shared" si="310"/>
        <v>0</v>
      </c>
      <c r="DP61" s="88">
        <f t="shared" si="310"/>
        <v>0</v>
      </c>
      <c r="DQ61" s="88">
        <f t="shared" si="310"/>
        <v>0</v>
      </c>
      <c r="DR61" s="88">
        <f t="shared" si="310"/>
        <v>0</v>
      </c>
      <c r="DS61" s="88">
        <f t="shared" si="310"/>
        <v>0</v>
      </c>
      <c r="DT61" s="88">
        <f t="shared" si="310"/>
        <v>0</v>
      </c>
      <c r="DU61" s="88">
        <f t="shared" si="310"/>
        <v>0</v>
      </c>
      <c r="DV61" s="88">
        <f t="shared" ref="DV61:EY61" si="311">0</f>
        <v>0</v>
      </c>
      <c r="DW61" s="88">
        <f t="shared" si="311"/>
        <v>0</v>
      </c>
      <c r="DX61" s="88">
        <f t="shared" si="311"/>
        <v>0</v>
      </c>
      <c r="DY61" s="88">
        <f t="shared" si="311"/>
        <v>0</v>
      </c>
      <c r="DZ61" s="88">
        <f t="shared" si="311"/>
        <v>0</v>
      </c>
      <c r="EA61" s="88">
        <f t="shared" si="311"/>
        <v>0</v>
      </c>
      <c r="EB61" s="88">
        <f t="shared" si="311"/>
        <v>0</v>
      </c>
      <c r="EC61" s="88">
        <f t="shared" si="311"/>
        <v>0</v>
      </c>
      <c r="ED61" s="88">
        <f t="shared" si="311"/>
        <v>0</v>
      </c>
      <c r="EE61" s="88">
        <f t="shared" si="311"/>
        <v>0</v>
      </c>
      <c r="EF61" s="88">
        <f t="shared" si="311"/>
        <v>0</v>
      </c>
      <c r="EG61" s="88">
        <f t="shared" si="311"/>
        <v>0</v>
      </c>
      <c r="EH61" s="88">
        <f t="shared" si="311"/>
        <v>0</v>
      </c>
      <c r="EI61" s="88">
        <f t="shared" si="311"/>
        <v>0</v>
      </c>
      <c r="EJ61" s="88">
        <f t="shared" si="311"/>
        <v>0</v>
      </c>
      <c r="EK61" s="88">
        <f t="shared" si="311"/>
        <v>0</v>
      </c>
      <c r="EL61" s="88">
        <f t="shared" si="311"/>
        <v>0</v>
      </c>
      <c r="EM61" s="88">
        <f t="shared" si="311"/>
        <v>0</v>
      </c>
      <c r="EN61" s="88">
        <f t="shared" si="311"/>
        <v>0</v>
      </c>
      <c r="EO61" s="88">
        <f t="shared" si="311"/>
        <v>0</v>
      </c>
      <c r="EP61" s="88">
        <f t="shared" si="311"/>
        <v>0</v>
      </c>
      <c r="EQ61" s="88">
        <f t="shared" si="311"/>
        <v>0</v>
      </c>
      <c r="ER61" s="88">
        <f t="shared" si="311"/>
        <v>0</v>
      </c>
      <c r="ES61" s="88">
        <f t="shared" si="311"/>
        <v>0</v>
      </c>
      <c r="ET61" s="88">
        <f t="shared" si="311"/>
        <v>0</v>
      </c>
      <c r="EU61" s="88">
        <f t="shared" si="311"/>
        <v>0</v>
      </c>
      <c r="EV61" s="88">
        <f t="shared" si="311"/>
        <v>0</v>
      </c>
      <c r="EW61" s="88">
        <f t="shared" si="311"/>
        <v>0</v>
      </c>
      <c r="EX61" s="88">
        <f t="shared" si="311"/>
        <v>0</v>
      </c>
      <c r="EY61" s="88">
        <f t="shared" si="311"/>
        <v>0</v>
      </c>
    </row>
    <row r="62">
      <c r="A62" s="181" t="s">
        <v>238</v>
      </c>
      <c r="B62" s="10">
        <f t="shared" ref="B62:DU62" si="312">0</f>
        <v>0</v>
      </c>
      <c r="C62" s="10">
        <f t="shared" si="312"/>
        <v>0</v>
      </c>
      <c r="D62" s="10">
        <f t="shared" si="312"/>
        <v>0</v>
      </c>
      <c r="E62" s="88">
        <f t="shared" si="312"/>
        <v>0</v>
      </c>
      <c r="F62" s="123">
        <f t="shared" si="312"/>
        <v>0</v>
      </c>
      <c r="G62" s="205">
        <f t="shared" si="312"/>
        <v>0</v>
      </c>
      <c r="H62" s="88">
        <f t="shared" si="312"/>
        <v>0</v>
      </c>
      <c r="I62" s="88">
        <f t="shared" si="312"/>
        <v>0</v>
      </c>
      <c r="J62" s="88">
        <f t="shared" si="312"/>
        <v>0</v>
      </c>
      <c r="K62" s="88">
        <f t="shared" si="312"/>
        <v>0</v>
      </c>
      <c r="L62" s="88">
        <f t="shared" si="312"/>
        <v>0</v>
      </c>
      <c r="M62" s="88">
        <f t="shared" si="312"/>
        <v>0</v>
      </c>
      <c r="N62" s="88">
        <f t="shared" si="312"/>
        <v>0</v>
      </c>
      <c r="O62" s="88">
        <f t="shared" si="312"/>
        <v>0</v>
      </c>
      <c r="P62" s="88">
        <f t="shared" si="312"/>
        <v>0</v>
      </c>
      <c r="Q62" s="88">
        <f t="shared" si="312"/>
        <v>0</v>
      </c>
      <c r="R62" s="88">
        <f t="shared" si="312"/>
        <v>0</v>
      </c>
      <c r="S62" s="88">
        <f t="shared" si="312"/>
        <v>0</v>
      </c>
      <c r="T62" s="88">
        <f t="shared" si="312"/>
        <v>0</v>
      </c>
      <c r="U62" s="88">
        <f t="shared" si="312"/>
        <v>0</v>
      </c>
      <c r="V62" s="88">
        <f t="shared" si="312"/>
        <v>0</v>
      </c>
      <c r="W62" s="88">
        <f t="shared" si="312"/>
        <v>0</v>
      </c>
      <c r="X62" s="88">
        <f t="shared" si="312"/>
        <v>0</v>
      </c>
      <c r="Y62" s="88">
        <f t="shared" si="312"/>
        <v>0</v>
      </c>
      <c r="Z62" s="88">
        <f t="shared" si="312"/>
        <v>0</v>
      </c>
      <c r="AA62" s="88">
        <f t="shared" si="312"/>
        <v>0</v>
      </c>
      <c r="AB62" s="88">
        <f t="shared" si="312"/>
        <v>0</v>
      </c>
      <c r="AC62" s="88">
        <f t="shared" si="312"/>
        <v>0</v>
      </c>
      <c r="AD62" s="88">
        <f t="shared" si="312"/>
        <v>0</v>
      </c>
      <c r="AE62" s="88">
        <f t="shared" si="312"/>
        <v>0</v>
      </c>
      <c r="AF62" s="88">
        <f t="shared" si="312"/>
        <v>0</v>
      </c>
      <c r="AG62" s="88">
        <f t="shared" si="312"/>
        <v>0</v>
      </c>
      <c r="AH62" s="88">
        <f t="shared" si="312"/>
        <v>0</v>
      </c>
      <c r="AI62" s="88">
        <f t="shared" si="312"/>
        <v>0</v>
      </c>
      <c r="AJ62" s="88">
        <f t="shared" si="312"/>
        <v>0</v>
      </c>
      <c r="AK62" s="88">
        <f t="shared" si="312"/>
        <v>0</v>
      </c>
      <c r="AL62" s="88">
        <f t="shared" si="312"/>
        <v>0</v>
      </c>
      <c r="AM62" s="88">
        <f t="shared" si="312"/>
        <v>0</v>
      </c>
      <c r="AN62" s="88">
        <f t="shared" si="312"/>
        <v>0</v>
      </c>
      <c r="AO62" s="88">
        <f t="shared" si="312"/>
        <v>0</v>
      </c>
      <c r="AP62" s="88">
        <f t="shared" si="312"/>
        <v>0</v>
      </c>
      <c r="AQ62" s="88">
        <f t="shared" si="312"/>
        <v>0</v>
      </c>
      <c r="AR62" s="88">
        <f t="shared" si="312"/>
        <v>0</v>
      </c>
      <c r="AS62" s="88">
        <f t="shared" si="312"/>
        <v>0</v>
      </c>
      <c r="AT62" s="88">
        <f t="shared" si="312"/>
        <v>0</v>
      </c>
      <c r="AU62" s="88">
        <f t="shared" si="312"/>
        <v>0</v>
      </c>
      <c r="AV62" s="88">
        <f t="shared" si="312"/>
        <v>0</v>
      </c>
      <c r="AW62" s="88">
        <f t="shared" si="312"/>
        <v>0</v>
      </c>
      <c r="AX62" s="88">
        <f t="shared" si="312"/>
        <v>0</v>
      </c>
      <c r="AY62" s="88">
        <f t="shared" si="312"/>
        <v>0</v>
      </c>
      <c r="AZ62" s="88">
        <f t="shared" si="312"/>
        <v>0</v>
      </c>
      <c r="BA62" s="88">
        <f t="shared" si="312"/>
        <v>0</v>
      </c>
      <c r="BB62" s="88">
        <f t="shared" si="312"/>
        <v>0</v>
      </c>
      <c r="BC62" s="88">
        <f t="shared" si="312"/>
        <v>0</v>
      </c>
      <c r="BD62" s="88">
        <f t="shared" si="312"/>
        <v>0</v>
      </c>
      <c r="BE62" s="88">
        <f t="shared" si="312"/>
        <v>0</v>
      </c>
      <c r="BF62" s="88">
        <f t="shared" si="312"/>
        <v>0</v>
      </c>
      <c r="BG62" s="88">
        <f t="shared" si="312"/>
        <v>0</v>
      </c>
      <c r="BH62" s="88">
        <f t="shared" si="312"/>
        <v>0</v>
      </c>
      <c r="BI62" s="88">
        <f t="shared" si="312"/>
        <v>0</v>
      </c>
      <c r="BJ62" s="88">
        <f t="shared" si="312"/>
        <v>0</v>
      </c>
      <c r="BK62" s="88">
        <f t="shared" si="312"/>
        <v>0</v>
      </c>
      <c r="BL62" s="88">
        <f t="shared" si="312"/>
        <v>0</v>
      </c>
      <c r="BM62" s="88">
        <f t="shared" si="312"/>
        <v>0</v>
      </c>
      <c r="BN62" s="88">
        <f t="shared" si="312"/>
        <v>0</v>
      </c>
      <c r="BO62" s="88">
        <f t="shared" si="312"/>
        <v>0</v>
      </c>
      <c r="BP62" s="88">
        <f t="shared" si="312"/>
        <v>0</v>
      </c>
      <c r="BQ62" s="88">
        <f t="shared" si="312"/>
        <v>0</v>
      </c>
      <c r="BR62" s="88">
        <f t="shared" si="312"/>
        <v>0</v>
      </c>
      <c r="BS62" s="88">
        <f t="shared" si="312"/>
        <v>0</v>
      </c>
      <c r="BT62" s="88">
        <f t="shared" si="312"/>
        <v>0</v>
      </c>
      <c r="BU62" s="88">
        <f t="shared" si="312"/>
        <v>0</v>
      </c>
      <c r="BV62" s="88">
        <f t="shared" si="312"/>
        <v>0</v>
      </c>
      <c r="BW62" s="88">
        <f t="shared" si="312"/>
        <v>0</v>
      </c>
      <c r="BX62" s="88">
        <f t="shared" si="312"/>
        <v>0</v>
      </c>
      <c r="BY62" s="88">
        <f t="shared" si="312"/>
        <v>0</v>
      </c>
      <c r="BZ62" s="88">
        <f t="shared" si="312"/>
        <v>0</v>
      </c>
      <c r="CA62" s="88">
        <f t="shared" si="312"/>
        <v>0</v>
      </c>
      <c r="CB62" s="88">
        <f t="shared" si="312"/>
        <v>0</v>
      </c>
      <c r="CC62" s="88">
        <f t="shared" si="312"/>
        <v>0</v>
      </c>
      <c r="CD62" s="88">
        <f t="shared" si="312"/>
        <v>0</v>
      </c>
      <c r="CE62" s="88">
        <f t="shared" si="312"/>
        <v>0</v>
      </c>
      <c r="CF62" s="88">
        <f t="shared" si="312"/>
        <v>0</v>
      </c>
      <c r="CG62" s="88">
        <f t="shared" si="312"/>
        <v>0</v>
      </c>
      <c r="CH62" s="88">
        <f t="shared" si="312"/>
        <v>0</v>
      </c>
      <c r="CI62" s="88">
        <f t="shared" si="312"/>
        <v>0</v>
      </c>
      <c r="CJ62" s="88">
        <f t="shared" si="312"/>
        <v>0</v>
      </c>
      <c r="CK62" s="88">
        <f t="shared" si="312"/>
        <v>0</v>
      </c>
      <c r="CL62" s="88">
        <f t="shared" si="312"/>
        <v>0</v>
      </c>
      <c r="CM62" s="88">
        <f t="shared" si="312"/>
        <v>0</v>
      </c>
      <c r="CN62" s="88">
        <f t="shared" si="312"/>
        <v>0</v>
      </c>
      <c r="CO62" s="88">
        <f t="shared" si="312"/>
        <v>0</v>
      </c>
      <c r="CP62" s="88">
        <f t="shared" si="312"/>
        <v>0</v>
      </c>
      <c r="CQ62" s="88">
        <f t="shared" si="312"/>
        <v>0</v>
      </c>
      <c r="CR62" s="88">
        <f t="shared" si="312"/>
        <v>0</v>
      </c>
      <c r="CS62" s="88">
        <f t="shared" si="312"/>
        <v>0</v>
      </c>
      <c r="CT62" s="88">
        <f t="shared" si="312"/>
        <v>0</v>
      </c>
      <c r="CU62" s="88">
        <f t="shared" si="312"/>
        <v>0</v>
      </c>
      <c r="CV62" s="88">
        <f t="shared" si="312"/>
        <v>0</v>
      </c>
      <c r="CW62" s="88">
        <f t="shared" si="312"/>
        <v>0</v>
      </c>
      <c r="CX62" s="88">
        <f t="shared" si="312"/>
        <v>0</v>
      </c>
      <c r="CY62" s="88">
        <f t="shared" si="312"/>
        <v>0</v>
      </c>
      <c r="CZ62" s="88">
        <f t="shared" si="312"/>
        <v>0</v>
      </c>
      <c r="DA62" s="88">
        <f t="shared" si="312"/>
        <v>0</v>
      </c>
      <c r="DB62" s="88">
        <f t="shared" si="312"/>
        <v>0</v>
      </c>
      <c r="DC62" s="88">
        <f t="shared" si="312"/>
        <v>0</v>
      </c>
      <c r="DD62" s="88">
        <f t="shared" si="312"/>
        <v>0</v>
      </c>
      <c r="DE62" s="88">
        <f t="shared" si="312"/>
        <v>0</v>
      </c>
      <c r="DF62" s="88">
        <f t="shared" si="312"/>
        <v>0</v>
      </c>
      <c r="DG62" s="88">
        <f t="shared" si="312"/>
        <v>0</v>
      </c>
      <c r="DH62" s="88">
        <f t="shared" si="312"/>
        <v>0</v>
      </c>
      <c r="DI62" s="88">
        <f t="shared" si="312"/>
        <v>0</v>
      </c>
      <c r="DJ62" s="88">
        <f t="shared" si="312"/>
        <v>0</v>
      </c>
      <c r="DK62" s="88">
        <f t="shared" si="312"/>
        <v>0</v>
      </c>
      <c r="DL62" s="88">
        <f t="shared" si="312"/>
        <v>0</v>
      </c>
      <c r="DM62" s="88">
        <f t="shared" si="312"/>
        <v>0</v>
      </c>
      <c r="DN62" s="88">
        <f t="shared" si="312"/>
        <v>0</v>
      </c>
      <c r="DO62" s="88">
        <f t="shared" si="312"/>
        <v>0</v>
      </c>
      <c r="DP62" s="88">
        <f t="shared" si="312"/>
        <v>0</v>
      </c>
      <c r="DQ62" s="88">
        <f t="shared" si="312"/>
        <v>0</v>
      </c>
      <c r="DR62" s="88">
        <f t="shared" si="312"/>
        <v>0</v>
      </c>
      <c r="DS62" s="88">
        <f t="shared" si="312"/>
        <v>0</v>
      </c>
      <c r="DT62" s="88">
        <f t="shared" si="312"/>
        <v>0</v>
      </c>
      <c r="DU62" s="88">
        <f t="shared" si="312"/>
        <v>0</v>
      </c>
      <c r="DV62" s="88">
        <f t="shared" ref="DV62:EY62" si="313">0</f>
        <v>0</v>
      </c>
      <c r="DW62" s="88">
        <f t="shared" si="313"/>
        <v>0</v>
      </c>
      <c r="DX62" s="88">
        <f t="shared" si="313"/>
        <v>0</v>
      </c>
      <c r="DY62" s="88">
        <f t="shared" si="313"/>
        <v>0</v>
      </c>
      <c r="DZ62" s="88">
        <f t="shared" si="313"/>
        <v>0</v>
      </c>
      <c r="EA62" s="88">
        <f t="shared" si="313"/>
        <v>0</v>
      </c>
      <c r="EB62" s="88">
        <f t="shared" si="313"/>
        <v>0</v>
      </c>
      <c r="EC62" s="88">
        <f t="shared" si="313"/>
        <v>0</v>
      </c>
      <c r="ED62" s="88">
        <f t="shared" si="313"/>
        <v>0</v>
      </c>
      <c r="EE62" s="88">
        <f t="shared" si="313"/>
        <v>0</v>
      </c>
      <c r="EF62" s="88">
        <f t="shared" si="313"/>
        <v>0</v>
      </c>
      <c r="EG62" s="88">
        <f t="shared" si="313"/>
        <v>0</v>
      </c>
      <c r="EH62" s="88">
        <f t="shared" si="313"/>
        <v>0</v>
      </c>
      <c r="EI62" s="88">
        <f t="shared" si="313"/>
        <v>0</v>
      </c>
      <c r="EJ62" s="88">
        <f t="shared" si="313"/>
        <v>0</v>
      </c>
      <c r="EK62" s="88">
        <f t="shared" si="313"/>
        <v>0</v>
      </c>
      <c r="EL62" s="88">
        <f t="shared" si="313"/>
        <v>0</v>
      </c>
      <c r="EM62" s="88">
        <f t="shared" si="313"/>
        <v>0</v>
      </c>
      <c r="EN62" s="88">
        <f t="shared" si="313"/>
        <v>0</v>
      </c>
      <c r="EO62" s="88">
        <f t="shared" si="313"/>
        <v>0</v>
      </c>
      <c r="EP62" s="88">
        <f t="shared" si="313"/>
        <v>0</v>
      </c>
      <c r="EQ62" s="88">
        <f t="shared" si="313"/>
        <v>0</v>
      </c>
      <c r="ER62" s="88">
        <f t="shared" si="313"/>
        <v>0</v>
      </c>
      <c r="ES62" s="88">
        <f t="shared" si="313"/>
        <v>0</v>
      </c>
      <c r="ET62" s="88">
        <f t="shared" si="313"/>
        <v>0</v>
      </c>
      <c r="EU62" s="88">
        <f t="shared" si="313"/>
        <v>0</v>
      </c>
      <c r="EV62" s="88">
        <f t="shared" si="313"/>
        <v>0</v>
      </c>
      <c r="EW62" s="88">
        <f t="shared" si="313"/>
        <v>0</v>
      </c>
      <c r="EX62" s="88">
        <f t="shared" si="313"/>
        <v>0</v>
      </c>
      <c r="EY62" s="88">
        <f t="shared" si="313"/>
        <v>0</v>
      </c>
    </row>
    <row r="63">
      <c r="A63" s="181" t="s">
        <v>239</v>
      </c>
      <c r="B63" s="10">
        <f t="shared" ref="B63:DU63" si="314">0</f>
        <v>0</v>
      </c>
      <c r="C63" s="10">
        <f t="shared" si="314"/>
        <v>0</v>
      </c>
      <c r="D63" s="10">
        <f t="shared" si="314"/>
        <v>0</v>
      </c>
      <c r="E63" s="88">
        <f t="shared" si="314"/>
        <v>0</v>
      </c>
      <c r="F63" s="123">
        <f t="shared" si="314"/>
        <v>0</v>
      </c>
      <c r="G63" s="205">
        <f t="shared" si="314"/>
        <v>0</v>
      </c>
      <c r="H63" s="88">
        <f t="shared" si="314"/>
        <v>0</v>
      </c>
      <c r="I63" s="88">
        <f t="shared" si="314"/>
        <v>0</v>
      </c>
      <c r="J63" s="88">
        <f t="shared" si="314"/>
        <v>0</v>
      </c>
      <c r="K63" s="88">
        <f t="shared" si="314"/>
        <v>0</v>
      </c>
      <c r="L63" s="88">
        <f t="shared" si="314"/>
        <v>0</v>
      </c>
      <c r="M63" s="88">
        <f t="shared" si="314"/>
        <v>0</v>
      </c>
      <c r="N63" s="88">
        <f t="shared" si="314"/>
        <v>0</v>
      </c>
      <c r="O63" s="88">
        <f t="shared" si="314"/>
        <v>0</v>
      </c>
      <c r="P63" s="88">
        <f t="shared" si="314"/>
        <v>0</v>
      </c>
      <c r="Q63" s="88">
        <f t="shared" si="314"/>
        <v>0</v>
      </c>
      <c r="R63" s="88">
        <f t="shared" si="314"/>
        <v>0</v>
      </c>
      <c r="S63" s="88">
        <f t="shared" si="314"/>
        <v>0</v>
      </c>
      <c r="T63" s="88">
        <f t="shared" si="314"/>
        <v>0</v>
      </c>
      <c r="U63" s="88">
        <f t="shared" si="314"/>
        <v>0</v>
      </c>
      <c r="V63" s="88">
        <f t="shared" si="314"/>
        <v>0</v>
      </c>
      <c r="W63" s="88">
        <f t="shared" si="314"/>
        <v>0</v>
      </c>
      <c r="X63" s="88">
        <f t="shared" si="314"/>
        <v>0</v>
      </c>
      <c r="Y63" s="88">
        <f t="shared" si="314"/>
        <v>0</v>
      </c>
      <c r="Z63" s="88">
        <f t="shared" si="314"/>
        <v>0</v>
      </c>
      <c r="AA63" s="88">
        <f t="shared" si="314"/>
        <v>0</v>
      </c>
      <c r="AB63" s="88">
        <f t="shared" si="314"/>
        <v>0</v>
      </c>
      <c r="AC63" s="88">
        <f t="shared" si="314"/>
        <v>0</v>
      </c>
      <c r="AD63" s="88">
        <f t="shared" si="314"/>
        <v>0</v>
      </c>
      <c r="AE63" s="88">
        <f t="shared" si="314"/>
        <v>0</v>
      </c>
      <c r="AF63" s="88">
        <f t="shared" si="314"/>
        <v>0</v>
      </c>
      <c r="AG63" s="88">
        <f t="shared" si="314"/>
        <v>0</v>
      </c>
      <c r="AH63" s="88">
        <f t="shared" si="314"/>
        <v>0</v>
      </c>
      <c r="AI63" s="88">
        <f t="shared" si="314"/>
        <v>0</v>
      </c>
      <c r="AJ63" s="88">
        <f t="shared" si="314"/>
        <v>0</v>
      </c>
      <c r="AK63" s="88">
        <f t="shared" si="314"/>
        <v>0</v>
      </c>
      <c r="AL63" s="88">
        <f t="shared" si="314"/>
        <v>0</v>
      </c>
      <c r="AM63" s="88">
        <f t="shared" si="314"/>
        <v>0</v>
      </c>
      <c r="AN63" s="88">
        <f t="shared" si="314"/>
        <v>0</v>
      </c>
      <c r="AO63" s="88">
        <f t="shared" si="314"/>
        <v>0</v>
      </c>
      <c r="AP63" s="88">
        <f t="shared" si="314"/>
        <v>0</v>
      </c>
      <c r="AQ63" s="88">
        <f t="shared" si="314"/>
        <v>0</v>
      </c>
      <c r="AR63" s="88">
        <f t="shared" si="314"/>
        <v>0</v>
      </c>
      <c r="AS63" s="88">
        <f t="shared" si="314"/>
        <v>0</v>
      </c>
      <c r="AT63" s="88">
        <f t="shared" si="314"/>
        <v>0</v>
      </c>
      <c r="AU63" s="88">
        <f t="shared" si="314"/>
        <v>0</v>
      </c>
      <c r="AV63" s="88">
        <f t="shared" si="314"/>
        <v>0</v>
      </c>
      <c r="AW63" s="88">
        <f t="shared" si="314"/>
        <v>0</v>
      </c>
      <c r="AX63" s="88">
        <f t="shared" si="314"/>
        <v>0</v>
      </c>
      <c r="AY63" s="88">
        <f t="shared" si="314"/>
        <v>0</v>
      </c>
      <c r="AZ63" s="88">
        <f t="shared" si="314"/>
        <v>0</v>
      </c>
      <c r="BA63" s="88">
        <f t="shared" si="314"/>
        <v>0</v>
      </c>
      <c r="BB63" s="88">
        <f t="shared" si="314"/>
        <v>0</v>
      </c>
      <c r="BC63" s="88">
        <f t="shared" si="314"/>
        <v>0</v>
      </c>
      <c r="BD63" s="88">
        <f t="shared" si="314"/>
        <v>0</v>
      </c>
      <c r="BE63" s="88">
        <f t="shared" si="314"/>
        <v>0</v>
      </c>
      <c r="BF63" s="88">
        <f t="shared" si="314"/>
        <v>0</v>
      </c>
      <c r="BG63" s="88">
        <f t="shared" si="314"/>
        <v>0</v>
      </c>
      <c r="BH63" s="88">
        <f t="shared" si="314"/>
        <v>0</v>
      </c>
      <c r="BI63" s="88">
        <f t="shared" si="314"/>
        <v>0</v>
      </c>
      <c r="BJ63" s="88">
        <f t="shared" si="314"/>
        <v>0</v>
      </c>
      <c r="BK63" s="88">
        <f t="shared" si="314"/>
        <v>0</v>
      </c>
      <c r="BL63" s="88">
        <f t="shared" si="314"/>
        <v>0</v>
      </c>
      <c r="BM63" s="88">
        <f t="shared" si="314"/>
        <v>0</v>
      </c>
      <c r="BN63" s="88">
        <f t="shared" si="314"/>
        <v>0</v>
      </c>
      <c r="BO63" s="88">
        <f t="shared" si="314"/>
        <v>0</v>
      </c>
      <c r="BP63" s="88">
        <f t="shared" si="314"/>
        <v>0</v>
      </c>
      <c r="BQ63" s="88">
        <f t="shared" si="314"/>
        <v>0</v>
      </c>
      <c r="BR63" s="88">
        <f t="shared" si="314"/>
        <v>0</v>
      </c>
      <c r="BS63" s="88">
        <f t="shared" si="314"/>
        <v>0</v>
      </c>
      <c r="BT63" s="88">
        <f t="shared" si="314"/>
        <v>0</v>
      </c>
      <c r="BU63" s="88">
        <f t="shared" si="314"/>
        <v>0</v>
      </c>
      <c r="BV63" s="88">
        <f t="shared" si="314"/>
        <v>0</v>
      </c>
      <c r="BW63" s="88">
        <f t="shared" si="314"/>
        <v>0</v>
      </c>
      <c r="BX63" s="88">
        <f t="shared" si="314"/>
        <v>0</v>
      </c>
      <c r="BY63" s="88">
        <f t="shared" si="314"/>
        <v>0</v>
      </c>
      <c r="BZ63" s="88">
        <f t="shared" si="314"/>
        <v>0</v>
      </c>
      <c r="CA63" s="88">
        <f t="shared" si="314"/>
        <v>0</v>
      </c>
      <c r="CB63" s="88">
        <f t="shared" si="314"/>
        <v>0</v>
      </c>
      <c r="CC63" s="88">
        <f t="shared" si="314"/>
        <v>0</v>
      </c>
      <c r="CD63" s="88">
        <f t="shared" si="314"/>
        <v>0</v>
      </c>
      <c r="CE63" s="88">
        <f t="shared" si="314"/>
        <v>0</v>
      </c>
      <c r="CF63" s="88">
        <f t="shared" si="314"/>
        <v>0</v>
      </c>
      <c r="CG63" s="88">
        <f t="shared" si="314"/>
        <v>0</v>
      </c>
      <c r="CH63" s="88">
        <f t="shared" si="314"/>
        <v>0</v>
      </c>
      <c r="CI63" s="88">
        <f t="shared" si="314"/>
        <v>0</v>
      </c>
      <c r="CJ63" s="88">
        <f t="shared" si="314"/>
        <v>0</v>
      </c>
      <c r="CK63" s="88">
        <f t="shared" si="314"/>
        <v>0</v>
      </c>
      <c r="CL63" s="88">
        <f t="shared" si="314"/>
        <v>0</v>
      </c>
      <c r="CM63" s="88">
        <f t="shared" si="314"/>
        <v>0</v>
      </c>
      <c r="CN63" s="88">
        <f t="shared" si="314"/>
        <v>0</v>
      </c>
      <c r="CO63" s="88">
        <f t="shared" si="314"/>
        <v>0</v>
      </c>
      <c r="CP63" s="88">
        <f t="shared" si="314"/>
        <v>0</v>
      </c>
      <c r="CQ63" s="88">
        <f t="shared" si="314"/>
        <v>0</v>
      </c>
      <c r="CR63" s="88">
        <f t="shared" si="314"/>
        <v>0</v>
      </c>
      <c r="CS63" s="88">
        <f t="shared" si="314"/>
        <v>0</v>
      </c>
      <c r="CT63" s="88">
        <f t="shared" si="314"/>
        <v>0</v>
      </c>
      <c r="CU63" s="88">
        <f t="shared" si="314"/>
        <v>0</v>
      </c>
      <c r="CV63" s="88">
        <f t="shared" si="314"/>
        <v>0</v>
      </c>
      <c r="CW63" s="88">
        <f t="shared" si="314"/>
        <v>0</v>
      </c>
      <c r="CX63" s="88">
        <f t="shared" si="314"/>
        <v>0</v>
      </c>
      <c r="CY63" s="88">
        <f t="shared" si="314"/>
        <v>0</v>
      </c>
      <c r="CZ63" s="88">
        <f t="shared" si="314"/>
        <v>0</v>
      </c>
      <c r="DA63" s="88">
        <f t="shared" si="314"/>
        <v>0</v>
      </c>
      <c r="DB63" s="88">
        <f t="shared" si="314"/>
        <v>0</v>
      </c>
      <c r="DC63" s="88">
        <f t="shared" si="314"/>
        <v>0</v>
      </c>
      <c r="DD63" s="88">
        <f t="shared" si="314"/>
        <v>0</v>
      </c>
      <c r="DE63" s="88">
        <f t="shared" si="314"/>
        <v>0</v>
      </c>
      <c r="DF63" s="88">
        <f t="shared" si="314"/>
        <v>0</v>
      </c>
      <c r="DG63" s="88">
        <f t="shared" si="314"/>
        <v>0</v>
      </c>
      <c r="DH63" s="88">
        <f t="shared" si="314"/>
        <v>0</v>
      </c>
      <c r="DI63" s="88">
        <f t="shared" si="314"/>
        <v>0</v>
      </c>
      <c r="DJ63" s="88">
        <f t="shared" si="314"/>
        <v>0</v>
      </c>
      <c r="DK63" s="88">
        <f t="shared" si="314"/>
        <v>0</v>
      </c>
      <c r="DL63" s="88">
        <f t="shared" si="314"/>
        <v>0</v>
      </c>
      <c r="DM63" s="88">
        <f t="shared" si="314"/>
        <v>0</v>
      </c>
      <c r="DN63" s="88">
        <f t="shared" si="314"/>
        <v>0</v>
      </c>
      <c r="DO63" s="88">
        <f t="shared" si="314"/>
        <v>0</v>
      </c>
      <c r="DP63" s="88">
        <f t="shared" si="314"/>
        <v>0</v>
      </c>
      <c r="DQ63" s="88">
        <f t="shared" si="314"/>
        <v>0</v>
      </c>
      <c r="DR63" s="88">
        <f t="shared" si="314"/>
        <v>0</v>
      </c>
      <c r="DS63" s="88">
        <f t="shared" si="314"/>
        <v>0</v>
      </c>
      <c r="DT63" s="88">
        <f t="shared" si="314"/>
        <v>0</v>
      </c>
      <c r="DU63" s="88">
        <f t="shared" si="314"/>
        <v>0</v>
      </c>
      <c r="DV63" s="88">
        <f t="shared" ref="DV63:EY63" si="315">0</f>
        <v>0</v>
      </c>
      <c r="DW63" s="88">
        <f t="shared" si="315"/>
        <v>0</v>
      </c>
      <c r="DX63" s="88">
        <f t="shared" si="315"/>
        <v>0</v>
      </c>
      <c r="DY63" s="88">
        <f t="shared" si="315"/>
        <v>0</v>
      </c>
      <c r="DZ63" s="88">
        <f t="shared" si="315"/>
        <v>0</v>
      </c>
      <c r="EA63" s="88">
        <f t="shared" si="315"/>
        <v>0</v>
      </c>
      <c r="EB63" s="88">
        <f t="shared" si="315"/>
        <v>0</v>
      </c>
      <c r="EC63" s="88">
        <f t="shared" si="315"/>
        <v>0</v>
      </c>
      <c r="ED63" s="88">
        <f t="shared" si="315"/>
        <v>0</v>
      </c>
      <c r="EE63" s="88">
        <f t="shared" si="315"/>
        <v>0</v>
      </c>
      <c r="EF63" s="88">
        <f t="shared" si="315"/>
        <v>0</v>
      </c>
      <c r="EG63" s="88">
        <f t="shared" si="315"/>
        <v>0</v>
      </c>
      <c r="EH63" s="88">
        <f t="shared" si="315"/>
        <v>0</v>
      </c>
      <c r="EI63" s="88">
        <f t="shared" si="315"/>
        <v>0</v>
      </c>
      <c r="EJ63" s="88">
        <f t="shared" si="315"/>
        <v>0</v>
      </c>
      <c r="EK63" s="88">
        <f t="shared" si="315"/>
        <v>0</v>
      </c>
      <c r="EL63" s="88">
        <f t="shared" si="315"/>
        <v>0</v>
      </c>
      <c r="EM63" s="88">
        <f t="shared" si="315"/>
        <v>0</v>
      </c>
      <c r="EN63" s="88">
        <f t="shared" si="315"/>
        <v>0</v>
      </c>
      <c r="EO63" s="88">
        <f t="shared" si="315"/>
        <v>0</v>
      </c>
      <c r="EP63" s="88">
        <f t="shared" si="315"/>
        <v>0</v>
      </c>
      <c r="EQ63" s="88">
        <f t="shared" si="315"/>
        <v>0</v>
      </c>
      <c r="ER63" s="88">
        <f t="shared" si="315"/>
        <v>0</v>
      </c>
      <c r="ES63" s="88">
        <f t="shared" si="315"/>
        <v>0</v>
      </c>
      <c r="ET63" s="88">
        <f t="shared" si="315"/>
        <v>0</v>
      </c>
      <c r="EU63" s="88">
        <f t="shared" si="315"/>
        <v>0</v>
      </c>
      <c r="EV63" s="88">
        <f t="shared" si="315"/>
        <v>0</v>
      </c>
      <c r="EW63" s="88">
        <f t="shared" si="315"/>
        <v>0</v>
      </c>
      <c r="EX63" s="88">
        <f t="shared" si="315"/>
        <v>0</v>
      </c>
      <c r="EY63" s="88">
        <f t="shared" si="315"/>
        <v>0</v>
      </c>
    </row>
    <row r="64">
      <c r="A64" s="181" t="s">
        <v>240</v>
      </c>
      <c r="B64" s="10">
        <f t="shared" ref="B64:DU64" si="316">0</f>
        <v>0</v>
      </c>
      <c r="C64" s="10">
        <f t="shared" si="316"/>
        <v>0</v>
      </c>
      <c r="D64" s="10">
        <f t="shared" si="316"/>
        <v>0</v>
      </c>
      <c r="E64" s="88">
        <f t="shared" si="316"/>
        <v>0</v>
      </c>
      <c r="F64" s="123">
        <f t="shared" si="316"/>
        <v>0</v>
      </c>
      <c r="G64" s="205">
        <f t="shared" si="316"/>
        <v>0</v>
      </c>
      <c r="H64" s="88">
        <f t="shared" si="316"/>
        <v>0</v>
      </c>
      <c r="I64" s="88">
        <f t="shared" si="316"/>
        <v>0</v>
      </c>
      <c r="J64" s="88">
        <f t="shared" si="316"/>
        <v>0</v>
      </c>
      <c r="K64" s="88">
        <f t="shared" si="316"/>
        <v>0</v>
      </c>
      <c r="L64" s="88">
        <f t="shared" si="316"/>
        <v>0</v>
      </c>
      <c r="M64" s="88">
        <f t="shared" si="316"/>
        <v>0</v>
      </c>
      <c r="N64" s="88">
        <f t="shared" si="316"/>
        <v>0</v>
      </c>
      <c r="O64" s="88">
        <f t="shared" si="316"/>
        <v>0</v>
      </c>
      <c r="P64" s="88">
        <f t="shared" si="316"/>
        <v>0</v>
      </c>
      <c r="Q64" s="88">
        <f t="shared" si="316"/>
        <v>0</v>
      </c>
      <c r="R64" s="88">
        <f t="shared" si="316"/>
        <v>0</v>
      </c>
      <c r="S64" s="88">
        <f t="shared" si="316"/>
        <v>0</v>
      </c>
      <c r="T64" s="88">
        <f t="shared" si="316"/>
        <v>0</v>
      </c>
      <c r="U64" s="88">
        <f t="shared" si="316"/>
        <v>0</v>
      </c>
      <c r="V64" s="88">
        <f t="shared" si="316"/>
        <v>0</v>
      </c>
      <c r="W64" s="88">
        <f t="shared" si="316"/>
        <v>0</v>
      </c>
      <c r="X64" s="88">
        <f t="shared" si="316"/>
        <v>0</v>
      </c>
      <c r="Y64" s="88">
        <f t="shared" si="316"/>
        <v>0</v>
      </c>
      <c r="Z64" s="88">
        <f t="shared" si="316"/>
        <v>0</v>
      </c>
      <c r="AA64" s="88">
        <f t="shared" si="316"/>
        <v>0</v>
      </c>
      <c r="AB64" s="88">
        <f t="shared" si="316"/>
        <v>0</v>
      </c>
      <c r="AC64" s="88">
        <f t="shared" si="316"/>
        <v>0</v>
      </c>
      <c r="AD64" s="88">
        <f t="shared" si="316"/>
        <v>0</v>
      </c>
      <c r="AE64" s="88">
        <f t="shared" si="316"/>
        <v>0</v>
      </c>
      <c r="AF64" s="88">
        <f t="shared" si="316"/>
        <v>0</v>
      </c>
      <c r="AG64" s="88">
        <f t="shared" si="316"/>
        <v>0</v>
      </c>
      <c r="AH64" s="88">
        <f t="shared" si="316"/>
        <v>0</v>
      </c>
      <c r="AI64" s="88">
        <f t="shared" si="316"/>
        <v>0</v>
      </c>
      <c r="AJ64" s="88">
        <f t="shared" si="316"/>
        <v>0</v>
      </c>
      <c r="AK64" s="88">
        <f t="shared" si="316"/>
        <v>0</v>
      </c>
      <c r="AL64" s="88">
        <f t="shared" si="316"/>
        <v>0</v>
      </c>
      <c r="AM64" s="88">
        <f t="shared" si="316"/>
        <v>0</v>
      </c>
      <c r="AN64" s="88">
        <f t="shared" si="316"/>
        <v>0</v>
      </c>
      <c r="AO64" s="88">
        <f t="shared" si="316"/>
        <v>0</v>
      </c>
      <c r="AP64" s="88">
        <f t="shared" si="316"/>
        <v>0</v>
      </c>
      <c r="AQ64" s="88">
        <f t="shared" si="316"/>
        <v>0</v>
      </c>
      <c r="AR64" s="88">
        <f t="shared" si="316"/>
        <v>0</v>
      </c>
      <c r="AS64" s="88">
        <f t="shared" si="316"/>
        <v>0</v>
      </c>
      <c r="AT64" s="88">
        <f t="shared" si="316"/>
        <v>0</v>
      </c>
      <c r="AU64" s="88">
        <f t="shared" si="316"/>
        <v>0</v>
      </c>
      <c r="AV64" s="88">
        <f t="shared" si="316"/>
        <v>0</v>
      </c>
      <c r="AW64" s="88">
        <f t="shared" si="316"/>
        <v>0</v>
      </c>
      <c r="AX64" s="88">
        <f t="shared" si="316"/>
        <v>0</v>
      </c>
      <c r="AY64" s="88">
        <f t="shared" si="316"/>
        <v>0</v>
      </c>
      <c r="AZ64" s="88">
        <f t="shared" si="316"/>
        <v>0</v>
      </c>
      <c r="BA64" s="88">
        <f t="shared" si="316"/>
        <v>0</v>
      </c>
      <c r="BB64" s="88">
        <f t="shared" si="316"/>
        <v>0</v>
      </c>
      <c r="BC64" s="88">
        <f t="shared" si="316"/>
        <v>0</v>
      </c>
      <c r="BD64" s="88">
        <f t="shared" si="316"/>
        <v>0</v>
      </c>
      <c r="BE64" s="88">
        <f t="shared" si="316"/>
        <v>0</v>
      </c>
      <c r="BF64" s="88">
        <f t="shared" si="316"/>
        <v>0</v>
      </c>
      <c r="BG64" s="88">
        <f t="shared" si="316"/>
        <v>0</v>
      </c>
      <c r="BH64" s="88">
        <f t="shared" si="316"/>
        <v>0</v>
      </c>
      <c r="BI64" s="88">
        <f t="shared" si="316"/>
        <v>0</v>
      </c>
      <c r="BJ64" s="88">
        <f t="shared" si="316"/>
        <v>0</v>
      </c>
      <c r="BK64" s="88">
        <f t="shared" si="316"/>
        <v>0</v>
      </c>
      <c r="BL64" s="88">
        <f t="shared" si="316"/>
        <v>0</v>
      </c>
      <c r="BM64" s="88">
        <f t="shared" si="316"/>
        <v>0</v>
      </c>
      <c r="BN64" s="88">
        <f t="shared" si="316"/>
        <v>0</v>
      </c>
      <c r="BO64" s="88">
        <f t="shared" si="316"/>
        <v>0</v>
      </c>
      <c r="BP64" s="88">
        <f t="shared" si="316"/>
        <v>0</v>
      </c>
      <c r="BQ64" s="88">
        <f t="shared" si="316"/>
        <v>0</v>
      </c>
      <c r="BR64" s="88">
        <f t="shared" si="316"/>
        <v>0</v>
      </c>
      <c r="BS64" s="88">
        <f t="shared" si="316"/>
        <v>0</v>
      </c>
      <c r="BT64" s="88">
        <f t="shared" si="316"/>
        <v>0</v>
      </c>
      <c r="BU64" s="88">
        <f t="shared" si="316"/>
        <v>0</v>
      </c>
      <c r="BV64" s="88">
        <f t="shared" si="316"/>
        <v>0</v>
      </c>
      <c r="BW64" s="88">
        <f t="shared" si="316"/>
        <v>0</v>
      </c>
      <c r="BX64" s="88">
        <f t="shared" si="316"/>
        <v>0</v>
      </c>
      <c r="BY64" s="88">
        <f t="shared" si="316"/>
        <v>0</v>
      </c>
      <c r="BZ64" s="88">
        <f t="shared" si="316"/>
        <v>0</v>
      </c>
      <c r="CA64" s="88">
        <f t="shared" si="316"/>
        <v>0</v>
      </c>
      <c r="CB64" s="88">
        <f t="shared" si="316"/>
        <v>0</v>
      </c>
      <c r="CC64" s="88">
        <f t="shared" si="316"/>
        <v>0</v>
      </c>
      <c r="CD64" s="88">
        <f t="shared" si="316"/>
        <v>0</v>
      </c>
      <c r="CE64" s="88">
        <f t="shared" si="316"/>
        <v>0</v>
      </c>
      <c r="CF64" s="88">
        <f t="shared" si="316"/>
        <v>0</v>
      </c>
      <c r="CG64" s="88">
        <f t="shared" si="316"/>
        <v>0</v>
      </c>
      <c r="CH64" s="88">
        <f t="shared" si="316"/>
        <v>0</v>
      </c>
      <c r="CI64" s="88">
        <f t="shared" si="316"/>
        <v>0</v>
      </c>
      <c r="CJ64" s="88">
        <f t="shared" si="316"/>
        <v>0</v>
      </c>
      <c r="CK64" s="88">
        <f t="shared" si="316"/>
        <v>0</v>
      </c>
      <c r="CL64" s="88">
        <f t="shared" si="316"/>
        <v>0</v>
      </c>
      <c r="CM64" s="88">
        <f t="shared" si="316"/>
        <v>0</v>
      </c>
      <c r="CN64" s="88">
        <f t="shared" si="316"/>
        <v>0</v>
      </c>
      <c r="CO64" s="88">
        <f t="shared" si="316"/>
        <v>0</v>
      </c>
      <c r="CP64" s="88">
        <f t="shared" si="316"/>
        <v>0</v>
      </c>
      <c r="CQ64" s="88">
        <f t="shared" si="316"/>
        <v>0</v>
      </c>
      <c r="CR64" s="88">
        <f t="shared" si="316"/>
        <v>0</v>
      </c>
      <c r="CS64" s="88">
        <f t="shared" si="316"/>
        <v>0</v>
      </c>
      <c r="CT64" s="88">
        <f t="shared" si="316"/>
        <v>0</v>
      </c>
      <c r="CU64" s="88">
        <f t="shared" si="316"/>
        <v>0</v>
      </c>
      <c r="CV64" s="88">
        <f t="shared" si="316"/>
        <v>0</v>
      </c>
      <c r="CW64" s="88">
        <f t="shared" si="316"/>
        <v>0</v>
      </c>
      <c r="CX64" s="88">
        <f t="shared" si="316"/>
        <v>0</v>
      </c>
      <c r="CY64" s="88">
        <f t="shared" si="316"/>
        <v>0</v>
      </c>
      <c r="CZ64" s="88">
        <f t="shared" si="316"/>
        <v>0</v>
      </c>
      <c r="DA64" s="88">
        <f t="shared" si="316"/>
        <v>0</v>
      </c>
      <c r="DB64" s="88">
        <f t="shared" si="316"/>
        <v>0</v>
      </c>
      <c r="DC64" s="88">
        <f t="shared" si="316"/>
        <v>0</v>
      </c>
      <c r="DD64" s="88">
        <f t="shared" si="316"/>
        <v>0</v>
      </c>
      <c r="DE64" s="88">
        <f t="shared" si="316"/>
        <v>0</v>
      </c>
      <c r="DF64" s="88">
        <f t="shared" si="316"/>
        <v>0</v>
      </c>
      <c r="DG64" s="88">
        <f t="shared" si="316"/>
        <v>0</v>
      </c>
      <c r="DH64" s="88">
        <f t="shared" si="316"/>
        <v>0</v>
      </c>
      <c r="DI64" s="88">
        <f t="shared" si="316"/>
        <v>0</v>
      </c>
      <c r="DJ64" s="88">
        <f t="shared" si="316"/>
        <v>0</v>
      </c>
      <c r="DK64" s="88">
        <f t="shared" si="316"/>
        <v>0</v>
      </c>
      <c r="DL64" s="88">
        <f t="shared" si="316"/>
        <v>0</v>
      </c>
      <c r="DM64" s="88">
        <f t="shared" si="316"/>
        <v>0</v>
      </c>
      <c r="DN64" s="88">
        <f t="shared" si="316"/>
        <v>0</v>
      </c>
      <c r="DO64" s="88">
        <f t="shared" si="316"/>
        <v>0</v>
      </c>
      <c r="DP64" s="88">
        <f t="shared" si="316"/>
        <v>0</v>
      </c>
      <c r="DQ64" s="88">
        <f t="shared" si="316"/>
        <v>0</v>
      </c>
      <c r="DR64" s="88">
        <f t="shared" si="316"/>
        <v>0</v>
      </c>
      <c r="DS64" s="88">
        <f t="shared" si="316"/>
        <v>0</v>
      </c>
      <c r="DT64" s="88">
        <f t="shared" si="316"/>
        <v>0</v>
      </c>
      <c r="DU64" s="88">
        <f t="shared" si="316"/>
        <v>0</v>
      </c>
      <c r="DV64" s="88">
        <f t="shared" ref="DV64:EY64" si="317">0</f>
        <v>0</v>
      </c>
      <c r="DW64" s="88">
        <f t="shared" si="317"/>
        <v>0</v>
      </c>
      <c r="DX64" s="88">
        <f t="shared" si="317"/>
        <v>0</v>
      </c>
      <c r="DY64" s="88">
        <f t="shared" si="317"/>
        <v>0</v>
      </c>
      <c r="DZ64" s="88">
        <f t="shared" si="317"/>
        <v>0</v>
      </c>
      <c r="EA64" s="88">
        <f t="shared" si="317"/>
        <v>0</v>
      </c>
      <c r="EB64" s="88">
        <f t="shared" si="317"/>
        <v>0</v>
      </c>
      <c r="EC64" s="88">
        <f t="shared" si="317"/>
        <v>0</v>
      </c>
      <c r="ED64" s="88">
        <f t="shared" si="317"/>
        <v>0</v>
      </c>
      <c r="EE64" s="88">
        <f t="shared" si="317"/>
        <v>0</v>
      </c>
      <c r="EF64" s="88">
        <f t="shared" si="317"/>
        <v>0</v>
      </c>
      <c r="EG64" s="88">
        <f t="shared" si="317"/>
        <v>0</v>
      </c>
      <c r="EH64" s="88">
        <f t="shared" si="317"/>
        <v>0</v>
      </c>
      <c r="EI64" s="88">
        <f t="shared" si="317"/>
        <v>0</v>
      </c>
      <c r="EJ64" s="88">
        <f t="shared" si="317"/>
        <v>0</v>
      </c>
      <c r="EK64" s="88">
        <f t="shared" si="317"/>
        <v>0</v>
      </c>
      <c r="EL64" s="88">
        <f t="shared" si="317"/>
        <v>0</v>
      </c>
      <c r="EM64" s="88">
        <f t="shared" si="317"/>
        <v>0</v>
      </c>
      <c r="EN64" s="88">
        <f t="shared" si="317"/>
        <v>0</v>
      </c>
      <c r="EO64" s="88">
        <f t="shared" si="317"/>
        <v>0</v>
      </c>
      <c r="EP64" s="88">
        <f t="shared" si="317"/>
        <v>0</v>
      </c>
      <c r="EQ64" s="88">
        <f t="shared" si="317"/>
        <v>0</v>
      </c>
      <c r="ER64" s="88">
        <f t="shared" si="317"/>
        <v>0</v>
      </c>
      <c r="ES64" s="88">
        <f t="shared" si="317"/>
        <v>0</v>
      </c>
      <c r="ET64" s="88">
        <f t="shared" si="317"/>
        <v>0</v>
      </c>
      <c r="EU64" s="88">
        <f t="shared" si="317"/>
        <v>0</v>
      </c>
      <c r="EV64" s="88">
        <f t="shared" si="317"/>
        <v>0</v>
      </c>
      <c r="EW64" s="88">
        <f t="shared" si="317"/>
        <v>0</v>
      </c>
      <c r="EX64" s="88">
        <f t="shared" si="317"/>
        <v>0</v>
      </c>
      <c r="EY64" s="88">
        <f t="shared" si="317"/>
        <v>0</v>
      </c>
    </row>
    <row r="65">
      <c r="A65" s="181" t="s">
        <v>241</v>
      </c>
      <c r="B65" s="10">
        <f t="shared" ref="B65:DU65" si="318">0</f>
        <v>0</v>
      </c>
      <c r="C65" s="10">
        <f t="shared" si="318"/>
        <v>0</v>
      </c>
      <c r="D65" s="10">
        <f t="shared" si="318"/>
        <v>0</v>
      </c>
      <c r="E65" s="88">
        <f t="shared" si="318"/>
        <v>0</v>
      </c>
      <c r="F65" s="123">
        <f t="shared" si="318"/>
        <v>0</v>
      </c>
      <c r="G65" s="205">
        <f t="shared" si="318"/>
        <v>0</v>
      </c>
      <c r="H65" s="88">
        <f t="shared" si="318"/>
        <v>0</v>
      </c>
      <c r="I65" s="88">
        <f t="shared" si="318"/>
        <v>0</v>
      </c>
      <c r="J65" s="88">
        <f t="shared" si="318"/>
        <v>0</v>
      </c>
      <c r="K65" s="88">
        <f t="shared" si="318"/>
        <v>0</v>
      </c>
      <c r="L65" s="88">
        <f t="shared" si="318"/>
        <v>0</v>
      </c>
      <c r="M65" s="88">
        <f t="shared" si="318"/>
        <v>0</v>
      </c>
      <c r="N65" s="88">
        <f t="shared" si="318"/>
        <v>0</v>
      </c>
      <c r="O65" s="88">
        <f t="shared" si="318"/>
        <v>0</v>
      </c>
      <c r="P65" s="88">
        <f t="shared" si="318"/>
        <v>0</v>
      </c>
      <c r="Q65" s="88">
        <f t="shared" si="318"/>
        <v>0</v>
      </c>
      <c r="R65" s="88">
        <f t="shared" si="318"/>
        <v>0</v>
      </c>
      <c r="S65" s="88">
        <f t="shared" si="318"/>
        <v>0</v>
      </c>
      <c r="T65" s="88">
        <f t="shared" si="318"/>
        <v>0</v>
      </c>
      <c r="U65" s="88">
        <f t="shared" si="318"/>
        <v>0</v>
      </c>
      <c r="V65" s="88">
        <f t="shared" si="318"/>
        <v>0</v>
      </c>
      <c r="W65" s="88">
        <f t="shared" si="318"/>
        <v>0</v>
      </c>
      <c r="X65" s="88">
        <f t="shared" si="318"/>
        <v>0</v>
      </c>
      <c r="Y65" s="88">
        <f t="shared" si="318"/>
        <v>0</v>
      </c>
      <c r="Z65" s="88">
        <f t="shared" si="318"/>
        <v>0</v>
      </c>
      <c r="AA65" s="88">
        <f t="shared" si="318"/>
        <v>0</v>
      </c>
      <c r="AB65" s="88">
        <f t="shared" si="318"/>
        <v>0</v>
      </c>
      <c r="AC65" s="88">
        <f t="shared" si="318"/>
        <v>0</v>
      </c>
      <c r="AD65" s="88">
        <f t="shared" si="318"/>
        <v>0</v>
      </c>
      <c r="AE65" s="88">
        <f t="shared" si="318"/>
        <v>0</v>
      </c>
      <c r="AF65" s="88">
        <f t="shared" si="318"/>
        <v>0</v>
      </c>
      <c r="AG65" s="88">
        <f t="shared" si="318"/>
        <v>0</v>
      </c>
      <c r="AH65" s="88">
        <f t="shared" si="318"/>
        <v>0</v>
      </c>
      <c r="AI65" s="88">
        <f t="shared" si="318"/>
        <v>0</v>
      </c>
      <c r="AJ65" s="88">
        <f t="shared" si="318"/>
        <v>0</v>
      </c>
      <c r="AK65" s="88">
        <f t="shared" si="318"/>
        <v>0</v>
      </c>
      <c r="AL65" s="88">
        <f t="shared" si="318"/>
        <v>0</v>
      </c>
      <c r="AM65" s="88">
        <f t="shared" si="318"/>
        <v>0</v>
      </c>
      <c r="AN65" s="88">
        <f t="shared" si="318"/>
        <v>0</v>
      </c>
      <c r="AO65" s="88">
        <f t="shared" si="318"/>
        <v>0</v>
      </c>
      <c r="AP65" s="88">
        <f t="shared" si="318"/>
        <v>0</v>
      </c>
      <c r="AQ65" s="88">
        <f t="shared" si="318"/>
        <v>0</v>
      </c>
      <c r="AR65" s="88">
        <f t="shared" si="318"/>
        <v>0</v>
      </c>
      <c r="AS65" s="88">
        <f t="shared" si="318"/>
        <v>0</v>
      </c>
      <c r="AT65" s="88">
        <f t="shared" si="318"/>
        <v>0</v>
      </c>
      <c r="AU65" s="88">
        <f t="shared" si="318"/>
        <v>0</v>
      </c>
      <c r="AV65" s="88">
        <f t="shared" si="318"/>
        <v>0</v>
      </c>
      <c r="AW65" s="88">
        <f t="shared" si="318"/>
        <v>0</v>
      </c>
      <c r="AX65" s="88">
        <f t="shared" si="318"/>
        <v>0</v>
      </c>
      <c r="AY65" s="88">
        <f t="shared" si="318"/>
        <v>0</v>
      </c>
      <c r="AZ65" s="88">
        <f t="shared" si="318"/>
        <v>0</v>
      </c>
      <c r="BA65" s="88">
        <f t="shared" si="318"/>
        <v>0</v>
      </c>
      <c r="BB65" s="88">
        <f t="shared" si="318"/>
        <v>0</v>
      </c>
      <c r="BC65" s="88">
        <f t="shared" si="318"/>
        <v>0</v>
      </c>
      <c r="BD65" s="88">
        <f t="shared" si="318"/>
        <v>0</v>
      </c>
      <c r="BE65" s="88">
        <f t="shared" si="318"/>
        <v>0</v>
      </c>
      <c r="BF65" s="88">
        <f t="shared" si="318"/>
        <v>0</v>
      </c>
      <c r="BG65" s="88">
        <f t="shared" si="318"/>
        <v>0</v>
      </c>
      <c r="BH65" s="88">
        <f t="shared" si="318"/>
        <v>0</v>
      </c>
      <c r="BI65" s="88">
        <f t="shared" si="318"/>
        <v>0</v>
      </c>
      <c r="BJ65" s="88">
        <f t="shared" si="318"/>
        <v>0</v>
      </c>
      <c r="BK65" s="88">
        <f t="shared" si="318"/>
        <v>0</v>
      </c>
      <c r="BL65" s="88">
        <f t="shared" si="318"/>
        <v>0</v>
      </c>
      <c r="BM65" s="88">
        <f t="shared" si="318"/>
        <v>0</v>
      </c>
      <c r="BN65" s="88">
        <f t="shared" si="318"/>
        <v>0</v>
      </c>
      <c r="BO65" s="88">
        <f t="shared" si="318"/>
        <v>0</v>
      </c>
      <c r="BP65" s="88">
        <f t="shared" si="318"/>
        <v>0</v>
      </c>
      <c r="BQ65" s="88">
        <f t="shared" si="318"/>
        <v>0</v>
      </c>
      <c r="BR65" s="88">
        <f t="shared" si="318"/>
        <v>0</v>
      </c>
      <c r="BS65" s="88">
        <f t="shared" si="318"/>
        <v>0</v>
      </c>
      <c r="BT65" s="88">
        <f t="shared" si="318"/>
        <v>0</v>
      </c>
      <c r="BU65" s="88">
        <f t="shared" si="318"/>
        <v>0</v>
      </c>
      <c r="BV65" s="88">
        <f t="shared" si="318"/>
        <v>0</v>
      </c>
      <c r="BW65" s="88">
        <f t="shared" si="318"/>
        <v>0</v>
      </c>
      <c r="BX65" s="88">
        <f t="shared" si="318"/>
        <v>0</v>
      </c>
      <c r="BY65" s="88">
        <f t="shared" si="318"/>
        <v>0</v>
      </c>
      <c r="BZ65" s="88">
        <f t="shared" si="318"/>
        <v>0</v>
      </c>
      <c r="CA65" s="88">
        <f t="shared" si="318"/>
        <v>0</v>
      </c>
      <c r="CB65" s="88">
        <f t="shared" si="318"/>
        <v>0</v>
      </c>
      <c r="CC65" s="88">
        <f t="shared" si="318"/>
        <v>0</v>
      </c>
      <c r="CD65" s="88">
        <f t="shared" si="318"/>
        <v>0</v>
      </c>
      <c r="CE65" s="88">
        <f t="shared" si="318"/>
        <v>0</v>
      </c>
      <c r="CF65" s="88">
        <f t="shared" si="318"/>
        <v>0</v>
      </c>
      <c r="CG65" s="88">
        <f t="shared" si="318"/>
        <v>0</v>
      </c>
      <c r="CH65" s="88">
        <f t="shared" si="318"/>
        <v>0</v>
      </c>
      <c r="CI65" s="88">
        <f t="shared" si="318"/>
        <v>0</v>
      </c>
      <c r="CJ65" s="88">
        <f t="shared" si="318"/>
        <v>0</v>
      </c>
      <c r="CK65" s="88">
        <f t="shared" si="318"/>
        <v>0</v>
      </c>
      <c r="CL65" s="88">
        <f t="shared" si="318"/>
        <v>0</v>
      </c>
      <c r="CM65" s="88">
        <f t="shared" si="318"/>
        <v>0</v>
      </c>
      <c r="CN65" s="88">
        <f t="shared" si="318"/>
        <v>0</v>
      </c>
      <c r="CO65" s="88">
        <f t="shared" si="318"/>
        <v>0</v>
      </c>
      <c r="CP65" s="88">
        <f t="shared" si="318"/>
        <v>0</v>
      </c>
      <c r="CQ65" s="88">
        <f t="shared" si="318"/>
        <v>0</v>
      </c>
      <c r="CR65" s="88">
        <f t="shared" si="318"/>
        <v>0</v>
      </c>
      <c r="CS65" s="88">
        <f t="shared" si="318"/>
        <v>0</v>
      </c>
      <c r="CT65" s="88">
        <f t="shared" si="318"/>
        <v>0</v>
      </c>
      <c r="CU65" s="88">
        <f t="shared" si="318"/>
        <v>0</v>
      </c>
      <c r="CV65" s="88">
        <f t="shared" si="318"/>
        <v>0</v>
      </c>
      <c r="CW65" s="88">
        <f t="shared" si="318"/>
        <v>0</v>
      </c>
      <c r="CX65" s="88">
        <f t="shared" si="318"/>
        <v>0</v>
      </c>
      <c r="CY65" s="88">
        <f t="shared" si="318"/>
        <v>0</v>
      </c>
      <c r="CZ65" s="88">
        <f t="shared" si="318"/>
        <v>0</v>
      </c>
      <c r="DA65" s="88">
        <f t="shared" si="318"/>
        <v>0</v>
      </c>
      <c r="DB65" s="88">
        <f t="shared" si="318"/>
        <v>0</v>
      </c>
      <c r="DC65" s="88">
        <f t="shared" si="318"/>
        <v>0</v>
      </c>
      <c r="DD65" s="88">
        <f t="shared" si="318"/>
        <v>0</v>
      </c>
      <c r="DE65" s="88">
        <f t="shared" si="318"/>
        <v>0</v>
      </c>
      <c r="DF65" s="88">
        <f t="shared" si="318"/>
        <v>0</v>
      </c>
      <c r="DG65" s="88">
        <f t="shared" si="318"/>
        <v>0</v>
      </c>
      <c r="DH65" s="88">
        <f t="shared" si="318"/>
        <v>0</v>
      </c>
      <c r="DI65" s="88">
        <f t="shared" si="318"/>
        <v>0</v>
      </c>
      <c r="DJ65" s="88">
        <f t="shared" si="318"/>
        <v>0</v>
      </c>
      <c r="DK65" s="88">
        <f t="shared" si="318"/>
        <v>0</v>
      </c>
      <c r="DL65" s="88">
        <f t="shared" si="318"/>
        <v>0</v>
      </c>
      <c r="DM65" s="88">
        <f t="shared" si="318"/>
        <v>0</v>
      </c>
      <c r="DN65" s="88">
        <f t="shared" si="318"/>
        <v>0</v>
      </c>
      <c r="DO65" s="88">
        <f t="shared" si="318"/>
        <v>0</v>
      </c>
      <c r="DP65" s="88">
        <f t="shared" si="318"/>
        <v>0</v>
      </c>
      <c r="DQ65" s="88">
        <f t="shared" si="318"/>
        <v>0</v>
      </c>
      <c r="DR65" s="88">
        <f t="shared" si="318"/>
        <v>0</v>
      </c>
      <c r="DS65" s="88">
        <f t="shared" si="318"/>
        <v>0</v>
      </c>
      <c r="DT65" s="88">
        <f t="shared" si="318"/>
        <v>0</v>
      </c>
      <c r="DU65" s="88">
        <f t="shared" si="318"/>
        <v>0</v>
      </c>
      <c r="DV65" s="88">
        <f t="shared" ref="DV65:EY65" si="319">0</f>
        <v>0</v>
      </c>
      <c r="DW65" s="88">
        <f t="shared" si="319"/>
        <v>0</v>
      </c>
      <c r="DX65" s="88">
        <f t="shared" si="319"/>
        <v>0</v>
      </c>
      <c r="DY65" s="88">
        <f t="shared" si="319"/>
        <v>0</v>
      </c>
      <c r="DZ65" s="88">
        <f t="shared" si="319"/>
        <v>0</v>
      </c>
      <c r="EA65" s="88">
        <f t="shared" si="319"/>
        <v>0</v>
      </c>
      <c r="EB65" s="88">
        <f t="shared" si="319"/>
        <v>0</v>
      </c>
      <c r="EC65" s="88">
        <f t="shared" si="319"/>
        <v>0</v>
      </c>
      <c r="ED65" s="88">
        <f t="shared" si="319"/>
        <v>0</v>
      </c>
      <c r="EE65" s="88">
        <f t="shared" si="319"/>
        <v>0</v>
      </c>
      <c r="EF65" s="88">
        <f t="shared" si="319"/>
        <v>0</v>
      </c>
      <c r="EG65" s="88">
        <f t="shared" si="319"/>
        <v>0</v>
      </c>
      <c r="EH65" s="88">
        <f t="shared" si="319"/>
        <v>0</v>
      </c>
      <c r="EI65" s="88">
        <f t="shared" si="319"/>
        <v>0</v>
      </c>
      <c r="EJ65" s="88">
        <f t="shared" si="319"/>
        <v>0</v>
      </c>
      <c r="EK65" s="88">
        <f t="shared" si="319"/>
        <v>0</v>
      </c>
      <c r="EL65" s="88">
        <f t="shared" si="319"/>
        <v>0</v>
      </c>
      <c r="EM65" s="88">
        <f t="shared" si="319"/>
        <v>0</v>
      </c>
      <c r="EN65" s="88">
        <f t="shared" si="319"/>
        <v>0</v>
      </c>
      <c r="EO65" s="88">
        <f t="shared" si="319"/>
        <v>0</v>
      </c>
      <c r="EP65" s="88">
        <f t="shared" si="319"/>
        <v>0</v>
      </c>
      <c r="EQ65" s="88">
        <f t="shared" si="319"/>
        <v>0</v>
      </c>
      <c r="ER65" s="88">
        <f t="shared" si="319"/>
        <v>0</v>
      </c>
      <c r="ES65" s="88">
        <f t="shared" si="319"/>
        <v>0</v>
      </c>
      <c r="ET65" s="88">
        <f t="shared" si="319"/>
        <v>0</v>
      </c>
      <c r="EU65" s="88">
        <f t="shared" si="319"/>
        <v>0</v>
      </c>
      <c r="EV65" s="88">
        <f t="shared" si="319"/>
        <v>0</v>
      </c>
      <c r="EW65" s="88">
        <f t="shared" si="319"/>
        <v>0</v>
      </c>
      <c r="EX65" s="88">
        <f t="shared" si="319"/>
        <v>0</v>
      </c>
      <c r="EY65" s="88">
        <f t="shared" si="319"/>
        <v>0</v>
      </c>
    </row>
    <row r="66">
      <c r="A66" s="181" t="s">
        <v>242</v>
      </c>
      <c r="B66" s="10">
        <f t="shared" ref="B66:DU66" si="320">0</f>
        <v>0</v>
      </c>
      <c r="C66" s="10">
        <f t="shared" si="320"/>
        <v>0</v>
      </c>
      <c r="D66" s="10">
        <f t="shared" si="320"/>
        <v>0</v>
      </c>
      <c r="E66" s="88">
        <f t="shared" si="320"/>
        <v>0</v>
      </c>
      <c r="F66" s="123">
        <f t="shared" si="320"/>
        <v>0</v>
      </c>
      <c r="G66" s="205">
        <f t="shared" si="320"/>
        <v>0</v>
      </c>
      <c r="H66" s="88">
        <f t="shared" si="320"/>
        <v>0</v>
      </c>
      <c r="I66" s="88">
        <f t="shared" si="320"/>
        <v>0</v>
      </c>
      <c r="J66" s="88">
        <f t="shared" si="320"/>
        <v>0</v>
      </c>
      <c r="K66" s="88">
        <f t="shared" si="320"/>
        <v>0</v>
      </c>
      <c r="L66" s="88">
        <f t="shared" si="320"/>
        <v>0</v>
      </c>
      <c r="M66" s="88">
        <f t="shared" si="320"/>
        <v>0</v>
      </c>
      <c r="N66" s="88">
        <f t="shared" si="320"/>
        <v>0</v>
      </c>
      <c r="O66" s="88">
        <f t="shared" si="320"/>
        <v>0</v>
      </c>
      <c r="P66" s="88">
        <f t="shared" si="320"/>
        <v>0</v>
      </c>
      <c r="Q66" s="88">
        <f t="shared" si="320"/>
        <v>0</v>
      </c>
      <c r="R66" s="88">
        <f t="shared" si="320"/>
        <v>0</v>
      </c>
      <c r="S66" s="88">
        <f t="shared" si="320"/>
        <v>0</v>
      </c>
      <c r="T66" s="88">
        <f t="shared" si="320"/>
        <v>0</v>
      </c>
      <c r="U66" s="88">
        <f t="shared" si="320"/>
        <v>0</v>
      </c>
      <c r="V66" s="88">
        <f t="shared" si="320"/>
        <v>0</v>
      </c>
      <c r="W66" s="88">
        <f t="shared" si="320"/>
        <v>0</v>
      </c>
      <c r="X66" s="88">
        <f t="shared" si="320"/>
        <v>0</v>
      </c>
      <c r="Y66" s="88">
        <f t="shared" si="320"/>
        <v>0</v>
      </c>
      <c r="Z66" s="88">
        <f t="shared" si="320"/>
        <v>0</v>
      </c>
      <c r="AA66" s="88">
        <f t="shared" si="320"/>
        <v>0</v>
      </c>
      <c r="AB66" s="88">
        <f t="shared" si="320"/>
        <v>0</v>
      </c>
      <c r="AC66" s="88">
        <f t="shared" si="320"/>
        <v>0</v>
      </c>
      <c r="AD66" s="88">
        <f t="shared" si="320"/>
        <v>0</v>
      </c>
      <c r="AE66" s="88">
        <f t="shared" si="320"/>
        <v>0</v>
      </c>
      <c r="AF66" s="88">
        <f t="shared" si="320"/>
        <v>0</v>
      </c>
      <c r="AG66" s="88">
        <f t="shared" si="320"/>
        <v>0</v>
      </c>
      <c r="AH66" s="88">
        <f t="shared" si="320"/>
        <v>0</v>
      </c>
      <c r="AI66" s="88">
        <f t="shared" si="320"/>
        <v>0</v>
      </c>
      <c r="AJ66" s="88">
        <f t="shared" si="320"/>
        <v>0</v>
      </c>
      <c r="AK66" s="88">
        <f t="shared" si="320"/>
        <v>0</v>
      </c>
      <c r="AL66" s="88">
        <f t="shared" si="320"/>
        <v>0</v>
      </c>
      <c r="AM66" s="88">
        <f t="shared" si="320"/>
        <v>0</v>
      </c>
      <c r="AN66" s="88">
        <f t="shared" si="320"/>
        <v>0</v>
      </c>
      <c r="AO66" s="88">
        <f t="shared" si="320"/>
        <v>0</v>
      </c>
      <c r="AP66" s="88">
        <f t="shared" si="320"/>
        <v>0</v>
      </c>
      <c r="AQ66" s="88">
        <f t="shared" si="320"/>
        <v>0</v>
      </c>
      <c r="AR66" s="88">
        <f t="shared" si="320"/>
        <v>0</v>
      </c>
      <c r="AS66" s="88">
        <f t="shared" si="320"/>
        <v>0</v>
      </c>
      <c r="AT66" s="88">
        <f t="shared" si="320"/>
        <v>0</v>
      </c>
      <c r="AU66" s="88">
        <f t="shared" si="320"/>
        <v>0</v>
      </c>
      <c r="AV66" s="88">
        <f t="shared" si="320"/>
        <v>0</v>
      </c>
      <c r="AW66" s="88">
        <f t="shared" si="320"/>
        <v>0</v>
      </c>
      <c r="AX66" s="88">
        <f t="shared" si="320"/>
        <v>0</v>
      </c>
      <c r="AY66" s="88">
        <f t="shared" si="320"/>
        <v>0</v>
      </c>
      <c r="AZ66" s="88">
        <f t="shared" si="320"/>
        <v>0</v>
      </c>
      <c r="BA66" s="88">
        <f t="shared" si="320"/>
        <v>0</v>
      </c>
      <c r="BB66" s="88">
        <f t="shared" si="320"/>
        <v>0</v>
      </c>
      <c r="BC66" s="88">
        <f t="shared" si="320"/>
        <v>0</v>
      </c>
      <c r="BD66" s="88">
        <f t="shared" si="320"/>
        <v>0</v>
      </c>
      <c r="BE66" s="88">
        <f t="shared" si="320"/>
        <v>0</v>
      </c>
      <c r="BF66" s="88">
        <f t="shared" si="320"/>
        <v>0</v>
      </c>
      <c r="BG66" s="88">
        <f t="shared" si="320"/>
        <v>0</v>
      </c>
      <c r="BH66" s="88">
        <f t="shared" si="320"/>
        <v>0</v>
      </c>
      <c r="BI66" s="88">
        <f t="shared" si="320"/>
        <v>0</v>
      </c>
      <c r="BJ66" s="88">
        <f t="shared" si="320"/>
        <v>0</v>
      </c>
      <c r="BK66" s="88">
        <f t="shared" si="320"/>
        <v>0</v>
      </c>
      <c r="BL66" s="88">
        <f t="shared" si="320"/>
        <v>0</v>
      </c>
      <c r="BM66" s="88">
        <f t="shared" si="320"/>
        <v>0</v>
      </c>
      <c r="BN66" s="88">
        <f t="shared" si="320"/>
        <v>0</v>
      </c>
      <c r="BO66" s="88">
        <f t="shared" si="320"/>
        <v>0</v>
      </c>
      <c r="BP66" s="88">
        <f t="shared" si="320"/>
        <v>0</v>
      </c>
      <c r="BQ66" s="88">
        <f t="shared" si="320"/>
        <v>0</v>
      </c>
      <c r="BR66" s="88">
        <f t="shared" si="320"/>
        <v>0</v>
      </c>
      <c r="BS66" s="88">
        <f t="shared" si="320"/>
        <v>0</v>
      </c>
      <c r="BT66" s="88">
        <f t="shared" si="320"/>
        <v>0</v>
      </c>
      <c r="BU66" s="88">
        <f t="shared" si="320"/>
        <v>0</v>
      </c>
      <c r="BV66" s="88">
        <f t="shared" si="320"/>
        <v>0</v>
      </c>
      <c r="BW66" s="88">
        <f t="shared" si="320"/>
        <v>0</v>
      </c>
      <c r="BX66" s="88">
        <f t="shared" si="320"/>
        <v>0</v>
      </c>
      <c r="BY66" s="88">
        <f t="shared" si="320"/>
        <v>0</v>
      </c>
      <c r="BZ66" s="88">
        <f t="shared" si="320"/>
        <v>0</v>
      </c>
      <c r="CA66" s="88">
        <f t="shared" si="320"/>
        <v>0</v>
      </c>
      <c r="CB66" s="88">
        <f t="shared" si="320"/>
        <v>0</v>
      </c>
      <c r="CC66" s="88">
        <f t="shared" si="320"/>
        <v>0</v>
      </c>
      <c r="CD66" s="88">
        <f t="shared" si="320"/>
        <v>0</v>
      </c>
      <c r="CE66" s="88">
        <f t="shared" si="320"/>
        <v>0</v>
      </c>
      <c r="CF66" s="88">
        <f t="shared" si="320"/>
        <v>0</v>
      </c>
      <c r="CG66" s="88">
        <f t="shared" si="320"/>
        <v>0</v>
      </c>
      <c r="CH66" s="88">
        <f t="shared" si="320"/>
        <v>0</v>
      </c>
      <c r="CI66" s="88">
        <f t="shared" si="320"/>
        <v>0</v>
      </c>
      <c r="CJ66" s="88">
        <f t="shared" si="320"/>
        <v>0</v>
      </c>
      <c r="CK66" s="88">
        <f t="shared" si="320"/>
        <v>0</v>
      </c>
      <c r="CL66" s="88">
        <f t="shared" si="320"/>
        <v>0</v>
      </c>
      <c r="CM66" s="88">
        <f t="shared" si="320"/>
        <v>0</v>
      </c>
      <c r="CN66" s="88">
        <f t="shared" si="320"/>
        <v>0</v>
      </c>
      <c r="CO66" s="88">
        <f t="shared" si="320"/>
        <v>0</v>
      </c>
      <c r="CP66" s="88">
        <f t="shared" si="320"/>
        <v>0</v>
      </c>
      <c r="CQ66" s="88">
        <f t="shared" si="320"/>
        <v>0</v>
      </c>
      <c r="CR66" s="88">
        <f t="shared" si="320"/>
        <v>0</v>
      </c>
      <c r="CS66" s="88">
        <f t="shared" si="320"/>
        <v>0</v>
      </c>
      <c r="CT66" s="88">
        <f t="shared" si="320"/>
        <v>0</v>
      </c>
      <c r="CU66" s="88">
        <f t="shared" si="320"/>
        <v>0</v>
      </c>
      <c r="CV66" s="88">
        <f t="shared" si="320"/>
        <v>0</v>
      </c>
      <c r="CW66" s="88">
        <f t="shared" si="320"/>
        <v>0</v>
      </c>
      <c r="CX66" s="88">
        <f t="shared" si="320"/>
        <v>0</v>
      </c>
      <c r="CY66" s="88">
        <f t="shared" si="320"/>
        <v>0</v>
      </c>
      <c r="CZ66" s="88">
        <f t="shared" si="320"/>
        <v>0</v>
      </c>
      <c r="DA66" s="88">
        <f t="shared" si="320"/>
        <v>0</v>
      </c>
      <c r="DB66" s="88">
        <f t="shared" si="320"/>
        <v>0</v>
      </c>
      <c r="DC66" s="88">
        <f t="shared" si="320"/>
        <v>0</v>
      </c>
      <c r="DD66" s="88">
        <f t="shared" si="320"/>
        <v>0</v>
      </c>
      <c r="DE66" s="88">
        <f t="shared" si="320"/>
        <v>0</v>
      </c>
      <c r="DF66" s="88">
        <f t="shared" si="320"/>
        <v>0</v>
      </c>
      <c r="DG66" s="88">
        <f t="shared" si="320"/>
        <v>0</v>
      </c>
      <c r="DH66" s="88">
        <f t="shared" si="320"/>
        <v>0</v>
      </c>
      <c r="DI66" s="88">
        <f t="shared" si="320"/>
        <v>0</v>
      </c>
      <c r="DJ66" s="88">
        <f t="shared" si="320"/>
        <v>0</v>
      </c>
      <c r="DK66" s="88">
        <f t="shared" si="320"/>
        <v>0</v>
      </c>
      <c r="DL66" s="88">
        <f t="shared" si="320"/>
        <v>0</v>
      </c>
      <c r="DM66" s="88">
        <f t="shared" si="320"/>
        <v>0</v>
      </c>
      <c r="DN66" s="88">
        <f t="shared" si="320"/>
        <v>0</v>
      </c>
      <c r="DO66" s="88">
        <f t="shared" si="320"/>
        <v>0</v>
      </c>
      <c r="DP66" s="88">
        <f t="shared" si="320"/>
        <v>0</v>
      </c>
      <c r="DQ66" s="88">
        <f t="shared" si="320"/>
        <v>0</v>
      </c>
      <c r="DR66" s="88">
        <f t="shared" si="320"/>
        <v>0</v>
      </c>
      <c r="DS66" s="88">
        <f t="shared" si="320"/>
        <v>0</v>
      </c>
      <c r="DT66" s="88">
        <f t="shared" si="320"/>
        <v>0</v>
      </c>
      <c r="DU66" s="88">
        <f t="shared" si="320"/>
        <v>0</v>
      </c>
      <c r="DV66" s="88">
        <f t="shared" ref="DV66:EY66" si="321">0</f>
        <v>0</v>
      </c>
      <c r="DW66" s="88">
        <f t="shared" si="321"/>
        <v>0</v>
      </c>
      <c r="DX66" s="88">
        <f t="shared" si="321"/>
        <v>0</v>
      </c>
      <c r="DY66" s="88">
        <f t="shared" si="321"/>
        <v>0</v>
      </c>
      <c r="DZ66" s="88">
        <f t="shared" si="321"/>
        <v>0</v>
      </c>
      <c r="EA66" s="88">
        <f t="shared" si="321"/>
        <v>0</v>
      </c>
      <c r="EB66" s="88">
        <f t="shared" si="321"/>
        <v>0</v>
      </c>
      <c r="EC66" s="88">
        <f t="shared" si="321"/>
        <v>0</v>
      </c>
      <c r="ED66" s="88">
        <f t="shared" si="321"/>
        <v>0</v>
      </c>
      <c r="EE66" s="88">
        <f t="shared" si="321"/>
        <v>0</v>
      </c>
      <c r="EF66" s="88">
        <f t="shared" si="321"/>
        <v>0</v>
      </c>
      <c r="EG66" s="88">
        <f t="shared" si="321"/>
        <v>0</v>
      </c>
      <c r="EH66" s="88">
        <f t="shared" si="321"/>
        <v>0</v>
      </c>
      <c r="EI66" s="88">
        <f t="shared" si="321"/>
        <v>0</v>
      </c>
      <c r="EJ66" s="88">
        <f t="shared" si="321"/>
        <v>0</v>
      </c>
      <c r="EK66" s="88">
        <f t="shared" si="321"/>
        <v>0</v>
      </c>
      <c r="EL66" s="88">
        <f t="shared" si="321"/>
        <v>0</v>
      </c>
      <c r="EM66" s="88">
        <f t="shared" si="321"/>
        <v>0</v>
      </c>
      <c r="EN66" s="88">
        <f t="shared" si="321"/>
        <v>0</v>
      </c>
      <c r="EO66" s="88">
        <f t="shared" si="321"/>
        <v>0</v>
      </c>
      <c r="EP66" s="88">
        <f t="shared" si="321"/>
        <v>0</v>
      </c>
      <c r="EQ66" s="88">
        <f t="shared" si="321"/>
        <v>0</v>
      </c>
      <c r="ER66" s="88">
        <f t="shared" si="321"/>
        <v>0</v>
      </c>
      <c r="ES66" s="88">
        <f t="shared" si="321"/>
        <v>0</v>
      </c>
      <c r="ET66" s="88">
        <f t="shared" si="321"/>
        <v>0</v>
      </c>
      <c r="EU66" s="88">
        <f t="shared" si="321"/>
        <v>0</v>
      </c>
      <c r="EV66" s="88">
        <f t="shared" si="321"/>
        <v>0</v>
      </c>
      <c r="EW66" s="88">
        <f t="shared" si="321"/>
        <v>0</v>
      </c>
      <c r="EX66" s="88">
        <f t="shared" si="321"/>
        <v>0</v>
      </c>
      <c r="EY66" s="88">
        <f t="shared" si="321"/>
        <v>0</v>
      </c>
    </row>
    <row r="67">
      <c r="A67" s="181" t="s">
        <v>243</v>
      </c>
      <c r="B67" s="10">
        <f t="shared" ref="B67:DU67" si="322">0</f>
        <v>0</v>
      </c>
      <c r="C67" s="10">
        <f t="shared" si="322"/>
        <v>0</v>
      </c>
      <c r="D67" s="10">
        <f t="shared" si="322"/>
        <v>0</v>
      </c>
      <c r="E67" s="88">
        <f t="shared" si="322"/>
        <v>0</v>
      </c>
      <c r="F67" s="123">
        <f t="shared" si="322"/>
        <v>0</v>
      </c>
      <c r="G67" s="205">
        <f t="shared" si="322"/>
        <v>0</v>
      </c>
      <c r="H67" s="88">
        <f t="shared" si="322"/>
        <v>0</v>
      </c>
      <c r="I67" s="88">
        <f t="shared" si="322"/>
        <v>0</v>
      </c>
      <c r="J67" s="88">
        <f t="shared" si="322"/>
        <v>0</v>
      </c>
      <c r="K67" s="88">
        <f t="shared" si="322"/>
        <v>0</v>
      </c>
      <c r="L67" s="88">
        <f t="shared" si="322"/>
        <v>0</v>
      </c>
      <c r="M67" s="88">
        <f t="shared" si="322"/>
        <v>0</v>
      </c>
      <c r="N67" s="88">
        <f t="shared" si="322"/>
        <v>0</v>
      </c>
      <c r="O67" s="88">
        <f t="shared" si="322"/>
        <v>0</v>
      </c>
      <c r="P67" s="88">
        <f t="shared" si="322"/>
        <v>0</v>
      </c>
      <c r="Q67" s="88">
        <f t="shared" si="322"/>
        <v>0</v>
      </c>
      <c r="R67" s="88">
        <f t="shared" si="322"/>
        <v>0</v>
      </c>
      <c r="S67" s="88">
        <f t="shared" si="322"/>
        <v>0</v>
      </c>
      <c r="T67" s="88">
        <f t="shared" si="322"/>
        <v>0</v>
      </c>
      <c r="U67" s="88">
        <f t="shared" si="322"/>
        <v>0</v>
      </c>
      <c r="V67" s="88">
        <f t="shared" si="322"/>
        <v>0</v>
      </c>
      <c r="W67" s="88">
        <f t="shared" si="322"/>
        <v>0</v>
      </c>
      <c r="X67" s="88">
        <f t="shared" si="322"/>
        <v>0</v>
      </c>
      <c r="Y67" s="88">
        <f t="shared" si="322"/>
        <v>0</v>
      </c>
      <c r="Z67" s="88">
        <f t="shared" si="322"/>
        <v>0</v>
      </c>
      <c r="AA67" s="88">
        <f t="shared" si="322"/>
        <v>0</v>
      </c>
      <c r="AB67" s="88">
        <f t="shared" si="322"/>
        <v>0</v>
      </c>
      <c r="AC67" s="88">
        <f t="shared" si="322"/>
        <v>0</v>
      </c>
      <c r="AD67" s="88">
        <f t="shared" si="322"/>
        <v>0</v>
      </c>
      <c r="AE67" s="88">
        <f t="shared" si="322"/>
        <v>0</v>
      </c>
      <c r="AF67" s="88">
        <f t="shared" si="322"/>
        <v>0</v>
      </c>
      <c r="AG67" s="88">
        <f t="shared" si="322"/>
        <v>0</v>
      </c>
      <c r="AH67" s="88">
        <f t="shared" si="322"/>
        <v>0</v>
      </c>
      <c r="AI67" s="88">
        <f t="shared" si="322"/>
        <v>0</v>
      </c>
      <c r="AJ67" s="88">
        <f t="shared" si="322"/>
        <v>0</v>
      </c>
      <c r="AK67" s="88">
        <f t="shared" si="322"/>
        <v>0</v>
      </c>
      <c r="AL67" s="88">
        <f t="shared" si="322"/>
        <v>0</v>
      </c>
      <c r="AM67" s="88">
        <f t="shared" si="322"/>
        <v>0</v>
      </c>
      <c r="AN67" s="88">
        <f t="shared" si="322"/>
        <v>0</v>
      </c>
      <c r="AO67" s="88">
        <f t="shared" si="322"/>
        <v>0</v>
      </c>
      <c r="AP67" s="88">
        <f t="shared" si="322"/>
        <v>0</v>
      </c>
      <c r="AQ67" s="88">
        <f t="shared" si="322"/>
        <v>0</v>
      </c>
      <c r="AR67" s="88">
        <f t="shared" si="322"/>
        <v>0</v>
      </c>
      <c r="AS67" s="88">
        <f t="shared" si="322"/>
        <v>0</v>
      </c>
      <c r="AT67" s="88">
        <f t="shared" si="322"/>
        <v>0</v>
      </c>
      <c r="AU67" s="88">
        <f t="shared" si="322"/>
        <v>0</v>
      </c>
      <c r="AV67" s="88">
        <f t="shared" si="322"/>
        <v>0</v>
      </c>
      <c r="AW67" s="88">
        <f t="shared" si="322"/>
        <v>0</v>
      </c>
      <c r="AX67" s="88">
        <f t="shared" si="322"/>
        <v>0</v>
      </c>
      <c r="AY67" s="88">
        <f t="shared" si="322"/>
        <v>0</v>
      </c>
      <c r="AZ67" s="88">
        <f t="shared" si="322"/>
        <v>0</v>
      </c>
      <c r="BA67" s="88">
        <f t="shared" si="322"/>
        <v>0</v>
      </c>
      <c r="BB67" s="88">
        <f t="shared" si="322"/>
        <v>0</v>
      </c>
      <c r="BC67" s="88">
        <f t="shared" si="322"/>
        <v>0</v>
      </c>
      <c r="BD67" s="88">
        <f t="shared" si="322"/>
        <v>0</v>
      </c>
      <c r="BE67" s="88">
        <f t="shared" si="322"/>
        <v>0</v>
      </c>
      <c r="BF67" s="88">
        <f t="shared" si="322"/>
        <v>0</v>
      </c>
      <c r="BG67" s="88">
        <f t="shared" si="322"/>
        <v>0</v>
      </c>
      <c r="BH67" s="88">
        <f t="shared" si="322"/>
        <v>0</v>
      </c>
      <c r="BI67" s="88">
        <f t="shared" si="322"/>
        <v>0</v>
      </c>
      <c r="BJ67" s="88">
        <f t="shared" si="322"/>
        <v>0</v>
      </c>
      <c r="BK67" s="88">
        <f t="shared" si="322"/>
        <v>0</v>
      </c>
      <c r="BL67" s="88">
        <f t="shared" si="322"/>
        <v>0</v>
      </c>
      <c r="BM67" s="88">
        <f t="shared" si="322"/>
        <v>0</v>
      </c>
      <c r="BN67" s="88">
        <f t="shared" si="322"/>
        <v>0</v>
      </c>
      <c r="BO67" s="88">
        <f t="shared" si="322"/>
        <v>0</v>
      </c>
      <c r="BP67" s="88">
        <f t="shared" si="322"/>
        <v>0</v>
      </c>
      <c r="BQ67" s="88">
        <f t="shared" si="322"/>
        <v>0</v>
      </c>
      <c r="BR67" s="88">
        <f t="shared" si="322"/>
        <v>0</v>
      </c>
      <c r="BS67" s="88">
        <f t="shared" si="322"/>
        <v>0</v>
      </c>
      <c r="BT67" s="88">
        <f t="shared" si="322"/>
        <v>0</v>
      </c>
      <c r="BU67" s="88">
        <f t="shared" si="322"/>
        <v>0</v>
      </c>
      <c r="BV67" s="88">
        <f t="shared" si="322"/>
        <v>0</v>
      </c>
      <c r="BW67" s="88">
        <f t="shared" si="322"/>
        <v>0</v>
      </c>
      <c r="BX67" s="88">
        <f t="shared" si="322"/>
        <v>0</v>
      </c>
      <c r="BY67" s="88">
        <f t="shared" si="322"/>
        <v>0</v>
      </c>
      <c r="BZ67" s="88">
        <f t="shared" si="322"/>
        <v>0</v>
      </c>
      <c r="CA67" s="88">
        <f t="shared" si="322"/>
        <v>0</v>
      </c>
      <c r="CB67" s="88">
        <f t="shared" si="322"/>
        <v>0</v>
      </c>
      <c r="CC67" s="88">
        <f t="shared" si="322"/>
        <v>0</v>
      </c>
      <c r="CD67" s="88">
        <f t="shared" si="322"/>
        <v>0</v>
      </c>
      <c r="CE67" s="88">
        <f t="shared" si="322"/>
        <v>0</v>
      </c>
      <c r="CF67" s="88">
        <f t="shared" si="322"/>
        <v>0</v>
      </c>
      <c r="CG67" s="88">
        <f t="shared" si="322"/>
        <v>0</v>
      </c>
      <c r="CH67" s="88">
        <f t="shared" si="322"/>
        <v>0</v>
      </c>
      <c r="CI67" s="88">
        <f t="shared" si="322"/>
        <v>0</v>
      </c>
      <c r="CJ67" s="88">
        <f t="shared" si="322"/>
        <v>0</v>
      </c>
      <c r="CK67" s="88">
        <f t="shared" si="322"/>
        <v>0</v>
      </c>
      <c r="CL67" s="88">
        <f t="shared" si="322"/>
        <v>0</v>
      </c>
      <c r="CM67" s="88">
        <f t="shared" si="322"/>
        <v>0</v>
      </c>
      <c r="CN67" s="88">
        <f t="shared" si="322"/>
        <v>0</v>
      </c>
      <c r="CO67" s="88">
        <f t="shared" si="322"/>
        <v>0</v>
      </c>
      <c r="CP67" s="88">
        <f t="shared" si="322"/>
        <v>0</v>
      </c>
      <c r="CQ67" s="88">
        <f t="shared" si="322"/>
        <v>0</v>
      </c>
      <c r="CR67" s="88">
        <f t="shared" si="322"/>
        <v>0</v>
      </c>
      <c r="CS67" s="88">
        <f t="shared" si="322"/>
        <v>0</v>
      </c>
      <c r="CT67" s="88">
        <f t="shared" si="322"/>
        <v>0</v>
      </c>
      <c r="CU67" s="88">
        <f t="shared" si="322"/>
        <v>0</v>
      </c>
      <c r="CV67" s="88">
        <f t="shared" si="322"/>
        <v>0</v>
      </c>
      <c r="CW67" s="88">
        <f t="shared" si="322"/>
        <v>0</v>
      </c>
      <c r="CX67" s="88">
        <f t="shared" si="322"/>
        <v>0</v>
      </c>
      <c r="CY67" s="88">
        <f t="shared" si="322"/>
        <v>0</v>
      </c>
      <c r="CZ67" s="88">
        <f t="shared" si="322"/>
        <v>0</v>
      </c>
      <c r="DA67" s="88">
        <f t="shared" si="322"/>
        <v>0</v>
      </c>
      <c r="DB67" s="88">
        <f t="shared" si="322"/>
        <v>0</v>
      </c>
      <c r="DC67" s="88">
        <f t="shared" si="322"/>
        <v>0</v>
      </c>
      <c r="DD67" s="88">
        <f t="shared" si="322"/>
        <v>0</v>
      </c>
      <c r="DE67" s="88">
        <f t="shared" si="322"/>
        <v>0</v>
      </c>
      <c r="DF67" s="88">
        <f t="shared" si="322"/>
        <v>0</v>
      </c>
      <c r="DG67" s="88">
        <f t="shared" si="322"/>
        <v>0</v>
      </c>
      <c r="DH67" s="88">
        <f t="shared" si="322"/>
        <v>0</v>
      </c>
      <c r="DI67" s="88">
        <f t="shared" si="322"/>
        <v>0</v>
      </c>
      <c r="DJ67" s="88">
        <f t="shared" si="322"/>
        <v>0</v>
      </c>
      <c r="DK67" s="88">
        <f t="shared" si="322"/>
        <v>0</v>
      </c>
      <c r="DL67" s="88">
        <f t="shared" si="322"/>
        <v>0</v>
      </c>
      <c r="DM67" s="88">
        <f t="shared" si="322"/>
        <v>0</v>
      </c>
      <c r="DN67" s="88">
        <f t="shared" si="322"/>
        <v>0</v>
      </c>
      <c r="DO67" s="88">
        <f t="shared" si="322"/>
        <v>0</v>
      </c>
      <c r="DP67" s="88">
        <f t="shared" si="322"/>
        <v>0</v>
      </c>
      <c r="DQ67" s="88">
        <f t="shared" si="322"/>
        <v>0</v>
      </c>
      <c r="DR67" s="88">
        <f t="shared" si="322"/>
        <v>0</v>
      </c>
      <c r="DS67" s="88">
        <f t="shared" si="322"/>
        <v>0</v>
      </c>
      <c r="DT67" s="88">
        <f t="shared" si="322"/>
        <v>0</v>
      </c>
      <c r="DU67" s="88">
        <f t="shared" si="322"/>
        <v>0</v>
      </c>
      <c r="DV67" s="88">
        <f t="shared" ref="DV67:EY67" si="323">0</f>
        <v>0</v>
      </c>
      <c r="DW67" s="88">
        <f t="shared" si="323"/>
        <v>0</v>
      </c>
      <c r="DX67" s="88">
        <f t="shared" si="323"/>
        <v>0</v>
      </c>
      <c r="DY67" s="88">
        <f t="shared" si="323"/>
        <v>0</v>
      </c>
      <c r="DZ67" s="88">
        <f t="shared" si="323"/>
        <v>0</v>
      </c>
      <c r="EA67" s="88">
        <f t="shared" si="323"/>
        <v>0</v>
      </c>
      <c r="EB67" s="88">
        <f t="shared" si="323"/>
        <v>0</v>
      </c>
      <c r="EC67" s="88">
        <f t="shared" si="323"/>
        <v>0</v>
      </c>
      <c r="ED67" s="88">
        <f t="shared" si="323"/>
        <v>0</v>
      </c>
      <c r="EE67" s="88">
        <f t="shared" si="323"/>
        <v>0</v>
      </c>
      <c r="EF67" s="88">
        <f t="shared" si="323"/>
        <v>0</v>
      </c>
      <c r="EG67" s="88">
        <f t="shared" si="323"/>
        <v>0</v>
      </c>
      <c r="EH67" s="88">
        <f t="shared" si="323"/>
        <v>0</v>
      </c>
      <c r="EI67" s="88">
        <f t="shared" si="323"/>
        <v>0</v>
      </c>
      <c r="EJ67" s="88">
        <f t="shared" si="323"/>
        <v>0</v>
      </c>
      <c r="EK67" s="88">
        <f t="shared" si="323"/>
        <v>0</v>
      </c>
      <c r="EL67" s="88">
        <f t="shared" si="323"/>
        <v>0</v>
      </c>
      <c r="EM67" s="88">
        <f t="shared" si="323"/>
        <v>0</v>
      </c>
      <c r="EN67" s="88">
        <f t="shared" si="323"/>
        <v>0</v>
      </c>
      <c r="EO67" s="88">
        <f t="shared" si="323"/>
        <v>0</v>
      </c>
      <c r="EP67" s="88">
        <f t="shared" si="323"/>
        <v>0</v>
      </c>
      <c r="EQ67" s="88">
        <f t="shared" si="323"/>
        <v>0</v>
      </c>
      <c r="ER67" s="88">
        <f t="shared" si="323"/>
        <v>0</v>
      </c>
      <c r="ES67" s="88">
        <f t="shared" si="323"/>
        <v>0</v>
      </c>
      <c r="ET67" s="88">
        <f t="shared" si="323"/>
        <v>0</v>
      </c>
      <c r="EU67" s="88">
        <f t="shared" si="323"/>
        <v>0</v>
      </c>
      <c r="EV67" s="88">
        <f t="shared" si="323"/>
        <v>0</v>
      </c>
      <c r="EW67" s="88">
        <f t="shared" si="323"/>
        <v>0</v>
      </c>
      <c r="EX67" s="88">
        <f t="shared" si="323"/>
        <v>0</v>
      </c>
      <c r="EY67" s="88">
        <f t="shared" si="323"/>
        <v>0</v>
      </c>
    </row>
    <row r="68">
      <c r="A68" s="181" t="s">
        <v>244</v>
      </c>
      <c r="B68" s="10">
        <f t="shared" ref="B68:DU68" si="324">0</f>
        <v>0</v>
      </c>
      <c r="C68" s="10">
        <f t="shared" si="324"/>
        <v>0</v>
      </c>
      <c r="D68" s="10">
        <f t="shared" si="324"/>
        <v>0</v>
      </c>
      <c r="E68" s="88">
        <f t="shared" si="324"/>
        <v>0</v>
      </c>
      <c r="F68" s="123">
        <f t="shared" si="324"/>
        <v>0</v>
      </c>
      <c r="G68" s="205">
        <f t="shared" si="324"/>
        <v>0</v>
      </c>
      <c r="H68" s="88">
        <f t="shared" si="324"/>
        <v>0</v>
      </c>
      <c r="I68" s="88">
        <f t="shared" si="324"/>
        <v>0</v>
      </c>
      <c r="J68" s="88">
        <f t="shared" si="324"/>
        <v>0</v>
      </c>
      <c r="K68" s="88">
        <f t="shared" si="324"/>
        <v>0</v>
      </c>
      <c r="L68" s="88">
        <f t="shared" si="324"/>
        <v>0</v>
      </c>
      <c r="M68" s="88">
        <f t="shared" si="324"/>
        <v>0</v>
      </c>
      <c r="N68" s="88">
        <f t="shared" si="324"/>
        <v>0</v>
      </c>
      <c r="O68" s="88">
        <f t="shared" si="324"/>
        <v>0</v>
      </c>
      <c r="P68" s="88">
        <f t="shared" si="324"/>
        <v>0</v>
      </c>
      <c r="Q68" s="88">
        <f t="shared" si="324"/>
        <v>0</v>
      </c>
      <c r="R68" s="88">
        <f t="shared" si="324"/>
        <v>0</v>
      </c>
      <c r="S68" s="88">
        <f t="shared" si="324"/>
        <v>0</v>
      </c>
      <c r="T68" s="88">
        <f t="shared" si="324"/>
        <v>0</v>
      </c>
      <c r="U68" s="88">
        <f t="shared" si="324"/>
        <v>0</v>
      </c>
      <c r="V68" s="88">
        <f t="shared" si="324"/>
        <v>0</v>
      </c>
      <c r="W68" s="88">
        <f t="shared" si="324"/>
        <v>0</v>
      </c>
      <c r="X68" s="88">
        <f t="shared" si="324"/>
        <v>0</v>
      </c>
      <c r="Y68" s="88">
        <f t="shared" si="324"/>
        <v>0</v>
      </c>
      <c r="Z68" s="88">
        <f t="shared" si="324"/>
        <v>0</v>
      </c>
      <c r="AA68" s="88">
        <f t="shared" si="324"/>
        <v>0</v>
      </c>
      <c r="AB68" s="88">
        <f t="shared" si="324"/>
        <v>0</v>
      </c>
      <c r="AC68" s="88">
        <f t="shared" si="324"/>
        <v>0</v>
      </c>
      <c r="AD68" s="88">
        <f t="shared" si="324"/>
        <v>0</v>
      </c>
      <c r="AE68" s="88">
        <f t="shared" si="324"/>
        <v>0</v>
      </c>
      <c r="AF68" s="88">
        <f t="shared" si="324"/>
        <v>0</v>
      </c>
      <c r="AG68" s="88">
        <f t="shared" si="324"/>
        <v>0</v>
      </c>
      <c r="AH68" s="88">
        <f t="shared" si="324"/>
        <v>0</v>
      </c>
      <c r="AI68" s="88">
        <f t="shared" si="324"/>
        <v>0</v>
      </c>
      <c r="AJ68" s="88">
        <f t="shared" si="324"/>
        <v>0</v>
      </c>
      <c r="AK68" s="88">
        <f t="shared" si="324"/>
        <v>0</v>
      </c>
      <c r="AL68" s="88">
        <f t="shared" si="324"/>
        <v>0</v>
      </c>
      <c r="AM68" s="88">
        <f t="shared" si="324"/>
        <v>0</v>
      </c>
      <c r="AN68" s="88">
        <f t="shared" si="324"/>
        <v>0</v>
      </c>
      <c r="AO68" s="88">
        <f t="shared" si="324"/>
        <v>0</v>
      </c>
      <c r="AP68" s="88">
        <f t="shared" si="324"/>
        <v>0</v>
      </c>
      <c r="AQ68" s="88">
        <f t="shared" si="324"/>
        <v>0</v>
      </c>
      <c r="AR68" s="88">
        <f t="shared" si="324"/>
        <v>0</v>
      </c>
      <c r="AS68" s="88">
        <f t="shared" si="324"/>
        <v>0</v>
      </c>
      <c r="AT68" s="88">
        <f t="shared" si="324"/>
        <v>0</v>
      </c>
      <c r="AU68" s="88">
        <f t="shared" si="324"/>
        <v>0</v>
      </c>
      <c r="AV68" s="88">
        <f t="shared" si="324"/>
        <v>0</v>
      </c>
      <c r="AW68" s="88">
        <f t="shared" si="324"/>
        <v>0</v>
      </c>
      <c r="AX68" s="88">
        <f t="shared" si="324"/>
        <v>0</v>
      </c>
      <c r="AY68" s="88">
        <f t="shared" si="324"/>
        <v>0</v>
      </c>
      <c r="AZ68" s="88">
        <f t="shared" si="324"/>
        <v>0</v>
      </c>
      <c r="BA68" s="88">
        <f t="shared" si="324"/>
        <v>0</v>
      </c>
      <c r="BB68" s="88">
        <f t="shared" si="324"/>
        <v>0</v>
      </c>
      <c r="BC68" s="88">
        <f t="shared" si="324"/>
        <v>0</v>
      </c>
      <c r="BD68" s="88">
        <f t="shared" si="324"/>
        <v>0</v>
      </c>
      <c r="BE68" s="88">
        <f t="shared" si="324"/>
        <v>0</v>
      </c>
      <c r="BF68" s="88">
        <f t="shared" si="324"/>
        <v>0</v>
      </c>
      <c r="BG68" s="88">
        <f t="shared" si="324"/>
        <v>0</v>
      </c>
      <c r="BH68" s="88">
        <f t="shared" si="324"/>
        <v>0</v>
      </c>
      <c r="BI68" s="88">
        <f t="shared" si="324"/>
        <v>0</v>
      </c>
      <c r="BJ68" s="88">
        <f t="shared" si="324"/>
        <v>0</v>
      </c>
      <c r="BK68" s="88">
        <f t="shared" si="324"/>
        <v>0</v>
      </c>
      <c r="BL68" s="88">
        <f t="shared" si="324"/>
        <v>0</v>
      </c>
      <c r="BM68" s="88">
        <f t="shared" si="324"/>
        <v>0</v>
      </c>
      <c r="BN68" s="88">
        <f t="shared" si="324"/>
        <v>0</v>
      </c>
      <c r="BO68" s="88">
        <f t="shared" si="324"/>
        <v>0</v>
      </c>
      <c r="BP68" s="88">
        <f t="shared" si="324"/>
        <v>0</v>
      </c>
      <c r="BQ68" s="88">
        <f t="shared" si="324"/>
        <v>0</v>
      </c>
      <c r="BR68" s="88">
        <f t="shared" si="324"/>
        <v>0</v>
      </c>
      <c r="BS68" s="88">
        <f t="shared" si="324"/>
        <v>0</v>
      </c>
      <c r="BT68" s="88">
        <f t="shared" si="324"/>
        <v>0</v>
      </c>
      <c r="BU68" s="88">
        <f t="shared" si="324"/>
        <v>0</v>
      </c>
      <c r="BV68" s="88">
        <f t="shared" si="324"/>
        <v>0</v>
      </c>
      <c r="BW68" s="88">
        <f t="shared" si="324"/>
        <v>0</v>
      </c>
      <c r="BX68" s="88">
        <f t="shared" si="324"/>
        <v>0</v>
      </c>
      <c r="BY68" s="88">
        <f t="shared" si="324"/>
        <v>0</v>
      </c>
      <c r="BZ68" s="88">
        <f t="shared" si="324"/>
        <v>0</v>
      </c>
      <c r="CA68" s="88">
        <f t="shared" si="324"/>
        <v>0</v>
      </c>
      <c r="CB68" s="88">
        <f t="shared" si="324"/>
        <v>0</v>
      </c>
      <c r="CC68" s="88">
        <f t="shared" si="324"/>
        <v>0</v>
      </c>
      <c r="CD68" s="88">
        <f t="shared" si="324"/>
        <v>0</v>
      </c>
      <c r="CE68" s="88">
        <f t="shared" si="324"/>
        <v>0</v>
      </c>
      <c r="CF68" s="88">
        <f t="shared" si="324"/>
        <v>0</v>
      </c>
      <c r="CG68" s="88">
        <f t="shared" si="324"/>
        <v>0</v>
      </c>
      <c r="CH68" s="88">
        <f t="shared" si="324"/>
        <v>0</v>
      </c>
      <c r="CI68" s="88">
        <f t="shared" si="324"/>
        <v>0</v>
      </c>
      <c r="CJ68" s="88">
        <f t="shared" si="324"/>
        <v>0</v>
      </c>
      <c r="CK68" s="88">
        <f t="shared" si="324"/>
        <v>0</v>
      </c>
      <c r="CL68" s="88">
        <f t="shared" si="324"/>
        <v>0</v>
      </c>
      <c r="CM68" s="88">
        <f t="shared" si="324"/>
        <v>0</v>
      </c>
      <c r="CN68" s="88">
        <f t="shared" si="324"/>
        <v>0</v>
      </c>
      <c r="CO68" s="88">
        <f t="shared" si="324"/>
        <v>0</v>
      </c>
      <c r="CP68" s="88">
        <f t="shared" si="324"/>
        <v>0</v>
      </c>
      <c r="CQ68" s="88">
        <f t="shared" si="324"/>
        <v>0</v>
      </c>
      <c r="CR68" s="88">
        <f t="shared" si="324"/>
        <v>0</v>
      </c>
      <c r="CS68" s="88">
        <f t="shared" si="324"/>
        <v>0</v>
      </c>
      <c r="CT68" s="88">
        <f t="shared" si="324"/>
        <v>0</v>
      </c>
      <c r="CU68" s="88">
        <f t="shared" si="324"/>
        <v>0</v>
      </c>
      <c r="CV68" s="88">
        <f t="shared" si="324"/>
        <v>0</v>
      </c>
      <c r="CW68" s="88">
        <f t="shared" si="324"/>
        <v>0</v>
      </c>
      <c r="CX68" s="88">
        <f t="shared" si="324"/>
        <v>0</v>
      </c>
      <c r="CY68" s="88">
        <f t="shared" si="324"/>
        <v>0</v>
      </c>
      <c r="CZ68" s="88">
        <f t="shared" si="324"/>
        <v>0</v>
      </c>
      <c r="DA68" s="88">
        <f t="shared" si="324"/>
        <v>0</v>
      </c>
      <c r="DB68" s="88">
        <f t="shared" si="324"/>
        <v>0</v>
      </c>
      <c r="DC68" s="88">
        <f t="shared" si="324"/>
        <v>0</v>
      </c>
      <c r="DD68" s="88">
        <f t="shared" si="324"/>
        <v>0</v>
      </c>
      <c r="DE68" s="88">
        <f t="shared" si="324"/>
        <v>0</v>
      </c>
      <c r="DF68" s="88">
        <f t="shared" si="324"/>
        <v>0</v>
      </c>
      <c r="DG68" s="88">
        <f t="shared" si="324"/>
        <v>0</v>
      </c>
      <c r="DH68" s="88">
        <f t="shared" si="324"/>
        <v>0</v>
      </c>
      <c r="DI68" s="88">
        <f t="shared" si="324"/>
        <v>0</v>
      </c>
      <c r="DJ68" s="88">
        <f t="shared" si="324"/>
        <v>0</v>
      </c>
      <c r="DK68" s="88">
        <f t="shared" si="324"/>
        <v>0</v>
      </c>
      <c r="DL68" s="88">
        <f t="shared" si="324"/>
        <v>0</v>
      </c>
      <c r="DM68" s="88">
        <f t="shared" si="324"/>
        <v>0</v>
      </c>
      <c r="DN68" s="88">
        <f t="shared" si="324"/>
        <v>0</v>
      </c>
      <c r="DO68" s="88">
        <f t="shared" si="324"/>
        <v>0</v>
      </c>
      <c r="DP68" s="88">
        <f t="shared" si="324"/>
        <v>0</v>
      </c>
      <c r="DQ68" s="88">
        <f t="shared" si="324"/>
        <v>0</v>
      </c>
      <c r="DR68" s="88">
        <f t="shared" si="324"/>
        <v>0</v>
      </c>
      <c r="DS68" s="88">
        <f t="shared" si="324"/>
        <v>0</v>
      </c>
      <c r="DT68" s="88">
        <f t="shared" si="324"/>
        <v>0</v>
      </c>
      <c r="DU68" s="88">
        <f t="shared" si="324"/>
        <v>0</v>
      </c>
      <c r="DV68" s="88">
        <f t="shared" ref="DV68:EY68" si="325">0</f>
        <v>0</v>
      </c>
      <c r="DW68" s="88">
        <f t="shared" si="325"/>
        <v>0</v>
      </c>
      <c r="DX68" s="88">
        <f t="shared" si="325"/>
        <v>0</v>
      </c>
      <c r="DY68" s="88">
        <f t="shared" si="325"/>
        <v>0</v>
      </c>
      <c r="DZ68" s="88">
        <f t="shared" si="325"/>
        <v>0</v>
      </c>
      <c r="EA68" s="88">
        <f t="shared" si="325"/>
        <v>0</v>
      </c>
      <c r="EB68" s="88">
        <f t="shared" si="325"/>
        <v>0</v>
      </c>
      <c r="EC68" s="88">
        <f t="shared" si="325"/>
        <v>0</v>
      </c>
      <c r="ED68" s="88">
        <f t="shared" si="325"/>
        <v>0</v>
      </c>
      <c r="EE68" s="88">
        <f t="shared" si="325"/>
        <v>0</v>
      </c>
      <c r="EF68" s="88">
        <f t="shared" si="325"/>
        <v>0</v>
      </c>
      <c r="EG68" s="88">
        <f t="shared" si="325"/>
        <v>0</v>
      </c>
      <c r="EH68" s="88">
        <f t="shared" si="325"/>
        <v>0</v>
      </c>
      <c r="EI68" s="88">
        <f t="shared" si="325"/>
        <v>0</v>
      </c>
      <c r="EJ68" s="88">
        <f t="shared" si="325"/>
        <v>0</v>
      </c>
      <c r="EK68" s="88">
        <f t="shared" si="325"/>
        <v>0</v>
      </c>
      <c r="EL68" s="88">
        <f t="shared" si="325"/>
        <v>0</v>
      </c>
      <c r="EM68" s="88">
        <f t="shared" si="325"/>
        <v>0</v>
      </c>
      <c r="EN68" s="88">
        <f t="shared" si="325"/>
        <v>0</v>
      </c>
      <c r="EO68" s="88">
        <f t="shared" si="325"/>
        <v>0</v>
      </c>
      <c r="EP68" s="88">
        <f t="shared" si="325"/>
        <v>0</v>
      </c>
      <c r="EQ68" s="88">
        <f t="shared" si="325"/>
        <v>0</v>
      </c>
      <c r="ER68" s="88">
        <f t="shared" si="325"/>
        <v>0</v>
      </c>
      <c r="ES68" s="88">
        <f t="shared" si="325"/>
        <v>0</v>
      </c>
      <c r="ET68" s="88">
        <f t="shared" si="325"/>
        <v>0</v>
      </c>
      <c r="EU68" s="88">
        <f t="shared" si="325"/>
        <v>0</v>
      </c>
      <c r="EV68" s="88">
        <f t="shared" si="325"/>
        <v>0</v>
      </c>
      <c r="EW68" s="88">
        <f t="shared" si="325"/>
        <v>0</v>
      </c>
      <c r="EX68" s="88">
        <f t="shared" si="325"/>
        <v>0</v>
      </c>
      <c r="EY68" s="88">
        <f t="shared" si="325"/>
        <v>0</v>
      </c>
    </row>
    <row r="69">
      <c r="A69" s="181" t="s">
        <v>408</v>
      </c>
      <c r="B69" s="10">
        <f t="shared" ref="B69:DU69" si="326">0</f>
        <v>0</v>
      </c>
      <c r="C69" s="10">
        <f t="shared" si="326"/>
        <v>0</v>
      </c>
      <c r="D69" s="10">
        <f t="shared" si="326"/>
        <v>0</v>
      </c>
      <c r="E69" s="88">
        <f t="shared" si="326"/>
        <v>0</v>
      </c>
      <c r="F69" s="123">
        <f t="shared" si="326"/>
        <v>0</v>
      </c>
      <c r="G69" s="205">
        <f t="shared" si="326"/>
        <v>0</v>
      </c>
      <c r="H69" s="88">
        <f t="shared" si="326"/>
        <v>0</v>
      </c>
      <c r="I69" s="88">
        <f t="shared" si="326"/>
        <v>0</v>
      </c>
      <c r="J69" s="88">
        <f t="shared" si="326"/>
        <v>0</v>
      </c>
      <c r="K69" s="88">
        <f t="shared" si="326"/>
        <v>0</v>
      </c>
      <c r="L69" s="88">
        <f t="shared" si="326"/>
        <v>0</v>
      </c>
      <c r="M69" s="88">
        <f t="shared" si="326"/>
        <v>0</v>
      </c>
      <c r="N69" s="88">
        <f t="shared" si="326"/>
        <v>0</v>
      </c>
      <c r="O69" s="88">
        <f t="shared" si="326"/>
        <v>0</v>
      </c>
      <c r="P69" s="88">
        <f t="shared" si="326"/>
        <v>0</v>
      </c>
      <c r="Q69" s="88">
        <f t="shared" si="326"/>
        <v>0</v>
      </c>
      <c r="R69" s="88">
        <f t="shared" si="326"/>
        <v>0</v>
      </c>
      <c r="S69" s="88">
        <f t="shared" si="326"/>
        <v>0</v>
      </c>
      <c r="T69" s="88">
        <f t="shared" si="326"/>
        <v>0</v>
      </c>
      <c r="U69" s="88">
        <f t="shared" si="326"/>
        <v>0</v>
      </c>
      <c r="V69" s="88">
        <f t="shared" si="326"/>
        <v>0</v>
      </c>
      <c r="W69" s="88">
        <f t="shared" si="326"/>
        <v>0</v>
      </c>
      <c r="X69" s="88">
        <f t="shared" si="326"/>
        <v>0</v>
      </c>
      <c r="Y69" s="88">
        <f t="shared" si="326"/>
        <v>0</v>
      </c>
      <c r="Z69" s="88">
        <f t="shared" si="326"/>
        <v>0</v>
      </c>
      <c r="AA69" s="88">
        <f t="shared" si="326"/>
        <v>0</v>
      </c>
      <c r="AB69" s="88">
        <f t="shared" si="326"/>
        <v>0</v>
      </c>
      <c r="AC69" s="88">
        <f t="shared" si="326"/>
        <v>0</v>
      </c>
      <c r="AD69" s="88">
        <f t="shared" si="326"/>
        <v>0</v>
      </c>
      <c r="AE69" s="88">
        <f t="shared" si="326"/>
        <v>0</v>
      </c>
      <c r="AF69" s="88">
        <f t="shared" si="326"/>
        <v>0</v>
      </c>
      <c r="AG69" s="88">
        <f t="shared" si="326"/>
        <v>0</v>
      </c>
      <c r="AH69" s="88">
        <f t="shared" si="326"/>
        <v>0</v>
      </c>
      <c r="AI69" s="88">
        <f t="shared" si="326"/>
        <v>0</v>
      </c>
      <c r="AJ69" s="88">
        <f t="shared" si="326"/>
        <v>0</v>
      </c>
      <c r="AK69" s="88">
        <f t="shared" si="326"/>
        <v>0</v>
      </c>
      <c r="AL69" s="88">
        <f t="shared" si="326"/>
        <v>0</v>
      </c>
      <c r="AM69" s="88">
        <f t="shared" si="326"/>
        <v>0</v>
      </c>
      <c r="AN69" s="88">
        <f t="shared" si="326"/>
        <v>0</v>
      </c>
      <c r="AO69" s="88">
        <f t="shared" si="326"/>
        <v>0</v>
      </c>
      <c r="AP69" s="88">
        <f t="shared" si="326"/>
        <v>0</v>
      </c>
      <c r="AQ69" s="88">
        <f t="shared" si="326"/>
        <v>0</v>
      </c>
      <c r="AR69" s="88">
        <f t="shared" si="326"/>
        <v>0</v>
      </c>
      <c r="AS69" s="88">
        <f t="shared" si="326"/>
        <v>0</v>
      </c>
      <c r="AT69" s="88">
        <f t="shared" si="326"/>
        <v>0</v>
      </c>
      <c r="AU69" s="88">
        <f t="shared" si="326"/>
        <v>0</v>
      </c>
      <c r="AV69" s="88">
        <f t="shared" si="326"/>
        <v>0</v>
      </c>
      <c r="AW69" s="88">
        <f t="shared" si="326"/>
        <v>0</v>
      </c>
      <c r="AX69" s="88">
        <f t="shared" si="326"/>
        <v>0</v>
      </c>
      <c r="AY69" s="88">
        <f t="shared" si="326"/>
        <v>0</v>
      </c>
      <c r="AZ69" s="88">
        <f t="shared" si="326"/>
        <v>0</v>
      </c>
      <c r="BA69" s="88">
        <f t="shared" si="326"/>
        <v>0</v>
      </c>
      <c r="BB69" s="88">
        <f t="shared" si="326"/>
        <v>0</v>
      </c>
      <c r="BC69" s="88">
        <f t="shared" si="326"/>
        <v>0</v>
      </c>
      <c r="BD69" s="88">
        <f t="shared" si="326"/>
        <v>0</v>
      </c>
      <c r="BE69" s="88">
        <f t="shared" si="326"/>
        <v>0</v>
      </c>
      <c r="BF69" s="88">
        <f t="shared" si="326"/>
        <v>0</v>
      </c>
      <c r="BG69" s="88">
        <f t="shared" si="326"/>
        <v>0</v>
      </c>
      <c r="BH69" s="88">
        <f t="shared" si="326"/>
        <v>0</v>
      </c>
      <c r="BI69" s="88">
        <f t="shared" si="326"/>
        <v>0</v>
      </c>
      <c r="BJ69" s="88">
        <f t="shared" si="326"/>
        <v>0</v>
      </c>
      <c r="BK69" s="88">
        <f t="shared" si="326"/>
        <v>0</v>
      </c>
      <c r="BL69" s="88">
        <f t="shared" si="326"/>
        <v>0</v>
      </c>
      <c r="BM69" s="88">
        <f t="shared" si="326"/>
        <v>0</v>
      </c>
      <c r="BN69" s="88">
        <f t="shared" si="326"/>
        <v>0</v>
      </c>
      <c r="BO69" s="88">
        <f t="shared" si="326"/>
        <v>0</v>
      </c>
      <c r="BP69" s="88">
        <f t="shared" si="326"/>
        <v>0</v>
      </c>
      <c r="BQ69" s="88">
        <f t="shared" si="326"/>
        <v>0</v>
      </c>
      <c r="BR69" s="88">
        <f t="shared" si="326"/>
        <v>0</v>
      </c>
      <c r="BS69" s="88">
        <f t="shared" si="326"/>
        <v>0</v>
      </c>
      <c r="BT69" s="88">
        <f t="shared" si="326"/>
        <v>0</v>
      </c>
      <c r="BU69" s="88">
        <f t="shared" si="326"/>
        <v>0</v>
      </c>
      <c r="BV69" s="88">
        <f t="shared" si="326"/>
        <v>0</v>
      </c>
      <c r="BW69" s="88">
        <f t="shared" si="326"/>
        <v>0</v>
      </c>
      <c r="BX69" s="88">
        <f t="shared" si="326"/>
        <v>0</v>
      </c>
      <c r="BY69" s="88">
        <f t="shared" si="326"/>
        <v>0</v>
      </c>
      <c r="BZ69" s="88">
        <f t="shared" si="326"/>
        <v>0</v>
      </c>
      <c r="CA69" s="88">
        <f t="shared" si="326"/>
        <v>0</v>
      </c>
      <c r="CB69" s="88">
        <f t="shared" si="326"/>
        <v>0</v>
      </c>
      <c r="CC69" s="88">
        <f t="shared" si="326"/>
        <v>0</v>
      </c>
      <c r="CD69" s="88">
        <f t="shared" si="326"/>
        <v>0</v>
      </c>
      <c r="CE69" s="88">
        <f t="shared" si="326"/>
        <v>0</v>
      </c>
      <c r="CF69" s="88">
        <f t="shared" si="326"/>
        <v>0</v>
      </c>
      <c r="CG69" s="88">
        <f t="shared" si="326"/>
        <v>0</v>
      </c>
      <c r="CH69" s="88">
        <f t="shared" si="326"/>
        <v>0</v>
      </c>
      <c r="CI69" s="88">
        <f t="shared" si="326"/>
        <v>0</v>
      </c>
      <c r="CJ69" s="88">
        <f t="shared" si="326"/>
        <v>0</v>
      </c>
      <c r="CK69" s="88">
        <f t="shared" si="326"/>
        <v>0</v>
      </c>
      <c r="CL69" s="88">
        <f t="shared" si="326"/>
        <v>0</v>
      </c>
      <c r="CM69" s="88">
        <f t="shared" si="326"/>
        <v>0</v>
      </c>
      <c r="CN69" s="88">
        <f t="shared" si="326"/>
        <v>0</v>
      </c>
      <c r="CO69" s="88">
        <f t="shared" si="326"/>
        <v>0</v>
      </c>
      <c r="CP69" s="88">
        <f t="shared" si="326"/>
        <v>0</v>
      </c>
      <c r="CQ69" s="88">
        <f t="shared" si="326"/>
        <v>0</v>
      </c>
      <c r="CR69" s="88">
        <f t="shared" si="326"/>
        <v>0</v>
      </c>
      <c r="CS69" s="88">
        <f t="shared" si="326"/>
        <v>0</v>
      </c>
      <c r="CT69" s="88">
        <f t="shared" si="326"/>
        <v>0</v>
      </c>
      <c r="CU69" s="88">
        <f t="shared" si="326"/>
        <v>0</v>
      </c>
      <c r="CV69" s="88">
        <f t="shared" si="326"/>
        <v>0</v>
      </c>
      <c r="CW69" s="88">
        <f t="shared" si="326"/>
        <v>0</v>
      </c>
      <c r="CX69" s="88">
        <f t="shared" si="326"/>
        <v>0</v>
      </c>
      <c r="CY69" s="88">
        <f t="shared" si="326"/>
        <v>0</v>
      </c>
      <c r="CZ69" s="88">
        <f t="shared" si="326"/>
        <v>0</v>
      </c>
      <c r="DA69" s="88">
        <f t="shared" si="326"/>
        <v>0</v>
      </c>
      <c r="DB69" s="88">
        <f t="shared" si="326"/>
        <v>0</v>
      </c>
      <c r="DC69" s="88">
        <f t="shared" si="326"/>
        <v>0</v>
      </c>
      <c r="DD69" s="88">
        <f t="shared" si="326"/>
        <v>0</v>
      </c>
      <c r="DE69" s="88">
        <f t="shared" si="326"/>
        <v>0</v>
      </c>
      <c r="DF69" s="88">
        <f t="shared" si="326"/>
        <v>0</v>
      </c>
      <c r="DG69" s="88">
        <f t="shared" si="326"/>
        <v>0</v>
      </c>
      <c r="DH69" s="88">
        <f t="shared" si="326"/>
        <v>0</v>
      </c>
      <c r="DI69" s="88">
        <f t="shared" si="326"/>
        <v>0</v>
      </c>
      <c r="DJ69" s="88">
        <f t="shared" si="326"/>
        <v>0</v>
      </c>
      <c r="DK69" s="88">
        <f t="shared" si="326"/>
        <v>0</v>
      </c>
      <c r="DL69" s="88">
        <f t="shared" si="326"/>
        <v>0</v>
      </c>
      <c r="DM69" s="88">
        <f t="shared" si="326"/>
        <v>0</v>
      </c>
      <c r="DN69" s="88">
        <f t="shared" si="326"/>
        <v>0</v>
      </c>
      <c r="DO69" s="88">
        <f t="shared" si="326"/>
        <v>0</v>
      </c>
      <c r="DP69" s="88">
        <f t="shared" si="326"/>
        <v>0</v>
      </c>
      <c r="DQ69" s="88">
        <f t="shared" si="326"/>
        <v>0</v>
      </c>
      <c r="DR69" s="88">
        <f t="shared" si="326"/>
        <v>0</v>
      </c>
      <c r="DS69" s="88">
        <f t="shared" si="326"/>
        <v>0</v>
      </c>
      <c r="DT69" s="88">
        <f t="shared" si="326"/>
        <v>0</v>
      </c>
      <c r="DU69" s="88">
        <f t="shared" si="326"/>
        <v>0</v>
      </c>
      <c r="DV69" s="88">
        <f t="shared" ref="DV69:EY69" si="327">0</f>
        <v>0</v>
      </c>
      <c r="DW69" s="88">
        <f t="shared" si="327"/>
        <v>0</v>
      </c>
      <c r="DX69" s="88">
        <f t="shared" si="327"/>
        <v>0</v>
      </c>
      <c r="DY69" s="88">
        <f t="shared" si="327"/>
        <v>0</v>
      </c>
      <c r="DZ69" s="88">
        <f t="shared" si="327"/>
        <v>0</v>
      </c>
      <c r="EA69" s="88">
        <f t="shared" si="327"/>
        <v>0</v>
      </c>
      <c r="EB69" s="88">
        <f t="shared" si="327"/>
        <v>0</v>
      </c>
      <c r="EC69" s="88">
        <f t="shared" si="327"/>
        <v>0</v>
      </c>
      <c r="ED69" s="88">
        <f t="shared" si="327"/>
        <v>0</v>
      </c>
      <c r="EE69" s="88">
        <f t="shared" si="327"/>
        <v>0</v>
      </c>
      <c r="EF69" s="88">
        <f t="shared" si="327"/>
        <v>0</v>
      </c>
      <c r="EG69" s="88">
        <f t="shared" si="327"/>
        <v>0</v>
      </c>
      <c r="EH69" s="88">
        <f t="shared" si="327"/>
        <v>0</v>
      </c>
      <c r="EI69" s="88">
        <f t="shared" si="327"/>
        <v>0</v>
      </c>
      <c r="EJ69" s="88">
        <f t="shared" si="327"/>
        <v>0</v>
      </c>
      <c r="EK69" s="88">
        <f t="shared" si="327"/>
        <v>0</v>
      </c>
      <c r="EL69" s="88">
        <f t="shared" si="327"/>
        <v>0</v>
      </c>
      <c r="EM69" s="88">
        <f t="shared" si="327"/>
        <v>0</v>
      </c>
      <c r="EN69" s="88">
        <f t="shared" si="327"/>
        <v>0</v>
      </c>
      <c r="EO69" s="88">
        <f t="shared" si="327"/>
        <v>0</v>
      </c>
      <c r="EP69" s="88">
        <f t="shared" si="327"/>
        <v>0</v>
      </c>
      <c r="EQ69" s="88">
        <f t="shared" si="327"/>
        <v>0</v>
      </c>
      <c r="ER69" s="88">
        <f t="shared" si="327"/>
        <v>0</v>
      </c>
      <c r="ES69" s="88">
        <f t="shared" si="327"/>
        <v>0</v>
      </c>
      <c r="ET69" s="88">
        <f t="shared" si="327"/>
        <v>0</v>
      </c>
      <c r="EU69" s="88">
        <f t="shared" si="327"/>
        <v>0</v>
      </c>
      <c r="EV69" s="88">
        <f t="shared" si="327"/>
        <v>0</v>
      </c>
      <c r="EW69" s="88">
        <f t="shared" si="327"/>
        <v>0</v>
      </c>
      <c r="EX69" s="88">
        <f t="shared" si="327"/>
        <v>0</v>
      </c>
      <c r="EY69" s="88">
        <f t="shared" si="327"/>
        <v>0</v>
      </c>
    </row>
    <row r="70">
      <c r="A70" s="181" t="s">
        <v>409</v>
      </c>
      <c r="B70" s="10">
        <f t="shared" ref="B70:DU70" si="328">0</f>
        <v>0</v>
      </c>
      <c r="C70" s="10">
        <f t="shared" si="328"/>
        <v>0</v>
      </c>
      <c r="D70" s="10">
        <f t="shared" si="328"/>
        <v>0</v>
      </c>
      <c r="E70" s="88">
        <f t="shared" si="328"/>
        <v>0</v>
      </c>
      <c r="F70" s="123">
        <f t="shared" si="328"/>
        <v>0</v>
      </c>
      <c r="G70" s="205">
        <f t="shared" si="328"/>
        <v>0</v>
      </c>
      <c r="H70" s="88">
        <f t="shared" si="328"/>
        <v>0</v>
      </c>
      <c r="I70" s="88">
        <f t="shared" si="328"/>
        <v>0</v>
      </c>
      <c r="J70" s="88">
        <f t="shared" si="328"/>
        <v>0</v>
      </c>
      <c r="K70" s="88">
        <f t="shared" si="328"/>
        <v>0</v>
      </c>
      <c r="L70" s="88">
        <f t="shared" si="328"/>
        <v>0</v>
      </c>
      <c r="M70" s="88">
        <f t="shared" si="328"/>
        <v>0</v>
      </c>
      <c r="N70" s="88">
        <f t="shared" si="328"/>
        <v>0</v>
      </c>
      <c r="O70" s="88">
        <f t="shared" si="328"/>
        <v>0</v>
      </c>
      <c r="P70" s="88">
        <f t="shared" si="328"/>
        <v>0</v>
      </c>
      <c r="Q70" s="88">
        <f t="shared" si="328"/>
        <v>0</v>
      </c>
      <c r="R70" s="88">
        <f t="shared" si="328"/>
        <v>0</v>
      </c>
      <c r="S70" s="88">
        <f t="shared" si="328"/>
        <v>0</v>
      </c>
      <c r="T70" s="88">
        <f t="shared" si="328"/>
        <v>0</v>
      </c>
      <c r="U70" s="88">
        <f t="shared" si="328"/>
        <v>0</v>
      </c>
      <c r="V70" s="88">
        <f t="shared" si="328"/>
        <v>0</v>
      </c>
      <c r="W70" s="88">
        <f t="shared" si="328"/>
        <v>0</v>
      </c>
      <c r="X70" s="88">
        <f t="shared" si="328"/>
        <v>0</v>
      </c>
      <c r="Y70" s="88">
        <f t="shared" si="328"/>
        <v>0</v>
      </c>
      <c r="Z70" s="88">
        <f t="shared" si="328"/>
        <v>0</v>
      </c>
      <c r="AA70" s="88">
        <f t="shared" si="328"/>
        <v>0</v>
      </c>
      <c r="AB70" s="88">
        <f t="shared" si="328"/>
        <v>0</v>
      </c>
      <c r="AC70" s="88">
        <f t="shared" si="328"/>
        <v>0</v>
      </c>
      <c r="AD70" s="88">
        <f t="shared" si="328"/>
        <v>0</v>
      </c>
      <c r="AE70" s="88">
        <f t="shared" si="328"/>
        <v>0</v>
      </c>
      <c r="AF70" s="88">
        <f t="shared" si="328"/>
        <v>0</v>
      </c>
      <c r="AG70" s="88">
        <f t="shared" si="328"/>
        <v>0</v>
      </c>
      <c r="AH70" s="88">
        <f t="shared" si="328"/>
        <v>0</v>
      </c>
      <c r="AI70" s="88">
        <f t="shared" si="328"/>
        <v>0</v>
      </c>
      <c r="AJ70" s="88">
        <f t="shared" si="328"/>
        <v>0</v>
      </c>
      <c r="AK70" s="88">
        <f t="shared" si="328"/>
        <v>0</v>
      </c>
      <c r="AL70" s="88">
        <f t="shared" si="328"/>
        <v>0</v>
      </c>
      <c r="AM70" s="88">
        <f t="shared" si="328"/>
        <v>0</v>
      </c>
      <c r="AN70" s="88">
        <f t="shared" si="328"/>
        <v>0</v>
      </c>
      <c r="AO70" s="88">
        <f t="shared" si="328"/>
        <v>0</v>
      </c>
      <c r="AP70" s="88">
        <f t="shared" si="328"/>
        <v>0</v>
      </c>
      <c r="AQ70" s="88">
        <f t="shared" si="328"/>
        <v>0</v>
      </c>
      <c r="AR70" s="88">
        <f t="shared" si="328"/>
        <v>0</v>
      </c>
      <c r="AS70" s="88">
        <f t="shared" si="328"/>
        <v>0</v>
      </c>
      <c r="AT70" s="88">
        <f t="shared" si="328"/>
        <v>0</v>
      </c>
      <c r="AU70" s="88">
        <f t="shared" si="328"/>
        <v>0</v>
      </c>
      <c r="AV70" s="88">
        <f t="shared" si="328"/>
        <v>0</v>
      </c>
      <c r="AW70" s="88">
        <f t="shared" si="328"/>
        <v>0</v>
      </c>
      <c r="AX70" s="88">
        <f t="shared" si="328"/>
        <v>0</v>
      </c>
      <c r="AY70" s="88">
        <f t="shared" si="328"/>
        <v>0</v>
      </c>
      <c r="AZ70" s="88">
        <f t="shared" si="328"/>
        <v>0</v>
      </c>
      <c r="BA70" s="88">
        <f t="shared" si="328"/>
        <v>0</v>
      </c>
      <c r="BB70" s="88">
        <f t="shared" si="328"/>
        <v>0</v>
      </c>
      <c r="BC70" s="88">
        <f t="shared" si="328"/>
        <v>0</v>
      </c>
      <c r="BD70" s="88">
        <f t="shared" si="328"/>
        <v>0</v>
      </c>
      <c r="BE70" s="88">
        <f t="shared" si="328"/>
        <v>0</v>
      </c>
      <c r="BF70" s="88">
        <f t="shared" si="328"/>
        <v>0</v>
      </c>
      <c r="BG70" s="88">
        <f t="shared" si="328"/>
        <v>0</v>
      </c>
      <c r="BH70" s="88">
        <f t="shared" si="328"/>
        <v>0</v>
      </c>
      <c r="BI70" s="88">
        <f t="shared" si="328"/>
        <v>0</v>
      </c>
      <c r="BJ70" s="88">
        <f t="shared" si="328"/>
        <v>0</v>
      </c>
      <c r="BK70" s="88">
        <f t="shared" si="328"/>
        <v>0</v>
      </c>
      <c r="BL70" s="88">
        <f t="shared" si="328"/>
        <v>0</v>
      </c>
      <c r="BM70" s="88">
        <f t="shared" si="328"/>
        <v>0</v>
      </c>
      <c r="BN70" s="88">
        <f t="shared" si="328"/>
        <v>0</v>
      </c>
      <c r="BO70" s="88">
        <f t="shared" si="328"/>
        <v>0</v>
      </c>
      <c r="BP70" s="88">
        <f t="shared" si="328"/>
        <v>0</v>
      </c>
      <c r="BQ70" s="88">
        <f t="shared" si="328"/>
        <v>0</v>
      </c>
      <c r="BR70" s="88">
        <f t="shared" si="328"/>
        <v>0</v>
      </c>
      <c r="BS70" s="88">
        <f t="shared" si="328"/>
        <v>0</v>
      </c>
      <c r="BT70" s="88">
        <f t="shared" si="328"/>
        <v>0</v>
      </c>
      <c r="BU70" s="88">
        <f t="shared" si="328"/>
        <v>0</v>
      </c>
      <c r="BV70" s="88">
        <f t="shared" si="328"/>
        <v>0</v>
      </c>
      <c r="BW70" s="88">
        <f t="shared" si="328"/>
        <v>0</v>
      </c>
      <c r="BX70" s="88">
        <f t="shared" si="328"/>
        <v>0</v>
      </c>
      <c r="BY70" s="88">
        <f t="shared" si="328"/>
        <v>0</v>
      </c>
      <c r="BZ70" s="88">
        <f t="shared" si="328"/>
        <v>0</v>
      </c>
      <c r="CA70" s="88">
        <f t="shared" si="328"/>
        <v>0</v>
      </c>
      <c r="CB70" s="88">
        <f t="shared" si="328"/>
        <v>0</v>
      </c>
      <c r="CC70" s="88">
        <f t="shared" si="328"/>
        <v>0</v>
      </c>
      <c r="CD70" s="88">
        <f t="shared" si="328"/>
        <v>0</v>
      </c>
      <c r="CE70" s="88">
        <f t="shared" si="328"/>
        <v>0</v>
      </c>
      <c r="CF70" s="88">
        <f t="shared" si="328"/>
        <v>0</v>
      </c>
      <c r="CG70" s="88">
        <f t="shared" si="328"/>
        <v>0</v>
      </c>
      <c r="CH70" s="88">
        <f t="shared" si="328"/>
        <v>0</v>
      </c>
      <c r="CI70" s="88">
        <f t="shared" si="328"/>
        <v>0</v>
      </c>
      <c r="CJ70" s="88">
        <f t="shared" si="328"/>
        <v>0</v>
      </c>
      <c r="CK70" s="88">
        <f t="shared" si="328"/>
        <v>0</v>
      </c>
      <c r="CL70" s="88">
        <f t="shared" si="328"/>
        <v>0</v>
      </c>
      <c r="CM70" s="88">
        <f t="shared" si="328"/>
        <v>0</v>
      </c>
      <c r="CN70" s="88">
        <f t="shared" si="328"/>
        <v>0</v>
      </c>
      <c r="CO70" s="88">
        <f t="shared" si="328"/>
        <v>0</v>
      </c>
      <c r="CP70" s="88">
        <f t="shared" si="328"/>
        <v>0</v>
      </c>
      <c r="CQ70" s="88">
        <f t="shared" si="328"/>
        <v>0</v>
      </c>
      <c r="CR70" s="88">
        <f t="shared" si="328"/>
        <v>0</v>
      </c>
      <c r="CS70" s="88">
        <f t="shared" si="328"/>
        <v>0</v>
      </c>
      <c r="CT70" s="88">
        <f t="shared" si="328"/>
        <v>0</v>
      </c>
      <c r="CU70" s="88">
        <f t="shared" si="328"/>
        <v>0</v>
      </c>
      <c r="CV70" s="88">
        <f t="shared" si="328"/>
        <v>0</v>
      </c>
      <c r="CW70" s="88">
        <f t="shared" si="328"/>
        <v>0</v>
      </c>
      <c r="CX70" s="88">
        <f t="shared" si="328"/>
        <v>0</v>
      </c>
      <c r="CY70" s="88">
        <f t="shared" si="328"/>
        <v>0</v>
      </c>
      <c r="CZ70" s="88">
        <f t="shared" si="328"/>
        <v>0</v>
      </c>
      <c r="DA70" s="88">
        <f t="shared" si="328"/>
        <v>0</v>
      </c>
      <c r="DB70" s="88">
        <f t="shared" si="328"/>
        <v>0</v>
      </c>
      <c r="DC70" s="88">
        <f t="shared" si="328"/>
        <v>0</v>
      </c>
      <c r="DD70" s="88">
        <f t="shared" si="328"/>
        <v>0</v>
      </c>
      <c r="DE70" s="88">
        <f t="shared" si="328"/>
        <v>0</v>
      </c>
      <c r="DF70" s="88">
        <f t="shared" si="328"/>
        <v>0</v>
      </c>
      <c r="DG70" s="88">
        <f t="shared" si="328"/>
        <v>0</v>
      </c>
      <c r="DH70" s="88">
        <f t="shared" si="328"/>
        <v>0</v>
      </c>
      <c r="DI70" s="88">
        <f t="shared" si="328"/>
        <v>0</v>
      </c>
      <c r="DJ70" s="88">
        <f t="shared" si="328"/>
        <v>0</v>
      </c>
      <c r="DK70" s="88">
        <f t="shared" si="328"/>
        <v>0</v>
      </c>
      <c r="DL70" s="88">
        <f t="shared" si="328"/>
        <v>0</v>
      </c>
      <c r="DM70" s="88">
        <f t="shared" si="328"/>
        <v>0</v>
      </c>
      <c r="DN70" s="88">
        <f t="shared" si="328"/>
        <v>0</v>
      </c>
      <c r="DO70" s="88">
        <f t="shared" si="328"/>
        <v>0</v>
      </c>
      <c r="DP70" s="88">
        <f t="shared" si="328"/>
        <v>0</v>
      </c>
      <c r="DQ70" s="88">
        <f t="shared" si="328"/>
        <v>0</v>
      </c>
      <c r="DR70" s="88">
        <f t="shared" si="328"/>
        <v>0</v>
      </c>
      <c r="DS70" s="88">
        <f t="shared" si="328"/>
        <v>0</v>
      </c>
      <c r="DT70" s="88">
        <f t="shared" si="328"/>
        <v>0</v>
      </c>
      <c r="DU70" s="88">
        <f t="shared" si="328"/>
        <v>0</v>
      </c>
      <c r="DV70" s="88">
        <f t="shared" ref="DV70:EY70" si="329">0</f>
        <v>0</v>
      </c>
      <c r="DW70" s="88">
        <f t="shared" si="329"/>
        <v>0</v>
      </c>
      <c r="DX70" s="88">
        <f t="shared" si="329"/>
        <v>0</v>
      </c>
      <c r="DY70" s="88">
        <f t="shared" si="329"/>
        <v>0</v>
      </c>
      <c r="DZ70" s="88">
        <f t="shared" si="329"/>
        <v>0</v>
      </c>
      <c r="EA70" s="88">
        <f t="shared" si="329"/>
        <v>0</v>
      </c>
      <c r="EB70" s="88">
        <f t="shared" si="329"/>
        <v>0</v>
      </c>
      <c r="EC70" s="88">
        <f t="shared" si="329"/>
        <v>0</v>
      </c>
      <c r="ED70" s="88">
        <f t="shared" si="329"/>
        <v>0</v>
      </c>
      <c r="EE70" s="88">
        <f t="shared" si="329"/>
        <v>0</v>
      </c>
      <c r="EF70" s="88">
        <f t="shared" si="329"/>
        <v>0</v>
      </c>
      <c r="EG70" s="88">
        <f t="shared" si="329"/>
        <v>0</v>
      </c>
      <c r="EH70" s="88">
        <f t="shared" si="329"/>
        <v>0</v>
      </c>
      <c r="EI70" s="88">
        <f t="shared" si="329"/>
        <v>0</v>
      </c>
      <c r="EJ70" s="88">
        <f t="shared" si="329"/>
        <v>0</v>
      </c>
      <c r="EK70" s="88">
        <f t="shared" si="329"/>
        <v>0</v>
      </c>
      <c r="EL70" s="88">
        <f t="shared" si="329"/>
        <v>0</v>
      </c>
      <c r="EM70" s="88">
        <f t="shared" si="329"/>
        <v>0</v>
      </c>
      <c r="EN70" s="88">
        <f t="shared" si="329"/>
        <v>0</v>
      </c>
      <c r="EO70" s="88">
        <f t="shared" si="329"/>
        <v>0</v>
      </c>
      <c r="EP70" s="88">
        <f t="shared" si="329"/>
        <v>0</v>
      </c>
      <c r="EQ70" s="88">
        <f t="shared" si="329"/>
        <v>0</v>
      </c>
      <c r="ER70" s="88">
        <f t="shared" si="329"/>
        <v>0</v>
      </c>
      <c r="ES70" s="88">
        <f t="shared" si="329"/>
        <v>0</v>
      </c>
      <c r="ET70" s="88">
        <f t="shared" si="329"/>
        <v>0</v>
      </c>
      <c r="EU70" s="88">
        <f t="shared" si="329"/>
        <v>0</v>
      </c>
      <c r="EV70" s="88">
        <f t="shared" si="329"/>
        <v>0</v>
      </c>
      <c r="EW70" s="88">
        <f t="shared" si="329"/>
        <v>0</v>
      </c>
      <c r="EX70" s="88">
        <f t="shared" si="329"/>
        <v>0</v>
      </c>
      <c r="EY70" s="88">
        <f t="shared" si="329"/>
        <v>0</v>
      </c>
    </row>
    <row r="71">
      <c r="A71" s="181" t="s">
        <v>410</v>
      </c>
      <c r="B71" s="10">
        <f t="shared" ref="B71:DU71" si="330">0</f>
        <v>0</v>
      </c>
      <c r="C71" s="10">
        <f t="shared" si="330"/>
        <v>0</v>
      </c>
      <c r="D71" s="10">
        <f t="shared" si="330"/>
        <v>0</v>
      </c>
      <c r="E71" s="88">
        <f t="shared" si="330"/>
        <v>0</v>
      </c>
      <c r="F71" s="123">
        <f t="shared" si="330"/>
        <v>0</v>
      </c>
      <c r="G71" s="205">
        <f t="shared" si="330"/>
        <v>0</v>
      </c>
      <c r="H71" s="88">
        <f t="shared" si="330"/>
        <v>0</v>
      </c>
      <c r="I71" s="88">
        <f t="shared" si="330"/>
        <v>0</v>
      </c>
      <c r="J71" s="88">
        <f t="shared" si="330"/>
        <v>0</v>
      </c>
      <c r="K71" s="88">
        <f t="shared" si="330"/>
        <v>0</v>
      </c>
      <c r="L71" s="88">
        <f t="shared" si="330"/>
        <v>0</v>
      </c>
      <c r="M71" s="88">
        <f t="shared" si="330"/>
        <v>0</v>
      </c>
      <c r="N71" s="88">
        <f t="shared" si="330"/>
        <v>0</v>
      </c>
      <c r="O71" s="88">
        <f t="shared" si="330"/>
        <v>0</v>
      </c>
      <c r="P71" s="88">
        <f t="shared" si="330"/>
        <v>0</v>
      </c>
      <c r="Q71" s="88">
        <f t="shared" si="330"/>
        <v>0</v>
      </c>
      <c r="R71" s="88">
        <f t="shared" si="330"/>
        <v>0</v>
      </c>
      <c r="S71" s="88">
        <f t="shared" si="330"/>
        <v>0</v>
      </c>
      <c r="T71" s="88">
        <f t="shared" si="330"/>
        <v>0</v>
      </c>
      <c r="U71" s="88">
        <f t="shared" si="330"/>
        <v>0</v>
      </c>
      <c r="V71" s="88">
        <f t="shared" si="330"/>
        <v>0</v>
      </c>
      <c r="W71" s="88">
        <f t="shared" si="330"/>
        <v>0</v>
      </c>
      <c r="X71" s="88">
        <f t="shared" si="330"/>
        <v>0</v>
      </c>
      <c r="Y71" s="88">
        <f t="shared" si="330"/>
        <v>0</v>
      </c>
      <c r="Z71" s="88">
        <f t="shared" si="330"/>
        <v>0</v>
      </c>
      <c r="AA71" s="88">
        <f t="shared" si="330"/>
        <v>0</v>
      </c>
      <c r="AB71" s="88">
        <f t="shared" si="330"/>
        <v>0</v>
      </c>
      <c r="AC71" s="88">
        <f t="shared" si="330"/>
        <v>0</v>
      </c>
      <c r="AD71" s="88">
        <f t="shared" si="330"/>
        <v>0</v>
      </c>
      <c r="AE71" s="88">
        <f t="shared" si="330"/>
        <v>0</v>
      </c>
      <c r="AF71" s="88">
        <f t="shared" si="330"/>
        <v>0</v>
      </c>
      <c r="AG71" s="88">
        <f t="shared" si="330"/>
        <v>0</v>
      </c>
      <c r="AH71" s="88">
        <f t="shared" si="330"/>
        <v>0</v>
      </c>
      <c r="AI71" s="88">
        <f t="shared" si="330"/>
        <v>0</v>
      </c>
      <c r="AJ71" s="88">
        <f t="shared" si="330"/>
        <v>0</v>
      </c>
      <c r="AK71" s="88">
        <f t="shared" si="330"/>
        <v>0</v>
      </c>
      <c r="AL71" s="88">
        <f t="shared" si="330"/>
        <v>0</v>
      </c>
      <c r="AM71" s="88">
        <f t="shared" si="330"/>
        <v>0</v>
      </c>
      <c r="AN71" s="88">
        <f t="shared" si="330"/>
        <v>0</v>
      </c>
      <c r="AO71" s="88">
        <f t="shared" si="330"/>
        <v>0</v>
      </c>
      <c r="AP71" s="88">
        <f t="shared" si="330"/>
        <v>0</v>
      </c>
      <c r="AQ71" s="88">
        <f t="shared" si="330"/>
        <v>0</v>
      </c>
      <c r="AR71" s="88">
        <f t="shared" si="330"/>
        <v>0</v>
      </c>
      <c r="AS71" s="88">
        <f t="shared" si="330"/>
        <v>0</v>
      </c>
      <c r="AT71" s="88">
        <f t="shared" si="330"/>
        <v>0</v>
      </c>
      <c r="AU71" s="88">
        <f t="shared" si="330"/>
        <v>0</v>
      </c>
      <c r="AV71" s="88">
        <f t="shared" si="330"/>
        <v>0</v>
      </c>
      <c r="AW71" s="88">
        <f t="shared" si="330"/>
        <v>0</v>
      </c>
      <c r="AX71" s="88">
        <f t="shared" si="330"/>
        <v>0</v>
      </c>
      <c r="AY71" s="88">
        <f t="shared" si="330"/>
        <v>0</v>
      </c>
      <c r="AZ71" s="88">
        <f t="shared" si="330"/>
        <v>0</v>
      </c>
      <c r="BA71" s="88">
        <f t="shared" si="330"/>
        <v>0</v>
      </c>
      <c r="BB71" s="88">
        <f t="shared" si="330"/>
        <v>0</v>
      </c>
      <c r="BC71" s="88">
        <f t="shared" si="330"/>
        <v>0</v>
      </c>
      <c r="BD71" s="88">
        <f t="shared" si="330"/>
        <v>0</v>
      </c>
      <c r="BE71" s="88">
        <f t="shared" si="330"/>
        <v>0</v>
      </c>
      <c r="BF71" s="88">
        <f t="shared" si="330"/>
        <v>0</v>
      </c>
      <c r="BG71" s="88">
        <f t="shared" si="330"/>
        <v>0</v>
      </c>
      <c r="BH71" s="88">
        <f t="shared" si="330"/>
        <v>0</v>
      </c>
      <c r="BI71" s="88">
        <f t="shared" si="330"/>
        <v>0</v>
      </c>
      <c r="BJ71" s="88">
        <f t="shared" si="330"/>
        <v>0</v>
      </c>
      <c r="BK71" s="88">
        <f t="shared" si="330"/>
        <v>0</v>
      </c>
      <c r="BL71" s="88">
        <f t="shared" si="330"/>
        <v>0</v>
      </c>
      <c r="BM71" s="88">
        <f t="shared" si="330"/>
        <v>0</v>
      </c>
      <c r="BN71" s="88">
        <f t="shared" si="330"/>
        <v>0</v>
      </c>
      <c r="BO71" s="88">
        <f t="shared" si="330"/>
        <v>0</v>
      </c>
      <c r="BP71" s="88">
        <f t="shared" si="330"/>
        <v>0</v>
      </c>
      <c r="BQ71" s="88">
        <f t="shared" si="330"/>
        <v>0</v>
      </c>
      <c r="BR71" s="88">
        <f t="shared" si="330"/>
        <v>0</v>
      </c>
      <c r="BS71" s="88">
        <f t="shared" si="330"/>
        <v>0</v>
      </c>
      <c r="BT71" s="88">
        <f t="shared" si="330"/>
        <v>0</v>
      </c>
      <c r="BU71" s="88">
        <f t="shared" si="330"/>
        <v>0</v>
      </c>
      <c r="BV71" s="88">
        <f t="shared" si="330"/>
        <v>0</v>
      </c>
      <c r="BW71" s="88">
        <f t="shared" si="330"/>
        <v>0</v>
      </c>
      <c r="BX71" s="88">
        <f t="shared" si="330"/>
        <v>0</v>
      </c>
      <c r="BY71" s="88">
        <f t="shared" si="330"/>
        <v>0</v>
      </c>
      <c r="BZ71" s="88">
        <f t="shared" si="330"/>
        <v>0</v>
      </c>
      <c r="CA71" s="88">
        <f t="shared" si="330"/>
        <v>0</v>
      </c>
      <c r="CB71" s="88">
        <f t="shared" si="330"/>
        <v>0</v>
      </c>
      <c r="CC71" s="88">
        <f t="shared" si="330"/>
        <v>0</v>
      </c>
      <c r="CD71" s="88">
        <f t="shared" si="330"/>
        <v>0</v>
      </c>
      <c r="CE71" s="88">
        <f t="shared" si="330"/>
        <v>0</v>
      </c>
      <c r="CF71" s="88">
        <f t="shared" si="330"/>
        <v>0</v>
      </c>
      <c r="CG71" s="88">
        <f t="shared" si="330"/>
        <v>0</v>
      </c>
      <c r="CH71" s="88">
        <f t="shared" si="330"/>
        <v>0</v>
      </c>
      <c r="CI71" s="88">
        <f t="shared" si="330"/>
        <v>0</v>
      </c>
      <c r="CJ71" s="88">
        <f t="shared" si="330"/>
        <v>0</v>
      </c>
      <c r="CK71" s="88">
        <f t="shared" si="330"/>
        <v>0</v>
      </c>
      <c r="CL71" s="88">
        <f t="shared" si="330"/>
        <v>0</v>
      </c>
      <c r="CM71" s="88">
        <f t="shared" si="330"/>
        <v>0</v>
      </c>
      <c r="CN71" s="88">
        <f t="shared" si="330"/>
        <v>0</v>
      </c>
      <c r="CO71" s="88">
        <f t="shared" si="330"/>
        <v>0</v>
      </c>
      <c r="CP71" s="88">
        <f t="shared" si="330"/>
        <v>0</v>
      </c>
      <c r="CQ71" s="88">
        <f t="shared" si="330"/>
        <v>0</v>
      </c>
      <c r="CR71" s="88">
        <f t="shared" si="330"/>
        <v>0</v>
      </c>
      <c r="CS71" s="88">
        <f t="shared" si="330"/>
        <v>0</v>
      </c>
      <c r="CT71" s="88">
        <f t="shared" si="330"/>
        <v>0</v>
      </c>
      <c r="CU71" s="88">
        <f t="shared" si="330"/>
        <v>0</v>
      </c>
      <c r="CV71" s="88">
        <f t="shared" si="330"/>
        <v>0</v>
      </c>
      <c r="CW71" s="88">
        <f t="shared" si="330"/>
        <v>0</v>
      </c>
      <c r="CX71" s="88">
        <f t="shared" si="330"/>
        <v>0</v>
      </c>
      <c r="CY71" s="88">
        <f t="shared" si="330"/>
        <v>0</v>
      </c>
      <c r="CZ71" s="88">
        <f t="shared" si="330"/>
        <v>0</v>
      </c>
      <c r="DA71" s="88">
        <f t="shared" si="330"/>
        <v>0</v>
      </c>
      <c r="DB71" s="88">
        <f t="shared" si="330"/>
        <v>0</v>
      </c>
      <c r="DC71" s="88">
        <f t="shared" si="330"/>
        <v>0</v>
      </c>
      <c r="DD71" s="88">
        <f t="shared" si="330"/>
        <v>0</v>
      </c>
      <c r="DE71" s="88">
        <f t="shared" si="330"/>
        <v>0</v>
      </c>
      <c r="DF71" s="88">
        <f t="shared" si="330"/>
        <v>0</v>
      </c>
      <c r="DG71" s="88">
        <f t="shared" si="330"/>
        <v>0</v>
      </c>
      <c r="DH71" s="88">
        <f t="shared" si="330"/>
        <v>0</v>
      </c>
      <c r="DI71" s="88">
        <f t="shared" si="330"/>
        <v>0</v>
      </c>
      <c r="DJ71" s="88">
        <f t="shared" si="330"/>
        <v>0</v>
      </c>
      <c r="DK71" s="88">
        <f t="shared" si="330"/>
        <v>0</v>
      </c>
      <c r="DL71" s="88">
        <f t="shared" si="330"/>
        <v>0</v>
      </c>
      <c r="DM71" s="88">
        <f t="shared" si="330"/>
        <v>0</v>
      </c>
      <c r="DN71" s="88">
        <f t="shared" si="330"/>
        <v>0</v>
      </c>
      <c r="DO71" s="88">
        <f t="shared" si="330"/>
        <v>0</v>
      </c>
      <c r="DP71" s="88">
        <f t="shared" si="330"/>
        <v>0</v>
      </c>
      <c r="DQ71" s="88">
        <f t="shared" si="330"/>
        <v>0</v>
      </c>
      <c r="DR71" s="88">
        <f t="shared" si="330"/>
        <v>0</v>
      </c>
      <c r="DS71" s="88">
        <f t="shared" si="330"/>
        <v>0</v>
      </c>
      <c r="DT71" s="88">
        <f t="shared" si="330"/>
        <v>0</v>
      </c>
      <c r="DU71" s="88">
        <f t="shared" si="330"/>
        <v>0</v>
      </c>
      <c r="DV71" s="88">
        <f t="shared" ref="DV71:EY71" si="331">0</f>
        <v>0</v>
      </c>
      <c r="DW71" s="88">
        <f t="shared" si="331"/>
        <v>0</v>
      </c>
      <c r="DX71" s="88">
        <f t="shared" si="331"/>
        <v>0</v>
      </c>
      <c r="DY71" s="88">
        <f t="shared" si="331"/>
        <v>0</v>
      </c>
      <c r="DZ71" s="88">
        <f t="shared" si="331"/>
        <v>0</v>
      </c>
      <c r="EA71" s="88">
        <f t="shared" si="331"/>
        <v>0</v>
      </c>
      <c r="EB71" s="88">
        <f t="shared" si="331"/>
        <v>0</v>
      </c>
      <c r="EC71" s="88">
        <f t="shared" si="331"/>
        <v>0</v>
      </c>
      <c r="ED71" s="88">
        <f t="shared" si="331"/>
        <v>0</v>
      </c>
      <c r="EE71" s="88">
        <f t="shared" si="331"/>
        <v>0</v>
      </c>
      <c r="EF71" s="88">
        <f t="shared" si="331"/>
        <v>0</v>
      </c>
      <c r="EG71" s="88">
        <f t="shared" si="331"/>
        <v>0</v>
      </c>
      <c r="EH71" s="88">
        <f t="shared" si="331"/>
        <v>0</v>
      </c>
      <c r="EI71" s="88">
        <f t="shared" si="331"/>
        <v>0</v>
      </c>
      <c r="EJ71" s="88">
        <f t="shared" si="331"/>
        <v>0</v>
      </c>
      <c r="EK71" s="88">
        <f t="shared" si="331"/>
        <v>0</v>
      </c>
      <c r="EL71" s="88">
        <f t="shared" si="331"/>
        <v>0</v>
      </c>
      <c r="EM71" s="88">
        <f t="shared" si="331"/>
        <v>0</v>
      </c>
      <c r="EN71" s="88">
        <f t="shared" si="331"/>
        <v>0</v>
      </c>
      <c r="EO71" s="88">
        <f t="shared" si="331"/>
        <v>0</v>
      </c>
      <c r="EP71" s="88">
        <f t="shared" si="331"/>
        <v>0</v>
      </c>
      <c r="EQ71" s="88">
        <f t="shared" si="331"/>
        <v>0</v>
      </c>
      <c r="ER71" s="88">
        <f t="shared" si="331"/>
        <v>0</v>
      </c>
      <c r="ES71" s="88">
        <f t="shared" si="331"/>
        <v>0</v>
      </c>
      <c r="ET71" s="88">
        <f t="shared" si="331"/>
        <v>0</v>
      </c>
      <c r="EU71" s="88">
        <f t="shared" si="331"/>
        <v>0</v>
      </c>
      <c r="EV71" s="88">
        <f t="shared" si="331"/>
        <v>0</v>
      </c>
      <c r="EW71" s="88">
        <f t="shared" si="331"/>
        <v>0</v>
      </c>
      <c r="EX71" s="88">
        <f t="shared" si="331"/>
        <v>0</v>
      </c>
      <c r="EY71" s="88">
        <f t="shared" si="331"/>
        <v>0</v>
      </c>
    </row>
    <row r="72">
      <c r="A72" s="181" t="s">
        <v>248</v>
      </c>
      <c r="B72" s="10">
        <f t="shared" ref="B72:DU72" si="332">0</f>
        <v>0</v>
      </c>
      <c r="C72" s="10">
        <f t="shared" si="332"/>
        <v>0</v>
      </c>
      <c r="D72" s="10">
        <f t="shared" si="332"/>
        <v>0</v>
      </c>
      <c r="E72" s="88">
        <f t="shared" si="332"/>
        <v>0</v>
      </c>
      <c r="F72" s="123">
        <f t="shared" si="332"/>
        <v>0</v>
      </c>
      <c r="G72" s="205">
        <f t="shared" si="332"/>
        <v>0</v>
      </c>
      <c r="H72" s="88">
        <f t="shared" si="332"/>
        <v>0</v>
      </c>
      <c r="I72" s="88">
        <f t="shared" si="332"/>
        <v>0</v>
      </c>
      <c r="J72" s="88">
        <f t="shared" si="332"/>
        <v>0</v>
      </c>
      <c r="K72" s="88">
        <f t="shared" si="332"/>
        <v>0</v>
      </c>
      <c r="L72" s="88">
        <f t="shared" si="332"/>
        <v>0</v>
      </c>
      <c r="M72" s="88">
        <f t="shared" si="332"/>
        <v>0</v>
      </c>
      <c r="N72" s="88">
        <f t="shared" si="332"/>
        <v>0</v>
      </c>
      <c r="O72" s="88">
        <f t="shared" si="332"/>
        <v>0</v>
      </c>
      <c r="P72" s="88">
        <f t="shared" si="332"/>
        <v>0</v>
      </c>
      <c r="Q72" s="88">
        <f t="shared" si="332"/>
        <v>0</v>
      </c>
      <c r="R72" s="88">
        <f t="shared" si="332"/>
        <v>0</v>
      </c>
      <c r="S72" s="88">
        <f t="shared" si="332"/>
        <v>0</v>
      </c>
      <c r="T72" s="88">
        <f t="shared" si="332"/>
        <v>0</v>
      </c>
      <c r="U72" s="88">
        <f t="shared" si="332"/>
        <v>0</v>
      </c>
      <c r="V72" s="88">
        <f t="shared" si="332"/>
        <v>0</v>
      </c>
      <c r="W72" s="88">
        <f t="shared" si="332"/>
        <v>0</v>
      </c>
      <c r="X72" s="88">
        <f t="shared" si="332"/>
        <v>0</v>
      </c>
      <c r="Y72" s="88">
        <f t="shared" si="332"/>
        <v>0</v>
      </c>
      <c r="Z72" s="88">
        <f t="shared" si="332"/>
        <v>0</v>
      </c>
      <c r="AA72" s="88">
        <f t="shared" si="332"/>
        <v>0</v>
      </c>
      <c r="AB72" s="88">
        <f t="shared" si="332"/>
        <v>0</v>
      </c>
      <c r="AC72" s="88">
        <f t="shared" si="332"/>
        <v>0</v>
      </c>
      <c r="AD72" s="88">
        <f t="shared" si="332"/>
        <v>0</v>
      </c>
      <c r="AE72" s="88">
        <f t="shared" si="332"/>
        <v>0</v>
      </c>
      <c r="AF72" s="88">
        <f t="shared" si="332"/>
        <v>0</v>
      </c>
      <c r="AG72" s="88">
        <f t="shared" si="332"/>
        <v>0</v>
      </c>
      <c r="AH72" s="88">
        <f t="shared" si="332"/>
        <v>0</v>
      </c>
      <c r="AI72" s="88">
        <f t="shared" si="332"/>
        <v>0</v>
      </c>
      <c r="AJ72" s="88">
        <f t="shared" si="332"/>
        <v>0</v>
      </c>
      <c r="AK72" s="88">
        <f t="shared" si="332"/>
        <v>0</v>
      </c>
      <c r="AL72" s="88">
        <f t="shared" si="332"/>
        <v>0</v>
      </c>
      <c r="AM72" s="88">
        <f t="shared" si="332"/>
        <v>0</v>
      </c>
      <c r="AN72" s="88">
        <f t="shared" si="332"/>
        <v>0</v>
      </c>
      <c r="AO72" s="88">
        <f t="shared" si="332"/>
        <v>0</v>
      </c>
      <c r="AP72" s="88">
        <f t="shared" si="332"/>
        <v>0</v>
      </c>
      <c r="AQ72" s="88">
        <f t="shared" si="332"/>
        <v>0</v>
      </c>
      <c r="AR72" s="88">
        <f t="shared" si="332"/>
        <v>0</v>
      </c>
      <c r="AS72" s="88">
        <f t="shared" si="332"/>
        <v>0</v>
      </c>
      <c r="AT72" s="88">
        <f t="shared" si="332"/>
        <v>0</v>
      </c>
      <c r="AU72" s="88">
        <f t="shared" si="332"/>
        <v>0</v>
      </c>
      <c r="AV72" s="88">
        <f t="shared" si="332"/>
        <v>0</v>
      </c>
      <c r="AW72" s="88">
        <f t="shared" si="332"/>
        <v>0</v>
      </c>
      <c r="AX72" s="88">
        <f t="shared" si="332"/>
        <v>0</v>
      </c>
      <c r="AY72" s="88">
        <f t="shared" si="332"/>
        <v>0</v>
      </c>
      <c r="AZ72" s="88">
        <f t="shared" si="332"/>
        <v>0</v>
      </c>
      <c r="BA72" s="88">
        <f t="shared" si="332"/>
        <v>0</v>
      </c>
      <c r="BB72" s="88">
        <f t="shared" si="332"/>
        <v>0</v>
      </c>
      <c r="BC72" s="88">
        <f t="shared" si="332"/>
        <v>0</v>
      </c>
      <c r="BD72" s="88">
        <f t="shared" si="332"/>
        <v>0</v>
      </c>
      <c r="BE72" s="88">
        <f t="shared" si="332"/>
        <v>0</v>
      </c>
      <c r="BF72" s="88">
        <f t="shared" si="332"/>
        <v>0</v>
      </c>
      <c r="BG72" s="88">
        <f t="shared" si="332"/>
        <v>0</v>
      </c>
      <c r="BH72" s="88">
        <f t="shared" si="332"/>
        <v>0</v>
      </c>
      <c r="BI72" s="88">
        <f t="shared" si="332"/>
        <v>0</v>
      </c>
      <c r="BJ72" s="88">
        <f t="shared" si="332"/>
        <v>0</v>
      </c>
      <c r="BK72" s="88">
        <f t="shared" si="332"/>
        <v>0</v>
      </c>
      <c r="BL72" s="88">
        <f t="shared" si="332"/>
        <v>0</v>
      </c>
      <c r="BM72" s="88">
        <f t="shared" si="332"/>
        <v>0</v>
      </c>
      <c r="BN72" s="88">
        <f t="shared" si="332"/>
        <v>0</v>
      </c>
      <c r="BO72" s="88">
        <f t="shared" si="332"/>
        <v>0</v>
      </c>
      <c r="BP72" s="88">
        <f t="shared" si="332"/>
        <v>0</v>
      </c>
      <c r="BQ72" s="88">
        <f t="shared" si="332"/>
        <v>0</v>
      </c>
      <c r="BR72" s="88">
        <f t="shared" si="332"/>
        <v>0</v>
      </c>
      <c r="BS72" s="88">
        <f t="shared" si="332"/>
        <v>0</v>
      </c>
      <c r="BT72" s="88">
        <f t="shared" si="332"/>
        <v>0</v>
      </c>
      <c r="BU72" s="88">
        <f t="shared" si="332"/>
        <v>0</v>
      </c>
      <c r="BV72" s="88">
        <f t="shared" si="332"/>
        <v>0</v>
      </c>
      <c r="BW72" s="88">
        <f t="shared" si="332"/>
        <v>0</v>
      </c>
      <c r="BX72" s="88">
        <f t="shared" si="332"/>
        <v>0</v>
      </c>
      <c r="BY72" s="88">
        <f t="shared" si="332"/>
        <v>0</v>
      </c>
      <c r="BZ72" s="88">
        <f t="shared" si="332"/>
        <v>0</v>
      </c>
      <c r="CA72" s="88">
        <f t="shared" si="332"/>
        <v>0</v>
      </c>
      <c r="CB72" s="88">
        <f t="shared" si="332"/>
        <v>0</v>
      </c>
      <c r="CC72" s="88">
        <f t="shared" si="332"/>
        <v>0</v>
      </c>
      <c r="CD72" s="88">
        <f t="shared" si="332"/>
        <v>0</v>
      </c>
      <c r="CE72" s="88">
        <f t="shared" si="332"/>
        <v>0</v>
      </c>
      <c r="CF72" s="88">
        <f t="shared" si="332"/>
        <v>0</v>
      </c>
      <c r="CG72" s="88">
        <f t="shared" si="332"/>
        <v>0</v>
      </c>
      <c r="CH72" s="88">
        <f t="shared" si="332"/>
        <v>0</v>
      </c>
      <c r="CI72" s="88">
        <f t="shared" si="332"/>
        <v>0</v>
      </c>
      <c r="CJ72" s="88">
        <f t="shared" si="332"/>
        <v>0</v>
      </c>
      <c r="CK72" s="88">
        <f t="shared" si="332"/>
        <v>0</v>
      </c>
      <c r="CL72" s="88">
        <f t="shared" si="332"/>
        <v>0</v>
      </c>
      <c r="CM72" s="88">
        <f t="shared" si="332"/>
        <v>0</v>
      </c>
      <c r="CN72" s="88">
        <f t="shared" si="332"/>
        <v>0</v>
      </c>
      <c r="CO72" s="88">
        <f t="shared" si="332"/>
        <v>0</v>
      </c>
      <c r="CP72" s="88">
        <f t="shared" si="332"/>
        <v>0</v>
      </c>
      <c r="CQ72" s="88">
        <f t="shared" si="332"/>
        <v>0</v>
      </c>
      <c r="CR72" s="88">
        <f t="shared" si="332"/>
        <v>0</v>
      </c>
      <c r="CS72" s="88">
        <f t="shared" si="332"/>
        <v>0</v>
      </c>
      <c r="CT72" s="88">
        <f t="shared" si="332"/>
        <v>0</v>
      </c>
      <c r="CU72" s="88">
        <f t="shared" si="332"/>
        <v>0</v>
      </c>
      <c r="CV72" s="88">
        <f t="shared" si="332"/>
        <v>0</v>
      </c>
      <c r="CW72" s="88">
        <f t="shared" si="332"/>
        <v>0</v>
      </c>
      <c r="CX72" s="88">
        <f t="shared" si="332"/>
        <v>0</v>
      </c>
      <c r="CY72" s="88">
        <f t="shared" si="332"/>
        <v>0</v>
      </c>
      <c r="CZ72" s="88">
        <f t="shared" si="332"/>
        <v>0</v>
      </c>
      <c r="DA72" s="88">
        <f t="shared" si="332"/>
        <v>0</v>
      </c>
      <c r="DB72" s="88">
        <f t="shared" si="332"/>
        <v>0</v>
      </c>
      <c r="DC72" s="88">
        <f t="shared" si="332"/>
        <v>0</v>
      </c>
      <c r="DD72" s="88">
        <f t="shared" si="332"/>
        <v>0</v>
      </c>
      <c r="DE72" s="88">
        <f t="shared" si="332"/>
        <v>0</v>
      </c>
      <c r="DF72" s="88">
        <f t="shared" si="332"/>
        <v>0</v>
      </c>
      <c r="DG72" s="88">
        <f t="shared" si="332"/>
        <v>0</v>
      </c>
      <c r="DH72" s="88">
        <f t="shared" si="332"/>
        <v>0</v>
      </c>
      <c r="DI72" s="88">
        <f t="shared" si="332"/>
        <v>0</v>
      </c>
      <c r="DJ72" s="88">
        <f t="shared" si="332"/>
        <v>0</v>
      </c>
      <c r="DK72" s="88">
        <f t="shared" si="332"/>
        <v>0</v>
      </c>
      <c r="DL72" s="88">
        <f t="shared" si="332"/>
        <v>0</v>
      </c>
      <c r="DM72" s="88">
        <f t="shared" si="332"/>
        <v>0</v>
      </c>
      <c r="DN72" s="88">
        <f t="shared" si="332"/>
        <v>0</v>
      </c>
      <c r="DO72" s="88">
        <f t="shared" si="332"/>
        <v>0</v>
      </c>
      <c r="DP72" s="88">
        <f t="shared" si="332"/>
        <v>0</v>
      </c>
      <c r="DQ72" s="88">
        <f t="shared" si="332"/>
        <v>0</v>
      </c>
      <c r="DR72" s="88">
        <f t="shared" si="332"/>
        <v>0</v>
      </c>
      <c r="DS72" s="88">
        <f t="shared" si="332"/>
        <v>0</v>
      </c>
      <c r="DT72" s="88">
        <f t="shared" si="332"/>
        <v>0</v>
      </c>
      <c r="DU72" s="88">
        <f t="shared" si="332"/>
        <v>0</v>
      </c>
      <c r="DV72" s="88">
        <f t="shared" ref="DV72:EY72" si="333">0</f>
        <v>0</v>
      </c>
      <c r="DW72" s="88">
        <f t="shared" si="333"/>
        <v>0</v>
      </c>
      <c r="DX72" s="88">
        <f t="shared" si="333"/>
        <v>0</v>
      </c>
      <c r="DY72" s="88">
        <f t="shared" si="333"/>
        <v>0</v>
      </c>
      <c r="DZ72" s="88">
        <f t="shared" si="333"/>
        <v>0</v>
      </c>
      <c r="EA72" s="88">
        <f t="shared" si="333"/>
        <v>0</v>
      </c>
      <c r="EB72" s="88">
        <f t="shared" si="333"/>
        <v>0</v>
      </c>
      <c r="EC72" s="88">
        <f t="shared" si="333"/>
        <v>0</v>
      </c>
      <c r="ED72" s="88">
        <f t="shared" si="333"/>
        <v>0</v>
      </c>
      <c r="EE72" s="88">
        <f t="shared" si="333"/>
        <v>0</v>
      </c>
      <c r="EF72" s="88">
        <f t="shared" si="333"/>
        <v>0</v>
      </c>
      <c r="EG72" s="88">
        <f t="shared" si="333"/>
        <v>0</v>
      </c>
      <c r="EH72" s="88">
        <f t="shared" si="333"/>
        <v>0</v>
      </c>
      <c r="EI72" s="88">
        <f t="shared" si="333"/>
        <v>0</v>
      </c>
      <c r="EJ72" s="88">
        <f t="shared" si="333"/>
        <v>0</v>
      </c>
      <c r="EK72" s="88">
        <f t="shared" si="333"/>
        <v>0</v>
      </c>
      <c r="EL72" s="88">
        <f t="shared" si="333"/>
        <v>0</v>
      </c>
      <c r="EM72" s="88">
        <f t="shared" si="333"/>
        <v>0</v>
      </c>
      <c r="EN72" s="88">
        <f t="shared" si="333"/>
        <v>0</v>
      </c>
      <c r="EO72" s="88">
        <f t="shared" si="333"/>
        <v>0</v>
      </c>
      <c r="EP72" s="88">
        <f t="shared" si="333"/>
        <v>0</v>
      </c>
      <c r="EQ72" s="88">
        <f t="shared" si="333"/>
        <v>0</v>
      </c>
      <c r="ER72" s="88">
        <f t="shared" si="333"/>
        <v>0</v>
      </c>
      <c r="ES72" s="88">
        <f t="shared" si="333"/>
        <v>0</v>
      </c>
      <c r="ET72" s="88">
        <f t="shared" si="333"/>
        <v>0</v>
      </c>
      <c r="EU72" s="88">
        <f t="shared" si="333"/>
        <v>0</v>
      </c>
      <c r="EV72" s="88">
        <f t="shared" si="333"/>
        <v>0</v>
      </c>
      <c r="EW72" s="88">
        <f t="shared" si="333"/>
        <v>0</v>
      </c>
      <c r="EX72" s="88">
        <f t="shared" si="333"/>
        <v>0</v>
      </c>
      <c r="EY72" s="88">
        <f t="shared" si="333"/>
        <v>0</v>
      </c>
    </row>
    <row r="73">
      <c r="F73" s="123"/>
      <c r="G73" s="205"/>
    </row>
    <row r="74">
      <c r="F74" s="123"/>
      <c r="G74" s="205"/>
    </row>
    <row r="75">
      <c r="F75" s="123"/>
      <c r="G75" s="205"/>
    </row>
    <row r="76">
      <c r="F76" s="123"/>
      <c r="G76" s="205"/>
    </row>
    <row r="77">
      <c r="F77" s="123"/>
      <c r="G77" s="205"/>
    </row>
    <row r="78">
      <c r="F78" s="123"/>
      <c r="G78" s="205"/>
    </row>
    <row r="79">
      <c r="F79" s="123"/>
      <c r="G79" s="205"/>
    </row>
    <row r="80">
      <c r="F80" s="123"/>
      <c r="G80" s="205"/>
    </row>
    <row r="81">
      <c r="F81" s="123"/>
      <c r="G81" s="205"/>
    </row>
    <row r="82">
      <c r="F82" s="123"/>
      <c r="G82" s="205"/>
    </row>
    <row r="83">
      <c r="F83" s="123"/>
      <c r="G83" s="205"/>
    </row>
    <row r="84">
      <c r="F84" s="123"/>
      <c r="G84" s="205"/>
    </row>
    <row r="85">
      <c r="F85" s="123"/>
      <c r="G85" s="205"/>
    </row>
    <row r="86">
      <c r="F86" s="123"/>
      <c r="G86" s="205"/>
    </row>
    <row r="87">
      <c r="F87" s="123"/>
      <c r="G87" s="205"/>
    </row>
    <row r="88">
      <c r="F88" s="123"/>
      <c r="G88" s="205"/>
    </row>
    <row r="89">
      <c r="F89" s="123"/>
      <c r="G89" s="205"/>
    </row>
    <row r="90">
      <c r="F90" s="123"/>
      <c r="G90" s="205"/>
    </row>
    <row r="91">
      <c r="F91" s="123"/>
      <c r="G91" s="205"/>
    </row>
    <row r="92">
      <c r="F92" s="123"/>
      <c r="G92" s="205"/>
    </row>
    <row r="93">
      <c r="F93" s="123"/>
      <c r="G93" s="205"/>
    </row>
    <row r="94">
      <c r="F94" s="123"/>
      <c r="G94" s="205"/>
    </row>
    <row r="95">
      <c r="F95" s="123"/>
      <c r="G95" s="205"/>
    </row>
    <row r="96">
      <c r="F96" s="123"/>
      <c r="G96" s="205"/>
    </row>
    <row r="97">
      <c r="F97" s="123"/>
      <c r="G97" s="205"/>
    </row>
    <row r="98">
      <c r="F98" s="123"/>
      <c r="G98" s="205"/>
    </row>
    <row r="99">
      <c r="F99" s="123"/>
      <c r="G99" s="205"/>
    </row>
    <row r="100">
      <c r="F100" s="123"/>
      <c r="G100" s="205"/>
    </row>
    <row r="101">
      <c r="F101" s="123"/>
      <c r="G101" s="205"/>
    </row>
    <row r="102">
      <c r="F102" s="123"/>
      <c r="G102" s="205"/>
    </row>
    <row r="103">
      <c r="F103" s="123"/>
      <c r="G103" s="205"/>
    </row>
    <row r="104">
      <c r="F104" s="123"/>
      <c r="G104" s="205"/>
    </row>
    <row r="105">
      <c r="F105" s="123"/>
      <c r="G105" s="205"/>
    </row>
    <row r="106">
      <c r="F106" s="123"/>
      <c r="G106" s="205"/>
    </row>
    <row r="107">
      <c r="F107" s="123"/>
      <c r="G107" s="205"/>
    </row>
    <row r="108">
      <c r="F108" s="123"/>
      <c r="G108" s="205"/>
    </row>
    <row r="109">
      <c r="F109" s="123"/>
      <c r="G109" s="205"/>
    </row>
    <row r="110">
      <c r="F110" s="123"/>
      <c r="G110" s="205"/>
    </row>
    <row r="111">
      <c r="F111" s="123"/>
      <c r="G111" s="205"/>
    </row>
    <row r="112">
      <c r="F112" s="123"/>
      <c r="G112" s="205"/>
    </row>
    <row r="113">
      <c r="F113" s="123"/>
      <c r="G113" s="205"/>
    </row>
    <row r="114">
      <c r="F114" s="123"/>
      <c r="G114" s="205"/>
    </row>
    <row r="115">
      <c r="F115" s="123"/>
      <c r="G115" s="205"/>
    </row>
    <row r="116">
      <c r="F116" s="123"/>
      <c r="G116" s="20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8.67"/>
    <col customWidth="1" min="2" max="2" width="18.11"/>
    <col customWidth="1" min="3" max="3" width="18.44"/>
    <col customWidth="1" min="4" max="4" width="21.56"/>
    <col customWidth="1" min="5" max="5" width="24.67"/>
    <col customWidth="1" min="6" max="6" width="18.78"/>
    <col customWidth="1" min="7" max="7" width="15.11"/>
    <col customWidth="1" min="8" max="8" width="16.78"/>
    <col customWidth="1" min="9" max="9" width="16.22"/>
  </cols>
  <sheetData>
    <row r="2">
      <c r="A2" s="4" t="s">
        <v>69</v>
      </c>
      <c r="B2" s="4" t="s">
        <v>516</v>
      </c>
      <c r="C2" s="4" t="s">
        <v>670</v>
      </c>
      <c r="D2" s="4" t="s">
        <v>635</v>
      </c>
      <c r="E2" s="4" t="s">
        <v>536</v>
      </c>
      <c r="F2" s="4" t="s">
        <v>587</v>
      </c>
      <c r="G2" s="4" t="s">
        <v>636</v>
      </c>
      <c r="H2" s="4" t="s">
        <v>637</v>
      </c>
      <c r="I2" s="4" t="s">
        <v>638</v>
      </c>
      <c r="J2" s="4"/>
      <c r="K2" s="4"/>
    </row>
    <row r="3">
      <c r="A3" s="4" t="s">
        <v>411</v>
      </c>
      <c r="B3" s="4" t="s">
        <v>671</v>
      </c>
      <c r="C3" s="4" t="s">
        <v>671</v>
      </c>
      <c r="D3" s="4" t="s">
        <v>672</v>
      </c>
      <c r="E3" s="4" t="s">
        <v>673</v>
      </c>
      <c r="F3" s="4" t="s">
        <v>674</v>
      </c>
      <c r="G3" s="4" t="s">
        <v>675</v>
      </c>
      <c r="H3" s="4" t="s">
        <v>676</v>
      </c>
      <c r="I3" s="4" t="s">
        <v>677</v>
      </c>
      <c r="J3" s="4"/>
      <c r="K3" s="4"/>
    </row>
    <row r="4">
      <c r="A4" s="4" t="s">
        <v>422</v>
      </c>
      <c r="B4" s="10" t="str">
        <f>IFERROR(__xludf.DUMMYFUNCTION("ROUND(INDIRECT(ADDRESS(ROW() + 8, COLUMN() + 1)) * (1.8% + (0.4% * (REGEXEXTRACT(INDIRECT(ADDRESS(ROW() - 1, COLUMN() - 5)), ""[\d]"") - 1))))"),"#VALUE!")</f>
        <v>#VALUE!</v>
      </c>
      <c r="C4" s="10" t="str">
        <f>IFERROR(__xludf.DUMMYFUNCTION("ROUND(INDIRECT(ADDRESS(ROW() + 8, COLUMN() + 1)) * (0.8% + (0.2% * (REGEXEXTRACT(INDIRECT(ADDRESS(ROW() - 1, COLUMN() - 5)), ""[\d]"") - 1))))"),"#VALUE!")</f>
        <v>#VALUE!</v>
      </c>
      <c r="D4" s="88" t="str">
        <f>IFERROR(__xludf.DUMMYFUNCTION("ROUND(INDIRECT(ADDRESS(ROW() + 7, COLUMN() + 1)) * (52% + (13% * (REGEXEXTRACT(INDIRECT(ADDRESS(ROW() - 1, COLUMN() - 5)), ""[\d]"") - 1))))"),"#VALUE!")</f>
        <v>#VALUE!</v>
      </c>
      <c r="F4" s="88" t="str">
        <f>IFERROR(__xludf.DUMMYFUNCTION("ROUND(INDIRECT(ADDRESS(ROW() + 8, COLUMN() + 1)) * (1.2% + (0.3% * (REGEXEXTRACT(INDIRECT(ADDRESS(ROW() - 1, COLUMN() - 5)), ""[\d]"") - 1))))"),"#N/A")</f>
        <v>#N/A</v>
      </c>
      <c r="H4" s="88" t="str">
        <f>IFERROR(__xludf.DUMMYFUNCTION("ROUND(INDIRECT(ADDRESS(ROW() + 7, COLUMN() + 1)) * (24% + (6% * (REGEXEXTRACT(INDIRECT(ADDRESS(ROW() - 1, COLUMN() - 5)), ""[\d]"") - 1))))"),"#N/A")</f>
        <v>#N/A</v>
      </c>
      <c r="I4" s="88" t="str">
        <f>IFERROR(__xludf.DUMMYFUNCTION("ROUND(INDIRECT(ADDRESS(ROW() + 7, COLUMN() + 1)) * (24% + (6% * (REGEXEXTRACT(INDIRECT(ADDRESS(ROW() - 1, COLUMN() - 5)), ""[\d]"") - 1))))"),"#N/A")</f>
        <v>#N/A</v>
      </c>
    </row>
    <row r="5">
      <c r="A5" s="4" t="s">
        <v>160</v>
      </c>
      <c r="E5" s="88" t="str">
        <f>IFERROR(__xludf.DUMMYFUNCTION("ROUND(MAX(0, MIN(80 + (10 * (REGEXEXTRACT(INDIRECT(ADDRESS(ROW() - 2, COLUMN() - 5)), ""[\d]"") - 1)), (28% + (REGEXEXTRACT(INDIRECT(ADDRESS(ROW() - 2, COLUMN() - 5)), ""[\d]"") - 1) * 7%) * (INDIRECT(ADDRESS(ROW() + 5, COLUMN() + 1)) - 100))))"),"#VALUE!")</f>
        <v>#VALUE!</v>
      </c>
    </row>
    <row r="6">
      <c r="A6" s="181" t="s">
        <v>423</v>
      </c>
    </row>
    <row r="7">
      <c r="A7" s="181" t="s">
        <v>424</v>
      </c>
    </row>
    <row r="8">
      <c r="A8" s="181" t="s">
        <v>425</v>
      </c>
    </row>
    <row r="9">
      <c r="A9" s="181" t="s">
        <v>161</v>
      </c>
    </row>
    <row r="10">
      <c r="A10" s="181" t="s">
        <v>164</v>
      </c>
      <c r="G10" s="88" t="str">
        <f>IFERROR(__xludf.DUMMYFUNCTION("ROUND(INDIRECT(ADDRESS(ROW() + 1, COLUMN() + 1)) * (0.036 + (0.009 * (REGEXEXTRACT(INDIRECT(ADDRESS(ROW() - 7, COLUMN() - 5)), ""[\d]"") - 1))))"),"#N/A")</f>
        <v>#N/A</v>
      </c>
    </row>
    <row r="11">
      <c r="A11" s="181" t="s">
        <v>165</v>
      </c>
    </row>
    <row r="12">
      <c r="A12" s="181" t="s">
        <v>426</v>
      </c>
    </row>
    <row r="13">
      <c r="A13" s="181" t="s">
        <v>154</v>
      </c>
    </row>
    <row r="14">
      <c r="A14" s="181" t="s">
        <v>189</v>
      </c>
    </row>
    <row r="15">
      <c r="A15" s="181" t="s">
        <v>190</v>
      </c>
    </row>
    <row r="16">
      <c r="A16" s="181" t="s">
        <v>191</v>
      </c>
    </row>
    <row r="17">
      <c r="A17" s="181" t="s">
        <v>192</v>
      </c>
    </row>
    <row r="18">
      <c r="A18" s="181" t="s">
        <v>193</v>
      </c>
    </row>
    <row r="19">
      <c r="A19" s="181" t="s">
        <v>194</v>
      </c>
    </row>
    <row r="20">
      <c r="A20" s="181" t="s">
        <v>195</v>
      </c>
    </row>
    <row r="21">
      <c r="A21" s="181" t="s">
        <v>196</v>
      </c>
    </row>
    <row r="22">
      <c r="A22" s="181" t="s">
        <v>197</v>
      </c>
    </row>
    <row r="23">
      <c r="A23" s="181" t="s">
        <v>198</v>
      </c>
    </row>
    <row r="24">
      <c r="A24" s="181" t="s">
        <v>199</v>
      </c>
    </row>
    <row r="25">
      <c r="A25" s="181" t="s">
        <v>200</v>
      </c>
    </row>
    <row r="26">
      <c r="A26" s="181" t="s">
        <v>201</v>
      </c>
    </row>
    <row r="27">
      <c r="A27" s="181" t="s">
        <v>202</v>
      </c>
    </row>
    <row r="28">
      <c r="A28" s="181" t="s">
        <v>203</v>
      </c>
    </row>
    <row r="29">
      <c r="A29" s="181" t="s">
        <v>204</v>
      </c>
    </row>
    <row r="30">
      <c r="A30" s="181" t="s">
        <v>205</v>
      </c>
    </row>
    <row r="31">
      <c r="A31" s="181" t="s">
        <v>206</v>
      </c>
    </row>
    <row r="32">
      <c r="A32" s="181" t="s">
        <v>207</v>
      </c>
    </row>
    <row r="33">
      <c r="A33" s="181" t="s">
        <v>208</v>
      </c>
    </row>
    <row r="34">
      <c r="A34" s="181" t="s">
        <v>209</v>
      </c>
    </row>
    <row r="35">
      <c r="A35" s="181" t="s">
        <v>210</v>
      </c>
    </row>
    <row r="36">
      <c r="A36" s="181" t="s">
        <v>211</v>
      </c>
    </row>
    <row r="37">
      <c r="A37" s="181" t="s">
        <v>212</v>
      </c>
    </row>
    <row r="38">
      <c r="A38" s="181" t="s">
        <v>213</v>
      </c>
    </row>
    <row r="39">
      <c r="A39" s="181" t="s">
        <v>214</v>
      </c>
    </row>
    <row r="40">
      <c r="A40" s="181" t="s">
        <v>215</v>
      </c>
    </row>
    <row r="41">
      <c r="A41" s="181" t="s">
        <v>216</v>
      </c>
    </row>
    <row r="42">
      <c r="A42" s="181" t="s">
        <v>217</v>
      </c>
    </row>
    <row r="43">
      <c r="A43" s="181" t="s">
        <v>218</v>
      </c>
    </row>
    <row r="44">
      <c r="A44" s="181" t="s">
        <v>219</v>
      </c>
    </row>
    <row r="45">
      <c r="A45" s="181" t="s">
        <v>220</v>
      </c>
    </row>
    <row r="46">
      <c r="A46" s="181" t="s">
        <v>221</v>
      </c>
    </row>
    <row r="47">
      <c r="A47" s="181" t="s">
        <v>222</v>
      </c>
    </row>
    <row r="48">
      <c r="A48" s="181" t="s">
        <v>223</v>
      </c>
    </row>
    <row r="49">
      <c r="A49" s="181" t="s">
        <v>224</v>
      </c>
    </row>
    <row r="50">
      <c r="A50" s="181" t="s">
        <v>225</v>
      </c>
    </row>
    <row r="51">
      <c r="A51" s="181" t="s">
        <v>226</v>
      </c>
    </row>
    <row r="52">
      <c r="A52" s="181" t="s">
        <v>227</v>
      </c>
    </row>
    <row r="53">
      <c r="A53" s="181" t="s">
        <v>228</v>
      </c>
    </row>
    <row r="54">
      <c r="A54" s="181" t="s">
        <v>229</v>
      </c>
    </row>
    <row r="55">
      <c r="A55" s="181" t="s">
        <v>230</v>
      </c>
    </row>
    <row r="56">
      <c r="A56" s="181" t="s">
        <v>231</v>
      </c>
    </row>
    <row r="57">
      <c r="A57" s="181" t="s">
        <v>232</v>
      </c>
    </row>
    <row r="58">
      <c r="A58" s="181" t="s">
        <v>233</v>
      </c>
    </row>
    <row r="59">
      <c r="A59" s="181" t="s">
        <v>234</v>
      </c>
    </row>
    <row r="60">
      <c r="A60" s="181" t="s">
        <v>235</v>
      </c>
    </row>
    <row r="61">
      <c r="A61" s="181" t="s">
        <v>236</v>
      </c>
    </row>
    <row r="62">
      <c r="A62" s="181" t="s">
        <v>237</v>
      </c>
    </row>
    <row r="63">
      <c r="A63" s="181" t="s">
        <v>238</v>
      </c>
    </row>
    <row r="64">
      <c r="A64" s="181" t="s">
        <v>239</v>
      </c>
    </row>
    <row r="65">
      <c r="A65" s="181" t="s">
        <v>240</v>
      </c>
    </row>
    <row r="66">
      <c r="A66" s="181" t="s">
        <v>241</v>
      </c>
    </row>
    <row r="67">
      <c r="A67" s="181" t="s">
        <v>242</v>
      </c>
    </row>
    <row r="68">
      <c r="A68" s="181" t="s">
        <v>243</v>
      </c>
    </row>
    <row r="69">
      <c r="A69" s="181" t="s">
        <v>244</v>
      </c>
    </row>
    <row r="70">
      <c r="A70" s="181" t="s">
        <v>408</v>
      </c>
    </row>
    <row r="71">
      <c r="A71" s="181" t="s">
        <v>409</v>
      </c>
    </row>
    <row r="72">
      <c r="A72" s="181" t="s">
        <v>410</v>
      </c>
    </row>
    <row r="73">
      <c r="A73" s="181" t="s">
        <v>248</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sheetData>
    <row r="2">
      <c r="A2" s="4" t="s">
        <v>69</v>
      </c>
      <c r="B2" s="1" t="s">
        <v>611</v>
      </c>
      <c r="C2" s="2"/>
      <c r="D2" s="2"/>
      <c r="E2" s="3"/>
      <c r="F2" s="1" t="s">
        <v>582</v>
      </c>
      <c r="G2" s="2"/>
      <c r="H2" s="2"/>
      <c r="I2" s="3"/>
      <c r="J2" s="1" t="s">
        <v>566</v>
      </c>
      <c r="K2" s="2"/>
      <c r="L2" s="2"/>
      <c r="M2" s="3"/>
      <c r="N2" s="1" t="s">
        <v>630</v>
      </c>
      <c r="O2" s="2"/>
      <c r="P2" s="2"/>
      <c r="Q2" s="3"/>
      <c r="R2" s="1" t="s">
        <v>643</v>
      </c>
      <c r="S2" s="2"/>
      <c r="T2" s="2"/>
      <c r="U2" s="3"/>
    </row>
    <row r="3">
      <c r="A3" s="4" t="s">
        <v>427</v>
      </c>
      <c r="B3" s="4" t="s">
        <v>152</v>
      </c>
      <c r="C3" s="4" t="s">
        <v>120</v>
      </c>
      <c r="D3" s="4" t="s">
        <v>153</v>
      </c>
      <c r="E3" s="4" t="s">
        <v>165</v>
      </c>
      <c r="F3" s="4" t="s">
        <v>152</v>
      </c>
      <c r="G3" s="4" t="s">
        <v>120</v>
      </c>
      <c r="H3" s="4" t="s">
        <v>153</v>
      </c>
      <c r="I3" s="4" t="s">
        <v>165</v>
      </c>
      <c r="J3" s="4" t="s">
        <v>152</v>
      </c>
      <c r="K3" s="4" t="s">
        <v>120</v>
      </c>
      <c r="L3" s="4" t="s">
        <v>153</v>
      </c>
      <c r="M3" s="4" t="s">
        <v>165</v>
      </c>
      <c r="N3" s="4" t="s">
        <v>152</v>
      </c>
      <c r="O3" s="4" t="s">
        <v>120</v>
      </c>
      <c r="P3" s="4" t="s">
        <v>153</v>
      </c>
      <c r="Q3" s="4" t="s">
        <v>165</v>
      </c>
      <c r="R3" s="4" t="s">
        <v>152</v>
      </c>
      <c r="S3" s="4" t="s">
        <v>120</v>
      </c>
      <c r="T3" s="4" t="s">
        <v>153</v>
      </c>
      <c r="U3" s="4" t="s">
        <v>165</v>
      </c>
    </row>
    <row r="4">
      <c r="A4" s="4" t="s">
        <v>180</v>
      </c>
      <c r="B4" s="88">
        <f t="shared" ref="B4:B8" si="3">0</f>
        <v>0</v>
      </c>
      <c r="C4" s="88" t="str">
        <f>IFERROR(__xludf.DUMMYFUNCTION("40 + ((REGEXEXTRACT(INDIRECT(ADDRESS(ROW() + 1, COLUMN() - 10)), ""[\d]"") - 1) * 10)"),"#VALUE!")</f>
        <v>#VALUE!</v>
      </c>
      <c r="D4" s="88">
        <f t="shared" ref="D4:O4" si="1">0</f>
        <v>0</v>
      </c>
      <c r="E4" s="183">
        <f t="shared" si="1"/>
        <v>0</v>
      </c>
      <c r="F4" s="88">
        <f t="shared" si="1"/>
        <v>0</v>
      </c>
      <c r="G4" s="88">
        <f t="shared" si="1"/>
        <v>0</v>
      </c>
      <c r="H4" s="88">
        <f t="shared" si="1"/>
        <v>0</v>
      </c>
      <c r="I4" s="183">
        <f t="shared" si="1"/>
        <v>0</v>
      </c>
      <c r="J4" s="88">
        <f t="shared" si="1"/>
        <v>0</v>
      </c>
      <c r="K4" s="88">
        <f t="shared" si="1"/>
        <v>0</v>
      </c>
      <c r="L4" s="88">
        <f t="shared" si="1"/>
        <v>0</v>
      </c>
      <c r="M4" s="183">
        <f t="shared" si="1"/>
        <v>0</v>
      </c>
      <c r="N4" s="88">
        <f t="shared" si="1"/>
        <v>0</v>
      </c>
      <c r="O4" s="88">
        <f t="shared" si="1"/>
        <v>0</v>
      </c>
      <c r="P4" s="88" t="str">
        <f>IFERROR(__xludf.DUMMYFUNCTION("1 + ((REGEXEXTRACT(INDIRECT(ADDRESS(ROW() + 1, COLUMN() - 11)), ""[\d]"") - 1) * 0.5)"),"#VALUE!")</f>
        <v>#VALUE!</v>
      </c>
      <c r="Q4" s="183">
        <f t="shared" ref="Q4:T4" si="2">0</f>
        <v>0</v>
      </c>
      <c r="R4" s="88">
        <f t="shared" si="2"/>
        <v>0</v>
      </c>
      <c r="S4" s="88">
        <f t="shared" si="2"/>
        <v>0</v>
      </c>
      <c r="T4" s="88">
        <f t="shared" si="2"/>
        <v>0</v>
      </c>
      <c r="U4" s="183" t="str">
        <f>IFERROR(__xludf.DUMMYFUNCTION("120 + 30 * ((REGEXEXTRACT(INDIRECT(ADDRESS(ROW() + 1, 4)), ""[\d]"") - 1))"),"#VALUE!")</f>
        <v>#VALUE!</v>
      </c>
    </row>
    <row r="5">
      <c r="A5" s="4" t="s">
        <v>183</v>
      </c>
      <c r="B5" s="88">
        <f t="shared" si="3"/>
        <v>0</v>
      </c>
      <c r="C5" s="88" t="str">
        <f>IFERROR(__xludf.DUMMYFUNCTION("40 + ((REGEXEXTRACT(INDIRECT(ADDRESS(ROW(), COLUMN() - 10)), ""[\d]"") - 1) * 10)"),"#VALUE!")</f>
        <v>#VALUE!</v>
      </c>
      <c r="D5" s="88">
        <f t="shared" ref="D5:L5" si="4">0</f>
        <v>0</v>
      </c>
      <c r="E5" s="183">
        <f t="shared" si="4"/>
        <v>0</v>
      </c>
      <c r="F5" s="88">
        <f t="shared" si="4"/>
        <v>0</v>
      </c>
      <c r="G5" s="88">
        <f t="shared" si="4"/>
        <v>0</v>
      </c>
      <c r="H5" s="88">
        <f t="shared" si="4"/>
        <v>0</v>
      </c>
      <c r="I5" s="183">
        <f t="shared" si="4"/>
        <v>0</v>
      </c>
      <c r="J5" s="88">
        <f t="shared" si="4"/>
        <v>0</v>
      </c>
      <c r="K5" s="88">
        <f t="shared" si="4"/>
        <v>0</v>
      </c>
      <c r="L5" s="88">
        <f t="shared" si="4"/>
        <v>0</v>
      </c>
      <c r="M5" s="183" t="str">
        <f>IFERROR(__xludf.DUMMYFUNCTION("160 + 40 * ((REGEXEXTRACT(INDIRECT(ADDRESS(ROW(), COLUMN() - 12)), ""[\d]"") - 1))"),"#N/A")</f>
        <v>#N/A</v>
      </c>
      <c r="N5" s="88">
        <f t="shared" ref="N5:U5" si="5">0</f>
        <v>0</v>
      </c>
      <c r="O5" s="88">
        <f t="shared" si="5"/>
        <v>0</v>
      </c>
      <c r="P5" s="88">
        <f t="shared" si="5"/>
        <v>0</v>
      </c>
      <c r="Q5" s="183">
        <f t="shared" si="5"/>
        <v>0</v>
      </c>
      <c r="R5" s="88">
        <f t="shared" si="5"/>
        <v>0</v>
      </c>
      <c r="S5" s="88">
        <f t="shared" si="5"/>
        <v>0</v>
      </c>
      <c r="T5" s="88">
        <f t="shared" si="5"/>
        <v>0</v>
      </c>
      <c r="U5" s="183">
        <f t="shared" si="5"/>
        <v>0</v>
      </c>
    </row>
    <row r="6">
      <c r="A6" s="4" t="s">
        <v>184</v>
      </c>
      <c r="B6" s="88">
        <f t="shared" si="3"/>
        <v>0</v>
      </c>
      <c r="C6" s="88">
        <f t="shared" ref="C6:U6" si="6">0</f>
        <v>0</v>
      </c>
      <c r="D6" s="88">
        <f t="shared" si="6"/>
        <v>0</v>
      </c>
      <c r="E6" s="183">
        <f t="shared" si="6"/>
        <v>0</v>
      </c>
      <c r="F6" s="88">
        <f t="shared" si="6"/>
        <v>0</v>
      </c>
      <c r="G6" s="88">
        <f t="shared" si="6"/>
        <v>0</v>
      </c>
      <c r="H6" s="88">
        <f t="shared" si="6"/>
        <v>0</v>
      </c>
      <c r="I6" s="183">
        <f t="shared" si="6"/>
        <v>0</v>
      </c>
      <c r="J6" s="88">
        <f t="shared" si="6"/>
        <v>0</v>
      </c>
      <c r="K6" s="88">
        <f t="shared" si="6"/>
        <v>0</v>
      </c>
      <c r="L6" s="88">
        <f t="shared" si="6"/>
        <v>0</v>
      </c>
      <c r="M6" s="183">
        <f t="shared" si="6"/>
        <v>0</v>
      </c>
      <c r="N6" s="88">
        <f t="shared" si="6"/>
        <v>0</v>
      </c>
      <c r="O6" s="88">
        <f t="shared" si="6"/>
        <v>0</v>
      </c>
      <c r="P6" s="88">
        <f t="shared" si="6"/>
        <v>0</v>
      </c>
      <c r="Q6" s="183">
        <f t="shared" si="6"/>
        <v>0</v>
      </c>
      <c r="R6" s="88">
        <f t="shared" si="6"/>
        <v>0</v>
      </c>
      <c r="S6" s="88">
        <f t="shared" si="6"/>
        <v>0</v>
      </c>
      <c r="T6" s="88">
        <f t="shared" si="6"/>
        <v>0</v>
      </c>
      <c r="U6" s="183">
        <f t="shared" si="6"/>
        <v>0</v>
      </c>
    </row>
    <row r="7">
      <c r="A7" s="4" t="s">
        <v>185</v>
      </c>
      <c r="B7" s="88">
        <f t="shared" si="3"/>
        <v>0</v>
      </c>
      <c r="C7" s="88">
        <f t="shared" ref="C7:F7" si="7">0</f>
        <v>0</v>
      </c>
      <c r="D7" s="88">
        <f t="shared" si="7"/>
        <v>0</v>
      </c>
      <c r="E7" s="183">
        <f t="shared" si="7"/>
        <v>0</v>
      </c>
      <c r="F7" s="88">
        <f t="shared" si="7"/>
        <v>0</v>
      </c>
      <c r="G7" s="88" t="str">
        <f>IFERROR(__xludf.DUMMYFUNCTION("40 + ((REGEXEXTRACT(INDIRECT(ADDRESS(ROW() - 2, COLUMN() - 10)), ""[\d]"") - 1) * 10)"),"#VALUE!")</f>
        <v>#VALUE!</v>
      </c>
      <c r="H7" s="88">
        <f t="shared" ref="H7:T7" si="8">0</f>
        <v>0</v>
      </c>
      <c r="I7" s="183">
        <f t="shared" si="8"/>
        <v>0</v>
      </c>
      <c r="J7" s="88">
        <f t="shared" si="8"/>
        <v>0</v>
      </c>
      <c r="K7" s="88">
        <f t="shared" si="8"/>
        <v>0</v>
      </c>
      <c r="L7" s="88">
        <f t="shared" si="8"/>
        <v>0</v>
      </c>
      <c r="M7" s="183">
        <f t="shared" si="8"/>
        <v>0</v>
      </c>
      <c r="N7" s="88">
        <f t="shared" si="8"/>
        <v>0</v>
      </c>
      <c r="O7" s="88">
        <f t="shared" si="8"/>
        <v>0</v>
      </c>
      <c r="P7" s="88">
        <f t="shared" si="8"/>
        <v>0</v>
      </c>
      <c r="Q7" s="183">
        <f t="shared" si="8"/>
        <v>0</v>
      </c>
      <c r="R7" s="88">
        <f t="shared" si="8"/>
        <v>0</v>
      </c>
      <c r="S7" s="88">
        <f t="shared" si="8"/>
        <v>0</v>
      </c>
      <c r="T7" s="88">
        <f t="shared" si="8"/>
        <v>0</v>
      </c>
      <c r="U7" s="183" t="str">
        <f>IFERROR(__xludf.DUMMYFUNCTION("120 + 30 * ((REGEXEXTRACT(INDIRECT(ADDRESS(ROW() -2, 4)), ""[\d]"") - 1))"),"#VALUE!")</f>
        <v>#VALUE!</v>
      </c>
    </row>
    <row r="8">
      <c r="A8" s="4" t="s">
        <v>186</v>
      </c>
      <c r="B8" s="184">
        <f t="shared" si="3"/>
        <v>0</v>
      </c>
      <c r="C8" s="184">
        <f t="shared" ref="C8:U8" si="9">0</f>
        <v>0</v>
      </c>
      <c r="D8" s="184">
        <f t="shared" si="9"/>
        <v>0</v>
      </c>
      <c r="E8" s="185">
        <f t="shared" si="9"/>
        <v>0</v>
      </c>
      <c r="F8" s="184">
        <f t="shared" si="9"/>
        <v>0</v>
      </c>
      <c r="G8" s="184">
        <f t="shared" si="9"/>
        <v>0</v>
      </c>
      <c r="H8" s="184">
        <f t="shared" si="9"/>
        <v>0</v>
      </c>
      <c r="I8" s="185">
        <f t="shared" si="9"/>
        <v>0</v>
      </c>
      <c r="J8" s="184">
        <f t="shared" si="9"/>
        <v>0</v>
      </c>
      <c r="K8" s="184">
        <f t="shared" si="9"/>
        <v>0</v>
      </c>
      <c r="L8" s="184">
        <f t="shared" si="9"/>
        <v>0</v>
      </c>
      <c r="M8" s="185">
        <f t="shared" si="9"/>
        <v>0</v>
      </c>
      <c r="N8" s="184">
        <f t="shared" si="9"/>
        <v>0</v>
      </c>
      <c r="O8" s="184">
        <f t="shared" si="9"/>
        <v>0</v>
      </c>
      <c r="P8" s="184">
        <f t="shared" si="9"/>
        <v>0</v>
      </c>
      <c r="Q8" s="185">
        <f t="shared" si="9"/>
        <v>0</v>
      </c>
      <c r="R8" s="184">
        <f t="shared" si="9"/>
        <v>0</v>
      </c>
      <c r="S8" s="184">
        <f t="shared" si="9"/>
        <v>0</v>
      </c>
      <c r="T8" s="184">
        <f t="shared" si="9"/>
        <v>0</v>
      </c>
      <c r="U8" s="185">
        <f t="shared" si="9"/>
        <v>0</v>
      </c>
    </row>
  </sheetData>
  <mergeCells count="5">
    <mergeCell ref="B2:E2"/>
    <mergeCell ref="F2:I2"/>
    <mergeCell ref="J2:M2"/>
    <mergeCell ref="N2:Q2"/>
    <mergeCell ref="R2:U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2" max="2" width="20.89"/>
    <col customWidth="1" min="3" max="3" width="21.11"/>
    <col customWidth="1" min="4" max="4" width="21.22"/>
    <col customWidth="1" min="5" max="5" width="20.67"/>
    <col customWidth="1" min="6" max="6" width="21.11"/>
    <col customWidth="1" min="7" max="7" width="20.44"/>
    <col customWidth="1" min="8" max="8" width="19.78"/>
    <col customWidth="1" min="9" max="9" width="14.11"/>
    <col customWidth="1" min="10" max="10" width="14.33"/>
    <col customWidth="1" min="11" max="11" width="21.56"/>
    <col customWidth="1" min="13" max="14" width="26.33"/>
    <col customWidth="1" min="15" max="15" width="14.11"/>
    <col customWidth="1" min="16" max="16" width="15.44"/>
    <col customWidth="1" min="17" max="17" width="20.89"/>
    <col customWidth="1" min="18" max="18" width="13.89"/>
    <col customWidth="1" min="19" max="19" width="13.78"/>
    <col customWidth="1" min="20" max="20" width="16.33"/>
    <col customWidth="1" min="21" max="21" width="19.33"/>
    <col customWidth="1" min="22" max="22" width="16.0"/>
    <col customWidth="1" min="23" max="23" width="13.89"/>
    <col customWidth="1" min="24" max="24" width="26.33"/>
    <col customWidth="1" min="25" max="25" width="15.33"/>
    <col customWidth="1" min="26" max="26" width="16.0"/>
    <col customWidth="1" min="27" max="27" width="18.44"/>
    <col customWidth="1" min="28" max="29" width="13.67"/>
    <col customWidth="1" min="30" max="30" width="12.67"/>
    <col customWidth="1" min="32" max="32" width="14.89"/>
    <col customWidth="1" min="33" max="33" width="12.22"/>
    <col customWidth="1" min="34" max="34" width="24.33"/>
    <col customWidth="1" min="35" max="35" width="26.44"/>
    <col customWidth="1" min="39" max="39" width="26.11"/>
    <col customWidth="1" min="40" max="40" width="21.33"/>
    <col customWidth="1" min="41" max="41" width="16.0"/>
    <col customWidth="1" min="42" max="42" width="13.89"/>
    <col customWidth="1" min="43" max="43" width="23.56"/>
    <col customWidth="1" min="44" max="44" width="24.0"/>
    <col customWidth="1" min="45" max="45" width="14.89"/>
    <col customWidth="1" min="46" max="46" width="15.56"/>
    <col customWidth="1" min="47" max="47" width="16.67"/>
    <col customWidth="1" min="48" max="48" width="15.67"/>
    <col customWidth="1" min="49" max="49" width="15.78"/>
    <col customWidth="1" min="50" max="50" width="19.67"/>
    <col customWidth="1" min="51" max="51" width="12.67"/>
    <col customWidth="1" min="52" max="52" width="20.22"/>
    <col customWidth="1" min="53" max="53" width="12.56"/>
    <col customWidth="1" min="54" max="54" width="16.67"/>
    <col customWidth="1" min="55" max="55" width="15.11"/>
    <col customWidth="1" min="57" max="57" width="21.78"/>
    <col customWidth="1" min="59" max="59" width="14.11"/>
    <col customWidth="1" min="60" max="60" width="18.0"/>
    <col customWidth="1" min="61" max="61" width="15.0"/>
    <col customWidth="1" min="62" max="62" width="15.67"/>
    <col customWidth="1" min="63" max="63" width="18.67"/>
    <col customWidth="1" min="64" max="64" width="17.67"/>
    <col customWidth="1" min="65" max="65" width="17.22"/>
    <col customWidth="1" min="66" max="66" width="18.22"/>
    <col customWidth="1" min="67" max="67" width="19.0"/>
    <col customWidth="1" min="68" max="68" width="17.56"/>
    <col customWidth="1" min="69" max="69" width="12.78"/>
    <col customWidth="1" min="70" max="70" width="15.11"/>
    <col customWidth="1" min="71" max="72" width="14.78"/>
    <col customWidth="1" min="73" max="73" width="19.44"/>
    <col customWidth="1" min="74" max="74" width="18.89"/>
    <col customWidth="1" min="75" max="75" width="15.67"/>
    <col customWidth="1" min="76" max="78" width="13.33"/>
    <col customWidth="1" min="79" max="79" width="11.56"/>
    <col customWidth="1" min="80" max="82" width="13.33"/>
    <col customWidth="1" min="83" max="83" width="19.11"/>
    <col customWidth="1" min="84" max="119" width="13.33"/>
  </cols>
  <sheetData>
    <row r="2">
      <c r="A2" s="4" t="s">
        <v>69</v>
      </c>
      <c r="B2" s="4" t="s">
        <v>565</v>
      </c>
      <c r="C2" s="4" t="s">
        <v>565</v>
      </c>
      <c r="D2" s="4" t="s">
        <v>565</v>
      </c>
      <c r="E2" s="4" t="s">
        <v>560</v>
      </c>
      <c r="F2" s="4" t="s">
        <v>560</v>
      </c>
      <c r="G2" s="4" t="s">
        <v>560</v>
      </c>
      <c r="H2" s="4" t="s">
        <v>560</v>
      </c>
      <c r="I2" s="4" t="s">
        <v>562</v>
      </c>
      <c r="J2" s="4" t="s">
        <v>562</v>
      </c>
      <c r="K2" s="4" t="s">
        <v>564</v>
      </c>
      <c r="L2" s="4" t="s">
        <v>557</v>
      </c>
      <c r="M2" s="4" t="s">
        <v>552</v>
      </c>
      <c r="N2" s="4" t="s">
        <v>552</v>
      </c>
      <c r="O2" s="4" t="s">
        <v>550</v>
      </c>
      <c r="P2" s="4" t="s">
        <v>678</v>
      </c>
      <c r="Q2" s="4" t="s">
        <v>549</v>
      </c>
      <c r="R2" s="4" t="s">
        <v>548</v>
      </c>
      <c r="S2" s="4" t="s">
        <v>556</v>
      </c>
      <c r="T2" s="4" t="s">
        <v>553</v>
      </c>
      <c r="U2" s="4" t="s">
        <v>629</v>
      </c>
      <c r="V2" s="4" t="s">
        <v>629</v>
      </c>
      <c r="W2" s="4" t="s">
        <v>631</v>
      </c>
      <c r="X2" s="4" t="s">
        <v>633</v>
      </c>
      <c r="Y2" s="4" t="s">
        <v>628</v>
      </c>
      <c r="Z2" s="4" t="s">
        <v>628</v>
      </c>
      <c r="AA2" s="4" t="s">
        <v>638</v>
      </c>
      <c r="AB2" s="4" t="s">
        <v>614</v>
      </c>
      <c r="AC2" s="4" t="s">
        <v>621</v>
      </c>
      <c r="AD2" s="4" t="s">
        <v>626</v>
      </c>
      <c r="AE2" s="4" t="s">
        <v>620</v>
      </c>
      <c r="AF2" s="4" t="s">
        <v>620</v>
      </c>
      <c r="AG2" s="4" t="s">
        <v>618</v>
      </c>
      <c r="AH2" s="4" t="s">
        <v>627</v>
      </c>
      <c r="AI2" s="4" t="s">
        <v>623</v>
      </c>
      <c r="AJ2" s="4" t="s">
        <v>622</v>
      </c>
      <c r="AK2" s="4" t="s">
        <v>622</v>
      </c>
      <c r="AL2" s="4" t="s">
        <v>622</v>
      </c>
      <c r="AM2" s="4" t="s">
        <v>612</v>
      </c>
      <c r="AN2" s="4" t="s">
        <v>635</v>
      </c>
      <c r="AO2" s="4" t="s">
        <v>536</v>
      </c>
      <c r="AP2" s="4" t="s">
        <v>537</v>
      </c>
      <c r="AQ2" s="4" t="s">
        <v>534</v>
      </c>
      <c r="AR2" s="4" t="s">
        <v>534</v>
      </c>
      <c r="AS2" s="4" t="s">
        <v>533</v>
      </c>
      <c r="AT2" s="4" t="s">
        <v>639</v>
      </c>
      <c r="AU2" s="4" t="s">
        <v>639</v>
      </c>
      <c r="AV2" s="4" t="s">
        <v>532</v>
      </c>
      <c r="AW2" s="4" t="s">
        <v>524</v>
      </c>
      <c r="AX2" s="4" t="s">
        <v>524</v>
      </c>
      <c r="AY2" s="4" t="s">
        <v>522</v>
      </c>
      <c r="AZ2" s="4" t="s">
        <v>526</v>
      </c>
      <c r="BA2" s="4" t="s">
        <v>607</v>
      </c>
      <c r="BB2" s="4" t="s">
        <v>608</v>
      </c>
      <c r="BC2" s="4" t="s">
        <v>610</v>
      </c>
      <c r="BD2" s="4" t="s">
        <v>606</v>
      </c>
      <c r="BE2" s="4" t="s">
        <v>637</v>
      </c>
      <c r="BF2" s="4" t="s">
        <v>599</v>
      </c>
      <c r="BG2" s="4" t="s">
        <v>603</v>
      </c>
      <c r="BH2" s="4" t="s">
        <v>598</v>
      </c>
      <c r="BI2" s="4" t="s">
        <v>634</v>
      </c>
      <c r="BJ2" s="4" t="s">
        <v>634</v>
      </c>
      <c r="BK2" s="4" t="s">
        <v>644</v>
      </c>
      <c r="BL2" s="4" t="s">
        <v>590</v>
      </c>
      <c r="BM2" s="4" t="s">
        <v>590</v>
      </c>
      <c r="BN2" s="4" t="s">
        <v>590</v>
      </c>
      <c r="BO2" s="4" t="s">
        <v>586</v>
      </c>
      <c r="BP2" s="4" t="s">
        <v>636</v>
      </c>
      <c r="BQ2" s="4" t="s">
        <v>584</v>
      </c>
      <c r="BR2" s="4" t="s">
        <v>679</v>
      </c>
      <c r="BS2" s="4" t="s">
        <v>563</v>
      </c>
      <c r="BT2" s="4" t="s">
        <v>579</v>
      </c>
      <c r="BU2" s="4" t="s">
        <v>570</v>
      </c>
      <c r="BV2" s="4" t="s">
        <v>680</v>
      </c>
      <c r="BW2" s="4" t="s">
        <v>569</v>
      </c>
      <c r="BX2" s="4" t="s">
        <v>597</v>
      </c>
      <c r="BY2" s="4" t="s">
        <v>640</v>
      </c>
      <c r="BZ2" s="4" t="s">
        <v>640</v>
      </c>
      <c r="CA2" s="4" t="s">
        <v>640</v>
      </c>
      <c r="CB2" s="4" t="s">
        <v>641</v>
      </c>
      <c r="CC2" s="4" t="s">
        <v>641</v>
      </c>
      <c r="CD2" s="4" t="s">
        <v>642</v>
      </c>
      <c r="CE2" s="4" t="s">
        <v>645</v>
      </c>
      <c r="CF2" s="4" t="s">
        <v>645</v>
      </c>
      <c r="CG2" s="4" t="s">
        <v>646</v>
      </c>
      <c r="CH2" s="4" t="s">
        <v>646</v>
      </c>
      <c r="CI2" s="4" t="s">
        <v>647</v>
      </c>
      <c r="CJ2" s="4" t="s">
        <v>648</v>
      </c>
      <c r="CK2" s="4" t="s">
        <v>660</v>
      </c>
      <c r="CL2" s="4" t="s">
        <v>660</v>
      </c>
      <c r="CM2" s="4" t="s">
        <v>660</v>
      </c>
      <c r="CN2" s="4" t="s">
        <v>649</v>
      </c>
      <c r="CO2" s="4" t="s">
        <v>650</v>
      </c>
      <c r="CP2" s="4" t="s">
        <v>650</v>
      </c>
      <c r="CQ2" s="4" t="s">
        <v>651</v>
      </c>
      <c r="CR2" s="4" t="s">
        <v>652</v>
      </c>
      <c r="CS2" s="4" t="s">
        <v>652</v>
      </c>
      <c r="CT2" s="4" t="s">
        <v>653</v>
      </c>
      <c r="CU2" s="4" t="s">
        <v>654</v>
      </c>
      <c r="CV2" s="4" t="s">
        <v>656</v>
      </c>
      <c r="CW2" s="4" t="s">
        <v>656</v>
      </c>
      <c r="CX2" s="4" t="s">
        <v>657</v>
      </c>
      <c r="CY2" s="4" t="s">
        <v>657</v>
      </c>
      <c r="CZ2" s="4" t="s">
        <v>658</v>
      </c>
      <c r="DA2" s="4" t="s">
        <v>659</v>
      </c>
      <c r="DB2" s="4" t="s">
        <v>661</v>
      </c>
      <c r="DC2" s="4" t="s">
        <v>661</v>
      </c>
      <c r="DD2" s="4" t="s">
        <v>662</v>
      </c>
      <c r="DE2" s="4" t="s">
        <v>663</v>
      </c>
      <c r="DF2" s="4" t="s">
        <v>663</v>
      </c>
      <c r="DG2" s="4" t="s">
        <v>664</v>
      </c>
      <c r="DH2" s="4" t="s">
        <v>665</v>
      </c>
      <c r="DI2" s="4" t="s">
        <v>665</v>
      </c>
      <c r="DJ2" s="4" t="s">
        <v>666</v>
      </c>
      <c r="DK2" s="4" t="s">
        <v>667</v>
      </c>
      <c r="DL2" s="4" t="s">
        <v>667</v>
      </c>
      <c r="DM2" s="10" t="s">
        <v>668</v>
      </c>
      <c r="DN2" s="10" t="s">
        <v>668</v>
      </c>
      <c r="DO2" s="10"/>
    </row>
    <row r="3">
      <c r="A3" s="4" t="s">
        <v>428</v>
      </c>
      <c r="B3" s="10" t="s">
        <v>681</v>
      </c>
      <c r="C3" s="10" t="s">
        <v>682</v>
      </c>
      <c r="D3" s="10" t="s">
        <v>683</v>
      </c>
      <c r="E3" s="10" t="s">
        <v>684</v>
      </c>
      <c r="F3" s="10" t="s">
        <v>685</v>
      </c>
      <c r="G3" s="10" t="s">
        <v>686</v>
      </c>
      <c r="H3" s="10" t="s">
        <v>687</v>
      </c>
      <c r="I3" s="10" t="s">
        <v>688</v>
      </c>
      <c r="J3" s="10" t="s">
        <v>689</v>
      </c>
      <c r="K3" s="10" t="s">
        <v>690</v>
      </c>
      <c r="L3" s="10" t="s">
        <v>691</v>
      </c>
      <c r="M3" s="10" t="s">
        <v>692</v>
      </c>
      <c r="N3" s="10" t="s">
        <v>693</v>
      </c>
      <c r="O3" s="10" t="s">
        <v>694</v>
      </c>
      <c r="P3" s="10" t="s">
        <v>695</v>
      </c>
      <c r="Q3" s="10" t="s">
        <v>696</v>
      </c>
      <c r="R3" s="10" t="s">
        <v>697</v>
      </c>
      <c r="S3" s="10" t="s">
        <v>698</v>
      </c>
      <c r="T3" s="10" t="s">
        <v>699</v>
      </c>
      <c r="U3" s="10" t="s">
        <v>700</v>
      </c>
      <c r="V3" s="10" t="s">
        <v>701</v>
      </c>
      <c r="W3" s="10" t="s">
        <v>702</v>
      </c>
      <c r="X3" s="10" t="s">
        <v>703</v>
      </c>
      <c r="Y3" s="10" t="s">
        <v>704</v>
      </c>
      <c r="Z3" s="10" t="s">
        <v>705</v>
      </c>
      <c r="AA3" s="10" t="s">
        <v>706</v>
      </c>
      <c r="AB3" s="10" t="s">
        <v>707</v>
      </c>
      <c r="AC3" s="10" t="s">
        <v>708</v>
      </c>
      <c r="AD3" s="10" t="s">
        <v>697</v>
      </c>
      <c r="AE3" s="10" t="s">
        <v>709</v>
      </c>
      <c r="AF3" s="10" t="s">
        <v>710</v>
      </c>
      <c r="AG3" s="10" t="s">
        <v>711</v>
      </c>
      <c r="AH3" s="10" t="s">
        <v>712</v>
      </c>
      <c r="AI3" s="10" t="s">
        <v>713</v>
      </c>
      <c r="AJ3" s="10" t="s">
        <v>714</v>
      </c>
      <c r="AK3" s="10" t="s">
        <v>715</v>
      </c>
      <c r="AL3" s="10" t="s">
        <v>716</v>
      </c>
      <c r="AM3" s="10" t="s">
        <v>717</v>
      </c>
      <c r="AN3" s="10" t="s">
        <v>718</v>
      </c>
      <c r="AO3" s="10" t="s">
        <v>719</v>
      </c>
      <c r="AP3" s="10" t="s">
        <v>720</v>
      </c>
      <c r="AQ3" s="10" t="s">
        <v>721</v>
      </c>
      <c r="AR3" s="10" t="s">
        <v>722</v>
      </c>
      <c r="AS3" s="10" t="s">
        <v>723</v>
      </c>
      <c r="AT3" s="10" t="s">
        <v>724</v>
      </c>
      <c r="AU3" s="10" t="s">
        <v>725</v>
      </c>
      <c r="AV3" s="10" t="s">
        <v>726</v>
      </c>
      <c r="AW3" s="10" t="s">
        <v>727</v>
      </c>
      <c r="AX3" s="10" t="s">
        <v>728</v>
      </c>
      <c r="AY3" s="10" t="s">
        <v>697</v>
      </c>
      <c r="AZ3" s="10" t="s">
        <v>729</v>
      </c>
      <c r="BA3" s="10" t="s">
        <v>730</v>
      </c>
      <c r="BB3" s="10" t="s">
        <v>731</v>
      </c>
      <c r="BC3" s="10" t="s">
        <v>732</v>
      </c>
      <c r="BD3" s="10" t="s">
        <v>733</v>
      </c>
      <c r="BE3" s="10" t="s">
        <v>734</v>
      </c>
      <c r="BF3" s="10" t="s">
        <v>735</v>
      </c>
      <c r="BG3" s="10" t="s">
        <v>697</v>
      </c>
      <c r="BH3" s="10" t="s">
        <v>736</v>
      </c>
      <c r="BI3" s="10" t="s">
        <v>737</v>
      </c>
      <c r="BJ3" s="10" t="s">
        <v>738</v>
      </c>
      <c r="BK3" s="10" t="s">
        <v>739</v>
      </c>
      <c r="BL3" s="10" t="s">
        <v>740</v>
      </c>
      <c r="BM3" s="10" t="s">
        <v>741</v>
      </c>
      <c r="BN3" s="10" t="s">
        <v>742</v>
      </c>
      <c r="BO3" s="10" t="s">
        <v>743</v>
      </c>
      <c r="BP3" s="10" t="s">
        <v>744</v>
      </c>
      <c r="BQ3" s="10" t="s">
        <v>745</v>
      </c>
      <c r="BR3" s="10" t="s">
        <v>746</v>
      </c>
      <c r="BS3" s="10" t="s">
        <v>747</v>
      </c>
      <c r="BT3" s="10" t="s">
        <v>748</v>
      </c>
      <c r="BU3" s="10" t="s">
        <v>749</v>
      </c>
      <c r="BV3" s="10" t="s">
        <v>750</v>
      </c>
      <c r="BW3" s="10" t="s">
        <v>751</v>
      </c>
      <c r="BX3" s="10" t="s">
        <v>752</v>
      </c>
      <c r="BY3" s="10" t="s">
        <v>753</v>
      </c>
      <c r="BZ3" s="10" t="s">
        <v>754</v>
      </c>
      <c r="CA3" s="10" t="s">
        <v>755</v>
      </c>
      <c r="CB3" s="10" t="s">
        <v>756</v>
      </c>
      <c r="CC3" s="10" t="s">
        <v>757</v>
      </c>
      <c r="CD3" s="10" t="s">
        <v>758</v>
      </c>
      <c r="CE3" s="10" t="s">
        <v>759</v>
      </c>
      <c r="CF3" s="10" t="s">
        <v>760</v>
      </c>
      <c r="CG3" s="10" t="s">
        <v>761</v>
      </c>
      <c r="CH3" s="10" t="s">
        <v>762</v>
      </c>
      <c r="CI3" s="10" t="s">
        <v>763</v>
      </c>
      <c r="CJ3" s="10" t="s">
        <v>764</v>
      </c>
      <c r="CK3" s="10" t="s">
        <v>765</v>
      </c>
      <c r="CL3" s="10" t="s">
        <v>766</v>
      </c>
      <c r="CM3" s="10" t="s">
        <v>767</v>
      </c>
      <c r="CN3" s="10" t="s">
        <v>768</v>
      </c>
      <c r="CO3" s="10" t="s">
        <v>769</v>
      </c>
      <c r="CP3" s="10" t="s">
        <v>770</v>
      </c>
      <c r="CQ3" s="10" t="s">
        <v>771</v>
      </c>
      <c r="CR3" s="10" t="s">
        <v>772</v>
      </c>
      <c r="CS3" s="10" t="s">
        <v>773</v>
      </c>
      <c r="CT3" s="10" t="s">
        <v>774</v>
      </c>
      <c r="CU3" s="10" t="s">
        <v>775</v>
      </c>
      <c r="CV3" s="10" t="s">
        <v>776</v>
      </c>
      <c r="CW3" s="10" t="s">
        <v>777</v>
      </c>
      <c r="CX3" s="10" t="s">
        <v>778</v>
      </c>
      <c r="CY3" s="10" t="s">
        <v>779</v>
      </c>
      <c r="CZ3" s="10" t="s">
        <v>780</v>
      </c>
      <c r="DA3" s="10" t="s">
        <v>781</v>
      </c>
      <c r="DB3" s="10" t="s">
        <v>782</v>
      </c>
      <c r="DC3" s="10" t="s">
        <v>783</v>
      </c>
      <c r="DD3" s="10" t="s">
        <v>784</v>
      </c>
      <c r="DE3" s="10" t="s">
        <v>785</v>
      </c>
      <c r="DF3" s="10" t="s">
        <v>786</v>
      </c>
      <c r="DG3" s="10" t="s">
        <v>787</v>
      </c>
      <c r="DH3" s="10" t="s">
        <v>788</v>
      </c>
      <c r="DI3" s="10" t="s">
        <v>789</v>
      </c>
      <c r="DJ3" s="10" t="s">
        <v>790</v>
      </c>
      <c r="DK3" s="10" t="s">
        <v>791</v>
      </c>
      <c r="DL3" s="10" t="s">
        <v>792</v>
      </c>
      <c r="DM3" s="10" t="str">
        <f>"Splendor Skill DMG% Stack"</f>
        <v>Splendor Skill DMG% Stack</v>
      </c>
      <c r="DN3" s="10" t="str">
        <f>"Splendor HP% Stack"</f>
        <v>Splendor HP% Stack</v>
      </c>
      <c r="DO3" s="10"/>
    </row>
    <row r="4">
      <c r="A4" s="4" t="s">
        <v>108</v>
      </c>
      <c r="B4" s="88" t="str">
        <f>IFERROR(__xludf.DUMMYFUNCTION("12 + (REGEXEXTRACT(INDIRECT(ADDRESS(ROW() - 6, 4)), ""[\d]"") - 1) * 3"),"#VALUE!")</f>
        <v>#VALUE!</v>
      </c>
      <c r="C4" s="88" t="str">
        <f>IFERROR(__xludf.DUMMYFUNCTION("24 + (REGEXEXTRACT(INDIRECT(ADDRESS(ROW() - 6, 4)), ""[\d]"") - 1) * 6"),"#VALUE!")</f>
        <v>#VALUE!</v>
      </c>
      <c r="D4" s="88" t="str">
        <f>IFERROR(__xludf.DUMMYFUNCTION("40 + (REGEXEXTRACT(INDIRECT(ADDRESS(ROW() - 6, 4)), ""[\d]"") - 1) * 10"),"#VALUE!")</f>
        <v>#VALUE!</v>
      </c>
      <c r="E4" s="88" t="str">
        <f>IFERROR(__xludf.DUMMYFUNCTION("10 + (REGEXEXTRACT(INDIRECT(ADDRESS(ROW() - 6, 4)), ""[\d]"") - 1) * 2.5"),"#VALUE!")</f>
        <v>#VALUE!</v>
      </c>
      <c r="F4" s="88" t="str">
        <f>IFERROR(__xludf.DUMMYFUNCTION("20 + (REGEXEXTRACT(INDIRECT(ADDRESS(ROW() - 6, 4)), ""[\d]"") - 1) * 5"),"#VALUE!")</f>
        <v>#VALUE!</v>
      </c>
      <c r="G4" s="88" t="str">
        <f>IFERROR(__xludf.DUMMYFUNCTION("30 + (REGEXEXTRACT(INDIRECT(ADDRESS(ROW() - 6, 4)), ""[\d]"") - 1) * 7.5"),"#VALUE!")</f>
        <v>#VALUE!</v>
      </c>
      <c r="H4" s="88" t="str">
        <f>IFERROR(__xludf.DUMMYFUNCTION("48 + (REGEXEXTRACT(INDIRECT(ADDRESS(ROW() - 6, 4)), ""[\d]"") - 1) * 12"),"#VALUE!")</f>
        <v>#VALUE!</v>
      </c>
      <c r="I4" s="88" t="str">
        <f>IFERROR(__xludf.DUMMYFUNCTION("100 + (REGEXEXTRACT(INDIRECT(ADDRESS(ROW() - 6, 4)), ""[\d]"") - 1) * 25"),"#VALUE!")</f>
        <v>#VALUE!</v>
      </c>
      <c r="J4" s="88" t="str">
        <f>IFERROR(__xludf.DUMMYFUNCTION("20 + (REGEXEXTRACT(INDIRECT(ADDRESS(ROW() - 6, 4)), ""[\d]"") - 1) * 5"),"#VALUE!")</f>
        <v>#VALUE!</v>
      </c>
      <c r="K4" s="88" t="str">
        <f>IFERROR(__xludf.DUMMYFUNCTION("8 + (REGEXEXTRACT(INDIRECT(ADDRESS(ROW() - 6, 4)), ""[\d]"") - 1) * 2"),"#VALUE!")</f>
        <v>#VALUE!</v>
      </c>
      <c r="L4" s="88" t="str">
        <f>IFERROR(__xludf.DUMMYFUNCTION("60 + (REGEXEXTRACT(INDIRECT(ADDRESS(ROW() - 6, 4)), ""[\d]"") - 1) * 20"),"#VALUE!")</f>
        <v>#VALUE!</v>
      </c>
      <c r="M4" s="88" t="str">
        <f>IFERROR(__xludf.DUMMYFUNCTION("16 + (REGEXEXTRACT(INDIRECT(ADDRESS(ROW() - 6, 4)), ""[\d]"") - 1) * 4"),"#VALUE!")</f>
        <v>#VALUE!</v>
      </c>
      <c r="N4" s="88" t="str">
        <f>IFERROR(__xludf.DUMMYFUNCTION("12 + (REGEXEXTRACT(INDIRECT(ADDRESS(ROW() - 6, 4)), ""[\d]"") - 1) * 3"),"#VALUE!")</f>
        <v>#VALUE!</v>
      </c>
      <c r="O4" s="88" t="str">
        <f>IFERROR(__xludf.DUMMYFUNCTION("16 + (REGEXEXTRACT(INDIRECT(ADDRESS(ROW() - 6, 4)), ""[\d]"") - 1) * 4"),"#VALUE!")</f>
        <v>#VALUE!</v>
      </c>
      <c r="P4" s="88" t="str">
        <f>IFERROR(__xludf.DUMMYFUNCTION("20 + (REGEXEXTRACT(INDIRECT(ADDRESS(ROW() - 6, 4)), ""[\d]"") - 1) * 5"),"#VALUE!")</f>
        <v>#VALUE!</v>
      </c>
      <c r="Q4" s="88" t="str">
        <f>IFERROR(__xludf.DUMMYFUNCTION("2 + (REGEXEXTRACT(INDIRECT(ADDRESS(ROW() - 6, 4)), ""[\d]"") - 1) * 0.5"),"#VALUE!")</f>
        <v>#VALUE!</v>
      </c>
      <c r="R4" s="88" t="str">
        <f>IFERROR(__xludf.DUMMYFUNCTION("12 + (REGEXEXTRACT(INDIRECT(ADDRESS(ROW() - 6, 4)), ""[\d]"") - 1) * 3"),"#VALUE!")</f>
        <v>#VALUE!</v>
      </c>
      <c r="S4" s="88" t="str">
        <f>IFERROR(__xludf.DUMMYFUNCTION("4 + (REGEXEXTRACT(INDIRECT(ADDRESS(ROW() - 6, 4)), ""[\d]"") - 1) * 1"),"#VALUE!")</f>
        <v>#VALUE!</v>
      </c>
      <c r="T4" s="88" t="str">
        <f>IFERROR(__xludf.DUMMYFUNCTION("36 + (REGEXEXTRACT(INDIRECT(ADDRESS(ROW() - 6, 4)), ""[\d]"") - 1) * 9"),"#VALUE!")</f>
        <v>#VALUE!</v>
      </c>
      <c r="U4" s="88" t="str">
        <f>IFERROR(__xludf.DUMMYFUNCTION("12 + (REGEXEXTRACT(INDIRECT(ADDRESS(ROW() - 6, 4)), ""[\d]"") - 1) * 3"),"#VALUE!")</f>
        <v>#VALUE!</v>
      </c>
      <c r="V4" s="88" t="str">
        <f>IFERROR(__xludf.DUMMYFUNCTION("12 + (REGEXEXTRACT(INDIRECT(ADDRESS(ROW() - 6, 4)), ""[\d]"") - 1) * 3"),"#VALUE!")</f>
        <v>#VALUE!</v>
      </c>
      <c r="W4" s="88" t="str">
        <f>IFERROR(__xludf.DUMMYFUNCTION("4 + (REGEXEXTRACT(INDIRECT(ADDRESS(ROW() - 6, 4)), ""[\d]"") - 1) * 1"),"#VALUE!")</f>
        <v>#VALUE!</v>
      </c>
      <c r="X4" s="88" t="str">
        <f>IFERROR(__xludf.DUMMYFUNCTION("8 + (REGEXEXTRACT(INDIRECT(ADDRESS(ROW() - 6, 4)), ""[\d]"") - 1) * 2"),"#VALUE!")</f>
        <v>#VALUE!</v>
      </c>
      <c r="Y4" s="88" t="str">
        <f>IFERROR(__xludf.DUMMYFUNCTION("24 + (REGEXEXTRACT(INDIRECT(ADDRESS(ROW() - 6, 4)), ""[\d]"") - 1) * 3"),"#VALUE!")</f>
        <v>#VALUE!</v>
      </c>
      <c r="Z4" s="88">
        <f>-5</f>
        <v>-5</v>
      </c>
      <c r="AA4" s="88" t="str">
        <f>IFERROR(__xludf.DUMMYFUNCTION("ROUND((24% + (REGEXEXTRACT(INDIRECT(ADDRESS(ROW() - 6, 4)), ""[\d]"") - 1) * 6%) * INDIRECT(ADDRESS(ROW() + 2, 10)) * 0.3)"),"#VALUE!")</f>
        <v>#VALUE!</v>
      </c>
      <c r="AB4" s="88" t="str">
        <f>IFERROR(__xludf.DUMMYFUNCTION("24 + + (REGEXEXTRACT(INDIRECT(ADDRESS(ROW() - 6, 4)), ""[\d]"") - 1) * 6"),"#VALUE!")</f>
        <v>#VALUE!</v>
      </c>
      <c r="AC4" s="88" t="str">
        <f>IFERROR(__xludf.DUMMYFUNCTION("10 + (REGEXEXTRACT(INDIRECT(ADDRESS(ROW() - 6, 4)), ""[\d]"") - 1) * 2.5"),"#VALUE!")</f>
        <v>#VALUE!</v>
      </c>
      <c r="AD4" s="88" t="str">
        <f>IFERROR(__xludf.DUMMYFUNCTION("12 + (REGEXEXTRACT(INDIRECT(ADDRESS(ROW() - 6, 4)), ""[\d]"") - 1) * 3"),"#VALUE!")</f>
        <v>#VALUE!</v>
      </c>
      <c r="AE4" s="88" t="str">
        <f>IFERROR(__xludf.DUMMYFUNCTION("8 + (REGEXEXTRACT(INDIRECT(ADDRESS(ROW() - 6, 4)), ""[\d]"") - 1) * 2"),"#VALUE!")</f>
        <v>#VALUE!</v>
      </c>
      <c r="AF4" s="88" t="str">
        <f>IFERROR(__xludf.DUMMYFUNCTION("16 + (REGEXEXTRACT(INDIRECT(ADDRESS(ROW() - 6, 4)), ""[\d]"") - 1) * 4"),"#VALUE!")</f>
        <v>#VALUE!</v>
      </c>
      <c r="AG4" s="88" t="str">
        <f>IFERROR(__xludf.DUMMYFUNCTION("20 + (REGEXEXTRACT(INDIRECT(ADDRESS(ROW() - 6, 4)), ""[\d]"") - 1) * 5"),"#VALUE!")</f>
        <v>#VALUE!</v>
      </c>
      <c r="AH4" s="88" t="str">
        <f>IFERROR(__xludf.DUMMYFUNCTION("8 + (REGEXEXTRACT(INDIRECT(ADDRESS(ROW() - 6, 4)), ""[\d]"") - 1) * 2"),"#VALUE!")</f>
        <v>#VALUE!</v>
      </c>
      <c r="AI4" s="88" t="str">
        <f>IFERROR(__xludf.DUMMYFUNCTION("20 + (REGEXEXTRACT(INDIRECT(ADDRESS(ROW() - 6, 4)), ""[\d]"") - 1) * 5"),"#VALUE!")</f>
        <v>#VALUE!</v>
      </c>
      <c r="AJ4" s="88" t="str">
        <f>IFERROR(__xludf.DUMMYFUNCTION("48 + (REGEXEXTRACT(INDIRECT(ADDRESS(ROW() - 6, 4)), ""[\d]"") - 1) * 12"),"#VALUE!")</f>
        <v>#VALUE!</v>
      </c>
      <c r="AK4" s="88" t="str">
        <f>IFERROR(__xludf.DUMMYFUNCTION("60 + (REGEXEXTRACT(INDIRECT(ADDRESS(ROW() - 6, 4)), ""[\d]"") - 1) * 15"),"#VALUE!")</f>
        <v>#VALUE!</v>
      </c>
      <c r="AL4" s="88" t="str">
        <f>IFERROR(__xludf.DUMMYFUNCTION("240 + (REGEXEXTRACT(INDIRECT(ADDRESS(ROW() - 6, 4)), ""[\d]"") - 1) * 60"),"#VALUE!")</f>
        <v>#VALUE!</v>
      </c>
      <c r="AM4" s="88" t="str">
        <f>IFERROR(__xludf.DUMMYFUNCTION("24 + (REGEXEXTRACT(INDIRECT(ADDRESS(ROW() - 6, 4)), ""[\d]"") - 1) * 6"),"#VALUE!")</f>
        <v>#VALUE!</v>
      </c>
      <c r="AN4" s="88" t="str">
        <f>IFERROR(__xludf.DUMMYFUNCTION("ROUND((28% + (REGEXEXTRACT(INDIRECT(ADDRESS(ROW() - 6, 4)), ""[\d]"") - 1) * 7%) * INDIRECT(ADDRESS(ROW() + 2, 10)))"),"#VALUE!")</f>
        <v>#VALUE!</v>
      </c>
      <c r="AO4" s="88" t="str">
        <f>IFERROR(__xludf.DUMMYFUNCTION("30 + (REGEXEXTRACT(INDIRECT(ADDRESS(ROW() - 6, 4)), ""[\d]"") - 1) * 5"),"#VALUE!")</f>
        <v>#VALUE!</v>
      </c>
      <c r="AP4" s="88" t="str">
        <f>IFERROR(__xludf.DUMMYFUNCTION("3.2+ (REGEXEXTRACT(INDIRECT(ADDRESS(ROW() - 6, 4)), ""[\d]"") - 1) * 0.8"),"#VALUE!")</f>
        <v>#VALUE!</v>
      </c>
      <c r="AQ4" s="88" t="str">
        <f>IFERROR(__xludf.DUMMYFUNCTION("3.2+ (REGEXEXTRACT(INDIRECT(ADDRESS(ROW() - 6, 4)), ""[\d]"") - 1) * 0.7"),"#VALUE!")</f>
        <v>#VALUE!</v>
      </c>
      <c r="AR4" s="88" t="str">
        <f>IFERROR(__xludf.DUMMYFUNCTION("12 + (REGEXEXTRACT(INDIRECT(ADDRESS(ROW() - 6, 4)), ""[\d]"") - 1) * 3"),"#VALUE!")</f>
        <v>#VALUE!</v>
      </c>
      <c r="AS4" s="88" t="str">
        <f>IFERROR(__xludf.DUMMYFUNCTION("4 + (REGEXEXTRACT(INDIRECT(ADDRESS(ROW() - 6, 4)), ""[\d]"") - 1) * 1"),"#VALUE!")</f>
        <v>#VALUE!</v>
      </c>
      <c r="AT4" s="88" t="str">
        <f>IFERROR(__xludf.DUMMYFUNCTION("12 + (REGEXEXTRACT(INDIRECT(ADDRESS(ROW() - 6, 4)), ""[\d]"") - 1) * 3"),"#VALUE!")</f>
        <v>#VALUE!</v>
      </c>
      <c r="AU4" s="88" t="str">
        <f>IFERROR(__xludf.DUMMYFUNCTION("48 + (REGEXEXTRACT(INDIRECT(ADDRESS(ROW() - 6, 4)), ""[\d]"") - 1) * 12"),"#VALUE!")</f>
        <v>#VALUE!</v>
      </c>
      <c r="AV4" s="88" t="str">
        <f>IFERROR(__xludf.DUMMYFUNCTION("16 + (REGEXEXTRACT(INDIRECT(ADDRESS(ROW() - 6, 4)), ""[\d]"") - 1) * 4"),"#VALUE!")</f>
        <v>#VALUE!</v>
      </c>
      <c r="AW4" s="88" t="str">
        <f>IFERROR(__xludf.DUMMYFUNCTION("24 + (REGEXEXTRACT(INDIRECT(ADDRESS(ROW() - 6, 4)), ""[\d]"") - 1) * 6"),"#VALUE!")</f>
        <v>#VALUE!</v>
      </c>
      <c r="AX4" s="88" t="str">
        <f>IFERROR(__xludf.DUMMYFUNCTION("16 + (REGEXEXTRACT(INDIRECT(ADDRESS(ROW() - 6, 4)), ""[\d]"") - 1) * 4"),"#VALUE!")</f>
        <v>#VALUE!</v>
      </c>
      <c r="AY4" s="88" t="str">
        <f>IFERROR(__xludf.DUMMYFUNCTION("12 + (REGEXEXTRACT(INDIRECT(ADDRESS(ROW() - 6, 4)), ""[\d]"") - 1) * 3"),"#VALUE!")</f>
        <v>#VALUE!</v>
      </c>
      <c r="AZ4" s="88" t="str">
        <f>IFERROR(__xludf.DUMMYFUNCTION("8 + (REGEXEXTRACT(INDIRECT(ADDRESS(ROW() - 6, 4)), ""[\d]"") - 1) * 2"),"#VALUE!")</f>
        <v>#VALUE!</v>
      </c>
      <c r="BA4" s="88" t="str">
        <f>IFERROR(__xludf.DUMMYFUNCTION("4 + (REGEXEXTRACT(INDIRECT(ADDRESS(ROW() - 6, 4)), ""[\d]"") - 1) * 1"),"#VALUE!")</f>
        <v>#VALUE!</v>
      </c>
      <c r="BB4" s="88" t="str">
        <f>IFERROR(__xludf.DUMMYFUNCTION("20 + (REGEXEXTRACT(INDIRECT(ADDRESS(ROW() - 6, 4)), ""[\d]"") - 1) * 5"),"#VALUE!")</f>
        <v>#VALUE!</v>
      </c>
      <c r="BC4" s="88" t="str">
        <f>IFERROR(__xludf.DUMMYFUNCTION("40 + (REGEXEXTRACT(INDIRECT(ADDRESS(ROW() - 6, 4)), ""[\d]"") - 1) * 10"),"#VALUE!")</f>
        <v>#VALUE!</v>
      </c>
      <c r="BD4" s="88" t="str">
        <f>IFERROR(__xludf.DUMMYFUNCTION("60 + (REGEXEXTRACT(INDIRECT(ADDRESS(ROW() - 6, 4)), ""[\d]"") - 1) * 15"),"#VALUE!")</f>
        <v>#VALUE!</v>
      </c>
      <c r="BE4" s="88" t="str">
        <f>IFERROR(__xludf.DUMMYFUNCTION("ROUND((24% + (REGEXEXTRACT(INDIRECT(ADDRESS(ROW() - 6, 4)), ""[\d]"") - 1) * 6%) * INDIRECT(ADDRESS(ROW() + 2, 10)) * 0.3)"),"#VALUE!")</f>
        <v>#VALUE!</v>
      </c>
      <c r="BF4" s="88" t="str">
        <f>IFERROR(__xludf.DUMMYFUNCTION("6 + (REGEXEXTRACT(INDIRECT(ADDRESS(ROW() - 6, 4)), ""[\d]"") - 1) * 1"),"#VALUE!")</f>
        <v>#VALUE!</v>
      </c>
      <c r="BG4" s="88" t="str">
        <f>IFERROR(__xludf.DUMMYFUNCTION("12 + (REGEXEXTRACT(INDIRECT(ADDRESS(ROW() - 6, 4)), ""[\d]"") - 1) * 3"),"#VALUE!")</f>
        <v>#VALUE!</v>
      </c>
      <c r="BH4" s="88" t="str">
        <f>IFERROR(__xludf.DUMMYFUNCTION("6 + (REGEXEXTRACT(INDIRECT(ADDRESS(ROW() - 6, 4)), ""[\d]"") - 1) * 1.5"),"#VALUE!")</f>
        <v>#VALUE!</v>
      </c>
      <c r="BI4" s="88" t="str">
        <f>IFERROR(__xludf.DUMMYFUNCTION("ROUND((0.12% + (REGEXEXTRACT(INDIRECT(ADDRESS(ROW() - 6, 4)), ""[\d]"") - 1) * 0.03%) * INDIRECT(ADDRESS(ROW() + 3, 10)))"),"#VALUE!")</f>
        <v>#VALUE!</v>
      </c>
      <c r="BJ4" s="88" t="str">
        <f>IFERROR(__xludf.DUMMYFUNCTION("ROUND((0.2% + (REGEXEXTRACT(INDIRECT(ADDRESS(ROW() - 6, 4)), ""[\d]"") - 1) * 0.05%) * INDIRECT(ADDRESS(ROW() + 3, 10)))"),"#VALUE!")</f>
        <v>#VALUE!</v>
      </c>
      <c r="BK4" s="88" t="str">
        <f>IFERROR(__xludf.DUMMYFUNCTION("20 + (REGEXEXTRACT(INDIRECT(ADDRESS(ROW() - 6, 4)), ""[\d]"") - 1) * 5"),"#VALUE!")</f>
        <v>#VALUE!</v>
      </c>
      <c r="BL4" s="88" t="str">
        <f>IFERROR(__xludf.DUMMYFUNCTION("8 + (REGEXEXTRACT(INDIRECT(ADDRESS(ROW() - 6, 4)), ""[\d]"") - 1) * 2"),"#VALUE!")</f>
        <v>#VALUE!</v>
      </c>
      <c r="BM4" s="88" t="str">
        <f>IFERROR(__xludf.DUMMYFUNCTION("16 + (REGEXEXTRACT(INDIRECT(ADDRESS(ROW() - 6, 4)), ""[\d]"") - 1) * 4"),"#VALUE!")</f>
        <v>#VALUE!</v>
      </c>
      <c r="BN4" s="88" t="str">
        <f>IFERROR(__xludf.DUMMYFUNCTION("28 + (REGEXEXTRACT(INDIRECT(ADDRESS(ROW() - 6, 4)), ""[\d]"") - 1) * 7"),"#VALUE!")</f>
        <v>#VALUE!</v>
      </c>
      <c r="BO4" s="88" t="str">
        <f>IFERROR(__xludf.DUMMYFUNCTION("4 + (REGEXEXTRACT(INDIRECT(ADDRESS(ROW() - 6, 4)), ""[\d]"") - 1) * 1"),"#VALUE!")</f>
        <v>#VALUE!</v>
      </c>
      <c r="BP4" s="88" t="str">
        <f>IFERROR(__xludf.DUMMYFUNCTION("ROUND((0.036 + (REGEXEXTRACT(INDIRECT(ADDRESS(ROW() - 6, 4)), ""[\d]"") - 1) * 0.009) * INDIRECT(ADDRESS(ROW() + 2, 10)) * 0.3)"),"#VALUE!")</f>
        <v>#VALUE!</v>
      </c>
      <c r="BQ4" s="88" t="str">
        <f>IFERROR(__xludf.DUMMYFUNCTION("60 + (REGEXEXTRACT(INDIRECT(ADDRESS(ROW() - 6, 4)), ""[\d]"") - 1) * 15"),"#VALUE!")</f>
        <v>#VALUE!</v>
      </c>
      <c r="BR4" s="88">
        <f>15</f>
        <v>15</v>
      </c>
      <c r="BS4" s="88" t="str">
        <f>IFERROR(__xludf.DUMMYFUNCTION("20 + (REGEXEXTRACT(INDIRECT(ADDRESS(ROW() - 6, 4)), ""[\d]"") - 1) * 5"),"#VALUE!")</f>
        <v>#VALUE!</v>
      </c>
      <c r="BT4" s="88" t="str">
        <f>IFERROR(__xludf.DUMMYFUNCTION("12 + (REGEXEXTRACT(INDIRECT(ADDRESS(ROW() - 6, 4)), ""[\d]"") - 1) * 3"),"#VALUE!")</f>
        <v>#VALUE!</v>
      </c>
      <c r="BU4" s="88" t="str">
        <f>IFERROR(__xludf.DUMMYFUNCTION("6 + (REGEXEXTRACT(INDIRECT(ADDRESS(ROW() - 6, 4)), ""[\d]"") - 1) * 1.5"),"#VALUE!")</f>
        <v>#VALUE!</v>
      </c>
      <c r="BV4" s="88">
        <f>20</f>
        <v>20</v>
      </c>
      <c r="BW4" s="88" t="str">
        <f>IFERROR(__xludf.DUMMYFUNCTION("14 + (REGEXEXTRACT(INDIRECT(ADDRESS(ROW() - 6, 4)), ""[\d]"") - 1) * 3.5"),"#VALUE!")</f>
        <v>#VALUE!</v>
      </c>
      <c r="BX4" s="88" t="str">
        <f>IFERROR(__xludf.DUMMYFUNCTION("12 + (REGEXEXTRACT(INDIRECT(ADDRESS(ROW() - 6, 4)), ""[\d]"") - 1) * 3"),"#VALUE!")</f>
        <v>#VALUE!</v>
      </c>
      <c r="BY4" s="88" t="str">
        <f>IFERROR(__xludf.DUMMYFUNCTION("40 + (REGEXEXTRACT(INDIRECT(ADDRESS(ROW() - 6, 4)), ""[\d]"") - 1) * 2"),"#VALUE!")</f>
        <v>#VALUE!</v>
      </c>
      <c r="BZ4" s="88" t="str">
        <f>IFERROR(__xludf.DUMMYFUNCTION("32 + (REGEXEXTRACT(INDIRECT(ADDRESS(ROW() - 6, 4)), ""[\d]"") - 1) * 8"),"#VALUE!")</f>
        <v>#VALUE!</v>
      </c>
      <c r="CA4" s="88" t="str">
        <f>IFERROR(__xludf.DUMMYFUNCTION("10 + (REGEXEXTRACT(INDIRECT(ADDRESS(ROW() - 6, 4)), ""[\d]"") - 1) * 4"),"#VALUE!")</f>
        <v>#VALUE!</v>
      </c>
      <c r="CB4" s="88" t="str">
        <f>IFERROR(__xludf.DUMMYFUNCTION("4.8 + (REGEXEXTRACT(INDIRECT(ADDRESS(ROW() - 6, 4)), ""[\d]"") - 1) * 1.2"),"#VALUE!")</f>
        <v>#VALUE!</v>
      </c>
      <c r="CC4" s="88" t="str">
        <f>IFERROR(__xludf.DUMMYFUNCTION("2 * (4.8 + (REGEXEXTRACT(INDIRECT(ADDRESS(ROW() - 6, 4)), ""[\d]"") - 1) * 1.2)"),"#VALUE!")</f>
        <v>#VALUE!</v>
      </c>
      <c r="CD4" s="88" t="str">
        <f>IFERROR(__xludf.DUMMYFUNCTION("16 + (REGEXEXTRACT(INDIRECT(ADDRESS(ROW() - 6, 4)), ""[\d]"") - 1) * 4"),"#VALUE!")</f>
        <v>#VALUE!</v>
      </c>
      <c r="CE4" s="88" t="str">
        <f>IFERROR(__xludf.DUMMYFUNCTION("20 + (REGEXEXTRACT(INDIRECT(ADDRESS(ROW() - 6, 4)), ""[\d]"") - 1) * 5"),"#VALUE!")</f>
        <v>#VALUE!</v>
      </c>
      <c r="CF4" s="88" t="str">
        <f>IFERROR(__xludf.DUMMYFUNCTION("32 + (REGEXEXTRACT(INDIRECT(ADDRESS(ROW() - 6, 4)), ""[\d]"") - 1) * 8"),"#VALUE!")</f>
        <v>#VALUE!</v>
      </c>
      <c r="CG4" s="88" t="str">
        <f>IFERROR(__xludf.DUMMYFUNCTION("12 + (REGEXEXTRACT(INDIRECT(ADDRESS(ROW() - 6, 4)), ""[\d]"") - 1) * 3"),"#VALUE!")</f>
        <v>#VALUE!</v>
      </c>
      <c r="CH4" s="88" t="str">
        <f>IFERROR(__xludf.DUMMYFUNCTION("48 + (REGEXEXTRACT(INDIRECT(ADDRESS(ROW() - 6, 4)), ""[\d]"") - 1) * 12"),"#VALUE!")</f>
        <v>#VALUE!</v>
      </c>
      <c r="CI4" s="88" t="str">
        <f>IFERROR(__xludf.DUMMYFUNCTION("MIN(12 + (REGEXEXTRACT(INDIRECT(ADDRESS(ROW() - 6, 4)), ""[\d]"") - 1) * 8, ROUND((0.03% + (REGEXEXTRACT(INDIRECT(ADDRESS(ROW() - 6, 4)), ""[\d]"") - 1) * 0.02%) * INDIRECT(ADDRESS(ROW() + 3, 10))))"),"#VALUE!")</f>
        <v>#VALUE!</v>
      </c>
      <c r="CJ4" s="88" t="str">
        <f>IFERROR(__xludf.DUMMYFUNCTION("40 + (REGEXEXTRACT(INDIRECT(ADDRESS(ROW() - 6, 4)), ""[\d]"") - 1) * 10"),"#VALUE!")</f>
        <v>#VALUE!</v>
      </c>
      <c r="CK4" s="88" t="str">
        <f>IFERROR(__xludf.DUMMYFUNCTION("16 + (REGEXEXTRACT(INDIRECT(ADDRESS(ROW() - 6, 4)), ""[\d]"") - 1) * 4"),"#VALUE!")</f>
        <v>#VALUE!</v>
      </c>
      <c r="CL4" s="88" t="str">
        <f>IFERROR(__xludf.DUMMYFUNCTION("32 + (REGEXEXTRACT(INDIRECT(ADDRESS(ROW() - 6, 4)), ""[\d]"") - 1) * 8"),"#VALUE!")</f>
        <v>#VALUE!</v>
      </c>
      <c r="CM4" s="88" t="str">
        <f>IFERROR(__xludf.DUMMYFUNCTION("48 + (REGEXEXTRACT(INDIRECT(ADDRESS(ROW() - 6, 4)), ""[\d]"") - 1) * 12"),"#VALUE!")</f>
        <v>#VALUE!</v>
      </c>
      <c r="CN4" s="88" t="str">
        <f>IFERROR(__xludf.DUMMYFUNCTION("2 + (REGEXEXTRACT(INDIRECT(ADDRESS(ROW() - 6, 4)), ""[\d]"") - 1) * 0.5"),"#VALUE!")</f>
        <v>#VALUE!</v>
      </c>
      <c r="CO4" s="88" t="str">
        <f>IFERROR(__xludf.DUMMYFUNCTION("12 + (REGEXEXTRACT(INDIRECT(ADDRESS(ROW() - 6, 4)), ""[\d]"") - 1) * 3"),"#VALUE!")</f>
        <v>#VALUE!</v>
      </c>
      <c r="CP4" s="88" t="str">
        <f>IFERROR(__xludf.DUMMYFUNCTION("150 + (REGEXEXTRACT(INDIRECT(ADDRESS(ROW() - 6, 4)), ""[\d]"") - 1) * 37.5"),"#VALUE!")</f>
        <v>#VALUE!</v>
      </c>
      <c r="CQ4" s="88" t="str">
        <f>IFERROR(__xludf.DUMMYFUNCTION("16 + (REGEXEXTRACT(INDIRECT(ADDRESS(ROW() - 6, 4)), ""[\d]"") - 1) * 4"),"#VALUE!")</f>
        <v>#VALUE!</v>
      </c>
      <c r="CR4" s="88" t="str">
        <f>IFERROR(__xludf.DUMMYFUNCTION("16 + (REGEXEXTRACT(INDIRECT(ADDRESS(ROW() - 6, 4)), ""[\d]"") - 1) * 4"),"#VALUE!")</f>
        <v>#VALUE!</v>
      </c>
      <c r="CS4" s="88" t="str">
        <f>IFERROR(__xludf.DUMMYFUNCTION("12 + (REGEXEXTRACT(INDIRECT(ADDRESS(ROW() - 6, 4)), ""[\d]"") - 1) * 3"),"#VALUE!")</f>
        <v>#VALUE!</v>
      </c>
      <c r="CT4" s="88" t="str">
        <f>IFERROR(__xludf.DUMMYFUNCTION("24 + (REGEXEXTRACT(INDIRECT(ADDRESS(ROW() - 6, 4)), ""[\d]"") - 1) * 6"),"#VALUE!")</f>
        <v>#VALUE!</v>
      </c>
      <c r="CU4" s="88" t="str">
        <f>IFERROR(__xludf.DUMMYFUNCTION("120 + (REGEXEXTRACT(INDIRECT(ADDRESS(ROW() - 6, 4)), ""[\d]"") - 1) * 30"),"#VALUE!")</f>
        <v>#VALUE!</v>
      </c>
      <c r="CV4" s="88" t="str">
        <f>IFERROR(__xludf.DUMMYFUNCTION("32 + (REGEXEXTRACT(INDIRECT(ADDRESS(ROW() - 6, 4)), ""[\d]"") - 1) * 8"),"#VALUE!")</f>
        <v>#VALUE!</v>
      </c>
      <c r="CW4" s="88" t="str">
        <f>IFERROR(__xludf.DUMMYFUNCTION("40 + (REGEXEXTRACT(INDIRECT(ADDRESS(ROW() - 6, 4)), ""[\d]"") - 1) * 10"),"#VALUE!")</f>
        <v>#VALUE!</v>
      </c>
      <c r="CX4" s="88" t="str">
        <f>IFERROR(__xludf.DUMMYFUNCTION("8 + (REGEXEXTRACT(INDIRECT(ADDRESS(ROW() - 6, 4)), ""[\d]"") - 1) * 2"),"#VALUE!")</f>
        <v>#VALUE!</v>
      </c>
      <c r="CY4" s="88" t="str">
        <f>IFERROR(__xludf.DUMMYFUNCTION("12 + (REGEXEXTRACT(INDIRECT(ADDRESS(ROW() - 6, 4)), ""[\d]"") - 1) * 3"),"#VALUE!")</f>
        <v>#VALUE!</v>
      </c>
      <c r="CZ4" s="88" t="str">
        <f>IFERROR(__xludf.DUMMYFUNCTION("28 + (REGEXEXTRACT(INDIRECT(ADDRESS(ROW() - 6, 4)), ""[\d]"") - 1) * 7"),"#VALUE!")</f>
        <v>#VALUE!</v>
      </c>
      <c r="DA4" s="88" t="str">
        <f>IFERROR(__xludf.DUMMYFUNCTION("16 + (REGEXEXTRACT(INDIRECT(ADDRESS(ROW() - 6, 4)), ""[\d]"") - 1) * 4"),"#VALUE!")</f>
        <v>#VALUE!</v>
      </c>
      <c r="DB4" s="88" t="str">
        <f>IFERROR(__xludf.DUMMYFUNCTION("16 + (REGEXEXTRACT(INDIRECT(ADDRESS(ROW() - 6, 4)), ""[\d]"") - 1) * 4"),"#VALUE!")</f>
        <v>#VALUE!</v>
      </c>
      <c r="DC4" s="88" t="str">
        <f>IFERROR(__xludf.DUMMYFUNCTION("14 + (REGEXEXTRACT(INDIRECT(ADDRESS(ROW() - 6, 4)), ""[\d]"") - 1) * 3.5"),"#VALUE!")</f>
        <v>#VALUE!</v>
      </c>
      <c r="DD4" s="88" t="str">
        <f>IFERROR(__xludf.DUMMYFUNCTION("14 + (REGEXEXTRACT(INDIRECT(ADDRESS(ROW() - 6, 4)), ""[\d]"") - 1) * 4"),"#VALUE!")</f>
        <v>#VALUE!</v>
      </c>
      <c r="DE4" s="88" t="str">
        <f>IFERROR(__xludf.DUMMYFUNCTION("3 + (REGEXEXTRACT(INDIRECT(ADDRESS(ROW() - 6, 4)), ""[\d]"") - 1) * 1"),"#VALUE!")</f>
        <v>#VALUE!</v>
      </c>
      <c r="DF4" s="88" t="str">
        <f>IFERROR(__xludf.DUMMYFUNCTION("7 + (REGEXEXTRACT(INDIRECT(ADDRESS(ROW() - 6, 4)), ""[\d]"") - 1) * 1.5"),"#VALUE!")</f>
        <v>#VALUE!</v>
      </c>
      <c r="DG4" s="88" t="str">
        <f>IFERROR(__xludf.DUMMYFUNCTION("40 + (REGEXEXTRACT(INDIRECT(ADDRESS(ROW() - 6, 4)), ""[\d]"") - 1) * 10"),"#VALUE!")</f>
        <v>#VALUE!</v>
      </c>
      <c r="DH4" s="88" t="str">
        <f>IFERROR(__xludf.DUMMYFUNCTION("3 + (REGEXEXTRACT(INDIRECT(ADDRESS(ROW() - 6, 4)), ""[\d]"") - 1) * 1"),"#VALUE!")</f>
        <v>#VALUE!</v>
      </c>
      <c r="DI4" s="88" t="str">
        <f>IFERROR(__xludf.DUMMYFUNCTION("7 + (REGEXEXTRACT(INDIRECT(ADDRESS(ROW() - 6, 4)), ""[\d]"") - 1) * 1.5"),"#VALUE!")</f>
        <v>#VALUE!</v>
      </c>
      <c r="DJ4" s="88" t="str">
        <f>IFERROR(__xludf.DUMMYFUNCTION("40 + (REGEXEXTRACT(INDIRECT(ADDRESS(ROW() - 6, 4)), ""[\d]"") - 1) * 10"),"#VALUE!")</f>
        <v>#VALUE!</v>
      </c>
      <c r="DK4" s="88" t="str">
        <f>IFERROR(__xludf.DUMMYFUNCTION("8 + (REGEXEXTRACT(INDIRECT(ADDRESS(ROW() - 6, 4)), ""[\d]"") - 1) * 2"),"#VALUE!")</f>
        <v>#VALUE!</v>
      </c>
      <c r="DL4" s="88" t="str">
        <f>IFERROR(__xludf.DUMMYFUNCTION("6 + (REGEXEXTRACT(INDIRECT(ADDRESS(ROW() - 6, 4)), ""[\d]"") - 1) * 1.5"),"#VALUE!")</f>
        <v>#VALUE!</v>
      </c>
      <c r="DM4" s="88" t="str">
        <f>IFERROR(__xludf.DUMMYFUNCTION("8 + (REGEXEXTRACT(INDIRECT(ADDRESS(ROW() - 6, 4)), ""[\d]"") - 1) * 2"),"#VALUE!")</f>
        <v>#VALUE!</v>
      </c>
      <c r="DN4" s="10" t="str">
        <f>IFERROR(__xludf.DUMMYFUNCTION("12 + (REGEXEXTRACT(INDIRECT(ADDRESS(ROW() - 6, 4)), ""[\d]"") - 1) * 3"),"#VALUE!")</f>
        <v>#VALUE!</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0.56"/>
    <col customWidth="1" min="3" max="3" width="15.67"/>
    <col customWidth="1" min="4" max="4" width="14.89"/>
    <col customWidth="1" min="5" max="5" width="13.78"/>
    <col customWidth="1" min="6" max="6" width="16.56"/>
    <col customWidth="1" min="7" max="7" width="20.67"/>
    <col customWidth="1" min="8" max="8" width="19.56"/>
    <col customWidth="1" min="9" max="9" width="21.11"/>
    <col customWidth="1" min="10" max="10" width="13.78"/>
    <col customWidth="1" min="11" max="11" width="15.33"/>
    <col customWidth="1" min="12" max="12" width="15.67"/>
    <col customWidth="1" min="13" max="13" width="13.11"/>
    <col customWidth="1" min="14" max="14" width="14.22"/>
    <col customWidth="1" min="15" max="15" width="14.78"/>
    <col customWidth="1" min="16" max="16" width="15.33"/>
    <col customWidth="1" min="17" max="17" width="14.78"/>
    <col customWidth="1" min="18" max="18" width="17.0"/>
    <col customWidth="1" min="19" max="19" width="21.44"/>
    <col customWidth="1" min="20" max="20" width="12.33"/>
  </cols>
  <sheetData>
    <row r="2">
      <c r="A2" s="4" t="s">
        <v>69</v>
      </c>
      <c r="B2" s="4" t="s">
        <v>575</v>
      </c>
      <c r="C2" s="4" t="s">
        <v>679</v>
      </c>
      <c r="D2" s="4" t="s">
        <v>589</v>
      </c>
      <c r="E2" s="4" t="s">
        <v>594</v>
      </c>
      <c r="F2" s="4" t="s">
        <v>605</v>
      </c>
      <c r="G2" s="4" t="s">
        <v>609</v>
      </c>
      <c r="H2" s="4" t="s">
        <v>602</v>
      </c>
      <c r="I2" s="4" t="s">
        <v>602</v>
      </c>
      <c r="J2" s="4" t="s">
        <v>523</v>
      </c>
      <c r="K2" s="4" t="s">
        <v>529</v>
      </c>
      <c r="L2" s="4" t="s">
        <v>529</v>
      </c>
      <c r="M2" s="4" t="s">
        <v>535</v>
      </c>
      <c r="N2" s="4" t="s">
        <v>615</v>
      </c>
      <c r="O2" s="4" t="s">
        <v>616</v>
      </c>
      <c r="P2" s="4" t="s">
        <v>616</v>
      </c>
      <c r="Q2" s="4" t="s">
        <v>632</v>
      </c>
      <c r="R2" s="4" t="s">
        <v>555</v>
      </c>
      <c r="S2" s="4" t="s">
        <v>557</v>
      </c>
      <c r="T2" s="4" t="s">
        <v>559</v>
      </c>
      <c r="U2" s="4" t="s">
        <v>561</v>
      </c>
      <c r="V2" s="4" t="s">
        <v>658</v>
      </c>
      <c r="W2" s="4" t="s">
        <v>669</v>
      </c>
    </row>
    <row r="3">
      <c r="A3" s="4" t="s">
        <v>428</v>
      </c>
      <c r="B3" s="4" t="str">
        <f>"Chord"</f>
        <v>Chord</v>
      </c>
      <c r="C3" s="4" t="str">
        <f>"Isshin Art Clarity"</f>
        <v>Isshin Art Clarity</v>
      </c>
      <c r="D3" s="4" t="str">
        <f>"Sky-Piercing Fang"</f>
        <v>Sky-Piercing Fang</v>
      </c>
      <c r="E3" s="4" t="str">
        <f>"Crush"</f>
        <v>Crush</v>
      </c>
      <c r="F3" s="4" t="str">
        <f>"Oceanic Victory"</f>
        <v>Oceanic Victory</v>
      </c>
      <c r="G3" s="4" t="str">
        <f>"Sky-ripping Dragon Spine"</f>
        <v>Sky-ripping Dragon Spine</v>
      </c>
      <c r="H3" s="4" t="str">
        <f>"Frost Burial (base)"</f>
        <v>Frost Burial (base)</v>
      </c>
      <c r="I3" s="4" t="str">
        <f>"Frost Burial (Cryo)"</f>
        <v>Frost Burial (Cryo)</v>
      </c>
      <c r="J3" s="4" t="str">
        <f>"Infusion Needle"</f>
        <v>Infusion Needle</v>
      </c>
      <c r="K3" s="4" t="str">
        <f>"Frost Burial (base)"</f>
        <v>Frost Burial (base)</v>
      </c>
      <c r="L3" s="4" t="str">
        <f>"Frost Burial (Cryo)"</f>
        <v>Frost Burial (Cryo)</v>
      </c>
      <c r="M3" s="4" t="str">
        <f>"Black Wing"</f>
        <v>Black Wing</v>
      </c>
      <c r="N3" s="4" t="str">
        <f>"Echo"</f>
        <v>Echo</v>
      </c>
      <c r="O3" s="4" t="str">
        <f>"Frost Burial (base)"</f>
        <v>Frost Burial (base)</v>
      </c>
      <c r="P3" s="4" t="str">
        <f>"Frost Burial (Cryo)"</f>
        <v>Frost Burial (Cryo)</v>
      </c>
      <c r="Q3" s="4" t="str">
        <f>"Wandering Clouds"</f>
        <v>Wandering Clouds</v>
      </c>
      <c r="R3" s="4" t="str">
        <f>"Verdant Wind"</f>
        <v>Verdant Wind</v>
      </c>
      <c r="S3" s="4" t="str">
        <f>"Labyrinth Lord's Instruction"</f>
        <v>Labyrinth Lord's Instruction</v>
      </c>
      <c r="T3" s="4" t="str">
        <f>"Net Snapper"</f>
        <v>Net Snapper</v>
      </c>
      <c r="U3" s="4" t="str">
        <f>"Echoing Ballad"</f>
        <v>Echoing Ballad</v>
      </c>
      <c r="V3" s="4" t="str">
        <f>"Sunfire Arrow"</f>
        <v>Sunfire Arrow</v>
      </c>
      <c r="W3" s="4" t="str">
        <f>"Hero's Blade"</f>
        <v>Hero's Blade</v>
      </c>
    </row>
    <row r="4">
      <c r="A4" s="4" t="s">
        <v>250</v>
      </c>
      <c r="B4" s="10" t="str">
        <f t="shared" ref="B4:W4" si="1">"none"</f>
        <v>none</v>
      </c>
      <c r="C4" s="10" t="str">
        <f t="shared" si="1"/>
        <v>none</v>
      </c>
      <c r="D4" s="10" t="str">
        <f t="shared" si="1"/>
        <v>none</v>
      </c>
      <c r="E4" s="10" t="str">
        <f t="shared" si="1"/>
        <v>none</v>
      </c>
      <c r="F4" s="10" t="str">
        <f t="shared" si="1"/>
        <v>none</v>
      </c>
      <c r="G4" s="10" t="str">
        <f t="shared" si="1"/>
        <v>none</v>
      </c>
      <c r="H4" s="10" t="str">
        <f t="shared" si="1"/>
        <v>none</v>
      </c>
      <c r="I4" s="10" t="str">
        <f t="shared" si="1"/>
        <v>none</v>
      </c>
      <c r="J4" s="10" t="str">
        <f t="shared" si="1"/>
        <v>none</v>
      </c>
      <c r="K4" s="10" t="str">
        <f t="shared" si="1"/>
        <v>none</v>
      </c>
      <c r="L4" s="10" t="str">
        <f t="shared" si="1"/>
        <v>none</v>
      </c>
      <c r="M4" s="10" t="str">
        <f t="shared" si="1"/>
        <v>none</v>
      </c>
      <c r="N4" s="10" t="str">
        <f t="shared" si="1"/>
        <v>none</v>
      </c>
      <c r="O4" s="10" t="str">
        <f t="shared" si="1"/>
        <v>none</v>
      </c>
      <c r="P4" s="10" t="str">
        <f t="shared" si="1"/>
        <v>none</v>
      </c>
      <c r="Q4" s="10" t="str">
        <f t="shared" si="1"/>
        <v>none</v>
      </c>
      <c r="R4" s="10" t="str">
        <f t="shared" si="1"/>
        <v>none</v>
      </c>
      <c r="S4" s="10" t="str">
        <f t="shared" si="1"/>
        <v>none</v>
      </c>
      <c r="T4" s="10" t="str">
        <f t="shared" si="1"/>
        <v>none</v>
      </c>
      <c r="U4" s="10" t="str">
        <f t="shared" si="1"/>
        <v>none</v>
      </c>
      <c r="V4" s="10" t="str">
        <f t="shared" si="1"/>
        <v>none</v>
      </c>
      <c r="W4" s="10" t="str">
        <f t="shared" si="1"/>
        <v>none</v>
      </c>
    </row>
    <row r="5">
      <c r="A5" s="4" t="s">
        <v>251</v>
      </c>
      <c r="B5" s="10" t="str">
        <f t="shared" ref="B5:W5" si="2">"-"</f>
        <v>-</v>
      </c>
      <c r="C5" s="10" t="str">
        <f t="shared" si="2"/>
        <v>-</v>
      </c>
      <c r="D5" s="10" t="str">
        <f t="shared" si="2"/>
        <v>-</v>
      </c>
      <c r="E5" s="10" t="str">
        <f t="shared" si="2"/>
        <v>-</v>
      </c>
      <c r="F5" s="10" t="str">
        <f t="shared" si="2"/>
        <v>-</v>
      </c>
      <c r="G5" s="10" t="str">
        <f t="shared" si="2"/>
        <v>-</v>
      </c>
      <c r="H5" s="10" t="str">
        <f t="shared" si="2"/>
        <v>-</v>
      </c>
      <c r="I5" s="10" t="str">
        <f t="shared" si="2"/>
        <v>-</v>
      </c>
      <c r="J5" s="10" t="str">
        <f t="shared" si="2"/>
        <v>-</v>
      </c>
      <c r="K5" s="10" t="str">
        <f t="shared" si="2"/>
        <v>-</v>
      </c>
      <c r="L5" s="10" t="str">
        <f t="shared" si="2"/>
        <v>-</v>
      </c>
      <c r="M5" s="10" t="str">
        <f t="shared" si="2"/>
        <v>-</v>
      </c>
      <c r="N5" s="10" t="str">
        <f t="shared" si="2"/>
        <v>-</v>
      </c>
      <c r="O5" s="10" t="str">
        <f t="shared" si="2"/>
        <v>-</v>
      </c>
      <c r="P5" s="10" t="str">
        <f t="shared" si="2"/>
        <v>-</v>
      </c>
      <c r="Q5" s="10" t="str">
        <f t="shared" si="2"/>
        <v>-</v>
      </c>
      <c r="R5" s="10" t="str">
        <f t="shared" si="2"/>
        <v>-</v>
      </c>
      <c r="S5" s="10" t="str">
        <f t="shared" si="2"/>
        <v>-</v>
      </c>
      <c r="T5" s="10" t="str">
        <f t="shared" si="2"/>
        <v>-</v>
      </c>
      <c r="U5" s="10" t="str">
        <f t="shared" si="2"/>
        <v>-</v>
      </c>
      <c r="V5" s="10" t="str">
        <f t="shared" si="2"/>
        <v>-</v>
      </c>
      <c r="W5" s="10" t="str">
        <f t="shared" si="2"/>
        <v>-</v>
      </c>
    </row>
    <row r="6">
      <c r="A6" s="4" t="s">
        <v>252</v>
      </c>
      <c r="B6" s="10" t="str">
        <f t="shared" ref="B6:W6" si="3">"Physical"</f>
        <v>Physical</v>
      </c>
      <c r="C6" s="10" t="str">
        <f t="shared" si="3"/>
        <v>Physical</v>
      </c>
      <c r="D6" s="10" t="str">
        <f t="shared" si="3"/>
        <v>Physical</v>
      </c>
      <c r="E6" s="10" t="str">
        <f t="shared" si="3"/>
        <v>Physical</v>
      </c>
      <c r="F6" s="10" t="str">
        <f t="shared" si="3"/>
        <v>Physical</v>
      </c>
      <c r="G6" s="10" t="str">
        <f t="shared" si="3"/>
        <v>Physical</v>
      </c>
      <c r="H6" s="10" t="str">
        <f t="shared" si="3"/>
        <v>Physical</v>
      </c>
      <c r="I6" s="10" t="str">
        <f t="shared" si="3"/>
        <v>Physical</v>
      </c>
      <c r="J6" s="10" t="str">
        <f t="shared" si="3"/>
        <v>Physical</v>
      </c>
      <c r="K6" s="10" t="str">
        <f t="shared" si="3"/>
        <v>Physical</v>
      </c>
      <c r="L6" s="10" t="str">
        <f t="shared" si="3"/>
        <v>Physical</v>
      </c>
      <c r="M6" s="10" t="str">
        <f t="shared" si="3"/>
        <v>Physical</v>
      </c>
      <c r="N6" s="10" t="str">
        <f t="shared" si="3"/>
        <v>Physical</v>
      </c>
      <c r="O6" s="10" t="str">
        <f t="shared" si="3"/>
        <v>Physical</v>
      </c>
      <c r="P6" s="10" t="str">
        <f t="shared" si="3"/>
        <v>Physical</v>
      </c>
      <c r="Q6" s="10" t="str">
        <f t="shared" si="3"/>
        <v>Physical</v>
      </c>
      <c r="R6" s="10" t="str">
        <f t="shared" si="3"/>
        <v>Physical</v>
      </c>
      <c r="S6" s="10" t="str">
        <f t="shared" si="3"/>
        <v>Physical</v>
      </c>
      <c r="T6" s="10" t="str">
        <f t="shared" si="3"/>
        <v>Physical</v>
      </c>
      <c r="U6" s="10" t="str">
        <f t="shared" si="3"/>
        <v>Physical</v>
      </c>
      <c r="V6" s="10" t="str">
        <f t="shared" si="3"/>
        <v>Physical</v>
      </c>
      <c r="W6" s="10" t="str">
        <f t="shared" si="3"/>
        <v>Physical</v>
      </c>
    </row>
    <row r="7">
      <c r="A7" s="4" t="s">
        <v>253</v>
      </c>
      <c r="B7" s="88" t="str">
        <f>IFERROR(__xludf.DUMMYFUNCTION("100 + (REGEXEXTRACT(INDIRECT(ADDRESS(ROW() - 76, 4)), ""[\d]"") - 1) * 25"),"#VALUE!")</f>
        <v>#VALUE!</v>
      </c>
      <c r="C7" s="10">
        <f>180</f>
        <v>180</v>
      </c>
      <c r="D7" s="88" t="str">
        <f>IFERROR(__xludf.DUMMYFUNCTION("20 + (REGEXEXTRACT(INDIRECT(ADDRESS(ROW() - 76, 4)), ""[\d]"") - 1) * 5"),"#VALUE!")</f>
        <v>#VALUE!</v>
      </c>
      <c r="E7" s="88" t="str">
        <f>IFERROR(__xludf.DUMMYFUNCTION("240 + (REGEXEXTRACT(INDIRECT(ADDRESS(ROW() - 76, 4)), ""[\d]"") - 1) * 60"),"#VALUE!")</f>
        <v>#VALUE!</v>
      </c>
      <c r="F7" s="88" t="str">
        <f>IFERROR(__xludf.DUMMYFUNCTION("100 + (REGEXEXTRACT(INDIRECT(ADDRESS(ROW() - 76, 4)), ""[\d]"") - 1) * 25"),"#VALUE!")</f>
        <v>#VALUE!</v>
      </c>
      <c r="G7" s="88" t="str">
        <f>IFERROR(__xludf.DUMMYFUNCTION("80 + (REGEXEXTRACT(INDIRECT(ADDRESS(ROW() - 76, 4)), ""[\d]"") - 1) * 20"),"#VALUE!")</f>
        <v>#VALUE!</v>
      </c>
      <c r="H7" s="88" t="str">
        <f>IFERROR(__xludf.DUMMYFUNCTION("80 + (REGEXEXTRACT(INDIRECT(ADDRESS(ROW() - 76, 4)), ""[\d]"") - 1) * 15"),"#VALUE!")</f>
        <v>#VALUE!</v>
      </c>
      <c r="I7" s="88" t="str">
        <f>IFERROR(__xludf.DUMMYFUNCTION("200 + (REGEXEXTRACT(INDIRECT(ADDRESS(ROW() - 76, 4)), ""[\d]"") - 1) * 40"),"#VALUE!")</f>
        <v>#VALUE!</v>
      </c>
      <c r="J7" s="88" t="str">
        <f>IFERROR(__xludf.DUMMYFUNCTION("20 + (REGEXEXTRACT(INDIRECT(ADDRESS(ROW() - 76, 4)), ""[\d]"") - 1) * 5"),"#VALUE!")</f>
        <v>#VALUE!</v>
      </c>
      <c r="K7" s="88" t="str">
        <f>IFERROR(__xludf.DUMMYFUNCTION("80 + (REGEXEXTRACT(INDIRECT(ADDRESS(ROW() - 76, 4)), ""[\d]"") - 1) * 15"),"#VALUE!")</f>
        <v>#VALUE!</v>
      </c>
      <c r="L7" s="88" t="str">
        <f>IFERROR(__xludf.DUMMYFUNCTION("200 + (REGEXEXTRACT(INDIRECT(ADDRESS(ROW() - 76, 4)), ""[\d]"") - 1) * 40"),"#VALUE!")</f>
        <v>#VALUE!</v>
      </c>
      <c r="M7" s="88" t="str">
        <f>IFERROR(__xludf.DUMMYFUNCTION("40 + (REGEXEXTRACT(INDIRECT(ADDRESS(ROW() - 76, 4)), ""[\d]"") - 1) * 15"),"#VALUE!")</f>
        <v>#VALUE!</v>
      </c>
      <c r="N7" s="88" t="str">
        <f>IFERROR(__xludf.DUMMYFUNCTION("240 + (REGEXEXTRACT(INDIRECT(ADDRESS(ROW() - 76, 4)), ""[\d]"") - 1) * 30"),"#VALUE!")</f>
        <v>#VALUE!</v>
      </c>
      <c r="O7" s="88" t="str">
        <f>IFERROR(__xludf.DUMMYFUNCTION("80 + (REGEXEXTRACT(INDIRECT(ADDRESS(ROW() - 76, 4)), ""[\d]"") - 1) * 15"),"#VALUE!")</f>
        <v>#VALUE!</v>
      </c>
      <c r="P7" s="88" t="str">
        <f>IFERROR(__xludf.DUMMYFUNCTION("200 + (REGEXEXTRACT(INDIRECT(ADDRESS(ROW() - 76, 4)), ""[\d]"") - 1) * 40"),"#VALUE!")</f>
        <v>#VALUE!</v>
      </c>
      <c r="Q7" s="88" t="str">
        <f>IFERROR(__xludf.DUMMYFUNCTION("160 + (REGEXEXTRACT(INDIRECT(ADDRESS(ROW() - 76, 4)), ""[\d]"") - 1) * 40"),"#VALUE!")</f>
        <v>#VALUE!</v>
      </c>
      <c r="R7" s="88" t="str">
        <f>IFERROR(__xludf.DUMMYFUNCTION("40 + (REGEXEXTRACT(INDIRECT(ADDRESS(ROW() - 76, 4)), ""[\d]"") - 1) * 10"),"#VALUE!")</f>
        <v>#VALUE!</v>
      </c>
      <c r="S7" s="88" t="str">
        <f>IFERROR(__xludf.DUMMYFUNCTION("100 + (REGEXEXTRACT(INDIRECT(ADDRESS(ROW() - 76, 4)), ""[\d]"") - 1) * 20"),"#VALUE!")</f>
        <v>#VALUE!</v>
      </c>
      <c r="T7" s="88" t="str">
        <f>IFERROR(__xludf.DUMMYFUNCTION("80 + (REGEXEXTRACT(INDIRECT(ADDRESS(ROW() - 76, 4)), ""[\d]"") - 1) * 20"),"#VALUE!")</f>
        <v>#VALUE!</v>
      </c>
      <c r="U7" s="88">
        <f>125</f>
        <v>125</v>
      </c>
      <c r="V7" s="88" t="str">
        <f>IFERROR(__xludf.DUMMYFUNCTION("60 + (REGEXEXTRACT(INDIRECT(ADDRESS(ROW() - 76, 4)), ""[\d]"") - 1) * 15"),"#VALUE!")</f>
        <v>#VALUE!</v>
      </c>
      <c r="W7" s="88" t="str">
        <f>IFERROR(__xludf.DUMMYFUNCTION("160 + (REGEXEXTRACT(INDIRECT(ADDRESS(ROW() - 76, 4)), ""[\d]"") - 1) * 40"),"#VALUE!")</f>
        <v>#VALUE!</v>
      </c>
    </row>
    <row r="8">
      <c r="A8" s="4" t="s">
        <v>254</v>
      </c>
    </row>
    <row r="9">
      <c r="A9" s="4" t="s">
        <v>255</v>
      </c>
    </row>
    <row r="10">
      <c r="A10" s="4" t="s">
        <v>256</v>
      </c>
      <c r="B10" s="59"/>
      <c r="C10" s="59"/>
      <c r="D10" s="59"/>
      <c r="E10" s="59"/>
      <c r="F10" s="59"/>
      <c r="G10" s="59"/>
      <c r="H10" s="59"/>
      <c r="I10" s="59"/>
      <c r="J10" s="59"/>
      <c r="K10" s="59"/>
      <c r="L10" s="59"/>
      <c r="M10" s="59"/>
      <c r="N10" s="59"/>
      <c r="O10" s="59"/>
      <c r="P10" s="59"/>
      <c r="Q10" s="59"/>
      <c r="R10" s="59"/>
      <c r="S10" s="59"/>
      <c r="T10" s="59"/>
      <c r="U10" s="59"/>
      <c r="V10" s="59"/>
      <c r="W10" s="59"/>
    </row>
    <row r="11">
      <c r="A11" s="4" t="s">
        <v>257</v>
      </c>
      <c r="B11" s="59" t="str">
        <f t="shared" ref="B11:W11" si="4">IFERROR(VLOOKUP(INDIRECT(ADDRESS(ROW() - 7, COLUMN())), INDIRECT(ADDRESS(ROW() - 81, 12)):INDIRECT(ADDRESS(ROW() - 77, 16)), 2, FALSE))</f>
        <v/>
      </c>
      <c r="C11" s="59" t="str">
        <f t="shared" si="4"/>
        <v/>
      </c>
      <c r="D11" s="59" t="str">
        <f t="shared" si="4"/>
        <v/>
      </c>
      <c r="E11" s="59" t="str">
        <f t="shared" si="4"/>
        <v/>
      </c>
      <c r="F11" s="59" t="str">
        <f t="shared" si="4"/>
        <v/>
      </c>
      <c r="G11" s="59" t="str">
        <f t="shared" si="4"/>
        <v/>
      </c>
      <c r="H11" s="59" t="str">
        <f t="shared" si="4"/>
        <v/>
      </c>
      <c r="I11" s="59" t="str">
        <f t="shared" si="4"/>
        <v/>
      </c>
      <c r="J11" s="59" t="str">
        <f t="shared" si="4"/>
        <v/>
      </c>
      <c r="K11" s="59" t="str">
        <f t="shared" si="4"/>
        <v/>
      </c>
      <c r="L11" s="59" t="str">
        <f t="shared" si="4"/>
        <v/>
      </c>
      <c r="M11" s="59" t="str">
        <f t="shared" si="4"/>
        <v/>
      </c>
      <c r="N11" s="59" t="str">
        <f t="shared" si="4"/>
        <v/>
      </c>
      <c r="O11" s="59" t="str">
        <f t="shared" si="4"/>
        <v/>
      </c>
      <c r="P11" s="59" t="str">
        <f t="shared" si="4"/>
        <v/>
      </c>
      <c r="Q11" s="59" t="str">
        <f t="shared" si="4"/>
        <v/>
      </c>
      <c r="R11" s="59" t="str">
        <f t="shared" si="4"/>
        <v/>
      </c>
      <c r="S11" s="59" t="str">
        <f t="shared" si="4"/>
        <v/>
      </c>
      <c r="T11" s="59" t="str">
        <f t="shared" si="4"/>
        <v/>
      </c>
      <c r="U11" s="59" t="str">
        <f t="shared" si="4"/>
        <v/>
      </c>
      <c r="V11" s="59" t="str">
        <f t="shared" si="4"/>
        <v/>
      </c>
      <c r="W11" s="59" t="str">
        <f t="shared" si="4"/>
        <v/>
      </c>
    </row>
    <row r="12">
      <c r="A12" s="4" t="s">
        <v>258</v>
      </c>
      <c r="B12" s="59" t="str">
        <f t="shared" ref="B12:W12" si="5">IFERROR(VLOOKUP(INDIRECT(ADDRESS(ROW() - 8, COLUMN())), INDIRECT(ADDRESS(ROW() - 82, 12)):INDIRECT(ADDRESS(ROW() - 78, 16)), 3, FALSE))</f>
        <v/>
      </c>
      <c r="C12" s="59" t="str">
        <f t="shared" si="5"/>
        <v/>
      </c>
      <c r="D12" s="59" t="str">
        <f t="shared" si="5"/>
        <v/>
      </c>
      <c r="E12" s="59" t="str">
        <f t="shared" si="5"/>
        <v/>
      </c>
      <c r="F12" s="59" t="str">
        <f t="shared" si="5"/>
        <v/>
      </c>
      <c r="G12" s="59" t="str">
        <f t="shared" si="5"/>
        <v/>
      </c>
      <c r="H12" s="59" t="str">
        <f t="shared" si="5"/>
        <v/>
      </c>
      <c r="I12" s="59" t="str">
        <f t="shared" si="5"/>
        <v/>
      </c>
      <c r="J12" s="59" t="str">
        <f t="shared" si="5"/>
        <v/>
      </c>
      <c r="K12" s="59" t="str">
        <f t="shared" si="5"/>
        <v/>
      </c>
      <c r="L12" s="59" t="str">
        <f t="shared" si="5"/>
        <v/>
      </c>
      <c r="M12" s="59" t="str">
        <f t="shared" si="5"/>
        <v/>
      </c>
      <c r="N12" s="59" t="str">
        <f t="shared" si="5"/>
        <v/>
      </c>
      <c r="O12" s="59" t="str">
        <f t="shared" si="5"/>
        <v/>
      </c>
      <c r="P12" s="59" t="str">
        <f t="shared" si="5"/>
        <v/>
      </c>
      <c r="Q12" s="59" t="str">
        <f t="shared" si="5"/>
        <v/>
      </c>
      <c r="R12" s="59" t="str">
        <f t="shared" si="5"/>
        <v/>
      </c>
      <c r="S12" s="59" t="str">
        <f t="shared" si="5"/>
        <v/>
      </c>
      <c r="T12" s="59" t="str">
        <f t="shared" si="5"/>
        <v/>
      </c>
      <c r="U12" s="59" t="str">
        <f t="shared" si="5"/>
        <v/>
      </c>
      <c r="V12" s="59" t="str">
        <f t="shared" si="5"/>
        <v/>
      </c>
      <c r="W12" s="59" t="str">
        <f t="shared" si="5"/>
        <v/>
      </c>
    </row>
    <row r="13">
      <c r="A13" s="4" t="s">
        <v>259</v>
      </c>
      <c r="B13" s="59" t="str">
        <f t="shared" ref="B13:W13" si="6">IFERROR(VLOOKUP(INDIRECT(ADDRESS(ROW() - 9, COLUMN())), INDIRECT(ADDRESS(ROW() - 83, 12)):INDIRECT(ADDRESS(ROW() - 79, 16)), 4, FALSE))</f>
        <v/>
      </c>
      <c r="C13" s="59" t="str">
        <f t="shared" si="6"/>
        <v/>
      </c>
      <c r="D13" s="59" t="str">
        <f t="shared" si="6"/>
        <v/>
      </c>
      <c r="E13" s="59" t="str">
        <f t="shared" si="6"/>
        <v/>
      </c>
      <c r="F13" s="59" t="str">
        <f t="shared" si="6"/>
        <v/>
      </c>
      <c r="G13" s="59" t="str">
        <f t="shared" si="6"/>
        <v/>
      </c>
      <c r="H13" s="59" t="str">
        <f t="shared" si="6"/>
        <v/>
      </c>
      <c r="I13" s="59" t="str">
        <f t="shared" si="6"/>
        <v/>
      </c>
      <c r="J13" s="59" t="str">
        <f t="shared" si="6"/>
        <v/>
      </c>
      <c r="K13" s="59" t="str">
        <f t="shared" si="6"/>
        <v/>
      </c>
      <c r="L13" s="59" t="str">
        <f t="shared" si="6"/>
        <v/>
      </c>
      <c r="M13" s="59" t="str">
        <f t="shared" si="6"/>
        <v/>
      </c>
      <c r="N13" s="59" t="str">
        <f t="shared" si="6"/>
        <v/>
      </c>
      <c r="O13" s="59" t="str">
        <f t="shared" si="6"/>
        <v/>
      </c>
      <c r="P13" s="59" t="str">
        <f t="shared" si="6"/>
        <v/>
      </c>
      <c r="Q13" s="59" t="str">
        <f t="shared" si="6"/>
        <v/>
      </c>
      <c r="R13" s="59" t="str">
        <f t="shared" si="6"/>
        <v/>
      </c>
      <c r="S13" s="59" t="str">
        <f t="shared" si="6"/>
        <v/>
      </c>
      <c r="T13" s="59" t="str">
        <f t="shared" si="6"/>
        <v/>
      </c>
      <c r="U13" s="59" t="str">
        <f t="shared" si="6"/>
        <v/>
      </c>
      <c r="V13" s="59" t="str">
        <f t="shared" si="6"/>
        <v/>
      </c>
      <c r="W13" s="59" t="str">
        <f t="shared" si="6"/>
        <v/>
      </c>
    </row>
    <row r="14">
      <c r="A14" s="4" t="s">
        <v>260</v>
      </c>
      <c r="B14" s="59" t="str">
        <f t="shared" ref="B14:W14" si="7">IFERROR(VLOOKUP(INDIRECT(ADDRESS(ROW() - 10, COLUMN())), INDIRECT(ADDRESS(ROW() - 84, 12)):INDIRECT(ADDRESS(ROW() - 80, 16)), 5, FALSE))</f>
        <v/>
      </c>
      <c r="C14" s="59" t="str">
        <f t="shared" si="7"/>
        <v/>
      </c>
      <c r="D14" s="59" t="str">
        <f t="shared" si="7"/>
        <v/>
      </c>
      <c r="E14" s="59" t="str">
        <f t="shared" si="7"/>
        <v/>
      </c>
      <c r="F14" s="59" t="str">
        <f t="shared" si="7"/>
        <v/>
      </c>
      <c r="G14" s="59" t="str">
        <f t="shared" si="7"/>
        <v/>
      </c>
      <c r="H14" s="59" t="str">
        <f t="shared" si="7"/>
        <v/>
      </c>
      <c r="I14" s="59" t="str">
        <f t="shared" si="7"/>
        <v/>
      </c>
      <c r="J14" s="59" t="str">
        <f t="shared" si="7"/>
        <v/>
      </c>
      <c r="K14" s="59" t="str">
        <f t="shared" si="7"/>
        <v/>
      </c>
      <c r="L14" s="59" t="str">
        <f t="shared" si="7"/>
        <v/>
      </c>
      <c r="M14" s="59" t="str">
        <f t="shared" si="7"/>
        <v/>
      </c>
      <c r="N14" s="59" t="str">
        <f t="shared" si="7"/>
        <v/>
      </c>
      <c r="O14" s="59" t="str">
        <f t="shared" si="7"/>
        <v/>
      </c>
      <c r="P14" s="59" t="str">
        <f t="shared" si="7"/>
        <v/>
      </c>
      <c r="Q14" s="59" t="str">
        <f t="shared" si="7"/>
        <v/>
      </c>
      <c r="R14" s="59" t="str">
        <f t="shared" si="7"/>
        <v/>
      </c>
      <c r="S14" s="59" t="str">
        <f t="shared" si="7"/>
        <v/>
      </c>
      <c r="T14" s="59" t="str">
        <f t="shared" si="7"/>
        <v/>
      </c>
      <c r="U14" s="59" t="str">
        <f t="shared" si="7"/>
        <v/>
      </c>
      <c r="V14" s="59" t="str">
        <f t="shared" si="7"/>
        <v/>
      </c>
      <c r="W14" s="59" t="str">
        <f t="shared" si="7"/>
        <v/>
      </c>
    </row>
    <row r="15">
      <c r="A15" s="4" t="s">
        <v>261</v>
      </c>
    </row>
    <row r="16">
      <c r="A16" s="4" t="s">
        <v>262</v>
      </c>
      <c r="B16" s="10">
        <f t="shared" ref="B16:W16" si="8">1</f>
        <v>1</v>
      </c>
      <c r="C16" s="10">
        <f t="shared" si="8"/>
        <v>1</v>
      </c>
      <c r="D16" s="10">
        <f t="shared" si="8"/>
        <v>1</v>
      </c>
      <c r="E16" s="10">
        <f t="shared" si="8"/>
        <v>1</v>
      </c>
      <c r="F16" s="10">
        <f t="shared" si="8"/>
        <v>1</v>
      </c>
      <c r="G16" s="10">
        <f t="shared" si="8"/>
        <v>1</v>
      </c>
      <c r="H16" s="10">
        <f t="shared" si="8"/>
        <v>1</v>
      </c>
      <c r="I16" s="10">
        <f t="shared" si="8"/>
        <v>1</v>
      </c>
      <c r="J16" s="10">
        <f t="shared" si="8"/>
        <v>1</v>
      </c>
      <c r="K16" s="10">
        <f t="shared" si="8"/>
        <v>1</v>
      </c>
      <c r="L16" s="10">
        <f t="shared" si="8"/>
        <v>1</v>
      </c>
      <c r="M16" s="10">
        <f t="shared" si="8"/>
        <v>1</v>
      </c>
      <c r="N16" s="10">
        <f t="shared" si="8"/>
        <v>1</v>
      </c>
      <c r="O16" s="10">
        <f t="shared" si="8"/>
        <v>1</v>
      </c>
      <c r="P16" s="10">
        <f t="shared" si="8"/>
        <v>1</v>
      </c>
      <c r="Q16" s="10">
        <f t="shared" si="8"/>
        <v>1</v>
      </c>
      <c r="R16" s="10">
        <f t="shared" si="8"/>
        <v>1</v>
      </c>
      <c r="S16" s="10">
        <f t="shared" si="8"/>
        <v>1</v>
      </c>
      <c r="T16" s="10">
        <f t="shared" si="8"/>
        <v>1</v>
      </c>
      <c r="U16" s="10">
        <f t="shared" si="8"/>
        <v>1</v>
      </c>
      <c r="V16" s="10">
        <f t="shared" si="8"/>
        <v>1</v>
      </c>
      <c r="W16" s="10">
        <f t="shared" si="8"/>
        <v>1</v>
      </c>
    </row>
    <row r="17">
      <c r="A17" s="4" t="s">
        <v>263</v>
      </c>
      <c r="B17" s="10">
        <f t="shared" ref="B17:W17" si="9">0</f>
        <v>0</v>
      </c>
      <c r="C17" s="10">
        <f t="shared" si="9"/>
        <v>0</v>
      </c>
      <c r="D17" s="10">
        <f t="shared" si="9"/>
        <v>0</v>
      </c>
      <c r="E17" s="10">
        <f t="shared" si="9"/>
        <v>0</v>
      </c>
      <c r="F17" s="10">
        <f t="shared" si="9"/>
        <v>0</v>
      </c>
      <c r="G17" s="10">
        <f t="shared" si="9"/>
        <v>0</v>
      </c>
      <c r="H17" s="10">
        <f t="shared" si="9"/>
        <v>0</v>
      </c>
      <c r="I17" s="10">
        <f t="shared" si="9"/>
        <v>0</v>
      </c>
      <c r="J17" s="10">
        <f t="shared" si="9"/>
        <v>0</v>
      </c>
      <c r="K17" s="10">
        <f t="shared" si="9"/>
        <v>0</v>
      </c>
      <c r="L17" s="10">
        <f t="shared" si="9"/>
        <v>0</v>
      </c>
      <c r="M17" s="10">
        <f t="shared" si="9"/>
        <v>0</v>
      </c>
      <c r="N17" s="10">
        <f t="shared" si="9"/>
        <v>0</v>
      </c>
      <c r="O17" s="10">
        <f t="shared" si="9"/>
        <v>0</v>
      </c>
      <c r="P17" s="10">
        <f t="shared" si="9"/>
        <v>0</v>
      </c>
      <c r="Q17" s="10">
        <f t="shared" si="9"/>
        <v>0</v>
      </c>
      <c r="R17" s="10">
        <f t="shared" si="9"/>
        <v>0</v>
      </c>
      <c r="S17" s="10">
        <f t="shared" si="9"/>
        <v>0</v>
      </c>
      <c r="T17" s="10">
        <f t="shared" si="9"/>
        <v>0</v>
      </c>
      <c r="U17" s="10">
        <f t="shared" si="9"/>
        <v>0</v>
      </c>
      <c r="V17" s="10">
        <f t="shared" si="9"/>
        <v>0</v>
      </c>
      <c r="W17" s="10">
        <f t="shared" si="9"/>
        <v>0</v>
      </c>
    </row>
    <row r="21">
      <c r="A21" s="31"/>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3" max="3" width="14.44"/>
    <col customWidth="1" min="4" max="4" width="16.44"/>
    <col customWidth="1" min="5" max="5" width="13.56"/>
  </cols>
  <sheetData>
    <row r="2">
      <c r="A2" s="4" t="s">
        <v>69</v>
      </c>
      <c r="B2" s="4" t="s">
        <v>538</v>
      </c>
      <c r="C2" s="4" t="s">
        <v>617</v>
      </c>
      <c r="D2" s="4" t="s">
        <v>597</v>
      </c>
      <c r="E2" s="4" t="s">
        <v>577</v>
      </c>
      <c r="F2" s="4"/>
      <c r="G2" s="4"/>
      <c r="H2" s="4"/>
      <c r="I2" s="4"/>
      <c r="J2" s="4"/>
      <c r="K2" s="4"/>
      <c r="L2" s="4"/>
      <c r="M2" s="4"/>
      <c r="N2" s="4"/>
      <c r="O2" s="4"/>
      <c r="P2" s="4"/>
      <c r="Q2" s="4"/>
    </row>
    <row r="3">
      <c r="A3" s="4" t="s">
        <v>428</v>
      </c>
      <c r="B3" s="4" t="str">
        <f>"Cull the Weak"</f>
        <v>Cull the Weak</v>
      </c>
      <c r="C3" s="4" t="str">
        <f>"Gliding"</f>
        <v>Gliding</v>
      </c>
      <c r="D3" s="4" t="str">
        <f>"Rebellious Guardian"</f>
        <v>Rebellious Guardian</v>
      </c>
      <c r="E3" s="4" t="str">
        <f>"Justice"</f>
        <v>Justice</v>
      </c>
      <c r="F3" s="4"/>
      <c r="G3" s="4"/>
      <c r="H3" s="4"/>
      <c r="I3" s="4"/>
      <c r="J3" s="4"/>
      <c r="K3" s="4"/>
      <c r="L3" s="4"/>
      <c r="M3" s="4"/>
      <c r="N3" s="4"/>
      <c r="O3" s="4"/>
      <c r="P3" s="4"/>
      <c r="Q3" s="4"/>
    </row>
    <row r="4">
      <c r="A4" s="4" t="s">
        <v>251</v>
      </c>
      <c r="B4" s="10" t="str">
        <f t="shared" ref="B4:E4" si="1">"-"</f>
        <v>-</v>
      </c>
      <c r="C4" s="10" t="str">
        <f t="shared" si="1"/>
        <v>-</v>
      </c>
      <c r="D4" s="10" t="str">
        <f t="shared" si="1"/>
        <v>-</v>
      </c>
      <c r="E4" s="10" t="str">
        <f t="shared" si="1"/>
        <v>-</v>
      </c>
    </row>
    <row r="5">
      <c r="A5" s="4" t="s">
        <v>301</v>
      </c>
      <c r="B5" s="10" t="str">
        <f t="shared" ref="B5:C5" si="2">"Heal"</f>
        <v>Heal</v>
      </c>
      <c r="C5" s="10" t="str">
        <f t="shared" si="2"/>
        <v>Heal</v>
      </c>
      <c r="D5" s="10" t="str">
        <f>"Shield"</f>
        <v>Shield</v>
      </c>
      <c r="E5" s="10" t="str">
        <f>"Heal"</f>
        <v>Heal</v>
      </c>
    </row>
    <row r="6">
      <c r="A6" s="4" t="s">
        <v>152</v>
      </c>
      <c r="E6" s="88" t="str">
        <f>IFERROR(__xludf.DUMMYFUNCTION("60 + (REGEXEXTRACT(INDIRECT(ADDRESS(ROW() - (TemplateStats!$B2 + TemplateStats!$B3 + 6), 4)), ""[\d]"") -1) * 10"),"#VALUE!")</f>
        <v>#VALUE!</v>
      </c>
    </row>
    <row r="7">
      <c r="A7" s="4" t="s">
        <v>120</v>
      </c>
    </row>
    <row r="8">
      <c r="A8" s="4" t="s">
        <v>153</v>
      </c>
      <c r="B8" s="88" t="str">
        <f>IFERROR(__xludf.DUMMYFUNCTION("8 + (REGEXEXTRACT(INDIRECT(ADDRESS(ROW() - (TemplateStats!$B2 + TemplateStats!$B3 + 8), 4)), ""[\d]"") -1) * 2"),"#VALUE!")</f>
        <v>#VALUE!</v>
      </c>
      <c r="C8" s="88" t="str">
        <f>IFERROR(__xludf.DUMMYFUNCTION("4 + (REGEXEXTRACT(INDIRECT(ADDRESS(ROW() - (TemplateStats!$B2 + TemplateStats!$B3 + 8), 4)), ""[\d]"") -1) * 0.5"),"#VALUE!")</f>
        <v>#VALUE!</v>
      </c>
      <c r="D8" s="88" t="str">
        <f>IFERROR(__xludf.DUMMYFUNCTION("20 + (REGEXEXTRACT(INDIRECT(ADDRESS(ROW() - (TemplateStats!$B2 + TemplateStats!$B3 + 8), 4)), ""[\d]"") -1) * 3"),"#VALUE!")</f>
        <v>#VALUE!</v>
      </c>
    </row>
    <row r="9">
      <c r="A9" s="4" t="s">
        <v>165</v>
      </c>
    </row>
    <row r="10">
      <c r="A10" s="4" t="s">
        <v>115</v>
      </c>
    </row>
    <row r="11">
      <c r="A11" s="4" t="s">
        <v>515</v>
      </c>
      <c r="B11" s="10">
        <f t="shared" ref="B11:E11" si="3">1</f>
        <v>1</v>
      </c>
      <c r="C11" s="10">
        <f t="shared" si="3"/>
        <v>1</v>
      </c>
      <c r="D11" s="10">
        <f t="shared" si="3"/>
        <v>1</v>
      </c>
      <c r="E11" s="10">
        <f t="shared" si="3"/>
        <v>1</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8.67"/>
    <col customWidth="1" min="3" max="3" width="13.56"/>
    <col customWidth="1" min="31" max="31" width="12.56"/>
  </cols>
  <sheetData>
    <row r="2">
      <c r="A2" s="4" t="s">
        <v>793</v>
      </c>
      <c r="B2" s="4" t="s">
        <v>794</v>
      </c>
      <c r="C2" s="4" t="s">
        <v>795</v>
      </c>
      <c r="D2" s="4" t="s">
        <v>796</v>
      </c>
      <c r="E2" s="4" t="s">
        <v>797</v>
      </c>
      <c r="F2" s="4" t="s">
        <v>798</v>
      </c>
      <c r="G2" s="4" t="s">
        <v>799</v>
      </c>
      <c r="H2" s="4" t="s">
        <v>800</v>
      </c>
      <c r="I2" s="4" t="s">
        <v>801</v>
      </c>
      <c r="J2" s="4" t="s">
        <v>802</v>
      </c>
      <c r="K2" s="4" t="s">
        <v>803</v>
      </c>
      <c r="L2" s="4" t="s">
        <v>804</v>
      </c>
      <c r="M2" s="4" t="s">
        <v>805</v>
      </c>
      <c r="N2" s="4" t="s">
        <v>806</v>
      </c>
      <c r="O2" s="4" t="s">
        <v>807</v>
      </c>
      <c r="P2" s="4" t="s">
        <v>808</v>
      </c>
      <c r="Q2" s="4" t="s">
        <v>809</v>
      </c>
      <c r="R2" s="4" t="s">
        <v>810</v>
      </c>
      <c r="S2" s="4" t="s">
        <v>811</v>
      </c>
      <c r="T2" s="4" t="s">
        <v>812</v>
      </c>
      <c r="U2" s="4" t="s">
        <v>813</v>
      </c>
      <c r="V2" s="4" t="s">
        <v>814</v>
      </c>
      <c r="W2" s="4" t="s">
        <v>815</v>
      </c>
      <c r="X2" s="4" t="s">
        <v>816</v>
      </c>
      <c r="Y2" s="4" t="s">
        <v>817</v>
      </c>
      <c r="Z2" s="4" t="s">
        <v>818</v>
      </c>
      <c r="AA2" s="4" t="s">
        <v>819</v>
      </c>
      <c r="AB2" s="4" t="s">
        <v>820</v>
      </c>
      <c r="AC2" s="4" t="s">
        <v>821</v>
      </c>
      <c r="AD2" s="4" t="s">
        <v>822</v>
      </c>
      <c r="AE2" s="4" t="s">
        <v>823</v>
      </c>
      <c r="AF2" s="4" t="s">
        <v>824</v>
      </c>
      <c r="AG2" s="4" t="s">
        <v>825</v>
      </c>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row>
    <row r="3">
      <c r="A3" s="4" t="s">
        <v>422</v>
      </c>
      <c r="B3" s="88">
        <f t="shared" ref="B3:AG3" si="1">0</f>
        <v>0</v>
      </c>
      <c r="C3" s="88">
        <f t="shared" si="1"/>
        <v>0</v>
      </c>
      <c r="D3" s="88">
        <f t="shared" si="1"/>
        <v>0</v>
      </c>
      <c r="E3" s="88">
        <f t="shared" si="1"/>
        <v>0</v>
      </c>
      <c r="F3" s="88">
        <f t="shared" si="1"/>
        <v>0</v>
      </c>
      <c r="G3" s="88">
        <f t="shared" si="1"/>
        <v>0</v>
      </c>
      <c r="H3" s="88">
        <f t="shared" si="1"/>
        <v>0</v>
      </c>
      <c r="I3" s="88">
        <f t="shared" si="1"/>
        <v>0</v>
      </c>
      <c r="J3" s="88">
        <f t="shared" si="1"/>
        <v>0</v>
      </c>
      <c r="K3" s="88">
        <f t="shared" si="1"/>
        <v>0</v>
      </c>
      <c r="L3" s="88">
        <f t="shared" si="1"/>
        <v>0</v>
      </c>
      <c r="M3" s="88">
        <f t="shared" si="1"/>
        <v>0</v>
      </c>
      <c r="N3" s="88">
        <f t="shared" si="1"/>
        <v>0</v>
      </c>
      <c r="O3" s="88">
        <f t="shared" si="1"/>
        <v>0</v>
      </c>
      <c r="P3" s="88">
        <f t="shared" si="1"/>
        <v>0</v>
      </c>
      <c r="Q3" s="88">
        <f t="shared" si="1"/>
        <v>0</v>
      </c>
      <c r="R3" s="88">
        <f t="shared" si="1"/>
        <v>0</v>
      </c>
      <c r="S3" s="88">
        <f t="shared" si="1"/>
        <v>0</v>
      </c>
      <c r="T3" s="88">
        <f t="shared" si="1"/>
        <v>0</v>
      </c>
      <c r="U3" s="88">
        <f t="shared" si="1"/>
        <v>0</v>
      </c>
      <c r="V3" s="88">
        <f t="shared" si="1"/>
        <v>0</v>
      </c>
      <c r="W3" s="88">
        <f t="shared" si="1"/>
        <v>0</v>
      </c>
      <c r="X3" s="88">
        <f t="shared" si="1"/>
        <v>0</v>
      </c>
      <c r="Y3" s="88">
        <f t="shared" si="1"/>
        <v>0</v>
      </c>
      <c r="Z3" s="88">
        <f t="shared" si="1"/>
        <v>0</v>
      </c>
      <c r="AA3" s="88">
        <f t="shared" si="1"/>
        <v>0</v>
      </c>
      <c r="AB3" s="10">
        <f t="shared" si="1"/>
        <v>0</v>
      </c>
      <c r="AC3" s="10">
        <f t="shared" si="1"/>
        <v>0</v>
      </c>
      <c r="AD3" s="10">
        <f t="shared" si="1"/>
        <v>0</v>
      </c>
      <c r="AE3" s="10">
        <f t="shared" si="1"/>
        <v>0</v>
      </c>
      <c r="AF3" s="10">
        <f t="shared" si="1"/>
        <v>0</v>
      </c>
      <c r="AG3" s="10">
        <f t="shared" si="1"/>
        <v>0</v>
      </c>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row>
    <row r="4">
      <c r="A4" s="4" t="s">
        <v>160</v>
      </c>
      <c r="B4" s="88">
        <f t="shared" ref="B4:C4" si="2">0</f>
        <v>0</v>
      </c>
      <c r="C4" s="88">
        <f t="shared" si="2"/>
        <v>0</v>
      </c>
      <c r="D4" s="10">
        <f>18</f>
        <v>18</v>
      </c>
      <c r="E4" s="88">
        <f t="shared" ref="E4:S4" si="3">0</f>
        <v>0</v>
      </c>
      <c r="F4" s="88">
        <f t="shared" si="3"/>
        <v>0</v>
      </c>
      <c r="G4" s="88">
        <f t="shared" si="3"/>
        <v>0</v>
      </c>
      <c r="H4" s="88">
        <f t="shared" si="3"/>
        <v>0</v>
      </c>
      <c r="I4" s="88">
        <f t="shared" si="3"/>
        <v>0</v>
      </c>
      <c r="J4" s="88">
        <f t="shared" si="3"/>
        <v>0</v>
      </c>
      <c r="K4" s="88">
        <f t="shared" si="3"/>
        <v>0</v>
      </c>
      <c r="L4" s="88">
        <f t="shared" si="3"/>
        <v>0</v>
      </c>
      <c r="M4" s="88">
        <f t="shared" si="3"/>
        <v>0</v>
      </c>
      <c r="N4" s="88">
        <f t="shared" si="3"/>
        <v>0</v>
      </c>
      <c r="O4" s="88">
        <f t="shared" si="3"/>
        <v>0</v>
      </c>
      <c r="P4" s="88">
        <f t="shared" si="3"/>
        <v>0</v>
      </c>
      <c r="Q4" s="88">
        <f t="shared" si="3"/>
        <v>0</v>
      </c>
      <c r="R4" s="88">
        <f t="shared" si="3"/>
        <v>0</v>
      </c>
      <c r="S4" s="88">
        <f t="shared" si="3"/>
        <v>0</v>
      </c>
      <c r="T4" s="10">
        <f>18</f>
        <v>18</v>
      </c>
      <c r="U4" s="88">
        <f t="shared" ref="U4:W4" si="4">0</f>
        <v>0</v>
      </c>
      <c r="V4" s="88">
        <f t="shared" si="4"/>
        <v>0</v>
      </c>
      <c r="W4" s="88">
        <f t="shared" si="4"/>
        <v>0</v>
      </c>
      <c r="X4" s="10">
        <f t="shared" ref="X4:Y4" si="5">18</f>
        <v>18</v>
      </c>
      <c r="Y4" s="10">
        <f t="shared" si="5"/>
        <v>18</v>
      </c>
      <c r="Z4" s="88">
        <f t="shared" ref="Z4:AG4" si="6">0</f>
        <v>0</v>
      </c>
      <c r="AA4" s="88">
        <f t="shared" si="6"/>
        <v>0</v>
      </c>
      <c r="AB4" s="10">
        <f t="shared" si="6"/>
        <v>0</v>
      </c>
      <c r="AC4" s="10">
        <f t="shared" si="6"/>
        <v>0</v>
      </c>
      <c r="AD4" s="10">
        <f t="shared" si="6"/>
        <v>0</v>
      </c>
      <c r="AE4" s="10">
        <f t="shared" si="6"/>
        <v>0</v>
      </c>
      <c r="AF4" s="10">
        <f t="shared" si="6"/>
        <v>0</v>
      </c>
      <c r="AG4" s="10">
        <f t="shared" si="6"/>
        <v>0</v>
      </c>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row>
    <row r="5">
      <c r="A5" s="181" t="s">
        <v>423</v>
      </c>
      <c r="B5" s="88">
        <f t="shared" ref="B5:AG5" si="7">0</f>
        <v>0</v>
      </c>
      <c r="C5" s="88">
        <f t="shared" si="7"/>
        <v>0</v>
      </c>
      <c r="D5" s="88">
        <f t="shared" si="7"/>
        <v>0</v>
      </c>
      <c r="E5" s="88">
        <f t="shared" si="7"/>
        <v>0</v>
      </c>
      <c r="F5" s="88">
        <f t="shared" si="7"/>
        <v>0</v>
      </c>
      <c r="G5" s="88">
        <f t="shared" si="7"/>
        <v>0</v>
      </c>
      <c r="H5" s="88">
        <f t="shared" si="7"/>
        <v>0</v>
      </c>
      <c r="I5" s="88">
        <f t="shared" si="7"/>
        <v>0</v>
      </c>
      <c r="J5" s="88">
        <f t="shared" si="7"/>
        <v>0</v>
      </c>
      <c r="K5" s="88">
        <f t="shared" si="7"/>
        <v>0</v>
      </c>
      <c r="L5" s="88">
        <f t="shared" si="7"/>
        <v>0</v>
      </c>
      <c r="M5" s="88">
        <f t="shared" si="7"/>
        <v>0</v>
      </c>
      <c r="N5" s="88">
        <f t="shared" si="7"/>
        <v>0</v>
      </c>
      <c r="O5" s="88">
        <f t="shared" si="7"/>
        <v>0</v>
      </c>
      <c r="P5" s="88">
        <f t="shared" si="7"/>
        <v>0</v>
      </c>
      <c r="Q5" s="88">
        <f t="shared" si="7"/>
        <v>0</v>
      </c>
      <c r="R5" s="88">
        <f t="shared" si="7"/>
        <v>0</v>
      </c>
      <c r="S5" s="88">
        <f t="shared" si="7"/>
        <v>0</v>
      </c>
      <c r="T5" s="88">
        <f t="shared" si="7"/>
        <v>0</v>
      </c>
      <c r="U5" s="88">
        <f t="shared" si="7"/>
        <v>0</v>
      </c>
      <c r="V5" s="88">
        <f t="shared" si="7"/>
        <v>0</v>
      </c>
      <c r="W5" s="88">
        <f t="shared" si="7"/>
        <v>0</v>
      </c>
      <c r="X5" s="88">
        <f t="shared" si="7"/>
        <v>0</v>
      </c>
      <c r="Y5" s="88">
        <f t="shared" si="7"/>
        <v>0</v>
      </c>
      <c r="Z5" s="88">
        <f t="shared" si="7"/>
        <v>0</v>
      </c>
      <c r="AA5" s="88">
        <f t="shared" si="7"/>
        <v>0</v>
      </c>
      <c r="AB5" s="10">
        <f t="shared" si="7"/>
        <v>0</v>
      </c>
      <c r="AC5" s="10">
        <f t="shared" si="7"/>
        <v>0</v>
      </c>
      <c r="AD5" s="10">
        <f t="shared" si="7"/>
        <v>0</v>
      </c>
      <c r="AE5" s="10">
        <f t="shared" si="7"/>
        <v>0</v>
      </c>
      <c r="AF5" s="10">
        <f t="shared" si="7"/>
        <v>0</v>
      </c>
      <c r="AG5" s="10">
        <f t="shared" si="7"/>
        <v>0</v>
      </c>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row>
    <row r="6">
      <c r="A6" s="181" t="s">
        <v>424</v>
      </c>
      <c r="B6" s="88">
        <f t="shared" ref="B6:AG6" si="8">0</f>
        <v>0</v>
      </c>
      <c r="C6" s="88">
        <f t="shared" si="8"/>
        <v>0</v>
      </c>
      <c r="D6" s="88">
        <f t="shared" si="8"/>
        <v>0</v>
      </c>
      <c r="E6" s="88">
        <f t="shared" si="8"/>
        <v>0</v>
      </c>
      <c r="F6" s="88">
        <f t="shared" si="8"/>
        <v>0</v>
      </c>
      <c r="G6" s="88">
        <f t="shared" si="8"/>
        <v>0</v>
      </c>
      <c r="H6" s="88">
        <f t="shared" si="8"/>
        <v>0</v>
      </c>
      <c r="I6" s="88">
        <f t="shared" si="8"/>
        <v>0</v>
      </c>
      <c r="J6" s="88">
        <f t="shared" si="8"/>
        <v>0</v>
      </c>
      <c r="K6" s="88">
        <f t="shared" si="8"/>
        <v>0</v>
      </c>
      <c r="L6" s="88">
        <f t="shared" si="8"/>
        <v>0</v>
      </c>
      <c r="M6" s="88">
        <f t="shared" si="8"/>
        <v>0</v>
      </c>
      <c r="N6" s="88">
        <f t="shared" si="8"/>
        <v>0</v>
      </c>
      <c r="O6" s="88">
        <f t="shared" si="8"/>
        <v>0</v>
      </c>
      <c r="P6" s="88">
        <f t="shared" si="8"/>
        <v>0</v>
      </c>
      <c r="Q6" s="88">
        <f t="shared" si="8"/>
        <v>0</v>
      </c>
      <c r="R6" s="88">
        <f t="shared" si="8"/>
        <v>0</v>
      </c>
      <c r="S6" s="88">
        <f t="shared" si="8"/>
        <v>0</v>
      </c>
      <c r="T6" s="88">
        <f t="shared" si="8"/>
        <v>0</v>
      </c>
      <c r="U6" s="88">
        <f t="shared" si="8"/>
        <v>0</v>
      </c>
      <c r="V6" s="88">
        <f t="shared" si="8"/>
        <v>0</v>
      </c>
      <c r="W6" s="88">
        <f t="shared" si="8"/>
        <v>0</v>
      </c>
      <c r="X6" s="88">
        <f t="shared" si="8"/>
        <v>0</v>
      </c>
      <c r="Y6" s="88">
        <f t="shared" si="8"/>
        <v>0</v>
      </c>
      <c r="Z6" s="88">
        <f t="shared" si="8"/>
        <v>0</v>
      </c>
      <c r="AA6" s="88">
        <f t="shared" si="8"/>
        <v>0</v>
      </c>
      <c r="AB6" s="10">
        <f t="shared" si="8"/>
        <v>0</v>
      </c>
      <c r="AC6" s="10">
        <f t="shared" si="8"/>
        <v>0</v>
      </c>
      <c r="AD6" s="10">
        <f t="shared" si="8"/>
        <v>0</v>
      </c>
      <c r="AE6" s="10">
        <f t="shared" si="8"/>
        <v>0</v>
      </c>
      <c r="AF6" s="10">
        <f t="shared" si="8"/>
        <v>0</v>
      </c>
      <c r="AG6" s="10">
        <f t="shared" si="8"/>
        <v>0</v>
      </c>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row>
    <row r="7">
      <c r="A7" s="181" t="s">
        <v>425</v>
      </c>
      <c r="B7" s="88">
        <f t="shared" ref="B7:AG7" si="9">0</f>
        <v>0</v>
      </c>
      <c r="C7" s="88">
        <f t="shared" si="9"/>
        <v>0</v>
      </c>
      <c r="D7" s="88">
        <f t="shared" si="9"/>
        <v>0</v>
      </c>
      <c r="E7" s="88">
        <f t="shared" si="9"/>
        <v>0</v>
      </c>
      <c r="F7" s="88">
        <f t="shared" si="9"/>
        <v>0</v>
      </c>
      <c r="G7" s="88">
        <f t="shared" si="9"/>
        <v>0</v>
      </c>
      <c r="H7" s="88">
        <f t="shared" si="9"/>
        <v>0</v>
      </c>
      <c r="I7" s="88">
        <f t="shared" si="9"/>
        <v>0</v>
      </c>
      <c r="J7" s="88">
        <f t="shared" si="9"/>
        <v>0</v>
      </c>
      <c r="K7" s="88">
        <f t="shared" si="9"/>
        <v>0</v>
      </c>
      <c r="L7" s="88">
        <f t="shared" si="9"/>
        <v>0</v>
      </c>
      <c r="M7" s="88">
        <f t="shared" si="9"/>
        <v>0</v>
      </c>
      <c r="N7" s="88">
        <f t="shared" si="9"/>
        <v>0</v>
      </c>
      <c r="O7" s="88">
        <f t="shared" si="9"/>
        <v>0</v>
      </c>
      <c r="P7" s="88">
        <f t="shared" si="9"/>
        <v>0</v>
      </c>
      <c r="Q7" s="88">
        <f t="shared" si="9"/>
        <v>0</v>
      </c>
      <c r="R7" s="88">
        <f t="shared" si="9"/>
        <v>0</v>
      </c>
      <c r="S7" s="88">
        <f t="shared" si="9"/>
        <v>0</v>
      </c>
      <c r="T7" s="88">
        <f t="shared" si="9"/>
        <v>0</v>
      </c>
      <c r="U7" s="88">
        <f t="shared" si="9"/>
        <v>0</v>
      </c>
      <c r="V7" s="88">
        <f t="shared" si="9"/>
        <v>0</v>
      </c>
      <c r="W7" s="88">
        <f t="shared" si="9"/>
        <v>0</v>
      </c>
      <c r="X7" s="88">
        <f t="shared" si="9"/>
        <v>0</v>
      </c>
      <c r="Y7" s="88">
        <f t="shared" si="9"/>
        <v>0</v>
      </c>
      <c r="Z7" s="88">
        <f t="shared" si="9"/>
        <v>0</v>
      </c>
      <c r="AA7" s="88">
        <f t="shared" si="9"/>
        <v>0</v>
      </c>
      <c r="AB7" s="10">
        <f t="shared" si="9"/>
        <v>0</v>
      </c>
      <c r="AC7" s="10">
        <f t="shared" si="9"/>
        <v>0</v>
      </c>
      <c r="AD7" s="10">
        <f t="shared" si="9"/>
        <v>0</v>
      </c>
      <c r="AE7" s="10">
        <f t="shared" si="9"/>
        <v>0</v>
      </c>
      <c r="AF7" s="10">
        <f t="shared" si="9"/>
        <v>0</v>
      </c>
      <c r="AG7" s="10">
        <f t="shared" si="9"/>
        <v>0</v>
      </c>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row>
    <row r="8">
      <c r="A8" s="181" t="s">
        <v>161</v>
      </c>
      <c r="B8" s="88">
        <f t="shared" ref="B8:U8" si="10">0</f>
        <v>0</v>
      </c>
      <c r="C8" s="88">
        <f t="shared" si="10"/>
        <v>0</v>
      </c>
      <c r="D8" s="88">
        <f t="shared" si="10"/>
        <v>0</v>
      </c>
      <c r="E8" s="88">
        <f t="shared" si="10"/>
        <v>0</v>
      </c>
      <c r="F8" s="88">
        <f t="shared" si="10"/>
        <v>0</v>
      </c>
      <c r="G8" s="88">
        <f t="shared" si="10"/>
        <v>0</v>
      </c>
      <c r="H8" s="88">
        <f t="shared" si="10"/>
        <v>0</v>
      </c>
      <c r="I8" s="88">
        <f t="shared" si="10"/>
        <v>0</v>
      </c>
      <c r="J8" s="88">
        <f t="shared" si="10"/>
        <v>0</v>
      </c>
      <c r="K8" s="88">
        <f t="shared" si="10"/>
        <v>0</v>
      </c>
      <c r="L8" s="88">
        <f t="shared" si="10"/>
        <v>0</v>
      </c>
      <c r="M8" s="88">
        <f t="shared" si="10"/>
        <v>0</v>
      </c>
      <c r="N8" s="88">
        <f t="shared" si="10"/>
        <v>0</v>
      </c>
      <c r="O8" s="88">
        <f t="shared" si="10"/>
        <v>0</v>
      </c>
      <c r="P8" s="88">
        <f t="shared" si="10"/>
        <v>0</v>
      </c>
      <c r="Q8" s="88">
        <f t="shared" si="10"/>
        <v>0</v>
      </c>
      <c r="R8" s="88">
        <f t="shared" si="10"/>
        <v>0</v>
      </c>
      <c r="S8" s="88">
        <f t="shared" si="10"/>
        <v>0</v>
      </c>
      <c r="T8" s="88">
        <f t="shared" si="10"/>
        <v>0</v>
      </c>
      <c r="U8" s="88">
        <f t="shared" si="10"/>
        <v>0</v>
      </c>
      <c r="V8" s="10">
        <f>30</f>
        <v>30</v>
      </c>
      <c r="W8" s="88">
        <f t="shared" ref="W8:AG8" si="11">0</f>
        <v>0</v>
      </c>
      <c r="X8" s="88">
        <f t="shared" si="11"/>
        <v>0</v>
      </c>
      <c r="Y8" s="88">
        <f t="shared" si="11"/>
        <v>0</v>
      </c>
      <c r="Z8" s="88">
        <f t="shared" si="11"/>
        <v>0</v>
      </c>
      <c r="AA8" s="88">
        <f t="shared" si="11"/>
        <v>0</v>
      </c>
      <c r="AB8" s="10">
        <f t="shared" si="11"/>
        <v>0</v>
      </c>
      <c r="AC8" s="10">
        <f t="shared" si="11"/>
        <v>0</v>
      </c>
      <c r="AD8" s="10">
        <f t="shared" si="11"/>
        <v>0</v>
      </c>
      <c r="AE8" s="10">
        <f t="shared" si="11"/>
        <v>0</v>
      </c>
      <c r="AF8" s="10">
        <f t="shared" si="11"/>
        <v>0</v>
      </c>
      <c r="AG8" s="10">
        <f t="shared" si="11"/>
        <v>0</v>
      </c>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row>
    <row r="9">
      <c r="A9" s="181" t="s">
        <v>164</v>
      </c>
      <c r="B9" s="10">
        <f>20</f>
        <v>20</v>
      </c>
      <c r="C9" s="88">
        <f t="shared" ref="C9:T9" si="12">0</f>
        <v>0</v>
      </c>
      <c r="D9" s="88">
        <f t="shared" si="12"/>
        <v>0</v>
      </c>
      <c r="E9" s="88">
        <f t="shared" si="12"/>
        <v>0</v>
      </c>
      <c r="F9" s="88">
        <f t="shared" si="12"/>
        <v>0</v>
      </c>
      <c r="G9" s="88">
        <f t="shared" si="12"/>
        <v>0</v>
      </c>
      <c r="H9" s="88">
        <f t="shared" si="12"/>
        <v>0</v>
      </c>
      <c r="I9" s="88">
        <f t="shared" si="12"/>
        <v>0</v>
      </c>
      <c r="J9" s="88">
        <f t="shared" si="12"/>
        <v>0</v>
      </c>
      <c r="K9" s="88">
        <f t="shared" si="12"/>
        <v>0</v>
      </c>
      <c r="L9" s="88">
        <f t="shared" si="12"/>
        <v>0</v>
      </c>
      <c r="M9" s="88">
        <f t="shared" si="12"/>
        <v>0</v>
      </c>
      <c r="N9" s="88">
        <f t="shared" si="12"/>
        <v>0</v>
      </c>
      <c r="O9" s="88">
        <f t="shared" si="12"/>
        <v>0</v>
      </c>
      <c r="P9" s="88">
        <f t="shared" si="12"/>
        <v>0</v>
      </c>
      <c r="Q9" s="88">
        <f t="shared" si="12"/>
        <v>0</v>
      </c>
      <c r="R9" s="88">
        <f t="shared" si="12"/>
        <v>0</v>
      </c>
      <c r="S9" s="88">
        <f t="shared" si="12"/>
        <v>0</v>
      </c>
      <c r="T9" s="88">
        <f t="shared" si="12"/>
        <v>0</v>
      </c>
      <c r="U9" s="10">
        <f>20</f>
        <v>20</v>
      </c>
      <c r="V9" s="88">
        <f t="shared" ref="V9:AG9" si="13">0</f>
        <v>0</v>
      </c>
      <c r="W9" s="88">
        <f t="shared" si="13"/>
        <v>0</v>
      </c>
      <c r="X9" s="88">
        <f t="shared" si="13"/>
        <v>0</v>
      </c>
      <c r="Y9" s="88">
        <f t="shared" si="13"/>
        <v>0</v>
      </c>
      <c r="Z9" s="88">
        <f t="shared" si="13"/>
        <v>0</v>
      </c>
      <c r="AA9" s="88">
        <f t="shared" si="13"/>
        <v>0</v>
      </c>
      <c r="AB9" s="10">
        <f t="shared" si="13"/>
        <v>0</v>
      </c>
      <c r="AC9" s="10">
        <f t="shared" si="13"/>
        <v>0</v>
      </c>
      <c r="AD9" s="10">
        <f t="shared" si="13"/>
        <v>0</v>
      </c>
      <c r="AE9" s="10">
        <f t="shared" si="13"/>
        <v>0</v>
      </c>
      <c r="AF9" s="10">
        <f t="shared" si="13"/>
        <v>0</v>
      </c>
      <c r="AG9" s="10">
        <f t="shared" si="13"/>
        <v>0</v>
      </c>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row>
    <row r="10">
      <c r="A10" s="181" t="s">
        <v>165</v>
      </c>
      <c r="B10" s="88">
        <f t="shared" ref="B10:B72" si="17">0</f>
        <v>0</v>
      </c>
      <c r="C10" s="10">
        <f>80</f>
        <v>80</v>
      </c>
      <c r="D10" s="88">
        <f>0</f>
        <v>0</v>
      </c>
      <c r="E10" s="10">
        <f>80</f>
        <v>80</v>
      </c>
      <c r="F10" s="88">
        <f t="shared" ref="F10:Z10" si="14">0</f>
        <v>0</v>
      </c>
      <c r="G10" s="88">
        <f t="shared" si="14"/>
        <v>0</v>
      </c>
      <c r="H10" s="88">
        <f t="shared" si="14"/>
        <v>0</v>
      </c>
      <c r="I10" s="88">
        <f t="shared" si="14"/>
        <v>0</v>
      </c>
      <c r="J10" s="88">
        <f t="shared" si="14"/>
        <v>0</v>
      </c>
      <c r="K10" s="88">
        <f t="shared" si="14"/>
        <v>0</v>
      </c>
      <c r="L10" s="88">
        <f t="shared" si="14"/>
        <v>0</v>
      </c>
      <c r="M10" s="88">
        <f t="shared" si="14"/>
        <v>0</v>
      </c>
      <c r="N10" s="88">
        <f t="shared" si="14"/>
        <v>0</v>
      </c>
      <c r="O10" s="88">
        <f t="shared" si="14"/>
        <v>0</v>
      </c>
      <c r="P10" s="88">
        <f t="shared" si="14"/>
        <v>0</v>
      </c>
      <c r="Q10" s="88">
        <f t="shared" si="14"/>
        <v>0</v>
      </c>
      <c r="R10" s="88">
        <f t="shared" si="14"/>
        <v>0</v>
      </c>
      <c r="S10" s="88">
        <f t="shared" si="14"/>
        <v>0</v>
      </c>
      <c r="T10" s="88">
        <f t="shared" si="14"/>
        <v>0</v>
      </c>
      <c r="U10" s="88">
        <f t="shared" si="14"/>
        <v>0</v>
      </c>
      <c r="V10" s="88">
        <f t="shared" si="14"/>
        <v>0</v>
      </c>
      <c r="W10" s="88">
        <f t="shared" si="14"/>
        <v>0</v>
      </c>
      <c r="X10" s="88">
        <f t="shared" si="14"/>
        <v>0</v>
      </c>
      <c r="Y10" s="88">
        <f t="shared" si="14"/>
        <v>0</v>
      </c>
      <c r="Z10" s="88">
        <f t="shared" si="14"/>
        <v>0</v>
      </c>
      <c r="AA10" s="10">
        <f t="shared" ref="AA10:AB10" si="15">80</f>
        <v>80</v>
      </c>
      <c r="AB10" s="10">
        <f t="shared" si="15"/>
        <v>80</v>
      </c>
      <c r="AC10" s="10">
        <f t="shared" ref="AC10:AG10" si="16">0</f>
        <v>0</v>
      </c>
      <c r="AD10" s="10">
        <f t="shared" si="16"/>
        <v>0</v>
      </c>
      <c r="AE10" s="10">
        <f t="shared" si="16"/>
        <v>0</v>
      </c>
      <c r="AF10" s="10">
        <f t="shared" si="16"/>
        <v>0</v>
      </c>
      <c r="AG10" s="10">
        <f t="shared" si="16"/>
        <v>0</v>
      </c>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row>
    <row r="11">
      <c r="A11" s="181" t="s">
        <v>426</v>
      </c>
      <c r="B11" s="88">
        <f t="shared" si="17"/>
        <v>0</v>
      </c>
      <c r="C11" s="88">
        <f t="shared" ref="C11:AG11" si="18">0</f>
        <v>0</v>
      </c>
      <c r="D11" s="88">
        <f t="shared" si="18"/>
        <v>0</v>
      </c>
      <c r="E11" s="88">
        <f t="shared" si="18"/>
        <v>0</v>
      </c>
      <c r="F11" s="88">
        <f t="shared" si="18"/>
        <v>0</v>
      </c>
      <c r="G11" s="88">
        <f t="shared" si="18"/>
        <v>0</v>
      </c>
      <c r="H11" s="88">
        <f t="shared" si="18"/>
        <v>0</v>
      </c>
      <c r="I11" s="88">
        <f t="shared" si="18"/>
        <v>0</v>
      </c>
      <c r="J11" s="88">
        <f t="shared" si="18"/>
        <v>0</v>
      </c>
      <c r="K11" s="88">
        <f t="shared" si="18"/>
        <v>0</v>
      </c>
      <c r="L11" s="88">
        <f t="shared" si="18"/>
        <v>0</v>
      </c>
      <c r="M11" s="88">
        <f t="shared" si="18"/>
        <v>0</v>
      </c>
      <c r="N11" s="88">
        <f t="shared" si="18"/>
        <v>0</v>
      </c>
      <c r="O11" s="88">
        <f t="shared" si="18"/>
        <v>0</v>
      </c>
      <c r="P11" s="88">
        <f t="shared" si="18"/>
        <v>0</v>
      </c>
      <c r="Q11" s="88">
        <f t="shared" si="18"/>
        <v>0</v>
      </c>
      <c r="R11" s="88">
        <f t="shared" si="18"/>
        <v>0</v>
      </c>
      <c r="S11" s="88">
        <f t="shared" si="18"/>
        <v>0</v>
      </c>
      <c r="T11" s="88">
        <f t="shared" si="18"/>
        <v>0</v>
      </c>
      <c r="U11" s="88">
        <f t="shared" si="18"/>
        <v>0</v>
      </c>
      <c r="V11" s="88">
        <f t="shared" si="18"/>
        <v>0</v>
      </c>
      <c r="W11" s="88">
        <f t="shared" si="18"/>
        <v>0</v>
      </c>
      <c r="X11" s="88">
        <f t="shared" si="18"/>
        <v>0</v>
      </c>
      <c r="Y11" s="88">
        <f t="shared" si="18"/>
        <v>0</v>
      </c>
      <c r="Z11" s="88">
        <f t="shared" si="18"/>
        <v>0</v>
      </c>
      <c r="AA11" s="88">
        <f t="shared" si="18"/>
        <v>0</v>
      </c>
      <c r="AB11" s="10">
        <f t="shared" si="18"/>
        <v>0</v>
      </c>
      <c r="AC11" s="10">
        <f t="shared" si="18"/>
        <v>0</v>
      </c>
      <c r="AD11" s="10">
        <f t="shared" si="18"/>
        <v>0</v>
      </c>
      <c r="AE11" s="10">
        <f t="shared" si="18"/>
        <v>0</v>
      </c>
      <c r="AF11" s="10">
        <f t="shared" si="18"/>
        <v>0</v>
      </c>
      <c r="AG11" s="10">
        <f t="shared" si="18"/>
        <v>0</v>
      </c>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row>
    <row r="12">
      <c r="A12" s="181" t="s">
        <v>154</v>
      </c>
      <c r="B12" s="88">
        <f t="shared" si="17"/>
        <v>0</v>
      </c>
      <c r="C12" s="88">
        <f t="shared" ref="C12:Q12" si="19">0</f>
        <v>0</v>
      </c>
      <c r="D12" s="88">
        <f t="shared" si="19"/>
        <v>0</v>
      </c>
      <c r="E12" s="88">
        <f t="shared" si="19"/>
        <v>0</v>
      </c>
      <c r="F12" s="88">
        <f t="shared" si="19"/>
        <v>0</v>
      </c>
      <c r="G12" s="88">
        <f t="shared" si="19"/>
        <v>0</v>
      </c>
      <c r="H12" s="88">
        <f t="shared" si="19"/>
        <v>0</v>
      </c>
      <c r="I12" s="88">
        <f t="shared" si="19"/>
        <v>0</v>
      </c>
      <c r="J12" s="88">
        <f t="shared" si="19"/>
        <v>0</v>
      </c>
      <c r="K12" s="88">
        <f t="shared" si="19"/>
        <v>0</v>
      </c>
      <c r="L12" s="88">
        <f t="shared" si="19"/>
        <v>0</v>
      </c>
      <c r="M12" s="88">
        <f t="shared" si="19"/>
        <v>0</v>
      </c>
      <c r="N12" s="88">
        <f t="shared" si="19"/>
        <v>0</v>
      </c>
      <c r="O12" s="88">
        <f t="shared" si="19"/>
        <v>0</v>
      </c>
      <c r="P12" s="88">
        <f t="shared" si="19"/>
        <v>0</v>
      </c>
      <c r="Q12" s="88">
        <f t="shared" si="19"/>
        <v>0</v>
      </c>
      <c r="R12" s="10">
        <f>20</f>
        <v>20</v>
      </c>
      <c r="S12" s="88">
        <f t="shared" ref="S12:AD12" si="20">0</f>
        <v>0</v>
      </c>
      <c r="T12" s="88">
        <f t="shared" si="20"/>
        <v>0</v>
      </c>
      <c r="U12" s="88">
        <f t="shared" si="20"/>
        <v>0</v>
      </c>
      <c r="V12" s="88">
        <f t="shared" si="20"/>
        <v>0</v>
      </c>
      <c r="W12" s="88">
        <f t="shared" si="20"/>
        <v>0</v>
      </c>
      <c r="X12" s="88">
        <f t="shared" si="20"/>
        <v>0</v>
      </c>
      <c r="Y12" s="88">
        <f t="shared" si="20"/>
        <v>0</v>
      </c>
      <c r="Z12" s="88">
        <f t="shared" si="20"/>
        <v>0</v>
      </c>
      <c r="AA12" s="88">
        <f t="shared" si="20"/>
        <v>0</v>
      </c>
      <c r="AB12" s="10">
        <f t="shared" si="20"/>
        <v>0</v>
      </c>
      <c r="AC12" s="10">
        <f t="shared" si="20"/>
        <v>0</v>
      </c>
      <c r="AD12" s="10">
        <f t="shared" si="20"/>
        <v>0</v>
      </c>
      <c r="AE12" s="10">
        <f>20</f>
        <v>20</v>
      </c>
      <c r="AF12" s="10">
        <f t="shared" ref="AF12:AG12" si="21">0</f>
        <v>0</v>
      </c>
      <c r="AG12" s="10">
        <f t="shared" si="21"/>
        <v>0</v>
      </c>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row>
    <row r="13">
      <c r="A13" s="181" t="s">
        <v>189</v>
      </c>
      <c r="B13" s="88">
        <f t="shared" si="17"/>
        <v>0</v>
      </c>
      <c r="C13" s="88">
        <f t="shared" ref="C13:I13" si="22">0</f>
        <v>0</v>
      </c>
      <c r="D13" s="88">
        <f t="shared" si="22"/>
        <v>0</v>
      </c>
      <c r="E13" s="88">
        <f t="shared" si="22"/>
        <v>0</v>
      </c>
      <c r="F13" s="88">
        <f t="shared" si="22"/>
        <v>0</v>
      </c>
      <c r="G13" s="88">
        <f t="shared" si="22"/>
        <v>0</v>
      </c>
      <c r="H13" s="88">
        <f t="shared" si="22"/>
        <v>0</v>
      </c>
      <c r="I13" s="88">
        <f t="shared" si="22"/>
        <v>0</v>
      </c>
      <c r="J13" s="10">
        <f>15</f>
        <v>15</v>
      </c>
      <c r="K13" s="88">
        <f t="shared" ref="K13:AG13" si="23">0</f>
        <v>0</v>
      </c>
      <c r="L13" s="88">
        <f t="shared" si="23"/>
        <v>0</v>
      </c>
      <c r="M13" s="88">
        <f t="shared" si="23"/>
        <v>0</v>
      </c>
      <c r="N13" s="88">
        <f t="shared" si="23"/>
        <v>0</v>
      </c>
      <c r="O13" s="88">
        <f t="shared" si="23"/>
        <v>0</v>
      </c>
      <c r="P13" s="88">
        <f t="shared" si="23"/>
        <v>0</v>
      </c>
      <c r="Q13" s="88">
        <f t="shared" si="23"/>
        <v>0</v>
      </c>
      <c r="R13" s="88">
        <f t="shared" si="23"/>
        <v>0</v>
      </c>
      <c r="S13" s="88">
        <f t="shared" si="23"/>
        <v>0</v>
      </c>
      <c r="T13" s="88">
        <f t="shared" si="23"/>
        <v>0</v>
      </c>
      <c r="U13" s="88">
        <f t="shared" si="23"/>
        <v>0</v>
      </c>
      <c r="V13" s="88">
        <f t="shared" si="23"/>
        <v>0</v>
      </c>
      <c r="W13" s="88">
        <f t="shared" si="23"/>
        <v>0</v>
      </c>
      <c r="X13" s="88">
        <f t="shared" si="23"/>
        <v>0</v>
      </c>
      <c r="Y13" s="88">
        <f t="shared" si="23"/>
        <v>0</v>
      </c>
      <c r="Z13" s="88">
        <f t="shared" si="23"/>
        <v>0</v>
      </c>
      <c r="AA13" s="88">
        <f t="shared" si="23"/>
        <v>0</v>
      </c>
      <c r="AB13" s="10">
        <f t="shared" si="23"/>
        <v>0</v>
      </c>
      <c r="AC13" s="10">
        <f t="shared" si="23"/>
        <v>0</v>
      </c>
      <c r="AD13" s="10">
        <f t="shared" si="23"/>
        <v>0</v>
      </c>
      <c r="AE13" s="10">
        <f t="shared" si="23"/>
        <v>0</v>
      </c>
      <c r="AF13" s="10">
        <f t="shared" si="23"/>
        <v>0</v>
      </c>
      <c r="AG13" s="10">
        <f t="shared" si="23"/>
        <v>0</v>
      </c>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row>
    <row r="14">
      <c r="A14" s="181" t="s">
        <v>190</v>
      </c>
      <c r="B14" s="88">
        <f t="shared" si="17"/>
        <v>0</v>
      </c>
      <c r="C14" s="88">
        <f t="shared" ref="C14:O14" si="24">0</f>
        <v>0</v>
      </c>
      <c r="D14" s="88">
        <f t="shared" si="24"/>
        <v>0</v>
      </c>
      <c r="E14" s="88">
        <f t="shared" si="24"/>
        <v>0</v>
      </c>
      <c r="F14" s="88">
        <f t="shared" si="24"/>
        <v>0</v>
      </c>
      <c r="G14" s="88">
        <f t="shared" si="24"/>
        <v>0</v>
      </c>
      <c r="H14" s="88">
        <f t="shared" si="24"/>
        <v>0</v>
      </c>
      <c r="I14" s="88">
        <f t="shared" si="24"/>
        <v>0</v>
      </c>
      <c r="J14" s="88">
        <f t="shared" si="24"/>
        <v>0</v>
      </c>
      <c r="K14" s="88">
        <f t="shared" si="24"/>
        <v>0</v>
      </c>
      <c r="L14" s="88">
        <f t="shared" si="24"/>
        <v>0</v>
      </c>
      <c r="M14" s="88">
        <f t="shared" si="24"/>
        <v>0</v>
      </c>
      <c r="N14" s="88">
        <f t="shared" si="24"/>
        <v>0</v>
      </c>
      <c r="O14" s="88">
        <f t="shared" si="24"/>
        <v>0</v>
      </c>
      <c r="P14" s="10">
        <f>15</f>
        <v>15</v>
      </c>
      <c r="Q14" s="88">
        <f t="shared" ref="Q14:AG14" si="25">0</f>
        <v>0</v>
      </c>
      <c r="R14" s="88">
        <f t="shared" si="25"/>
        <v>0</v>
      </c>
      <c r="S14" s="88">
        <f t="shared" si="25"/>
        <v>0</v>
      </c>
      <c r="T14" s="88">
        <f t="shared" si="25"/>
        <v>0</v>
      </c>
      <c r="U14" s="88">
        <f t="shared" si="25"/>
        <v>0</v>
      </c>
      <c r="V14" s="88">
        <f t="shared" si="25"/>
        <v>0</v>
      </c>
      <c r="W14" s="88">
        <f t="shared" si="25"/>
        <v>0</v>
      </c>
      <c r="X14" s="88">
        <f t="shared" si="25"/>
        <v>0</v>
      </c>
      <c r="Y14" s="88">
        <f t="shared" si="25"/>
        <v>0</v>
      </c>
      <c r="Z14" s="88">
        <f t="shared" si="25"/>
        <v>0</v>
      </c>
      <c r="AA14" s="88">
        <f t="shared" si="25"/>
        <v>0</v>
      </c>
      <c r="AB14" s="10">
        <f t="shared" si="25"/>
        <v>0</v>
      </c>
      <c r="AC14" s="10">
        <f t="shared" si="25"/>
        <v>0</v>
      </c>
      <c r="AD14" s="10">
        <f t="shared" si="25"/>
        <v>0</v>
      </c>
      <c r="AE14" s="10">
        <f t="shared" si="25"/>
        <v>0</v>
      </c>
      <c r="AF14" s="10">
        <f t="shared" si="25"/>
        <v>0</v>
      </c>
      <c r="AG14" s="10">
        <f t="shared" si="25"/>
        <v>0</v>
      </c>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row>
    <row r="15">
      <c r="A15" s="181" t="s">
        <v>191</v>
      </c>
      <c r="B15" s="88">
        <f t="shared" si="17"/>
        <v>0</v>
      </c>
      <c r="C15" s="88">
        <f t="shared" ref="C15:H15" si="26">0</f>
        <v>0</v>
      </c>
      <c r="D15" s="88">
        <f t="shared" si="26"/>
        <v>0</v>
      </c>
      <c r="E15" s="88">
        <f t="shared" si="26"/>
        <v>0</v>
      </c>
      <c r="F15" s="88">
        <f t="shared" si="26"/>
        <v>0</v>
      </c>
      <c r="G15" s="88">
        <f t="shared" si="26"/>
        <v>0</v>
      </c>
      <c r="H15" s="88">
        <f t="shared" si="26"/>
        <v>0</v>
      </c>
      <c r="I15" s="10">
        <f>15</f>
        <v>15</v>
      </c>
      <c r="J15" s="88">
        <f t="shared" ref="J15:AB15" si="27">0</f>
        <v>0</v>
      </c>
      <c r="K15" s="88">
        <f t="shared" si="27"/>
        <v>0</v>
      </c>
      <c r="L15" s="88">
        <f t="shared" si="27"/>
        <v>0</v>
      </c>
      <c r="M15" s="88">
        <f t="shared" si="27"/>
        <v>0</v>
      </c>
      <c r="N15" s="88">
        <f t="shared" si="27"/>
        <v>0</v>
      </c>
      <c r="O15" s="88">
        <f t="shared" si="27"/>
        <v>0</v>
      </c>
      <c r="P15" s="88">
        <f t="shared" si="27"/>
        <v>0</v>
      </c>
      <c r="Q15" s="88">
        <f t="shared" si="27"/>
        <v>0</v>
      </c>
      <c r="R15" s="88">
        <f t="shared" si="27"/>
        <v>0</v>
      </c>
      <c r="S15" s="88">
        <f t="shared" si="27"/>
        <v>0</v>
      </c>
      <c r="T15" s="88">
        <f t="shared" si="27"/>
        <v>0</v>
      </c>
      <c r="U15" s="88">
        <f t="shared" si="27"/>
        <v>0</v>
      </c>
      <c r="V15" s="88">
        <f t="shared" si="27"/>
        <v>0</v>
      </c>
      <c r="W15" s="88">
        <f t="shared" si="27"/>
        <v>0</v>
      </c>
      <c r="X15" s="88">
        <f t="shared" si="27"/>
        <v>0</v>
      </c>
      <c r="Y15" s="88">
        <f t="shared" si="27"/>
        <v>0</v>
      </c>
      <c r="Z15" s="88">
        <f t="shared" si="27"/>
        <v>0</v>
      </c>
      <c r="AA15" s="88">
        <f t="shared" si="27"/>
        <v>0</v>
      </c>
      <c r="AB15" s="10">
        <f t="shared" si="27"/>
        <v>0</v>
      </c>
      <c r="AC15" s="10">
        <f>15</f>
        <v>15</v>
      </c>
      <c r="AD15" s="10">
        <f t="shared" ref="AD15:AG15" si="28">0</f>
        <v>0</v>
      </c>
      <c r="AE15" s="10">
        <f t="shared" si="28"/>
        <v>0</v>
      </c>
      <c r="AF15" s="10">
        <f t="shared" si="28"/>
        <v>0</v>
      </c>
      <c r="AG15" s="10">
        <f t="shared" si="28"/>
        <v>0</v>
      </c>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row>
    <row r="16">
      <c r="A16" s="181" t="s">
        <v>192</v>
      </c>
      <c r="B16" s="88">
        <f t="shared" si="17"/>
        <v>0</v>
      </c>
      <c r="C16" s="88">
        <f t="shared" ref="C16:P16" si="29">0</f>
        <v>0</v>
      </c>
      <c r="D16" s="88">
        <f t="shared" si="29"/>
        <v>0</v>
      </c>
      <c r="E16" s="88">
        <f t="shared" si="29"/>
        <v>0</v>
      </c>
      <c r="F16" s="88">
        <f t="shared" si="29"/>
        <v>0</v>
      </c>
      <c r="G16" s="88">
        <f t="shared" si="29"/>
        <v>0</v>
      </c>
      <c r="H16" s="88">
        <f t="shared" si="29"/>
        <v>0</v>
      </c>
      <c r="I16" s="88">
        <f t="shared" si="29"/>
        <v>0</v>
      </c>
      <c r="J16" s="88">
        <f t="shared" si="29"/>
        <v>0</v>
      </c>
      <c r="K16" s="88">
        <f t="shared" si="29"/>
        <v>0</v>
      </c>
      <c r="L16" s="88">
        <f t="shared" si="29"/>
        <v>0</v>
      </c>
      <c r="M16" s="88">
        <f t="shared" si="29"/>
        <v>0</v>
      </c>
      <c r="N16" s="88">
        <f t="shared" si="29"/>
        <v>0</v>
      </c>
      <c r="O16" s="88">
        <f t="shared" si="29"/>
        <v>0</v>
      </c>
      <c r="P16" s="88">
        <f t="shared" si="29"/>
        <v>0</v>
      </c>
      <c r="Q16" s="10">
        <f>15</f>
        <v>15</v>
      </c>
      <c r="R16" s="88">
        <f t="shared" ref="R16:AC16" si="30">0</f>
        <v>0</v>
      </c>
      <c r="S16" s="88">
        <f t="shared" si="30"/>
        <v>0</v>
      </c>
      <c r="T16" s="88">
        <f t="shared" si="30"/>
        <v>0</v>
      </c>
      <c r="U16" s="88">
        <f t="shared" si="30"/>
        <v>0</v>
      </c>
      <c r="V16" s="88">
        <f t="shared" si="30"/>
        <v>0</v>
      </c>
      <c r="W16" s="88">
        <f t="shared" si="30"/>
        <v>0</v>
      </c>
      <c r="X16" s="88">
        <f t="shared" si="30"/>
        <v>0</v>
      </c>
      <c r="Y16" s="88">
        <f t="shared" si="30"/>
        <v>0</v>
      </c>
      <c r="Z16" s="88">
        <f t="shared" si="30"/>
        <v>0</v>
      </c>
      <c r="AA16" s="88">
        <f t="shared" si="30"/>
        <v>0</v>
      </c>
      <c r="AB16" s="10">
        <f t="shared" si="30"/>
        <v>0</v>
      </c>
      <c r="AC16" s="10">
        <f t="shared" si="30"/>
        <v>0</v>
      </c>
      <c r="AD16" s="10">
        <f>15</f>
        <v>15</v>
      </c>
      <c r="AE16" s="10">
        <f t="shared" ref="AE16:AG16" si="31">0</f>
        <v>0</v>
      </c>
      <c r="AF16" s="10">
        <f t="shared" si="31"/>
        <v>0</v>
      </c>
      <c r="AG16" s="10">
        <f t="shared" si="31"/>
        <v>0</v>
      </c>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row>
    <row r="17">
      <c r="A17" s="181" t="s">
        <v>193</v>
      </c>
      <c r="B17" s="88">
        <f t="shared" si="17"/>
        <v>0</v>
      </c>
      <c r="C17" s="88">
        <f t="shared" ref="C17:N17" si="32">0</f>
        <v>0</v>
      </c>
      <c r="D17" s="88">
        <f t="shared" si="32"/>
        <v>0</v>
      </c>
      <c r="E17" s="88">
        <f t="shared" si="32"/>
        <v>0</v>
      </c>
      <c r="F17" s="88">
        <f t="shared" si="32"/>
        <v>0</v>
      </c>
      <c r="G17" s="88">
        <f t="shared" si="32"/>
        <v>0</v>
      </c>
      <c r="H17" s="88">
        <f t="shared" si="32"/>
        <v>0</v>
      </c>
      <c r="I17" s="88">
        <f t="shared" si="32"/>
        <v>0</v>
      </c>
      <c r="J17" s="88">
        <f t="shared" si="32"/>
        <v>0</v>
      </c>
      <c r="K17" s="88">
        <f t="shared" si="32"/>
        <v>0</v>
      </c>
      <c r="L17" s="88">
        <f t="shared" si="32"/>
        <v>0</v>
      </c>
      <c r="M17" s="88">
        <f t="shared" si="32"/>
        <v>0</v>
      </c>
      <c r="N17" s="88">
        <f t="shared" si="32"/>
        <v>0</v>
      </c>
      <c r="O17" s="10">
        <f>15</f>
        <v>15</v>
      </c>
      <c r="P17" s="88">
        <f t="shared" ref="P17:AG17" si="33">0</f>
        <v>0</v>
      </c>
      <c r="Q17" s="88">
        <f t="shared" si="33"/>
        <v>0</v>
      </c>
      <c r="R17" s="88">
        <f t="shared" si="33"/>
        <v>0</v>
      </c>
      <c r="S17" s="88">
        <f t="shared" si="33"/>
        <v>0</v>
      </c>
      <c r="T17" s="88">
        <f t="shared" si="33"/>
        <v>0</v>
      </c>
      <c r="U17" s="88">
        <f t="shared" si="33"/>
        <v>0</v>
      </c>
      <c r="V17" s="88">
        <f t="shared" si="33"/>
        <v>0</v>
      </c>
      <c r="W17" s="88">
        <f t="shared" si="33"/>
        <v>0</v>
      </c>
      <c r="X17" s="88">
        <f t="shared" si="33"/>
        <v>0</v>
      </c>
      <c r="Y17" s="88">
        <f t="shared" si="33"/>
        <v>0</v>
      </c>
      <c r="Z17" s="88">
        <f t="shared" si="33"/>
        <v>0</v>
      </c>
      <c r="AA17" s="88">
        <f t="shared" si="33"/>
        <v>0</v>
      </c>
      <c r="AB17" s="10">
        <f t="shared" si="33"/>
        <v>0</v>
      </c>
      <c r="AC17" s="10">
        <f t="shared" si="33"/>
        <v>0</v>
      </c>
      <c r="AD17" s="10">
        <f t="shared" si="33"/>
        <v>0</v>
      </c>
      <c r="AE17" s="10">
        <f t="shared" si="33"/>
        <v>0</v>
      </c>
      <c r="AF17" s="10">
        <f t="shared" si="33"/>
        <v>0</v>
      </c>
      <c r="AG17" s="10">
        <f t="shared" si="33"/>
        <v>0</v>
      </c>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row>
    <row r="18">
      <c r="A18" s="181" t="s">
        <v>194</v>
      </c>
      <c r="B18" s="88">
        <f t="shared" si="17"/>
        <v>0</v>
      </c>
      <c r="C18" s="88">
        <f t="shared" ref="C18:L18" si="34">0</f>
        <v>0</v>
      </c>
      <c r="D18" s="88">
        <f t="shared" si="34"/>
        <v>0</v>
      </c>
      <c r="E18" s="88">
        <f t="shared" si="34"/>
        <v>0</v>
      </c>
      <c r="F18" s="88">
        <f t="shared" si="34"/>
        <v>0</v>
      </c>
      <c r="G18" s="88">
        <f t="shared" si="34"/>
        <v>0</v>
      </c>
      <c r="H18" s="88">
        <f t="shared" si="34"/>
        <v>0</v>
      </c>
      <c r="I18" s="88">
        <f t="shared" si="34"/>
        <v>0</v>
      </c>
      <c r="J18" s="88">
        <f t="shared" si="34"/>
        <v>0</v>
      </c>
      <c r="K18" s="88">
        <f t="shared" si="34"/>
        <v>0</v>
      </c>
      <c r="L18" s="88">
        <f t="shared" si="34"/>
        <v>0</v>
      </c>
      <c r="M18" s="10">
        <f>15</f>
        <v>15</v>
      </c>
      <c r="N18" s="88">
        <f t="shared" ref="N18:AG18" si="35">0</f>
        <v>0</v>
      </c>
      <c r="O18" s="88">
        <f t="shared" si="35"/>
        <v>0</v>
      </c>
      <c r="P18" s="88">
        <f t="shared" si="35"/>
        <v>0</v>
      </c>
      <c r="Q18" s="88">
        <f t="shared" si="35"/>
        <v>0</v>
      </c>
      <c r="R18" s="88">
        <f t="shared" si="35"/>
        <v>0</v>
      </c>
      <c r="S18" s="88">
        <f t="shared" si="35"/>
        <v>0</v>
      </c>
      <c r="T18" s="88">
        <f t="shared" si="35"/>
        <v>0</v>
      </c>
      <c r="U18" s="88">
        <f t="shared" si="35"/>
        <v>0</v>
      </c>
      <c r="V18" s="88">
        <f t="shared" si="35"/>
        <v>0</v>
      </c>
      <c r="W18" s="88">
        <f t="shared" si="35"/>
        <v>0</v>
      </c>
      <c r="X18" s="88">
        <f t="shared" si="35"/>
        <v>0</v>
      </c>
      <c r="Y18" s="88">
        <f t="shared" si="35"/>
        <v>0</v>
      </c>
      <c r="Z18" s="88">
        <f t="shared" si="35"/>
        <v>0</v>
      </c>
      <c r="AA18" s="88">
        <f t="shared" si="35"/>
        <v>0</v>
      </c>
      <c r="AB18" s="10">
        <f t="shared" si="35"/>
        <v>0</v>
      </c>
      <c r="AC18" s="10">
        <f t="shared" si="35"/>
        <v>0</v>
      </c>
      <c r="AD18" s="10">
        <f t="shared" si="35"/>
        <v>0</v>
      </c>
      <c r="AE18" s="10">
        <f t="shared" si="35"/>
        <v>0</v>
      </c>
      <c r="AF18" s="10">
        <f t="shared" si="35"/>
        <v>0</v>
      </c>
      <c r="AG18" s="10">
        <f t="shared" si="35"/>
        <v>0</v>
      </c>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row>
    <row r="19">
      <c r="A19" s="181" t="s">
        <v>195</v>
      </c>
      <c r="B19" s="88">
        <f t="shared" si="17"/>
        <v>0</v>
      </c>
      <c r="C19" s="88">
        <f t="shared" ref="C19:Y19" si="36">0</f>
        <v>0</v>
      </c>
      <c r="D19" s="88">
        <f t="shared" si="36"/>
        <v>0</v>
      </c>
      <c r="E19" s="88">
        <f t="shared" si="36"/>
        <v>0</v>
      </c>
      <c r="F19" s="88">
        <f t="shared" si="36"/>
        <v>0</v>
      </c>
      <c r="G19" s="88">
        <f t="shared" si="36"/>
        <v>0</v>
      </c>
      <c r="H19" s="88">
        <f t="shared" si="36"/>
        <v>0</v>
      </c>
      <c r="I19" s="88">
        <f t="shared" si="36"/>
        <v>0</v>
      </c>
      <c r="J19" s="88">
        <f t="shared" si="36"/>
        <v>0</v>
      </c>
      <c r="K19" s="88">
        <f t="shared" si="36"/>
        <v>0</v>
      </c>
      <c r="L19" s="88">
        <f t="shared" si="36"/>
        <v>0</v>
      </c>
      <c r="M19" s="88">
        <f t="shared" si="36"/>
        <v>0</v>
      </c>
      <c r="N19" s="88">
        <f t="shared" si="36"/>
        <v>0</v>
      </c>
      <c r="O19" s="88">
        <f t="shared" si="36"/>
        <v>0</v>
      </c>
      <c r="P19" s="88">
        <f t="shared" si="36"/>
        <v>0</v>
      </c>
      <c r="Q19" s="88">
        <f t="shared" si="36"/>
        <v>0</v>
      </c>
      <c r="R19" s="88">
        <f t="shared" si="36"/>
        <v>0</v>
      </c>
      <c r="S19" s="88">
        <f t="shared" si="36"/>
        <v>0</v>
      </c>
      <c r="T19" s="88">
        <f t="shared" si="36"/>
        <v>0</v>
      </c>
      <c r="U19" s="88">
        <f t="shared" si="36"/>
        <v>0</v>
      </c>
      <c r="V19" s="88">
        <f t="shared" si="36"/>
        <v>0</v>
      </c>
      <c r="W19" s="88">
        <f t="shared" si="36"/>
        <v>0</v>
      </c>
      <c r="X19" s="88">
        <f t="shared" si="36"/>
        <v>0</v>
      </c>
      <c r="Y19" s="88">
        <f t="shared" si="36"/>
        <v>0</v>
      </c>
      <c r="Z19" s="10">
        <f>15</f>
        <v>15</v>
      </c>
      <c r="AA19" s="88">
        <f t="shared" ref="AA19:AG19" si="37">0</f>
        <v>0</v>
      </c>
      <c r="AB19" s="10">
        <f t="shared" si="37"/>
        <v>0</v>
      </c>
      <c r="AC19" s="10">
        <f t="shared" si="37"/>
        <v>0</v>
      </c>
      <c r="AD19" s="10">
        <f t="shared" si="37"/>
        <v>0</v>
      </c>
      <c r="AE19" s="10">
        <f t="shared" si="37"/>
        <v>0</v>
      </c>
      <c r="AF19" s="10">
        <f t="shared" si="37"/>
        <v>0</v>
      </c>
      <c r="AG19" s="10">
        <f t="shared" si="37"/>
        <v>0</v>
      </c>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row>
    <row r="20">
      <c r="A20" s="181" t="s">
        <v>196</v>
      </c>
      <c r="B20" s="88">
        <f t="shared" si="17"/>
        <v>0</v>
      </c>
      <c r="C20" s="88">
        <f t="shared" ref="C20:F20" si="38">0</f>
        <v>0</v>
      </c>
      <c r="D20" s="88">
        <f t="shared" si="38"/>
        <v>0</v>
      </c>
      <c r="E20" s="88">
        <f t="shared" si="38"/>
        <v>0</v>
      </c>
      <c r="F20" s="88">
        <f t="shared" si="38"/>
        <v>0</v>
      </c>
      <c r="G20" s="10">
        <f>25</f>
        <v>25</v>
      </c>
      <c r="H20" s="88">
        <f t="shared" ref="H20:R20" si="39">0</f>
        <v>0</v>
      </c>
      <c r="I20" s="88">
        <f t="shared" si="39"/>
        <v>0</v>
      </c>
      <c r="J20" s="88">
        <f t="shared" si="39"/>
        <v>0</v>
      </c>
      <c r="K20" s="88">
        <f t="shared" si="39"/>
        <v>0</v>
      </c>
      <c r="L20" s="88">
        <f t="shared" si="39"/>
        <v>0</v>
      </c>
      <c r="M20" s="88">
        <f t="shared" si="39"/>
        <v>0</v>
      </c>
      <c r="N20" s="88">
        <f t="shared" si="39"/>
        <v>0</v>
      </c>
      <c r="O20" s="88">
        <f t="shared" si="39"/>
        <v>0</v>
      </c>
      <c r="P20" s="88">
        <f t="shared" si="39"/>
        <v>0</v>
      </c>
      <c r="Q20" s="88">
        <f t="shared" si="39"/>
        <v>0</v>
      </c>
      <c r="R20" s="88">
        <f t="shared" si="39"/>
        <v>0</v>
      </c>
      <c r="S20" s="10">
        <f>25</f>
        <v>25</v>
      </c>
      <c r="T20" s="88">
        <f t="shared" ref="T20:AG20" si="40">0</f>
        <v>0</v>
      </c>
      <c r="U20" s="88">
        <f t="shared" si="40"/>
        <v>0</v>
      </c>
      <c r="V20" s="88">
        <f t="shared" si="40"/>
        <v>0</v>
      </c>
      <c r="W20" s="88">
        <f t="shared" si="40"/>
        <v>0</v>
      </c>
      <c r="X20" s="88">
        <f t="shared" si="40"/>
        <v>0</v>
      </c>
      <c r="Y20" s="88">
        <f t="shared" si="40"/>
        <v>0</v>
      </c>
      <c r="Z20" s="88">
        <f t="shared" si="40"/>
        <v>0</v>
      </c>
      <c r="AA20" s="88">
        <f t="shared" si="40"/>
        <v>0</v>
      </c>
      <c r="AB20" s="10">
        <f t="shared" si="40"/>
        <v>0</v>
      </c>
      <c r="AC20" s="10">
        <f t="shared" si="40"/>
        <v>0</v>
      </c>
      <c r="AD20" s="10">
        <f t="shared" si="40"/>
        <v>0</v>
      </c>
      <c r="AE20" s="10">
        <f t="shared" si="40"/>
        <v>0</v>
      </c>
      <c r="AF20" s="10">
        <f t="shared" si="40"/>
        <v>0</v>
      </c>
      <c r="AG20" s="10">
        <f t="shared" si="40"/>
        <v>0</v>
      </c>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row>
    <row r="21">
      <c r="A21" s="181" t="s">
        <v>197</v>
      </c>
      <c r="B21" s="88">
        <f t="shared" si="17"/>
        <v>0</v>
      </c>
      <c r="C21" s="88">
        <f t="shared" ref="C21:G21" si="41">0</f>
        <v>0</v>
      </c>
      <c r="D21" s="88">
        <f t="shared" si="41"/>
        <v>0</v>
      </c>
      <c r="E21" s="88">
        <f t="shared" si="41"/>
        <v>0</v>
      </c>
      <c r="F21" s="88">
        <f t="shared" si="41"/>
        <v>0</v>
      </c>
      <c r="G21" s="88">
        <f t="shared" si="41"/>
        <v>0</v>
      </c>
      <c r="H21" s="10">
        <f>15</f>
        <v>15</v>
      </c>
      <c r="I21" s="88">
        <f t="shared" ref="I21:V21" si="42">0</f>
        <v>0</v>
      </c>
      <c r="J21" s="88">
        <f t="shared" si="42"/>
        <v>0</v>
      </c>
      <c r="K21" s="88">
        <f t="shared" si="42"/>
        <v>0</v>
      </c>
      <c r="L21" s="88">
        <f t="shared" si="42"/>
        <v>0</v>
      </c>
      <c r="M21" s="88">
        <f t="shared" si="42"/>
        <v>0</v>
      </c>
      <c r="N21" s="88">
        <f t="shared" si="42"/>
        <v>0</v>
      </c>
      <c r="O21" s="88">
        <f t="shared" si="42"/>
        <v>0</v>
      </c>
      <c r="P21" s="88">
        <f t="shared" si="42"/>
        <v>0</v>
      </c>
      <c r="Q21" s="88">
        <f t="shared" si="42"/>
        <v>0</v>
      </c>
      <c r="R21" s="88">
        <f t="shared" si="42"/>
        <v>0</v>
      </c>
      <c r="S21" s="88">
        <f t="shared" si="42"/>
        <v>0</v>
      </c>
      <c r="T21" s="88">
        <f t="shared" si="42"/>
        <v>0</v>
      </c>
      <c r="U21" s="88">
        <f t="shared" si="42"/>
        <v>0</v>
      </c>
      <c r="V21" s="88">
        <f t="shared" si="42"/>
        <v>0</v>
      </c>
      <c r="W21" s="10">
        <f>15</f>
        <v>15</v>
      </c>
      <c r="X21" s="88">
        <f t="shared" ref="X21:AG21" si="43">0</f>
        <v>0</v>
      </c>
      <c r="Y21" s="88">
        <f t="shared" si="43"/>
        <v>0</v>
      </c>
      <c r="Z21" s="88">
        <f t="shared" si="43"/>
        <v>0</v>
      </c>
      <c r="AA21" s="88">
        <f t="shared" si="43"/>
        <v>0</v>
      </c>
      <c r="AB21" s="10">
        <f t="shared" si="43"/>
        <v>0</v>
      </c>
      <c r="AC21" s="10">
        <f t="shared" si="43"/>
        <v>0</v>
      </c>
      <c r="AD21" s="10">
        <f t="shared" si="43"/>
        <v>0</v>
      </c>
      <c r="AE21" s="10">
        <f t="shared" si="43"/>
        <v>0</v>
      </c>
      <c r="AF21" s="10">
        <f t="shared" si="43"/>
        <v>0</v>
      </c>
      <c r="AG21" s="10">
        <f t="shared" si="43"/>
        <v>0</v>
      </c>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row>
    <row r="22">
      <c r="A22" s="181" t="s">
        <v>198</v>
      </c>
      <c r="B22" s="88">
        <f t="shared" si="17"/>
        <v>0</v>
      </c>
      <c r="C22" s="88">
        <f t="shared" ref="C22:J22" si="44">0</f>
        <v>0</v>
      </c>
      <c r="D22" s="88">
        <f t="shared" si="44"/>
        <v>0</v>
      </c>
      <c r="E22" s="88">
        <f t="shared" si="44"/>
        <v>0</v>
      </c>
      <c r="F22" s="88">
        <f t="shared" si="44"/>
        <v>0</v>
      </c>
      <c r="G22" s="88">
        <f t="shared" si="44"/>
        <v>0</v>
      </c>
      <c r="H22" s="88">
        <f t="shared" si="44"/>
        <v>0</v>
      </c>
      <c r="I22" s="88">
        <f t="shared" si="44"/>
        <v>0</v>
      </c>
      <c r="J22" s="88">
        <f t="shared" si="44"/>
        <v>0</v>
      </c>
      <c r="K22" s="10">
        <f>35</f>
        <v>35</v>
      </c>
      <c r="L22" s="88">
        <f t="shared" ref="L22:AG22" si="45">0</f>
        <v>0</v>
      </c>
      <c r="M22" s="88">
        <f t="shared" si="45"/>
        <v>0</v>
      </c>
      <c r="N22" s="88">
        <f t="shared" si="45"/>
        <v>0</v>
      </c>
      <c r="O22" s="88">
        <f t="shared" si="45"/>
        <v>0</v>
      </c>
      <c r="P22" s="88">
        <f t="shared" si="45"/>
        <v>0</v>
      </c>
      <c r="Q22" s="88">
        <f t="shared" si="45"/>
        <v>0</v>
      </c>
      <c r="R22" s="88">
        <f t="shared" si="45"/>
        <v>0</v>
      </c>
      <c r="S22" s="88">
        <f t="shared" si="45"/>
        <v>0</v>
      </c>
      <c r="T22" s="88">
        <f t="shared" si="45"/>
        <v>0</v>
      </c>
      <c r="U22" s="88">
        <f t="shared" si="45"/>
        <v>0</v>
      </c>
      <c r="V22" s="88">
        <f t="shared" si="45"/>
        <v>0</v>
      </c>
      <c r="W22" s="88">
        <f t="shared" si="45"/>
        <v>0</v>
      </c>
      <c r="X22" s="88">
        <f t="shared" si="45"/>
        <v>0</v>
      </c>
      <c r="Y22" s="88">
        <f t="shared" si="45"/>
        <v>0</v>
      </c>
      <c r="Z22" s="88">
        <f t="shared" si="45"/>
        <v>0</v>
      </c>
      <c r="AA22" s="88">
        <f t="shared" si="45"/>
        <v>0</v>
      </c>
      <c r="AB22" s="10">
        <f t="shared" si="45"/>
        <v>0</v>
      </c>
      <c r="AC22" s="10">
        <f t="shared" si="45"/>
        <v>0</v>
      </c>
      <c r="AD22" s="10">
        <f t="shared" si="45"/>
        <v>0</v>
      </c>
      <c r="AE22" s="10">
        <f t="shared" si="45"/>
        <v>0</v>
      </c>
      <c r="AF22" s="10">
        <f t="shared" si="45"/>
        <v>0</v>
      </c>
      <c r="AG22" s="10">
        <f t="shared" si="45"/>
        <v>0</v>
      </c>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row>
    <row r="23">
      <c r="A23" s="181" t="s">
        <v>199</v>
      </c>
      <c r="B23" s="88">
        <f t="shared" si="17"/>
        <v>0</v>
      </c>
      <c r="C23" s="88">
        <f t="shared" ref="C23:AG23" si="46">0</f>
        <v>0</v>
      </c>
      <c r="D23" s="88">
        <f t="shared" si="46"/>
        <v>0</v>
      </c>
      <c r="E23" s="88">
        <f t="shared" si="46"/>
        <v>0</v>
      </c>
      <c r="F23" s="88">
        <f t="shared" si="46"/>
        <v>0</v>
      </c>
      <c r="G23" s="88">
        <f t="shared" si="46"/>
        <v>0</v>
      </c>
      <c r="H23" s="88">
        <f t="shared" si="46"/>
        <v>0</v>
      </c>
      <c r="I23" s="88">
        <f t="shared" si="46"/>
        <v>0</v>
      </c>
      <c r="J23" s="88">
        <f t="shared" si="46"/>
        <v>0</v>
      </c>
      <c r="K23" s="88">
        <f t="shared" si="46"/>
        <v>0</v>
      </c>
      <c r="L23" s="88">
        <f t="shared" si="46"/>
        <v>0</v>
      </c>
      <c r="M23" s="88">
        <f t="shared" si="46"/>
        <v>0</v>
      </c>
      <c r="N23" s="88">
        <f t="shared" si="46"/>
        <v>0</v>
      </c>
      <c r="O23" s="88">
        <f t="shared" si="46"/>
        <v>0</v>
      </c>
      <c r="P23" s="88">
        <f t="shared" si="46"/>
        <v>0</v>
      </c>
      <c r="Q23" s="88">
        <f t="shared" si="46"/>
        <v>0</v>
      </c>
      <c r="R23" s="88">
        <f t="shared" si="46"/>
        <v>0</v>
      </c>
      <c r="S23" s="88">
        <f t="shared" si="46"/>
        <v>0</v>
      </c>
      <c r="T23" s="88">
        <f t="shared" si="46"/>
        <v>0</v>
      </c>
      <c r="U23" s="88">
        <f t="shared" si="46"/>
        <v>0</v>
      </c>
      <c r="V23" s="88">
        <f t="shared" si="46"/>
        <v>0</v>
      </c>
      <c r="W23" s="88">
        <f t="shared" si="46"/>
        <v>0</v>
      </c>
      <c r="X23" s="88">
        <f t="shared" si="46"/>
        <v>0</v>
      </c>
      <c r="Y23" s="88">
        <f t="shared" si="46"/>
        <v>0</v>
      </c>
      <c r="Z23" s="88">
        <f t="shared" si="46"/>
        <v>0</v>
      </c>
      <c r="AA23" s="88">
        <f t="shared" si="46"/>
        <v>0</v>
      </c>
      <c r="AB23" s="10">
        <f t="shared" si="46"/>
        <v>0</v>
      </c>
      <c r="AC23" s="10">
        <f t="shared" si="46"/>
        <v>0</v>
      </c>
      <c r="AD23" s="10">
        <f t="shared" si="46"/>
        <v>0</v>
      </c>
      <c r="AE23" s="10">
        <f t="shared" si="46"/>
        <v>0</v>
      </c>
      <c r="AF23" s="10">
        <f t="shared" si="46"/>
        <v>0</v>
      </c>
      <c r="AG23" s="10">
        <f t="shared" si="46"/>
        <v>0</v>
      </c>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row>
    <row r="24">
      <c r="A24" s="181" t="s">
        <v>200</v>
      </c>
      <c r="B24" s="88">
        <f t="shared" si="17"/>
        <v>0</v>
      </c>
      <c r="C24" s="88">
        <f t="shared" ref="C24:AF24" si="47">0</f>
        <v>0</v>
      </c>
      <c r="D24" s="88">
        <f t="shared" si="47"/>
        <v>0</v>
      </c>
      <c r="E24" s="88">
        <f t="shared" si="47"/>
        <v>0</v>
      </c>
      <c r="F24" s="88">
        <f t="shared" si="47"/>
        <v>0</v>
      </c>
      <c r="G24" s="88">
        <f t="shared" si="47"/>
        <v>0</v>
      </c>
      <c r="H24" s="88">
        <f t="shared" si="47"/>
        <v>0</v>
      </c>
      <c r="I24" s="88">
        <f t="shared" si="47"/>
        <v>0</v>
      </c>
      <c r="J24" s="88">
        <f t="shared" si="47"/>
        <v>0</v>
      </c>
      <c r="K24" s="88">
        <f t="shared" si="47"/>
        <v>0</v>
      </c>
      <c r="L24" s="88">
        <f t="shared" si="47"/>
        <v>0</v>
      </c>
      <c r="M24" s="88">
        <f t="shared" si="47"/>
        <v>0</v>
      </c>
      <c r="N24" s="88">
        <f t="shared" si="47"/>
        <v>0</v>
      </c>
      <c r="O24" s="88">
        <f t="shared" si="47"/>
        <v>0</v>
      </c>
      <c r="P24" s="88">
        <f t="shared" si="47"/>
        <v>0</v>
      </c>
      <c r="Q24" s="88">
        <f t="shared" si="47"/>
        <v>0</v>
      </c>
      <c r="R24" s="88">
        <f t="shared" si="47"/>
        <v>0</v>
      </c>
      <c r="S24" s="88">
        <f t="shared" si="47"/>
        <v>0</v>
      </c>
      <c r="T24" s="88">
        <f t="shared" si="47"/>
        <v>0</v>
      </c>
      <c r="U24" s="88">
        <f t="shared" si="47"/>
        <v>0</v>
      </c>
      <c r="V24" s="88">
        <f t="shared" si="47"/>
        <v>0</v>
      </c>
      <c r="W24" s="88">
        <f t="shared" si="47"/>
        <v>0</v>
      </c>
      <c r="X24" s="88">
        <f t="shared" si="47"/>
        <v>0</v>
      </c>
      <c r="Y24" s="88">
        <f t="shared" si="47"/>
        <v>0</v>
      </c>
      <c r="Z24" s="88">
        <f t="shared" si="47"/>
        <v>0</v>
      </c>
      <c r="AA24" s="88">
        <f t="shared" si="47"/>
        <v>0</v>
      </c>
      <c r="AB24" s="10">
        <f t="shared" si="47"/>
        <v>0</v>
      </c>
      <c r="AC24" s="10">
        <f t="shared" si="47"/>
        <v>0</v>
      </c>
      <c r="AD24" s="10">
        <f t="shared" si="47"/>
        <v>0</v>
      </c>
      <c r="AE24" s="10">
        <f t="shared" si="47"/>
        <v>0</v>
      </c>
      <c r="AF24" s="10">
        <f t="shared" si="47"/>
        <v>0</v>
      </c>
      <c r="AG24" s="10">
        <f>20</f>
        <v>20</v>
      </c>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row>
    <row r="25">
      <c r="A25" s="181" t="s">
        <v>201</v>
      </c>
      <c r="B25" s="88">
        <f t="shared" si="17"/>
        <v>0</v>
      </c>
      <c r="C25" s="88">
        <f t="shared" ref="C25:E25" si="48">0</f>
        <v>0</v>
      </c>
      <c r="D25" s="88">
        <f t="shared" si="48"/>
        <v>0</v>
      </c>
      <c r="E25" s="88">
        <f t="shared" si="48"/>
        <v>0</v>
      </c>
      <c r="F25" s="88">
        <f>20</f>
        <v>20</v>
      </c>
      <c r="G25" s="88">
        <f t="shared" ref="G25:AG25" si="49">0</f>
        <v>0</v>
      </c>
      <c r="H25" s="88">
        <f t="shared" si="49"/>
        <v>0</v>
      </c>
      <c r="I25" s="88">
        <f t="shared" si="49"/>
        <v>0</v>
      </c>
      <c r="J25" s="88">
        <f t="shared" si="49"/>
        <v>0</v>
      </c>
      <c r="K25" s="88">
        <f t="shared" si="49"/>
        <v>0</v>
      </c>
      <c r="L25" s="88">
        <f t="shared" si="49"/>
        <v>0</v>
      </c>
      <c r="M25" s="88">
        <f t="shared" si="49"/>
        <v>0</v>
      </c>
      <c r="N25" s="88">
        <f t="shared" si="49"/>
        <v>0</v>
      </c>
      <c r="O25" s="88">
        <f t="shared" si="49"/>
        <v>0</v>
      </c>
      <c r="P25" s="88">
        <f t="shared" si="49"/>
        <v>0</v>
      </c>
      <c r="Q25" s="88">
        <f t="shared" si="49"/>
        <v>0</v>
      </c>
      <c r="R25" s="88">
        <f t="shared" si="49"/>
        <v>0</v>
      </c>
      <c r="S25" s="88">
        <f t="shared" si="49"/>
        <v>0</v>
      </c>
      <c r="T25" s="88">
        <f t="shared" si="49"/>
        <v>0</v>
      </c>
      <c r="U25" s="88">
        <f t="shared" si="49"/>
        <v>0</v>
      </c>
      <c r="V25" s="88">
        <f t="shared" si="49"/>
        <v>0</v>
      </c>
      <c r="W25" s="88">
        <f t="shared" si="49"/>
        <v>0</v>
      </c>
      <c r="X25" s="88">
        <f t="shared" si="49"/>
        <v>0</v>
      </c>
      <c r="Y25" s="88">
        <f t="shared" si="49"/>
        <v>0</v>
      </c>
      <c r="Z25" s="88">
        <f t="shared" si="49"/>
        <v>0</v>
      </c>
      <c r="AA25" s="88">
        <f t="shared" si="49"/>
        <v>0</v>
      </c>
      <c r="AB25" s="10">
        <f t="shared" si="49"/>
        <v>0</v>
      </c>
      <c r="AC25" s="10">
        <f t="shared" si="49"/>
        <v>0</v>
      </c>
      <c r="AD25" s="10">
        <f t="shared" si="49"/>
        <v>0</v>
      </c>
      <c r="AE25" s="10">
        <f t="shared" si="49"/>
        <v>0</v>
      </c>
      <c r="AF25" s="10">
        <f t="shared" si="49"/>
        <v>0</v>
      </c>
      <c r="AG25" s="10">
        <f t="shared" si="49"/>
        <v>0</v>
      </c>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row>
    <row r="26">
      <c r="A26" s="181" t="s">
        <v>202</v>
      </c>
      <c r="B26" s="88">
        <f t="shared" si="17"/>
        <v>0</v>
      </c>
      <c r="C26" s="88">
        <f t="shared" ref="C26:AE26" si="50">0</f>
        <v>0</v>
      </c>
      <c r="D26" s="88">
        <f t="shared" si="50"/>
        <v>0</v>
      </c>
      <c r="E26" s="88">
        <f t="shared" si="50"/>
        <v>0</v>
      </c>
      <c r="F26" s="88">
        <f t="shared" si="50"/>
        <v>0</v>
      </c>
      <c r="G26" s="88">
        <f t="shared" si="50"/>
        <v>0</v>
      </c>
      <c r="H26" s="88">
        <f t="shared" si="50"/>
        <v>0</v>
      </c>
      <c r="I26" s="88">
        <f t="shared" si="50"/>
        <v>0</v>
      </c>
      <c r="J26" s="88">
        <f t="shared" si="50"/>
        <v>0</v>
      </c>
      <c r="K26" s="88">
        <f t="shared" si="50"/>
        <v>0</v>
      </c>
      <c r="L26" s="88">
        <f t="shared" si="50"/>
        <v>0</v>
      </c>
      <c r="M26" s="88">
        <f t="shared" si="50"/>
        <v>0</v>
      </c>
      <c r="N26" s="88">
        <f t="shared" si="50"/>
        <v>0</v>
      </c>
      <c r="O26" s="88">
        <f t="shared" si="50"/>
        <v>0</v>
      </c>
      <c r="P26" s="88">
        <f t="shared" si="50"/>
        <v>0</v>
      </c>
      <c r="Q26" s="88">
        <f t="shared" si="50"/>
        <v>0</v>
      </c>
      <c r="R26" s="88">
        <f t="shared" si="50"/>
        <v>0</v>
      </c>
      <c r="S26" s="88">
        <f t="shared" si="50"/>
        <v>0</v>
      </c>
      <c r="T26" s="88">
        <f t="shared" si="50"/>
        <v>0</v>
      </c>
      <c r="U26" s="88">
        <f t="shared" si="50"/>
        <v>0</v>
      </c>
      <c r="V26" s="88">
        <f t="shared" si="50"/>
        <v>0</v>
      </c>
      <c r="W26" s="88">
        <f t="shared" si="50"/>
        <v>0</v>
      </c>
      <c r="X26" s="88">
        <f t="shared" si="50"/>
        <v>0</v>
      </c>
      <c r="Y26" s="88">
        <f t="shared" si="50"/>
        <v>0</v>
      </c>
      <c r="Z26" s="88">
        <f t="shared" si="50"/>
        <v>0</v>
      </c>
      <c r="AA26" s="88">
        <f t="shared" si="50"/>
        <v>0</v>
      </c>
      <c r="AB26" s="10">
        <f t="shared" si="50"/>
        <v>0</v>
      </c>
      <c r="AC26" s="10">
        <f t="shared" si="50"/>
        <v>0</v>
      </c>
      <c r="AD26" s="10">
        <f t="shared" si="50"/>
        <v>0</v>
      </c>
      <c r="AE26" s="10">
        <f t="shared" si="50"/>
        <v>0</v>
      </c>
      <c r="AF26" s="10">
        <f t="shared" ref="AF26:AF27" si="52">15</f>
        <v>15</v>
      </c>
      <c r="AG26" s="10">
        <f t="shared" ref="AG26:AG27" si="53">0</f>
        <v>0</v>
      </c>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row>
    <row r="27">
      <c r="A27" s="181" t="s">
        <v>203</v>
      </c>
      <c r="B27" s="88">
        <f t="shared" si="17"/>
        <v>0</v>
      </c>
      <c r="C27" s="88">
        <f t="shared" ref="C27:AE27" si="51">0</f>
        <v>0</v>
      </c>
      <c r="D27" s="88">
        <f t="shared" si="51"/>
        <v>0</v>
      </c>
      <c r="E27" s="88">
        <f t="shared" si="51"/>
        <v>0</v>
      </c>
      <c r="F27" s="88">
        <f t="shared" si="51"/>
        <v>0</v>
      </c>
      <c r="G27" s="88">
        <f t="shared" si="51"/>
        <v>0</v>
      </c>
      <c r="H27" s="88">
        <f t="shared" si="51"/>
        <v>0</v>
      </c>
      <c r="I27" s="88">
        <f t="shared" si="51"/>
        <v>0</v>
      </c>
      <c r="J27" s="88">
        <f t="shared" si="51"/>
        <v>0</v>
      </c>
      <c r="K27" s="88">
        <f t="shared" si="51"/>
        <v>0</v>
      </c>
      <c r="L27" s="88">
        <f t="shared" si="51"/>
        <v>0</v>
      </c>
      <c r="M27" s="88">
        <f t="shared" si="51"/>
        <v>0</v>
      </c>
      <c r="N27" s="88">
        <f t="shared" si="51"/>
        <v>0</v>
      </c>
      <c r="O27" s="88">
        <f t="shared" si="51"/>
        <v>0</v>
      </c>
      <c r="P27" s="88">
        <f t="shared" si="51"/>
        <v>0</v>
      </c>
      <c r="Q27" s="88">
        <f t="shared" si="51"/>
        <v>0</v>
      </c>
      <c r="R27" s="88">
        <f t="shared" si="51"/>
        <v>0</v>
      </c>
      <c r="S27" s="88">
        <f t="shared" si="51"/>
        <v>0</v>
      </c>
      <c r="T27" s="88">
        <f t="shared" si="51"/>
        <v>0</v>
      </c>
      <c r="U27" s="88">
        <f t="shared" si="51"/>
        <v>0</v>
      </c>
      <c r="V27" s="88">
        <f t="shared" si="51"/>
        <v>0</v>
      </c>
      <c r="W27" s="88">
        <f t="shared" si="51"/>
        <v>0</v>
      </c>
      <c r="X27" s="88">
        <f t="shared" si="51"/>
        <v>0</v>
      </c>
      <c r="Y27" s="88">
        <f t="shared" si="51"/>
        <v>0</v>
      </c>
      <c r="Z27" s="88">
        <f t="shared" si="51"/>
        <v>0</v>
      </c>
      <c r="AA27" s="88">
        <f t="shared" si="51"/>
        <v>0</v>
      </c>
      <c r="AB27" s="10">
        <f t="shared" si="51"/>
        <v>0</v>
      </c>
      <c r="AC27" s="10">
        <f t="shared" si="51"/>
        <v>0</v>
      </c>
      <c r="AD27" s="10">
        <f t="shared" si="51"/>
        <v>0</v>
      </c>
      <c r="AE27" s="10">
        <f t="shared" si="51"/>
        <v>0</v>
      </c>
      <c r="AF27" s="10">
        <f t="shared" si="52"/>
        <v>15</v>
      </c>
      <c r="AG27" s="10">
        <f t="shared" si="53"/>
        <v>0</v>
      </c>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row>
    <row r="28">
      <c r="A28" s="181" t="s">
        <v>204</v>
      </c>
      <c r="B28" s="88">
        <f t="shared" si="17"/>
        <v>0</v>
      </c>
      <c r="C28" s="88">
        <f t="shared" ref="C28:AG28" si="54">0</f>
        <v>0</v>
      </c>
      <c r="D28" s="88">
        <f t="shared" si="54"/>
        <v>0</v>
      </c>
      <c r="E28" s="88">
        <f t="shared" si="54"/>
        <v>0</v>
      </c>
      <c r="F28" s="88">
        <f t="shared" si="54"/>
        <v>0</v>
      </c>
      <c r="G28" s="88">
        <f t="shared" si="54"/>
        <v>0</v>
      </c>
      <c r="H28" s="88">
        <f t="shared" si="54"/>
        <v>0</v>
      </c>
      <c r="I28" s="88">
        <f t="shared" si="54"/>
        <v>0</v>
      </c>
      <c r="J28" s="88">
        <f t="shared" si="54"/>
        <v>0</v>
      </c>
      <c r="K28" s="88">
        <f t="shared" si="54"/>
        <v>0</v>
      </c>
      <c r="L28" s="88">
        <f t="shared" si="54"/>
        <v>0</v>
      </c>
      <c r="M28" s="88">
        <f t="shared" si="54"/>
        <v>0</v>
      </c>
      <c r="N28" s="88">
        <f t="shared" si="54"/>
        <v>0</v>
      </c>
      <c r="O28" s="88">
        <f t="shared" si="54"/>
        <v>0</v>
      </c>
      <c r="P28" s="88">
        <f t="shared" si="54"/>
        <v>0</v>
      </c>
      <c r="Q28" s="88">
        <f t="shared" si="54"/>
        <v>0</v>
      </c>
      <c r="R28" s="88">
        <f t="shared" si="54"/>
        <v>0</v>
      </c>
      <c r="S28" s="88">
        <f t="shared" si="54"/>
        <v>0</v>
      </c>
      <c r="T28" s="88">
        <f t="shared" si="54"/>
        <v>0</v>
      </c>
      <c r="U28" s="88">
        <f t="shared" si="54"/>
        <v>0</v>
      </c>
      <c r="V28" s="88">
        <f t="shared" si="54"/>
        <v>0</v>
      </c>
      <c r="W28" s="88">
        <f t="shared" si="54"/>
        <v>0</v>
      </c>
      <c r="X28" s="88">
        <f t="shared" si="54"/>
        <v>0</v>
      </c>
      <c r="Y28" s="88">
        <f t="shared" si="54"/>
        <v>0</v>
      </c>
      <c r="Z28" s="88">
        <f t="shared" si="54"/>
        <v>0</v>
      </c>
      <c r="AA28" s="88">
        <f t="shared" si="54"/>
        <v>0</v>
      </c>
      <c r="AB28" s="10">
        <f t="shared" si="54"/>
        <v>0</v>
      </c>
      <c r="AC28" s="10">
        <f t="shared" si="54"/>
        <v>0</v>
      </c>
      <c r="AD28" s="10">
        <f t="shared" si="54"/>
        <v>0</v>
      </c>
      <c r="AE28" s="10">
        <f t="shared" si="54"/>
        <v>0</v>
      </c>
      <c r="AF28" s="10">
        <f t="shared" si="54"/>
        <v>0</v>
      </c>
      <c r="AG28" s="10">
        <f t="shared" si="54"/>
        <v>0</v>
      </c>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row>
    <row r="29">
      <c r="A29" s="181" t="s">
        <v>205</v>
      </c>
      <c r="B29" s="88">
        <f t="shared" si="17"/>
        <v>0</v>
      </c>
      <c r="C29" s="88">
        <f t="shared" ref="C29:AG29" si="55">0</f>
        <v>0</v>
      </c>
      <c r="D29" s="88">
        <f t="shared" si="55"/>
        <v>0</v>
      </c>
      <c r="E29" s="88">
        <f t="shared" si="55"/>
        <v>0</v>
      </c>
      <c r="F29" s="88">
        <f t="shared" si="55"/>
        <v>0</v>
      </c>
      <c r="G29" s="88">
        <f t="shared" si="55"/>
        <v>0</v>
      </c>
      <c r="H29" s="88">
        <f t="shared" si="55"/>
        <v>0</v>
      </c>
      <c r="I29" s="88">
        <f t="shared" si="55"/>
        <v>0</v>
      </c>
      <c r="J29" s="88">
        <f t="shared" si="55"/>
        <v>0</v>
      </c>
      <c r="K29" s="88">
        <f t="shared" si="55"/>
        <v>0</v>
      </c>
      <c r="L29" s="88">
        <f t="shared" si="55"/>
        <v>0</v>
      </c>
      <c r="M29" s="88">
        <f t="shared" si="55"/>
        <v>0</v>
      </c>
      <c r="N29" s="88">
        <f t="shared" si="55"/>
        <v>0</v>
      </c>
      <c r="O29" s="88">
        <f t="shared" si="55"/>
        <v>0</v>
      </c>
      <c r="P29" s="88">
        <f t="shared" si="55"/>
        <v>0</v>
      </c>
      <c r="Q29" s="88">
        <f t="shared" si="55"/>
        <v>0</v>
      </c>
      <c r="R29" s="88">
        <f t="shared" si="55"/>
        <v>0</v>
      </c>
      <c r="S29" s="88">
        <f t="shared" si="55"/>
        <v>0</v>
      </c>
      <c r="T29" s="88">
        <f t="shared" si="55"/>
        <v>0</v>
      </c>
      <c r="U29" s="88">
        <f t="shared" si="55"/>
        <v>0</v>
      </c>
      <c r="V29" s="88">
        <f t="shared" si="55"/>
        <v>0</v>
      </c>
      <c r="W29" s="88">
        <f t="shared" si="55"/>
        <v>0</v>
      </c>
      <c r="X29" s="88">
        <f t="shared" si="55"/>
        <v>0</v>
      </c>
      <c r="Y29" s="88">
        <f t="shared" si="55"/>
        <v>0</v>
      </c>
      <c r="Z29" s="88">
        <f t="shared" si="55"/>
        <v>0</v>
      </c>
      <c r="AA29" s="88">
        <f t="shared" si="55"/>
        <v>0</v>
      </c>
      <c r="AB29" s="10">
        <f t="shared" si="55"/>
        <v>0</v>
      </c>
      <c r="AC29" s="10">
        <f t="shared" si="55"/>
        <v>0</v>
      </c>
      <c r="AD29" s="10">
        <f t="shared" si="55"/>
        <v>0</v>
      </c>
      <c r="AE29" s="10">
        <f t="shared" si="55"/>
        <v>0</v>
      </c>
      <c r="AF29" s="10">
        <f t="shared" si="55"/>
        <v>0</v>
      </c>
      <c r="AG29" s="10">
        <f t="shared" si="55"/>
        <v>0</v>
      </c>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row>
    <row r="30">
      <c r="A30" s="181" t="s">
        <v>206</v>
      </c>
      <c r="B30" s="88">
        <f t="shared" si="17"/>
        <v>0</v>
      </c>
      <c r="C30" s="88">
        <f t="shared" ref="C30:AG30" si="56">0</f>
        <v>0</v>
      </c>
      <c r="D30" s="88">
        <f t="shared" si="56"/>
        <v>0</v>
      </c>
      <c r="E30" s="88">
        <f t="shared" si="56"/>
        <v>0</v>
      </c>
      <c r="F30" s="88">
        <f t="shared" si="56"/>
        <v>0</v>
      </c>
      <c r="G30" s="88">
        <f t="shared" si="56"/>
        <v>0</v>
      </c>
      <c r="H30" s="88">
        <f t="shared" si="56"/>
        <v>0</v>
      </c>
      <c r="I30" s="88">
        <f t="shared" si="56"/>
        <v>0</v>
      </c>
      <c r="J30" s="88">
        <f t="shared" si="56"/>
        <v>0</v>
      </c>
      <c r="K30" s="88">
        <f t="shared" si="56"/>
        <v>0</v>
      </c>
      <c r="L30" s="88">
        <f t="shared" si="56"/>
        <v>0</v>
      </c>
      <c r="M30" s="88">
        <f t="shared" si="56"/>
        <v>0</v>
      </c>
      <c r="N30" s="88">
        <f t="shared" si="56"/>
        <v>0</v>
      </c>
      <c r="O30" s="88">
        <f t="shared" si="56"/>
        <v>0</v>
      </c>
      <c r="P30" s="88">
        <f t="shared" si="56"/>
        <v>0</v>
      </c>
      <c r="Q30" s="88">
        <f t="shared" si="56"/>
        <v>0</v>
      </c>
      <c r="R30" s="88">
        <f t="shared" si="56"/>
        <v>0</v>
      </c>
      <c r="S30" s="88">
        <f t="shared" si="56"/>
        <v>0</v>
      </c>
      <c r="T30" s="88">
        <f t="shared" si="56"/>
        <v>0</v>
      </c>
      <c r="U30" s="88">
        <f t="shared" si="56"/>
        <v>0</v>
      </c>
      <c r="V30" s="88">
        <f t="shared" si="56"/>
        <v>0</v>
      </c>
      <c r="W30" s="88">
        <f t="shared" si="56"/>
        <v>0</v>
      </c>
      <c r="X30" s="88">
        <f t="shared" si="56"/>
        <v>0</v>
      </c>
      <c r="Y30" s="88">
        <f t="shared" si="56"/>
        <v>0</v>
      </c>
      <c r="Z30" s="88">
        <f t="shared" si="56"/>
        <v>0</v>
      </c>
      <c r="AA30" s="88">
        <f t="shared" si="56"/>
        <v>0</v>
      </c>
      <c r="AB30" s="10">
        <f t="shared" si="56"/>
        <v>0</v>
      </c>
      <c r="AC30" s="10">
        <f t="shared" si="56"/>
        <v>0</v>
      </c>
      <c r="AD30" s="10">
        <f t="shared" si="56"/>
        <v>0</v>
      </c>
      <c r="AE30" s="10">
        <f t="shared" si="56"/>
        <v>0</v>
      </c>
      <c r="AF30" s="10">
        <f t="shared" si="56"/>
        <v>0</v>
      </c>
      <c r="AG30" s="10">
        <f t="shared" si="56"/>
        <v>0</v>
      </c>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row>
    <row r="31">
      <c r="A31" s="181" t="s">
        <v>207</v>
      </c>
      <c r="B31" s="88">
        <f t="shared" si="17"/>
        <v>0</v>
      </c>
      <c r="C31" s="88">
        <f t="shared" ref="C31:AG31" si="57">0</f>
        <v>0</v>
      </c>
      <c r="D31" s="88">
        <f t="shared" si="57"/>
        <v>0</v>
      </c>
      <c r="E31" s="88">
        <f t="shared" si="57"/>
        <v>0</v>
      </c>
      <c r="F31" s="88">
        <f t="shared" si="57"/>
        <v>0</v>
      </c>
      <c r="G31" s="88">
        <f t="shared" si="57"/>
        <v>0</v>
      </c>
      <c r="H31" s="88">
        <f t="shared" si="57"/>
        <v>0</v>
      </c>
      <c r="I31" s="88">
        <f t="shared" si="57"/>
        <v>0</v>
      </c>
      <c r="J31" s="88">
        <f t="shared" si="57"/>
        <v>0</v>
      </c>
      <c r="K31" s="88">
        <f t="shared" si="57"/>
        <v>0</v>
      </c>
      <c r="L31" s="88">
        <f t="shared" si="57"/>
        <v>0</v>
      </c>
      <c r="M31" s="88">
        <f t="shared" si="57"/>
        <v>0</v>
      </c>
      <c r="N31" s="88">
        <f t="shared" si="57"/>
        <v>0</v>
      </c>
      <c r="O31" s="88">
        <f t="shared" si="57"/>
        <v>0</v>
      </c>
      <c r="P31" s="88">
        <f t="shared" si="57"/>
        <v>0</v>
      </c>
      <c r="Q31" s="88">
        <f t="shared" si="57"/>
        <v>0</v>
      </c>
      <c r="R31" s="88">
        <f t="shared" si="57"/>
        <v>0</v>
      </c>
      <c r="S31" s="88">
        <f t="shared" si="57"/>
        <v>0</v>
      </c>
      <c r="T31" s="88">
        <f t="shared" si="57"/>
        <v>0</v>
      </c>
      <c r="U31" s="88">
        <f t="shared" si="57"/>
        <v>0</v>
      </c>
      <c r="V31" s="88">
        <f t="shared" si="57"/>
        <v>0</v>
      </c>
      <c r="W31" s="88">
        <f t="shared" si="57"/>
        <v>0</v>
      </c>
      <c r="X31" s="88">
        <f t="shared" si="57"/>
        <v>0</v>
      </c>
      <c r="Y31" s="88">
        <f t="shared" si="57"/>
        <v>0</v>
      </c>
      <c r="Z31" s="88">
        <f t="shared" si="57"/>
        <v>0</v>
      </c>
      <c r="AA31" s="88">
        <f t="shared" si="57"/>
        <v>0</v>
      </c>
      <c r="AB31" s="10">
        <f t="shared" si="57"/>
        <v>0</v>
      </c>
      <c r="AC31" s="10">
        <f t="shared" si="57"/>
        <v>0</v>
      </c>
      <c r="AD31" s="10">
        <f t="shared" si="57"/>
        <v>0</v>
      </c>
      <c r="AE31" s="10">
        <f t="shared" si="57"/>
        <v>0</v>
      </c>
      <c r="AF31" s="10">
        <f t="shared" si="57"/>
        <v>0</v>
      </c>
      <c r="AG31" s="10">
        <f t="shared" si="57"/>
        <v>0</v>
      </c>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row>
    <row r="32">
      <c r="A32" s="181" t="s">
        <v>208</v>
      </c>
      <c r="B32" s="88">
        <f t="shared" si="17"/>
        <v>0</v>
      </c>
      <c r="C32" s="88">
        <f t="shared" ref="C32:AG32" si="58">0</f>
        <v>0</v>
      </c>
      <c r="D32" s="88">
        <f t="shared" si="58"/>
        <v>0</v>
      </c>
      <c r="E32" s="88">
        <f t="shared" si="58"/>
        <v>0</v>
      </c>
      <c r="F32" s="88">
        <f t="shared" si="58"/>
        <v>0</v>
      </c>
      <c r="G32" s="88">
        <f t="shared" si="58"/>
        <v>0</v>
      </c>
      <c r="H32" s="88">
        <f t="shared" si="58"/>
        <v>0</v>
      </c>
      <c r="I32" s="88">
        <f t="shared" si="58"/>
        <v>0</v>
      </c>
      <c r="J32" s="88">
        <f t="shared" si="58"/>
        <v>0</v>
      </c>
      <c r="K32" s="88">
        <f t="shared" si="58"/>
        <v>0</v>
      </c>
      <c r="L32" s="88">
        <f t="shared" si="58"/>
        <v>0</v>
      </c>
      <c r="M32" s="88">
        <f t="shared" si="58"/>
        <v>0</v>
      </c>
      <c r="N32" s="88">
        <f t="shared" si="58"/>
        <v>0</v>
      </c>
      <c r="O32" s="88">
        <f t="shared" si="58"/>
        <v>0</v>
      </c>
      <c r="P32" s="88">
        <f t="shared" si="58"/>
        <v>0</v>
      </c>
      <c r="Q32" s="88">
        <f t="shared" si="58"/>
        <v>0</v>
      </c>
      <c r="R32" s="88">
        <f t="shared" si="58"/>
        <v>0</v>
      </c>
      <c r="S32" s="88">
        <f t="shared" si="58"/>
        <v>0</v>
      </c>
      <c r="T32" s="88">
        <f t="shared" si="58"/>
        <v>0</v>
      </c>
      <c r="U32" s="88">
        <f t="shared" si="58"/>
        <v>0</v>
      </c>
      <c r="V32" s="88">
        <f t="shared" si="58"/>
        <v>0</v>
      </c>
      <c r="W32" s="88">
        <f t="shared" si="58"/>
        <v>0</v>
      </c>
      <c r="X32" s="88">
        <f t="shared" si="58"/>
        <v>0</v>
      </c>
      <c r="Y32" s="88">
        <f t="shared" si="58"/>
        <v>0</v>
      </c>
      <c r="Z32" s="88">
        <f t="shared" si="58"/>
        <v>0</v>
      </c>
      <c r="AA32" s="88">
        <f t="shared" si="58"/>
        <v>0</v>
      </c>
      <c r="AB32" s="10">
        <f t="shared" si="58"/>
        <v>0</v>
      </c>
      <c r="AC32" s="10">
        <f t="shared" si="58"/>
        <v>0</v>
      </c>
      <c r="AD32" s="10">
        <f t="shared" si="58"/>
        <v>0</v>
      </c>
      <c r="AE32" s="10">
        <f t="shared" si="58"/>
        <v>0</v>
      </c>
      <c r="AF32" s="10">
        <f t="shared" si="58"/>
        <v>0</v>
      </c>
      <c r="AG32" s="10">
        <f t="shared" si="58"/>
        <v>0</v>
      </c>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row>
    <row r="33">
      <c r="A33" s="181" t="s">
        <v>209</v>
      </c>
      <c r="B33" s="88">
        <f t="shared" si="17"/>
        <v>0</v>
      </c>
      <c r="C33" s="88">
        <f t="shared" ref="C33:AG33" si="59">0</f>
        <v>0</v>
      </c>
      <c r="D33" s="88">
        <f t="shared" si="59"/>
        <v>0</v>
      </c>
      <c r="E33" s="88">
        <f t="shared" si="59"/>
        <v>0</v>
      </c>
      <c r="F33" s="88">
        <f t="shared" si="59"/>
        <v>0</v>
      </c>
      <c r="G33" s="88">
        <f t="shared" si="59"/>
        <v>0</v>
      </c>
      <c r="H33" s="88">
        <f t="shared" si="59"/>
        <v>0</v>
      </c>
      <c r="I33" s="88">
        <f t="shared" si="59"/>
        <v>0</v>
      </c>
      <c r="J33" s="88">
        <f t="shared" si="59"/>
        <v>0</v>
      </c>
      <c r="K33" s="88">
        <f t="shared" si="59"/>
        <v>0</v>
      </c>
      <c r="L33" s="88">
        <f t="shared" si="59"/>
        <v>0</v>
      </c>
      <c r="M33" s="88">
        <f t="shared" si="59"/>
        <v>0</v>
      </c>
      <c r="N33" s="88">
        <f t="shared" si="59"/>
        <v>0</v>
      </c>
      <c r="O33" s="88">
        <f t="shared" si="59"/>
        <v>0</v>
      </c>
      <c r="P33" s="88">
        <f t="shared" si="59"/>
        <v>0</v>
      </c>
      <c r="Q33" s="88">
        <f t="shared" si="59"/>
        <v>0</v>
      </c>
      <c r="R33" s="88">
        <f t="shared" si="59"/>
        <v>0</v>
      </c>
      <c r="S33" s="88">
        <f t="shared" si="59"/>
        <v>0</v>
      </c>
      <c r="T33" s="88">
        <f t="shared" si="59"/>
        <v>0</v>
      </c>
      <c r="U33" s="88">
        <f t="shared" si="59"/>
        <v>0</v>
      </c>
      <c r="V33" s="88">
        <f t="shared" si="59"/>
        <v>0</v>
      </c>
      <c r="W33" s="88">
        <f t="shared" si="59"/>
        <v>0</v>
      </c>
      <c r="X33" s="88">
        <f t="shared" si="59"/>
        <v>0</v>
      </c>
      <c r="Y33" s="88">
        <f t="shared" si="59"/>
        <v>0</v>
      </c>
      <c r="Z33" s="88">
        <f t="shared" si="59"/>
        <v>0</v>
      </c>
      <c r="AA33" s="88">
        <f t="shared" si="59"/>
        <v>0</v>
      </c>
      <c r="AB33" s="10">
        <f t="shared" si="59"/>
        <v>0</v>
      </c>
      <c r="AC33" s="10">
        <f t="shared" si="59"/>
        <v>0</v>
      </c>
      <c r="AD33" s="10">
        <f t="shared" si="59"/>
        <v>0</v>
      </c>
      <c r="AE33" s="10">
        <f t="shared" si="59"/>
        <v>0</v>
      </c>
      <c r="AF33" s="10">
        <f t="shared" si="59"/>
        <v>0</v>
      </c>
      <c r="AG33" s="10">
        <f t="shared" si="59"/>
        <v>0</v>
      </c>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row>
    <row r="34">
      <c r="A34" s="181" t="s">
        <v>210</v>
      </c>
      <c r="B34" s="88">
        <f t="shared" si="17"/>
        <v>0</v>
      </c>
      <c r="C34" s="88">
        <f t="shared" ref="C34:AG34" si="60">0</f>
        <v>0</v>
      </c>
      <c r="D34" s="88">
        <f t="shared" si="60"/>
        <v>0</v>
      </c>
      <c r="E34" s="88">
        <f t="shared" si="60"/>
        <v>0</v>
      </c>
      <c r="F34" s="88">
        <f t="shared" si="60"/>
        <v>0</v>
      </c>
      <c r="G34" s="88">
        <f t="shared" si="60"/>
        <v>0</v>
      </c>
      <c r="H34" s="88">
        <f t="shared" si="60"/>
        <v>0</v>
      </c>
      <c r="I34" s="88">
        <f t="shared" si="60"/>
        <v>0</v>
      </c>
      <c r="J34" s="88">
        <f t="shared" si="60"/>
        <v>0</v>
      </c>
      <c r="K34" s="88">
        <f t="shared" si="60"/>
        <v>0</v>
      </c>
      <c r="L34" s="88">
        <f t="shared" si="60"/>
        <v>0</v>
      </c>
      <c r="M34" s="88">
        <f t="shared" si="60"/>
        <v>0</v>
      </c>
      <c r="N34" s="88">
        <f t="shared" si="60"/>
        <v>0</v>
      </c>
      <c r="O34" s="88">
        <f t="shared" si="60"/>
        <v>0</v>
      </c>
      <c r="P34" s="88">
        <f t="shared" si="60"/>
        <v>0</v>
      </c>
      <c r="Q34" s="88">
        <f t="shared" si="60"/>
        <v>0</v>
      </c>
      <c r="R34" s="88">
        <f t="shared" si="60"/>
        <v>0</v>
      </c>
      <c r="S34" s="88">
        <f t="shared" si="60"/>
        <v>0</v>
      </c>
      <c r="T34" s="88">
        <f t="shared" si="60"/>
        <v>0</v>
      </c>
      <c r="U34" s="88">
        <f t="shared" si="60"/>
        <v>0</v>
      </c>
      <c r="V34" s="88">
        <f t="shared" si="60"/>
        <v>0</v>
      </c>
      <c r="W34" s="88">
        <f t="shared" si="60"/>
        <v>0</v>
      </c>
      <c r="X34" s="88">
        <f t="shared" si="60"/>
        <v>0</v>
      </c>
      <c r="Y34" s="88">
        <f t="shared" si="60"/>
        <v>0</v>
      </c>
      <c r="Z34" s="88">
        <f t="shared" si="60"/>
        <v>0</v>
      </c>
      <c r="AA34" s="88">
        <f t="shared" si="60"/>
        <v>0</v>
      </c>
      <c r="AB34" s="10">
        <f t="shared" si="60"/>
        <v>0</v>
      </c>
      <c r="AC34" s="10">
        <f t="shared" si="60"/>
        <v>0</v>
      </c>
      <c r="AD34" s="10">
        <f t="shared" si="60"/>
        <v>0</v>
      </c>
      <c r="AE34" s="10">
        <f t="shared" si="60"/>
        <v>0</v>
      </c>
      <c r="AF34" s="10">
        <f t="shared" si="60"/>
        <v>0</v>
      </c>
      <c r="AG34" s="10">
        <f t="shared" si="60"/>
        <v>0</v>
      </c>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row>
    <row r="35">
      <c r="A35" s="181" t="s">
        <v>211</v>
      </c>
      <c r="B35" s="88">
        <f t="shared" si="17"/>
        <v>0</v>
      </c>
      <c r="C35" s="88">
        <f t="shared" ref="C35:AG35" si="61">0</f>
        <v>0</v>
      </c>
      <c r="D35" s="88">
        <f t="shared" si="61"/>
        <v>0</v>
      </c>
      <c r="E35" s="88">
        <f t="shared" si="61"/>
        <v>0</v>
      </c>
      <c r="F35" s="88">
        <f t="shared" si="61"/>
        <v>0</v>
      </c>
      <c r="G35" s="88">
        <f t="shared" si="61"/>
        <v>0</v>
      </c>
      <c r="H35" s="88">
        <f t="shared" si="61"/>
        <v>0</v>
      </c>
      <c r="I35" s="88">
        <f t="shared" si="61"/>
        <v>0</v>
      </c>
      <c r="J35" s="88">
        <f t="shared" si="61"/>
        <v>0</v>
      </c>
      <c r="K35" s="88">
        <f t="shared" si="61"/>
        <v>0</v>
      </c>
      <c r="L35" s="88">
        <f t="shared" si="61"/>
        <v>0</v>
      </c>
      <c r="M35" s="88">
        <f t="shared" si="61"/>
        <v>0</v>
      </c>
      <c r="N35" s="88">
        <f t="shared" si="61"/>
        <v>0</v>
      </c>
      <c r="O35" s="88">
        <f t="shared" si="61"/>
        <v>0</v>
      </c>
      <c r="P35" s="88">
        <f t="shared" si="61"/>
        <v>0</v>
      </c>
      <c r="Q35" s="88">
        <f t="shared" si="61"/>
        <v>0</v>
      </c>
      <c r="R35" s="88">
        <f t="shared" si="61"/>
        <v>0</v>
      </c>
      <c r="S35" s="88">
        <f t="shared" si="61"/>
        <v>0</v>
      </c>
      <c r="T35" s="88">
        <f t="shared" si="61"/>
        <v>0</v>
      </c>
      <c r="U35" s="88">
        <f t="shared" si="61"/>
        <v>0</v>
      </c>
      <c r="V35" s="88">
        <f t="shared" si="61"/>
        <v>0</v>
      </c>
      <c r="W35" s="88">
        <f t="shared" si="61"/>
        <v>0</v>
      </c>
      <c r="X35" s="88">
        <f t="shared" si="61"/>
        <v>0</v>
      </c>
      <c r="Y35" s="88">
        <f t="shared" si="61"/>
        <v>0</v>
      </c>
      <c r="Z35" s="88">
        <f t="shared" si="61"/>
        <v>0</v>
      </c>
      <c r="AA35" s="88">
        <f t="shared" si="61"/>
        <v>0</v>
      </c>
      <c r="AB35" s="10">
        <f t="shared" si="61"/>
        <v>0</v>
      </c>
      <c r="AC35" s="10">
        <f t="shared" si="61"/>
        <v>0</v>
      </c>
      <c r="AD35" s="10">
        <f t="shared" si="61"/>
        <v>0</v>
      </c>
      <c r="AE35" s="10">
        <f t="shared" si="61"/>
        <v>0</v>
      </c>
      <c r="AF35" s="10">
        <f t="shared" si="61"/>
        <v>0</v>
      </c>
      <c r="AG35" s="10">
        <f t="shared" si="61"/>
        <v>0</v>
      </c>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row>
    <row r="36">
      <c r="A36" s="181" t="s">
        <v>212</v>
      </c>
      <c r="B36" s="88">
        <f t="shared" si="17"/>
        <v>0</v>
      </c>
      <c r="C36" s="88">
        <f t="shared" ref="C36:AG36" si="62">0</f>
        <v>0</v>
      </c>
      <c r="D36" s="88">
        <f t="shared" si="62"/>
        <v>0</v>
      </c>
      <c r="E36" s="88">
        <f t="shared" si="62"/>
        <v>0</v>
      </c>
      <c r="F36" s="88">
        <f t="shared" si="62"/>
        <v>0</v>
      </c>
      <c r="G36" s="88">
        <f t="shared" si="62"/>
        <v>0</v>
      </c>
      <c r="H36" s="88">
        <f t="shared" si="62"/>
        <v>0</v>
      </c>
      <c r="I36" s="88">
        <f t="shared" si="62"/>
        <v>0</v>
      </c>
      <c r="J36" s="88">
        <f t="shared" si="62"/>
        <v>0</v>
      </c>
      <c r="K36" s="88">
        <f t="shared" si="62"/>
        <v>0</v>
      </c>
      <c r="L36" s="88">
        <f t="shared" si="62"/>
        <v>0</v>
      </c>
      <c r="M36" s="88">
        <f t="shared" si="62"/>
        <v>0</v>
      </c>
      <c r="N36" s="88">
        <f t="shared" si="62"/>
        <v>0</v>
      </c>
      <c r="O36" s="88">
        <f t="shared" si="62"/>
        <v>0</v>
      </c>
      <c r="P36" s="88">
        <f t="shared" si="62"/>
        <v>0</v>
      </c>
      <c r="Q36" s="88">
        <f t="shared" si="62"/>
        <v>0</v>
      </c>
      <c r="R36" s="88">
        <f t="shared" si="62"/>
        <v>0</v>
      </c>
      <c r="S36" s="88">
        <f t="shared" si="62"/>
        <v>0</v>
      </c>
      <c r="T36" s="88">
        <f t="shared" si="62"/>
        <v>0</v>
      </c>
      <c r="U36" s="88">
        <f t="shared" si="62"/>
        <v>0</v>
      </c>
      <c r="V36" s="88">
        <f t="shared" si="62"/>
        <v>0</v>
      </c>
      <c r="W36" s="88">
        <f t="shared" si="62"/>
        <v>0</v>
      </c>
      <c r="X36" s="88">
        <f t="shared" si="62"/>
        <v>0</v>
      </c>
      <c r="Y36" s="88">
        <f t="shared" si="62"/>
        <v>0</v>
      </c>
      <c r="Z36" s="88">
        <f t="shared" si="62"/>
        <v>0</v>
      </c>
      <c r="AA36" s="88">
        <f t="shared" si="62"/>
        <v>0</v>
      </c>
      <c r="AB36" s="10">
        <f t="shared" si="62"/>
        <v>0</v>
      </c>
      <c r="AC36" s="10">
        <f t="shared" si="62"/>
        <v>0</v>
      </c>
      <c r="AD36" s="10">
        <f t="shared" si="62"/>
        <v>0</v>
      </c>
      <c r="AE36" s="10">
        <f t="shared" si="62"/>
        <v>0</v>
      </c>
      <c r="AF36" s="10">
        <f t="shared" si="62"/>
        <v>0</v>
      </c>
      <c r="AG36" s="10">
        <f t="shared" si="62"/>
        <v>0</v>
      </c>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row>
    <row r="37">
      <c r="A37" s="181" t="s">
        <v>213</v>
      </c>
      <c r="B37" s="88">
        <f t="shared" si="17"/>
        <v>0</v>
      </c>
      <c r="C37" s="88">
        <f t="shared" ref="C37:AG37" si="63">0</f>
        <v>0</v>
      </c>
      <c r="D37" s="88">
        <f t="shared" si="63"/>
        <v>0</v>
      </c>
      <c r="E37" s="88">
        <f t="shared" si="63"/>
        <v>0</v>
      </c>
      <c r="F37" s="88">
        <f t="shared" si="63"/>
        <v>0</v>
      </c>
      <c r="G37" s="88">
        <f t="shared" si="63"/>
        <v>0</v>
      </c>
      <c r="H37" s="88">
        <f t="shared" si="63"/>
        <v>0</v>
      </c>
      <c r="I37" s="88">
        <f t="shared" si="63"/>
        <v>0</v>
      </c>
      <c r="J37" s="88">
        <f t="shared" si="63"/>
        <v>0</v>
      </c>
      <c r="K37" s="88">
        <f t="shared" si="63"/>
        <v>0</v>
      </c>
      <c r="L37" s="88">
        <f t="shared" si="63"/>
        <v>0</v>
      </c>
      <c r="M37" s="88">
        <f t="shared" si="63"/>
        <v>0</v>
      </c>
      <c r="N37" s="88">
        <f t="shared" si="63"/>
        <v>0</v>
      </c>
      <c r="O37" s="88">
        <f t="shared" si="63"/>
        <v>0</v>
      </c>
      <c r="P37" s="88">
        <f t="shared" si="63"/>
        <v>0</v>
      </c>
      <c r="Q37" s="88">
        <f t="shared" si="63"/>
        <v>0</v>
      </c>
      <c r="R37" s="88">
        <f t="shared" si="63"/>
        <v>0</v>
      </c>
      <c r="S37" s="88">
        <f t="shared" si="63"/>
        <v>0</v>
      </c>
      <c r="T37" s="88">
        <f t="shared" si="63"/>
        <v>0</v>
      </c>
      <c r="U37" s="88">
        <f t="shared" si="63"/>
        <v>0</v>
      </c>
      <c r="V37" s="88">
        <f t="shared" si="63"/>
        <v>0</v>
      </c>
      <c r="W37" s="88">
        <f t="shared" si="63"/>
        <v>0</v>
      </c>
      <c r="X37" s="88">
        <f t="shared" si="63"/>
        <v>0</v>
      </c>
      <c r="Y37" s="88">
        <f t="shared" si="63"/>
        <v>0</v>
      </c>
      <c r="Z37" s="88">
        <f t="shared" si="63"/>
        <v>0</v>
      </c>
      <c r="AA37" s="88">
        <f t="shared" si="63"/>
        <v>0</v>
      </c>
      <c r="AB37" s="10">
        <f t="shared" si="63"/>
        <v>0</v>
      </c>
      <c r="AC37" s="10">
        <f t="shared" si="63"/>
        <v>0</v>
      </c>
      <c r="AD37" s="10">
        <f t="shared" si="63"/>
        <v>0</v>
      </c>
      <c r="AE37" s="10">
        <f t="shared" si="63"/>
        <v>0</v>
      </c>
      <c r="AF37" s="10">
        <f t="shared" si="63"/>
        <v>0</v>
      </c>
      <c r="AG37" s="10">
        <f t="shared" si="63"/>
        <v>0</v>
      </c>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row>
    <row r="38">
      <c r="A38" s="181" t="s">
        <v>214</v>
      </c>
      <c r="B38" s="88">
        <f t="shared" si="17"/>
        <v>0</v>
      </c>
      <c r="C38" s="88">
        <f t="shared" ref="C38:AG38" si="64">0</f>
        <v>0</v>
      </c>
      <c r="D38" s="88">
        <f t="shared" si="64"/>
        <v>0</v>
      </c>
      <c r="E38" s="88">
        <f t="shared" si="64"/>
        <v>0</v>
      </c>
      <c r="F38" s="88">
        <f t="shared" si="64"/>
        <v>0</v>
      </c>
      <c r="G38" s="88">
        <f t="shared" si="64"/>
        <v>0</v>
      </c>
      <c r="H38" s="88">
        <f t="shared" si="64"/>
        <v>0</v>
      </c>
      <c r="I38" s="88">
        <f t="shared" si="64"/>
        <v>0</v>
      </c>
      <c r="J38" s="88">
        <f t="shared" si="64"/>
        <v>0</v>
      </c>
      <c r="K38" s="88">
        <f t="shared" si="64"/>
        <v>0</v>
      </c>
      <c r="L38" s="88">
        <f t="shared" si="64"/>
        <v>0</v>
      </c>
      <c r="M38" s="88">
        <f t="shared" si="64"/>
        <v>0</v>
      </c>
      <c r="N38" s="88">
        <f t="shared" si="64"/>
        <v>0</v>
      </c>
      <c r="O38" s="88">
        <f t="shared" si="64"/>
        <v>0</v>
      </c>
      <c r="P38" s="88">
        <f t="shared" si="64"/>
        <v>0</v>
      </c>
      <c r="Q38" s="88">
        <f t="shared" si="64"/>
        <v>0</v>
      </c>
      <c r="R38" s="88">
        <f t="shared" si="64"/>
        <v>0</v>
      </c>
      <c r="S38" s="88">
        <f t="shared" si="64"/>
        <v>0</v>
      </c>
      <c r="T38" s="88">
        <f t="shared" si="64"/>
        <v>0</v>
      </c>
      <c r="U38" s="88">
        <f t="shared" si="64"/>
        <v>0</v>
      </c>
      <c r="V38" s="88">
        <f t="shared" si="64"/>
        <v>0</v>
      </c>
      <c r="W38" s="88">
        <f t="shared" si="64"/>
        <v>0</v>
      </c>
      <c r="X38" s="88">
        <f t="shared" si="64"/>
        <v>0</v>
      </c>
      <c r="Y38" s="88">
        <f t="shared" si="64"/>
        <v>0</v>
      </c>
      <c r="Z38" s="88">
        <f t="shared" si="64"/>
        <v>0</v>
      </c>
      <c r="AA38" s="88">
        <f t="shared" si="64"/>
        <v>0</v>
      </c>
      <c r="AB38" s="10">
        <f t="shared" si="64"/>
        <v>0</v>
      </c>
      <c r="AC38" s="10">
        <f t="shared" si="64"/>
        <v>0</v>
      </c>
      <c r="AD38" s="10">
        <f t="shared" si="64"/>
        <v>0</v>
      </c>
      <c r="AE38" s="10">
        <f t="shared" si="64"/>
        <v>0</v>
      </c>
      <c r="AF38" s="10">
        <f t="shared" si="64"/>
        <v>0</v>
      </c>
      <c r="AG38" s="10">
        <f t="shared" si="64"/>
        <v>0</v>
      </c>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row>
    <row r="39">
      <c r="A39" s="181" t="s">
        <v>215</v>
      </c>
      <c r="B39" s="88">
        <f t="shared" si="17"/>
        <v>0</v>
      </c>
      <c r="C39" s="88">
        <f t="shared" ref="C39:AG39" si="65">0</f>
        <v>0</v>
      </c>
      <c r="D39" s="88">
        <f t="shared" si="65"/>
        <v>0</v>
      </c>
      <c r="E39" s="88">
        <f t="shared" si="65"/>
        <v>0</v>
      </c>
      <c r="F39" s="88">
        <f t="shared" si="65"/>
        <v>0</v>
      </c>
      <c r="G39" s="88">
        <f t="shared" si="65"/>
        <v>0</v>
      </c>
      <c r="H39" s="88">
        <f t="shared" si="65"/>
        <v>0</v>
      </c>
      <c r="I39" s="88">
        <f t="shared" si="65"/>
        <v>0</v>
      </c>
      <c r="J39" s="88">
        <f t="shared" si="65"/>
        <v>0</v>
      </c>
      <c r="K39" s="88">
        <f t="shared" si="65"/>
        <v>0</v>
      </c>
      <c r="L39" s="88">
        <f t="shared" si="65"/>
        <v>0</v>
      </c>
      <c r="M39" s="88">
        <f t="shared" si="65"/>
        <v>0</v>
      </c>
      <c r="N39" s="88">
        <f t="shared" si="65"/>
        <v>0</v>
      </c>
      <c r="O39" s="88">
        <f t="shared" si="65"/>
        <v>0</v>
      </c>
      <c r="P39" s="88">
        <f t="shared" si="65"/>
        <v>0</v>
      </c>
      <c r="Q39" s="88">
        <f t="shared" si="65"/>
        <v>0</v>
      </c>
      <c r="R39" s="88">
        <f t="shared" si="65"/>
        <v>0</v>
      </c>
      <c r="S39" s="88">
        <f t="shared" si="65"/>
        <v>0</v>
      </c>
      <c r="T39" s="88">
        <f t="shared" si="65"/>
        <v>0</v>
      </c>
      <c r="U39" s="88">
        <f t="shared" si="65"/>
        <v>0</v>
      </c>
      <c r="V39" s="88">
        <f t="shared" si="65"/>
        <v>0</v>
      </c>
      <c r="W39" s="88">
        <f t="shared" si="65"/>
        <v>0</v>
      </c>
      <c r="X39" s="88">
        <f t="shared" si="65"/>
        <v>0</v>
      </c>
      <c r="Y39" s="88">
        <f t="shared" si="65"/>
        <v>0</v>
      </c>
      <c r="Z39" s="88">
        <f t="shared" si="65"/>
        <v>0</v>
      </c>
      <c r="AA39" s="88">
        <f t="shared" si="65"/>
        <v>0</v>
      </c>
      <c r="AB39" s="10">
        <f t="shared" si="65"/>
        <v>0</v>
      </c>
      <c r="AC39" s="10">
        <f t="shared" si="65"/>
        <v>0</v>
      </c>
      <c r="AD39" s="10">
        <f t="shared" si="65"/>
        <v>0</v>
      </c>
      <c r="AE39" s="10">
        <f t="shared" si="65"/>
        <v>0</v>
      </c>
      <c r="AF39" s="10">
        <f t="shared" si="65"/>
        <v>0</v>
      </c>
      <c r="AG39" s="10">
        <f t="shared" si="65"/>
        <v>0</v>
      </c>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row>
    <row r="40">
      <c r="A40" s="181" t="s">
        <v>216</v>
      </c>
      <c r="B40" s="88">
        <f t="shared" si="17"/>
        <v>0</v>
      </c>
      <c r="C40" s="88">
        <f t="shared" ref="C40:AG40" si="66">0</f>
        <v>0</v>
      </c>
      <c r="D40" s="88">
        <f t="shared" si="66"/>
        <v>0</v>
      </c>
      <c r="E40" s="88">
        <f t="shared" si="66"/>
        <v>0</v>
      </c>
      <c r="F40" s="88">
        <f t="shared" si="66"/>
        <v>0</v>
      </c>
      <c r="G40" s="88">
        <f t="shared" si="66"/>
        <v>0</v>
      </c>
      <c r="H40" s="88">
        <f t="shared" si="66"/>
        <v>0</v>
      </c>
      <c r="I40" s="88">
        <f t="shared" si="66"/>
        <v>0</v>
      </c>
      <c r="J40" s="88">
        <f t="shared" si="66"/>
        <v>0</v>
      </c>
      <c r="K40" s="88">
        <f t="shared" si="66"/>
        <v>0</v>
      </c>
      <c r="L40" s="88">
        <f t="shared" si="66"/>
        <v>0</v>
      </c>
      <c r="M40" s="88">
        <f t="shared" si="66"/>
        <v>0</v>
      </c>
      <c r="N40" s="88">
        <f t="shared" si="66"/>
        <v>0</v>
      </c>
      <c r="O40" s="88">
        <f t="shared" si="66"/>
        <v>0</v>
      </c>
      <c r="P40" s="88">
        <f t="shared" si="66"/>
        <v>0</v>
      </c>
      <c r="Q40" s="88">
        <f t="shared" si="66"/>
        <v>0</v>
      </c>
      <c r="R40" s="88">
        <f t="shared" si="66"/>
        <v>0</v>
      </c>
      <c r="S40" s="88">
        <f t="shared" si="66"/>
        <v>0</v>
      </c>
      <c r="T40" s="88">
        <f t="shared" si="66"/>
        <v>0</v>
      </c>
      <c r="U40" s="88">
        <f t="shared" si="66"/>
        <v>0</v>
      </c>
      <c r="V40" s="88">
        <f t="shared" si="66"/>
        <v>0</v>
      </c>
      <c r="W40" s="88">
        <f t="shared" si="66"/>
        <v>0</v>
      </c>
      <c r="X40" s="88">
        <f t="shared" si="66"/>
        <v>0</v>
      </c>
      <c r="Y40" s="88">
        <f t="shared" si="66"/>
        <v>0</v>
      </c>
      <c r="Z40" s="88">
        <f t="shared" si="66"/>
        <v>0</v>
      </c>
      <c r="AA40" s="88">
        <f t="shared" si="66"/>
        <v>0</v>
      </c>
      <c r="AB40" s="10">
        <f t="shared" si="66"/>
        <v>0</v>
      </c>
      <c r="AC40" s="10">
        <f t="shared" si="66"/>
        <v>0</v>
      </c>
      <c r="AD40" s="10">
        <f t="shared" si="66"/>
        <v>0</v>
      </c>
      <c r="AE40" s="10">
        <f t="shared" si="66"/>
        <v>0</v>
      </c>
      <c r="AF40" s="10">
        <f t="shared" si="66"/>
        <v>0</v>
      </c>
      <c r="AG40" s="10">
        <f t="shared" si="66"/>
        <v>0</v>
      </c>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row>
    <row r="41">
      <c r="A41" s="181" t="s">
        <v>217</v>
      </c>
      <c r="B41" s="88">
        <f t="shared" si="17"/>
        <v>0</v>
      </c>
      <c r="C41" s="88">
        <f t="shared" ref="C41:AG41" si="67">0</f>
        <v>0</v>
      </c>
      <c r="D41" s="88">
        <f t="shared" si="67"/>
        <v>0</v>
      </c>
      <c r="E41" s="88">
        <f t="shared" si="67"/>
        <v>0</v>
      </c>
      <c r="F41" s="88">
        <f t="shared" si="67"/>
        <v>0</v>
      </c>
      <c r="G41" s="88">
        <f t="shared" si="67"/>
        <v>0</v>
      </c>
      <c r="H41" s="88">
        <f t="shared" si="67"/>
        <v>0</v>
      </c>
      <c r="I41" s="88">
        <f t="shared" si="67"/>
        <v>0</v>
      </c>
      <c r="J41" s="88">
        <f t="shared" si="67"/>
        <v>0</v>
      </c>
      <c r="K41" s="88">
        <f t="shared" si="67"/>
        <v>0</v>
      </c>
      <c r="L41" s="88">
        <f t="shared" si="67"/>
        <v>0</v>
      </c>
      <c r="M41" s="88">
        <f t="shared" si="67"/>
        <v>0</v>
      </c>
      <c r="N41" s="88">
        <f t="shared" si="67"/>
        <v>0</v>
      </c>
      <c r="O41" s="88">
        <f t="shared" si="67"/>
        <v>0</v>
      </c>
      <c r="P41" s="88">
        <f t="shared" si="67"/>
        <v>0</v>
      </c>
      <c r="Q41" s="88">
        <f t="shared" si="67"/>
        <v>0</v>
      </c>
      <c r="R41" s="88">
        <f t="shared" si="67"/>
        <v>0</v>
      </c>
      <c r="S41" s="88">
        <f t="shared" si="67"/>
        <v>0</v>
      </c>
      <c r="T41" s="88">
        <f t="shared" si="67"/>
        <v>0</v>
      </c>
      <c r="U41" s="88">
        <f t="shared" si="67"/>
        <v>0</v>
      </c>
      <c r="V41" s="88">
        <f t="shared" si="67"/>
        <v>0</v>
      </c>
      <c r="W41" s="88">
        <f t="shared" si="67"/>
        <v>0</v>
      </c>
      <c r="X41" s="88">
        <f t="shared" si="67"/>
        <v>0</v>
      </c>
      <c r="Y41" s="88">
        <f t="shared" si="67"/>
        <v>0</v>
      </c>
      <c r="Z41" s="88">
        <f t="shared" si="67"/>
        <v>0</v>
      </c>
      <c r="AA41" s="88">
        <f t="shared" si="67"/>
        <v>0</v>
      </c>
      <c r="AB41" s="10">
        <f t="shared" si="67"/>
        <v>0</v>
      </c>
      <c r="AC41" s="10">
        <f t="shared" si="67"/>
        <v>0</v>
      </c>
      <c r="AD41" s="10">
        <f t="shared" si="67"/>
        <v>0</v>
      </c>
      <c r="AE41" s="10">
        <f t="shared" si="67"/>
        <v>0</v>
      </c>
      <c r="AF41" s="10">
        <f t="shared" si="67"/>
        <v>0</v>
      </c>
      <c r="AG41" s="10">
        <f t="shared" si="67"/>
        <v>0</v>
      </c>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row>
    <row r="42">
      <c r="A42" s="181" t="s">
        <v>218</v>
      </c>
      <c r="B42" s="88">
        <f t="shared" si="17"/>
        <v>0</v>
      </c>
      <c r="C42" s="88">
        <f t="shared" ref="C42:AG42" si="68">0</f>
        <v>0</v>
      </c>
      <c r="D42" s="88">
        <f t="shared" si="68"/>
        <v>0</v>
      </c>
      <c r="E42" s="88">
        <f t="shared" si="68"/>
        <v>0</v>
      </c>
      <c r="F42" s="88">
        <f t="shared" si="68"/>
        <v>0</v>
      </c>
      <c r="G42" s="88">
        <f t="shared" si="68"/>
        <v>0</v>
      </c>
      <c r="H42" s="88">
        <f t="shared" si="68"/>
        <v>0</v>
      </c>
      <c r="I42" s="88">
        <f t="shared" si="68"/>
        <v>0</v>
      </c>
      <c r="J42" s="88">
        <f t="shared" si="68"/>
        <v>0</v>
      </c>
      <c r="K42" s="88">
        <f t="shared" si="68"/>
        <v>0</v>
      </c>
      <c r="L42" s="88">
        <f t="shared" si="68"/>
        <v>0</v>
      </c>
      <c r="M42" s="88">
        <f t="shared" si="68"/>
        <v>0</v>
      </c>
      <c r="N42" s="88">
        <f t="shared" si="68"/>
        <v>0</v>
      </c>
      <c r="O42" s="88">
        <f t="shared" si="68"/>
        <v>0</v>
      </c>
      <c r="P42" s="88">
        <f t="shared" si="68"/>
        <v>0</v>
      </c>
      <c r="Q42" s="88">
        <f t="shared" si="68"/>
        <v>0</v>
      </c>
      <c r="R42" s="88">
        <f t="shared" si="68"/>
        <v>0</v>
      </c>
      <c r="S42" s="88">
        <f t="shared" si="68"/>
        <v>0</v>
      </c>
      <c r="T42" s="88">
        <f t="shared" si="68"/>
        <v>0</v>
      </c>
      <c r="U42" s="88">
        <f t="shared" si="68"/>
        <v>0</v>
      </c>
      <c r="V42" s="88">
        <f t="shared" si="68"/>
        <v>0</v>
      </c>
      <c r="W42" s="88">
        <f t="shared" si="68"/>
        <v>0</v>
      </c>
      <c r="X42" s="88">
        <f t="shared" si="68"/>
        <v>0</v>
      </c>
      <c r="Y42" s="88">
        <f t="shared" si="68"/>
        <v>0</v>
      </c>
      <c r="Z42" s="88">
        <f t="shared" si="68"/>
        <v>0</v>
      </c>
      <c r="AA42" s="88">
        <f t="shared" si="68"/>
        <v>0</v>
      </c>
      <c r="AB42" s="10">
        <f t="shared" si="68"/>
        <v>0</v>
      </c>
      <c r="AC42" s="10">
        <f t="shared" si="68"/>
        <v>0</v>
      </c>
      <c r="AD42" s="10">
        <f t="shared" si="68"/>
        <v>0</v>
      </c>
      <c r="AE42" s="10">
        <f t="shared" si="68"/>
        <v>0</v>
      </c>
      <c r="AF42" s="10">
        <f t="shared" si="68"/>
        <v>0</v>
      </c>
      <c r="AG42" s="10">
        <f t="shared" si="68"/>
        <v>0</v>
      </c>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row>
    <row r="43">
      <c r="A43" s="181" t="s">
        <v>219</v>
      </c>
      <c r="B43" s="88">
        <f t="shared" si="17"/>
        <v>0</v>
      </c>
      <c r="C43" s="88">
        <f t="shared" ref="C43:AG43" si="69">0</f>
        <v>0</v>
      </c>
      <c r="D43" s="88">
        <f t="shared" si="69"/>
        <v>0</v>
      </c>
      <c r="E43" s="88">
        <f t="shared" si="69"/>
        <v>0</v>
      </c>
      <c r="F43" s="88">
        <f t="shared" si="69"/>
        <v>0</v>
      </c>
      <c r="G43" s="88">
        <f t="shared" si="69"/>
        <v>0</v>
      </c>
      <c r="H43" s="88">
        <f t="shared" si="69"/>
        <v>0</v>
      </c>
      <c r="I43" s="88">
        <f t="shared" si="69"/>
        <v>0</v>
      </c>
      <c r="J43" s="88">
        <f t="shared" si="69"/>
        <v>0</v>
      </c>
      <c r="K43" s="88">
        <f t="shared" si="69"/>
        <v>0</v>
      </c>
      <c r="L43" s="88">
        <f t="shared" si="69"/>
        <v>0</v>
      </c>
      <c r="M43" s="88">
        <f t="shared" si="69"/>
        <v>0</v>
      </c>
      <c r="N43" s="88">
        <f t="shared" si="69"/>
        <v>0</v>
      </c>
      <c r="O43" s="88">
        <f t="shared" si="69"/>
        <v>0</v>
      </c>
      <c r="P43" s="88">
        <f t="shared" si="69"/>
        <v>0</v>
      </c>
      <c r="Q43" s="88">
        <f t="shared" si="69"/>
        <v>0</v>
      </c>
      <c r="R43" s="88">
        <f t="shared" si="69"/>
        <v>0</v>
      </c>
      <c r="S43" s="88">
        <f t="shared" si="69"/>
        <v>0</v>
      </c>
      <c r="T43" s="88">
        <f t="shared" si="69"/>
        <v>0</v>
      </c>
      <c r="U43" s="88">
        <f t="shared" si="69"/>
        <v>0</v>
      </c>
      <c r="V43" s="88">
        <f t="shared" si="69"/>
        <v>0</v>
      </c>
      <c r="W43" s="88">
        <f t="shared" si="69"/>
        <v>0</v>
      </c>
      <c r="X43" s="88">
        <f t="shared" si="69"/>
        <v>0</v>
      </c>
      <c r="Y43" s="88">
        <f t="shared" si="69"/>
        <v>0</v>
      </c>
      <c r="Z43" s="88">
        <f t="shared" si="69"/>
        <v>0</v>
      </c>
      <c r="AA43" s="88">
        <f t="shared" si="69"/>
        <v>0</v>
      </c>
      <c r="AB43" s="10">
        <f t="shared" si="69"/>
        <v>0</v>
      </c>
      <c r="AC43" s="10">
        <f t="shared" si="69"/>
        <v>0</v>
      </c>
      <c r="AD43" s="10">
        <f t="shared" si="69"/>
        <v>0</v>
      </c>
      <c r="AE43" s="10">
        <f t="shared" si="69"/>
        <v>0</v>
      </c>
      <c r="AF43" s="10">
        <f t="shared" si="69"/>
        <v>0</v>
      </c>
      <c r="AG43" s="10">
        <f t="shared" si="69"/>
        <v>0</v>
      </c>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row>
    <row r="44">
      <c r="A44" s="181" t="s">
        <v>220</v>
      </c>
      <c r="B44" s="88">
        <f t="shared" si="17"/>
        <v>0</v>
      </c>
      <c r="C44" s="88">
        <f t="shared" ref="C44:AG44" si="70">0</f>
        <v>0</v>
      </c>
      <c r="D44" s="88">
        <f t="shared" si="70"/>
        <v>0</v>
      </c>
      <c r="E44" s="88">
        <f t="shared" si="70"/>
        <v>0</v>
      </c>
      <c r="F44" s="88">
        <f t="shared" si="70"/>
        <v>0</v>
      </c>
      <c r="G44" s="88">
        <f t="shared" si="70"/>
        <v>0</v>
      </c>
      <c r="H44" s="88">
        <f t="shared" si="70"/>
        <v>0</v>
      </c>
      <c r="I44" s="88">
        <f t="shared" si="70"/>
        <v>0</v>
      </c>
      <c r="J44" s="88">
        <f t="shared" si="70"/>
        <v>0</v>
      </c>
      <c r="K44" s="88">
        <f t="shared" si="70"/>
        <v>0</v>
      </c>
      <c r="L44" s="88">
        <f t="shared" si="70"/>
        <v>0</v>
      </c>
      <c r="M44" s="88">
        <f t="shared" si="70"/>
        <v>0</v>
      </c>
      <c r="N44" s="88">
        <f t="shared" si="70"/>
        <v>0</v>
      </c>
      <c r="O44" s="88">
        <f t="shared" si="70"/>
        <v>0</v>
      </c>
      <c r="P44" s="88">
        <f t="shared" si="70"/>
        <v>0</v>
      </c>
      <c r="Q44" s="88">
        <f t="shared" si="70"/>
        <v>0</v>
      </c>
      <c r="R44" s="88">
        <f t="shared" si="70"/>
        <v>0</v>
      </c>
      <c r="S44" s="88">
        <f t="shared" si="70"/>
        <v>0</v>
      </c>
      <c r="T44" s="88">
        <f t="shared" si="70"/>
        <v>0</v>
      </c>
      <c r="U44" s="88">
        <f t="shared" si="70"/>
        <v>0</v>
      </c>
      <c r="V44" s="88">
        <f t="shared" si="70"/>
        <v>0</v>
      </c>
      <c r="W44" s="88">
        <f t="shared" si="70"/>
        <v>0</v>
      </c>
      <c r="X44" s="88">
        <f t="shared" si="70"/>
        <v>0</v>
      </c>
      <c r="Y44" s="88">
        <f t="shared" si="70"/>
        <v>0</v>
      </c>
      <c r="Z44" s="88">
        <f t="shared" si="70"/>
        <v>0</v>
      </c>
      <c r="AA44" s="88">
        <f t="shared" si="70"/>
        <v>0</v>
      </c>
      <c r="AB44" s="10">
        <f t="shared" si="70"/>
        <v>0</v>
      </c>
      <c r="AC44" s="10">
        <f t="shared" si="70"/>
        <v>0</v>
      </c>
      <c r="AD44" s="10">
        <f t="shared" si="70"/>
        <v>0</v>
      </c>
      <c r="AE44" s="10">
        <f t="shared" si="70"/>
        <v>0</v>
      </c>
      <c r="AF44" s="10">
        <f t="shared" si="70"/>
        <v>0</v>
      </c>
      <c r="AG44" s="10">
        <f t="shared" si="70"/>
        <v>0</v>
      </c>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row>
    <row r="45">
      <c r="A45" s="181" t="s">
        <v>221</v>
      </c>
      <c r="B45" s="88">
        <f t="shared" si="17"/>
        <v>0</v>
      </c>
      <c r="C45" s="88">
        <f t="shared" ref="C45:AG45" si="71">0</f>
        <v>0</v>
      </c>
      <c r="D45" s="88">
        <f t="shared" si="71"/>
        <v>0</v>
      </c>
      <c r="E45" s="88">
        <f t="shared" si="71"/>
        <v>0</v>
      </c>
      <c r="F45" s="88">
        <f t="shared" si="71"/>
        <v>0</v>
      </c>
      <c r="G45" s="88">
        <f t="shared" si="71"/>
        <v>0</v>
      </c>
      <c r="H45" s="88">
        <f t="shared" si="71"/>
        <v>0</v>
      </c>
      <c r="I45" s="88">
        <f t="shared" si="71"/>
        <v>0</v>
      </c>
      <c r="J45" s="88">
        <f t="shared" si="71"/>
        <v>0</v>
      </c>
      <c r="K45" s="88">
        <f t="shared" si="71"/>
        <v>0</v>
      </c>
      <c r="L45" s="88">
        <f t="shared" si="71"/>
        <v>0</v>
      </c>
      <c r="M45" s="88">
        <f t="shared" si="71"/>
        <v>0</v>
      </c>
      <c r="N45" s="88">
        <f t="shared" si="71"/>
        <v>0</v>
      </c>
      <c r="O45" s="88">
        <f t="shared" si="71"/>
        <v>0</v>
      </c>
      <c r="P45" s="88">
        <f t="shared" si="71"/>
        <v>0</v>
      </c>
      <c r="Q45" s="88">
        <f t="shared" si="71"/>
        <v>0</v>
      </c>
      <c r="R45" s="88">
        <f t="shared" si="71"/>
        <v>0</v>
      </c>
      <c r="S45" s="88">
        <f t="shared" si="71"/>
        <v>0</v>
      </c>
      <c r="T45" s="88">
        <f t="shared" si="71"/>
        <v>0</v>
      </c>
      <c r="U45" s="88">
        <f t="shared" si="71"/>
        <v>0</v>
      </c>
      <c r="V45" s="88">
        <f t="shared" si="71"/>
        <v>0</v>
      </c>
      <c r="W45" s="88">
        <f t="shared" si="71"/>
        <v>0</v>
      </c>
      <c r="X45" s="88">
        <f t="shared" si="71"/>
        <v>0</v>
      </c>
      <c r="Y45" s="88">
        <f t="shared" si="71"/>
        <v>0</v>
      </c>
      <c r="Z45" s="88">
        <f t="shared" si="71"/>
        <v>0</v>
      </c>
      <c r="AA45" s="88">
        <f t="shared" si="71"/>
        <v>0</v>
      </c>
      <c r="AB45" s="10">
        <f t="shared" si="71"/>
        <v>0</v>
      </c>
      <c r="AC45" s="10">
        <f t="shared" si="71"/>
        <v>0</v>
      </c>
      <c r="AD45" s="10">
        <f t="shared" si="71"/>
        <v>0</v>
      </c>
      <c r="AE45" s="10">
        <f t="shared" si="71"/>
        <v>0</v>
      </c>
      <c r="AF45" s="10">
        <f t="shared" si="71"/>
        <v>0</v>
      </c>
      <c r="AG45" s="10">
        <f t="shared" si="71"/>
        <v>0</v>
      </c>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row>
    <row r="46">
      <c r="A46" s="181" t="s">
        <v>222</v>
      </c>
      <c r="B46" s="88">
        <f t="shared" si="17"/>
        <v>0</v>
      </c>
      <c r="C46" s="88">
        <f t="shared" ref="C46:AG46" si="72">0</f>
        <v>0</v>
      </c>
      <c r="D46" s="88">
        <f t="shared" si="72"/>
        <v>0</v>
      </c>
      <c r="E46" s="88">
        <f t="shared" si="72"/>
        <v>0</v>
      </c>
      <c r="F46" s="88">
        <f t="shared" si="72"/>
        <v>0</v>
      </c>
      <c r="G46" s="88">
        <f t="shared" si="72"/>
        <v>0</v>
      </c>
      <c r="H46" s="88">
        <f t="shared" si="72"/>
        <v>0</v>
      </c>
      <c r="I46" s="88">
        <f t="shared" si="72"/>
        <v>0</v>
      </c>
      <c r="J46" s="88">
        <f t="shared" si="72"/>
        <v>0</v>
      </c>
      <c r="K46" s="88">
        <f t="shared" si="72"/>
        <v>0</v>
      </c>
      <c r="L46" s="88">
        <f t="shared" si="72"/>
        <v>0</v>
      </c>
      <c r="M46" s="88">
        <f t="shared" si="72"/>
        <v>0</v>
      </c>
      <c r="N46" s="88">
        <f t="shared" si="72"/>
        <v>0</v>
      </c>
      <c r="O46" s="88">
        <f t="shared" si="72"/>
        <v>0</v>
      </c>
      <c r="P46" s="88">
        <f t="shared" si="72"/>
        <v>0</v>
      </c>
      <c r="Q46" s="88">
        <f t="shared" si="72"/>
        <v>0</v>
      </c>
      <c r="R46" s="88">
        <f t="shared" si="72"/>
        <v>0</v>
      </c>
      <c r="S46" s="88">
        <f t="shared" si="72"/>
        <v>0</v>
      </c>
      <c r="T46" s="88">
        <f t="shared" si="72"/>
        <v>0</v>
      </c>
      <c r="U46" s="88">
        <f t="shared" si="72"/>
        <v>0</v>
      </c>
      <c r="V46" s="88">
        <f t="shared" si="72"/>
        <v>0</v>
      </c>
      <c r="W46" s="88">
        <f t="shared" si="72"/>
        <v>0</v>
      </c>
      <c r="X46" s="88">
        <f t="shared" si="72"/>
        <v>0</v>
      </c>
      <c r="Y46" s="88">
        <f t="shared" si="72"/>
        <v>0</v>
      </c>
      <c r="Z46" s="88">
        <f t="shared" si="72"/>
        <v>0</v>
      </c>
      <c r="AA46" s="88">
        <f t="shared" si="72"/>
        <v>0</v>
      </c>
      <c r="AB46" s="10">
        <f t="shared" si="72"/>
        <v>0</v>
      </c>
      <c r="AC46" s="10">
        <f t="shared" si="72"/>
        <v>0</v>
      </c>
      <c r="AD46" s="10">
        <f t="shared" si="72"/>
        <v>0</v>
      </c>
      <c r="AE46" s="10">
        <f t="shared" si="72"/>
        <v>0</v>
      </c>
      <c r="AF46" s="10">
        <f t="shared" si="72"/>
        <v>0</v>
      </c>
      <c r="AG46" s="10">
        <f t="shared" si="72"/>
        <v>0</v>
      </c>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row>
    <row r="47">
      <c r="A47" s="181" t="s">
        <v>223</v>
      </c>
      <c r="B47" s="88">
        <f t="shared" si="17"/>
        <v>0</v>
      </c>
      <c r="C47" s="88">
        <f t="shared" ref="C47:AG47" si="73">0</f>
        <v>0</v>
      </c>
      <c r="D47" s="88">
        <f t="shared" si="73"/>
        <v>0</v>
      </c>
      <c r="E47" s="88">
        <f t="shared" si="73"/>
        <v>0</v>
      </c>
      <c r="F47" s="88">
        <f t="shared" si="73"/>
        <v>0</v>
      </c>
      <c r="G47" s="88">
        <f t="shared" si="73"/>
        <v>0</v>
      </c>
      <c r="H47" s="88">
        <f t="shared" si="73"/>
        <v>0</v>
      </c>
      <c r="I47" s="88">
        <f t="shared" si="73"/>
        <v>0</v>
      </c>
      <c r="J47" s="88">
        <f t="shared" si="73"/>
        <v>0</v>
      </c>
      <c r="K47" s="88">
        <f t="shared" si="73"/>
        <v>0</v>
      </c>
      <c r="L47" s="88">
        <f t="shared" si="73"/>
        <v>0</v>
      </c>
      <c r="M47" s="88">
        <f t="shared" si="73"/>
        <v>0</v>
      </c>
      <c r="N47" s="88">
        <f t="shared" si="73"/>
        <v>0</v>
      </c>
      <c r="O47" s="88">
        <f t="shared" si="73"/>
        <v>0</v>
      </c>
      <c r="P47" s="88">
        <f t="shared" si="73"/>
        <v>0</v>
      </c>
      <c r="Q47" s="88">
        <f t="shared" si="73"/>
        <v>0</v>
      </c>
      <c r="R47" s="88">
        <f t="shared" si="73"/>
        <v>0</v>
      </c>
      <c r="S47" s="88">
        <f t="shared" si="73"/>
        <v>0</v>
      </c>
      <c r="T47" s="88">
        <f t="shared" si="73"/>
        <v>0</v>
      </c>
      <c r="U47" s="88">
        <f t="shared" si="73"/>
        <v>0</v>
      </c>
      <c r="V47" s="88">
        <f t="shared" si="73"/>
        <v>0</v>
      </c>
      <c r="W47" s="88">
        <f t="shared" si="73"/>
        <v>0</v>
      </c>
      <c r="X47" s="88">
        <f t="shared" si="73"/>
        <v>0</v>
      </c>
      <c r="Y47" s="88">
        <f t="shared" si="73"/>
        <v>0</v>
      </c>
      <c r="Z47" s="88">
        <f t="shared" si="73"/>
        <v>0</v>
      </c>
      <c r="AA47" s="88">
        <f t="shared" si="73"/>
        <v>0</v>
      </c>
      <c r="AB47" s="10">
        <f t="shared" si="73"/>
        <v>0</v>
      </c>
      <c r="AC47" s="10">
        <f t="shared" si="73"/>
        <v>0</v>
      </c>
      <c r="AD47" s="10">
        <f t="shared" si="73"/>
        <v>0</v>
      </c>
      <c r="AE47" s="10">
        <f t="shared" si="73"/>
        <v>0</v>
      </c>
      <c r="AF47" s="10">
        <f t="shared" si="73"/>
        <v>0</v>
      </c>
      <c r="AG47" s="10">
        <f t="shared" si="73"/>
        <v>0</v>
      </c>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row>
    <row r="48">
      <c r="A48" s="181" t="s">
        <v>224</v>
      </c>
      <c r="B48" s="88">
        <f t="shared" si="17"/>
        <v>0</v>
      </c>
      <c r="C48" s="88">
        <f t="shared" ref="C48:AG48" si="74">0</f>
        <v>0</v>
      </c>
      <c r="D48" s="88">
        <f t="shared" si="74"/>
        <v>0</v>
      </c>
      <c r="E48" s="88">
        <f t="shared" si="74"/>
        <v>0</v>
      </c>
      <c r="F48" s="88">
        <f t="shared" si="74"/>
        <v>0</v>
      </c>
      <c r="G48" s="88">
        <f t="shared" si="74"/>
        <v>0</v>
      </c>
      <c r="H48" s="88">
        <f t="shared" si="74"/>
        <v>0</v>
      </c>
      <c r="I48" s="88">
        <f t="shared" si="74"/>
        <v>0</v>
      </c>
      <c r="J48" s="88">
        <f t="shared" si="74"/>
        <v>0</v>
      </c>
      <c r="K48" s="88">
        <f t="shared" si="74"/>
        <v>0</v>
      </c>
      <c r="L48" s="88">
        <f t="shared" si="74"/>
        <v>0</v>
      </c>
      <c r="M48" s="88">
        <f t="shared" si="74"/>
        <v>0</v>
      </c>
      <c r="N48" s="88">
        <f t="shared" si="74"/>
        <v>0</v>
      </c>
      <c r="O48" s="88">
        <f t="shared" si="74"/>
        <v>0</v>
      </c>
      <c r="P48" s="88">
        <f t="shared" si="74"/>
        <v>0</v>
      </c>
      <c r="Q48" s="88">
        <f t="shared" si="74"/>
        <v>0</v>
      </c>
      <c r="R48" s="88">
        <f t="shared" si="74"/>
        <v>0</v>
      </c>
      <c r="S48" s="88">
        <f t="shared" si="74"/>
        <v>0</v>
      </c>
      <c r="T48" s="88">
        <f t="shared" si="74"/>
        <v>0</v>
      </c>
      <c r="U48" s="88">
        <f t="shared" si="74"/>
        <v>0</v>
      </c>
      <c r="V48" s="88">
        <f t="shared" si="74"/>
        <v>0</v>
      </c>
      <c r="W48" s="88">
        <f t="shared" si="74"/>
        <v>0</v>
      </c>
      <c r="X48" s="88">
        <f t="shared" si="74"/>
        <v>0</v>
      </c>
      <c r="Y48" s="88">
        <f t="shared" si="74"/>
        <v>0</v>
      </c>
      <c r="Z48" s="88">
        <f t="shared" si="74"/>
        <v>0</v>
      </c>
      <c r="AA48" s="88">
        <f t="shared" si="74"/>
        <v>0</v>
      </c>
      <c r="AB48" s="10">
        <f t="shared" si="74"/>
        <v>0</v>
      </c>
      <c r="AC48" s="10">
        <f t="shared" si="74"/>
        <v>0</v>
      </c>
      <c r="AD48" s="10">
        <f t="shared" si="74"/>
        <v>0</v>
      </c>
      <c r="AE48" s="10">
        <f t="shared" si="74"/>
        <v>0</v>
      </c>
      <c r="AF48" s="10">
        <f t="shared" si="74"/>
        <v>0</v>
      </c>
      <c r="AG48" s="10">
        <f t="shared" si="74"/>
        <v>0</v>
      </c>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row>
    <row r="49">
      <c r="A49" s="181" t="s">
        <v>225</v>
      </c>
      <c r="B49" s="88">
        <f t="shared" si="17"/>
        <v>0</v>
      </c>
      <c r="C49" s="88">
        <f t="shared" ref="C49:AG49" si="75">0</f>
        <v>0</v>
      </c>
      <c r="D49" s="88">
        <f t="shared" si="75"/>
        <v>0</v>
      </c>
      <c r="E49" s="88">
        <f t="shared" si="75"/>
        <v>0</v>
      </c>
      <c r="F49" s="88">
        <f t="shared" si="75"/>
        <v>0</v>
      </c>
      <c r="G49" s="88">
        <f t="shared" si="75"/>
        <v>0</v>
      </c>
      <c r="H49" s="88">
        <f t="shared" si="75"/>
        <v>0</v>
      </c>
      <c r="I49" s="88">
        <f t="shared" si="75"/>
        <v>0</v>
      </c>
      <c r="J49" s="88">
        <f t="shared" si="75"/>
        <v>0</v>
      </c>
      <c r="K49" s="88">
        <f t="shared" si="75"/>
        <v>0</v>
      </c>
      <c r="L49" s="88">
        <f t="shared" si="75"/>
        <v>0</v>
      </c>
      <c r="M49" s="88">
        <f t="shared" si="75"/>
        <v>0</v>
      </c>
      <c r="N49" s="88">
        <f t="shared" si="75"/>
        <v>0</v>
      </c>
      <c r="O49" s="88">
        <f t="shared" si="75"/>
        <v>0</v>
      </c>
      <c r="P49" s="88">
        <f t="shared" si="75"/>
        <v>0</v>
      </c>
      <c r="Q49" s="88">
        <f t="shared" si="75"/>
        <v>0</v>
      </c>
      <c r="R49" s="88">
        <f t="shared" si="75"/>
        <v>0</v>
      </c>
      <c r="S49" s="88">
        <f t="shared" si="75"/>
        <v>0</v>
      </c>
      <c r="T49" s="88">
        <f t="shared" si="75"/>
        <v>0</v>
      </c>
      <c r="U49" s="88">
        <f t="shared" si="75"/>
        <v>0</v>
      </c>
      <c r="V49" s="88">
        <f t="shared" si="75"/>
        <v>0</v>
      </c>
      <c r="W49" s="88">
        <f t="shared" si="75"/>
        <v>0</v>
      </c>
      <c r="X49" s="88">
        <f t="shared" si="75"/>
        <v>0</v>
      </c>
      <c r="Y49" s="88">
        <f t="shared" si="75"/>
        <v>0</v>
      </c>
      <c r="Z49" s="88">
        <f t="shared" si="75"/>
        <v>0</v>
      </c>
      <c r="AA49" s="88">
        <f t="shared" si="75"/>
        <v>0</v>
      </c>
      <c r="AB49" s="10">
        <f t="shared" si="75"/>
        <v>0</v>
      </c>
      <c r="AC49" s="10">
        <f t="shared" si="75"/>
        <v>0</v>
      </c>
      <c r="AD49" s="10">
        <f t="shared" si="75"/>
        <v>0</v>
      </c>
      <c r="AE49" s="10">
        <f t="shared" si="75"/>
        <v>0</v>
      </c>
      <c r="AF49" s="10">
        <f t="shared" si="75"/>
        <v>0</v>
      </c>
      <c r="AG49" s="10">
        <f t="shared" si="75"/>
        <v>0</v>
      </c>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row>
    <row r="50">
      <c r="A50" s="181" t="s">
        <v>226</v>
      </c>
      <c r="B50" s="88">
        <f t="shared" si="17"/>
        <v>0</v>
      </c>
      <c r="C50" s="88">
        <f t="shared" ref="C50:AG50" si="76">0</f>
        <v>0</v>
      </c>
      <c r="D50" s="88">
        <f t="shared" si="76"/>
        <v>0</v>
      </c>
      <c r="E50" s="88">
        <f t="shared" si="76"/>
        <v>0</v>
      </c>
      <c r="F50" s="88">
        <f t="shared" si="76"/>
        <v>0</v>
      </c>
      <c r="G50" s="88">
        <f t="shared" si="76"/>
        <v>0</v>
      </c>
      <c r="H50" s="88">
        <f t="shared" si="76"/>
        <v>0</v>
      </c>
      <c r="I50" s="88">
        <f t="shared" si="76"/>
        <v>0</v>
      </c>
      <c r="J50" s="88">
        <f t="shared" si="76"/>
        <v>0</v>
      </c>
      <c r="K50" s="88">
        <f t="shared" si="76"/>
        <v>0</v>
      </c>
      <c r="L50" s="88">
        <f t="shared" si="76"/>
        <v>0</v>
      </c>
      <c r="M50" s="88">
        <f t="shared" si="76"/>
        <v>0</v>
      </c>
      <c r="N50" s="88">
        <f t="shared" si="76"/>
        <v>0</v>
      </c>
      <c r="O50" s="88">
        <f t="shared" si="76"/>
        <v>0</v>
      </c>
      <c r="P50" s="88">
        <f t="shared" si="76"/>
        <v>0</v>
      </c>
      <c r="Q50" s="88">
        <f t="shared" si="76"/>
        <v>0</v>
      </c>
      <c r="R50" s="88">
        <f t="shared" si="76"/>
        <v>0</v>
      </c>
      <c r="S50" s="88">
        <f t="shared" si="76"/>
        <v>0</v>
      </c>
      <c r="T50" s="88">
        <f t="shared" si="76"/>
        <v>0</v>
      </c>
      <c r="U50" s="88">
        <f t="shared" si="76"/>
        <v>0</v>
      </c>
      <c r="V50" s="88">
        <f t="shared" si="76"/>
        <v>0</v>
      </c>
      <c r="W50" s="88">
        <f t="shared" si="76"/>
        <v>0</v>
      </c>
      <c r="X50" s="88">
        <f t="shared" si="76"/>
        <v>0</v>
      </c>
      <c r="Y50" s="88">
        <f t="shared" si="76"/>
        <v>0</v>
      </c>
      <c r="Z50" s="88">
        <f t="shared" si="76"/>
        <v>0</v>
      </c>
      <c r="AA50" s="88">
        <f t="shared" si="76"/>
        <v>0</v>
      </c>
      <c r="AB50" s="10">
        <f t="shared" si="76"/>
        <v>0</v>
      </c>
      <c r="AC50" s="10">
        <f t="shared" si="76"/>
        <v>0</v>
      </c>
      <c r="AD50" s="10">
        <f t="shared" si="76"/>
        <v>0</v>
      </c>
      <c r="AE50" s="10">
        <f t="shared" si="76"/>
        <v>0</v>
      </c>
      <c r="AF50" s="10">
        <f t="shared" si="76"/>
        <v>0</v>
      </c>
      <c r="AG50" s="10">
        <f t="shared" si="76"/>
        <v>0</v>
      </c>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row>
    <row r="51">
      <c r="A51" s="181" t="s">
        <v>227</v>
      </c>
      <c r="B51" s="88">
        <f t="shared" si="17"/>
        <v>0</v>
      </c>
      <c r="C51" s="88">
        <f t="shared" ref="C51:AG51" si="77">0</f>
        <v>0</v>
      </c>
      <c r="D51" s="88">
        <f t="shared" si="77"/>
        <v>0</v>
      </c>
      <c r="E51" s="88">
        <f t="shared" si="77"/>
        <v>0</v>
      </c>
      <c r="F51" s="88">
        <f t="shared" si="77"/>
        <v>0</v>
      </c>
      <c r="G51" s="88">
        <f t="shared" si="77"/>
        <v>0</v>
      </c>
      <c r="H51" s="88">
        <f t="shared" si="77"/>
        <v>0</v>
      </c>
      <c r="I51" s="88">
        <f t="shared" si="77"/>
        <v>0</v>
      </c>
      <c r="J51" s="88">
        <f t="shared" si="77"/>
        <v>0</v>
      </c>
      <c r="K51" s="88">
        <f t="shared" si="77"/>
        <v>0</v>
      </c>
      <c r="L51" s="88">
        <f t="shared" si="77"/>
        <v>0</v>
      </c>
      <c r="M51" s="88">
        <f t="shared" si="77"/>
        <v>0</v>
      </c>
      <c r="N51" s="88">
        <f t="shared" si="77"/>
        <v>0</v>
      </c>
      <c r="O51" s="88">
        <f t="shared" si="77"/>
        <v>0</v>
      </c>
      <c r="P51" s="88">
        <f t="shared" si="77"/>
        <v>0</v>
      </c>
      <c r="Q51" s="88">
        <f t="shared" si="77"/>
        <v>0</v>
      </c>
      <c r="R51" s="88">
        <f t="shared" si="77"/>
        <v>0</v>
      </c>
      <c r="S51" s="88">
        <f t="shared" si="77"/>
        <v>0</v>
      </c>
      <c r="T51" s="88">
        <f t="shared" si="77"/>
        <v>0</v>
      </c>
      <c r="U51" s="88">
        <f t="shared" si="77"/>
        <v>0</v>
      </c>
      <c r="V51" s="88">
        <f t="shared" si="77"/>
        <v>0</v>
      </c>
      <c r="W51" s="88">
        <f t="shared" si="77"/>
        <v>0</v>
      </c>
      <c r="X51" s="88">
        <f t="shared" si="77"/>
        <v>0</v>
      </c>
      <c r="Y51" s="88">
        <f t="shared" si="77"/>
        <v>0</v>
      </c>
      <c r="Z51" s="88">
        <f t="shared" si="77"/>
        <v>0</v>
      </c>
      <c r="AA51" s="88">
        <f t="shared" si="77"/>
        <v>0</v>
      </c>
      <c r="AB51" s="10">
        <f t="shared" si="77"/>
        <v>0</v>
      </c>
      <c r="AC51" s="10">
        <f t="shared" si="77"/>
        <v>0</v>
      </c>
      <c r="AD51" s="10">
        <f t="shared" si="77"/>
        <v>0</v>
      </c>
      <c r="AE51" s="10">
        <f t="shared" si="77"/>
        <v>0</v>
      </c>
      <c r="AF51" s="10">
        <f t="shared" si="77"/>
        <v>0</v>
      </c>
      <c r="AG51" s="10">
        <f t="shared" si="77"/>
        <v>0</v>
      </c>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row>
    <row r="52">
      <c r="A52" s="181" t="s">
        <v>228</v>
      </c>
      <c r="B52" s="88">
        <f t="shared" si="17"/>
        <v>0</v>
      </c>
      <c r="C52" s="88">
        <f t="shared" ref="C52:AG52" si="78">0</f>
        <v>0</v>
      </c>
      <c r="D52" s="88">
        <f t="shared" si="78"/>
        <v>0</v>
      </c>
      <c r="E52" s="88">
        <f t="shared" si="78"/>
        <v>0</v>
      </c>
      <c r="F52" s="88">
        <f t="shared" si="78"/>
        <v>0</v>
      </c>
      <c r="G52" s="88">
        <f t="shared" si="78"/>
        <v>0</v>
      </c>
      <c r="H52" s="88">
        <f t="shared" si="78"/>
        <v>0</v>
      </c>
      <c r="I52" s="88">
        <f t="shared" si="78"/>
        <v>0</v>
      </c>
      <c r="J52" s="88">
        <f t="shared" si="78"/>
        <v>0</v>
      </c>
      <c r="K52" s="88">
        <f t="shared" si="78"/>
        <v>0</v>
      </c>
      <c r="L52" s="88">
        <f t="shared" si="78"/>
        <v>0</v>
      </c>
      <c r="M52" s="88">
        <f t="shared" si="78"/>
        <v>0</v>
      </c>
      <c r="N52" s="88">
        <f t="shared" si="78"/>
        <v>0</v>
      </c>
      <c r="O52" s="88">
        <f t="shared" si="78"/>
        <v>0</v>
      </c>
      <c r="P52" s="88">
        <f t="shared" si="78"/>
        <v>0</v>
      </c>
      <c r="Q52" s="88">
        <f t="shared" si="78"/>
        <v>0</v>
      </c>
      <c r="R52" s="88">
        <f t="shared" si="78"/>
        <v>0</v>
      </c>
      <c r="S52" s="88">
        <f t="shared" si="78"/>
        <v>0</v>
      </c>
      <c r="T52" s="88">
        <f t="shared" si="78"/>
        <v>0</v>
      </c>
      <c r="U52" s="88">
        <f t="shared" si="78"/>
        <v>0</v>
      </c>
      <c r="V52" s="88">
        <f t="shared" si="78"/>
        <v>0</v>
      </c>
      <c r="W52" s="88">
        <f t="shared" si="78"/>
        <v>0</v>
      </c>
      <c r="X52" s="88">
        <f t="shared" si="78"/>
        <v>0</v>
      </c>
      <c r="Y52" s="88">
        <f t="shared" si="78"/>
        <v>0</v>
      </c>
      <c r="Z52" s="88">
        <f t="shared" si="78"/>
        <v>0</v>
      </c>
      <c r="AA52" s="88">
        <f t="shared" si="78"/>
        <v>0</v>
      </c>
      <c r="AB52" s="10">
        <f t="shared" si="78"/>
        <v>0</v>
      </c>
      <c r="AC52" s="10">
        <f t="shared" si="78"/>
        <v>0</v>
      </c>
      <c r="AD52" s="10">
        <f t="shared" si="78"/>
        <v>0</v>
      </c>
      <c r="AE52" s="10">
        <f t="shared" si="78"/>
        <v>0</v>
      </c>
      <c r="AF52" s="10">
        <f t="shared" si="78"/>
        <v>0</v>
      </c>
      <c r="AG52" s="10">
        <f t="shared" si="78"/>
        <v>0</v>
      </c>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row>
    <row r="53">
      <c r="A53" s="181" t="s">
        <v>229</v>
      </c>
      <c r="B53" s="88">
        <f t="shared" si="17"/>
        <v>0</v>
      </c>
      <c r="C53" s="88">
        <f t="shared" ref="C53:AG53" si="79">0</f>
        <v>0</v>
      </c>
      <c r="D53" s="88">
        <f t="shared" si="79"/>
        <v>0</v>
      </c>
      <c r="E53" s="88">
        <f t="shared" si="79"/>
        <v>0</v>
      </c>
      <c r="F53" s="88">
        <f t="shared" si="79"/>
        <v>0</v>
      </c>
      <c r="G53" s="88">
        <f t="shared" si="79"/>
        <v>0</v>
      </c>
      <c r="H53" s="88">
        <f t="shared" si="79"/>
        <v>0</v>
      </c>
      <c r="I53" s="88">
        <f t="shared" si="79"/>
        <v>0</v>
      </c>
      <c r="J53" s="88">
        <f t="shared" si="79"/>
        <v>0</v>
      </c>
      <c r="K53" s="88">
        <f t="shared" si="79"/>
        <v>0</v>
      </c>
      <c r="L53" s="88">
        <f t="shared" si="79"/>
        <v>0</v>
      </c>
      <c r="M53" s="88">
        <f t="shared" si="79"/>
        <v>0</v>
      </c>
      <c r="N53" s="88">
        <f t="shared" si="79"/>
        <v>0</v>
      </c>
      <c r="O53" s="88">
        <f t="shared" si="79"/>
        <v>0</v>
      </c>
      <c r="P53" s="88">
        <f t="shared" si="79"/>
        <v>0</v>
      </c>
      <c r="Q53" s="88">
        <f t="shared" si="79"/>
        <v>0</v>
      </c>
      <c r="R53" s="88">
        <f t="shared" si="79"/>
        <v>0</v>
      </c>
      <c r="S53" s="88">
        <f t="shared" si="79"/>
        <v>0</v>
      </c>
      <c r="T53" s="88">
        <f t="shared" si="79"/>
        <v>0</v>
      </c>
      <c r="U53" s="88">
        <f t="shared" si="79"/>
        <v>0</v>
      </c>
      <c r="V53" s="88">
        <f t="shared" si="79"/>
        <v>0</v>
      </c>
      <c r="W53" s="88">
        <f t="shared" si="79"/>
        <v>0</v>
      </c>
      <c r="X53" s="88">
        <f t="shared" si="79"/>
        <v>0</v>
      </c>
      <c r="Y53" s="88">
        <f t="shared" si="79"/>
        <v>0</v>
      </c>
      <c r="Z53" s="88">
        <f t="shared" si="79"/>
        <v>0</v>
      </c>
      <c r="AA53" s="88">
        <f t="shared" si="79"/>
        <v>0</v>
      </c>
      <c r="AB53" s="10">
        <f t="shared" si="79"/>
        <v>0</v>
      </c>
      <c r="AC53" s="10">
        <f t="shared" si="79"/>
        <v>0</v>
      </c>
      <c r="AD53" s="10">
        <f t="shared" si="79"/>
        <v>0</v>
      </c>
      <c r="AE53" s="10">
        <f t="shared" si="79"/>
        <v>0</v>
      </c>
      <c r="AF53" s="10">
        <f t="shared" si="79"/>
        <v>0</v>
      </c>
      <c r="AG53" s="10">
        <f t="shared" si="79"/>
        <v>0</v>
      </c>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row>
    <row r="54">
      <c r="A54" s="181" t="s">
        <v>230</v>
      </c>
      <c r="B54" s="88">
        <f t="shared" si="17"/>
        <v>0</v>
      </c>
      <c r="C54" s="88">
        <f t="shared" ref="C54:AG54" si="80">0</f>
        <v>0</v>
      </c>
      <c r="D54" s="88">
        <f t="shared" si="80"/>
        <v>0</v>
      </c>
      <c r="E54" s="88">
        <f t="shared" si="80"/>
        <v>0</v>
      </c>
      <c r="F54" s="88">
        <f t="shared" si="80"/>
        <v>0</v>
      </c>
      <c r="G54" s="88">
        <f t="shared" si="80"/>
        <v>0</v>
      </c>
      <c r="H54" s="88">
        <f t="shared" si="80"/>
        <v>0</v>
      </c>
      <c r="I54" s="88">
        <f t="shared" si="80"/>
        <v>0</v>
      </c>
      <c r="J54" s="88">
        <f t="shared" si="80"/>
        <v>0</v>
      </c>
      <c r="K54" s="88">
        <f t="shared" si="80"/>
        <v>0</v>
      </c>
      <c r="L54" s="88">
        <f t="shared" si="80"/>
        <v>0</v>
      </c>
      <c r="M54" s="88">
        <f t="shared" si="80"/>
        <v>0</v>
      </c>
      <c r="N54" s="88">
        <f t="shared" si="80"/>
        <v>0</v>
      </c>
      <c r="O54" s="88">
        <f t="shared" si="80"/>
        <v>0</v>
      </c>
      <c r="P54" s="88">
        <f t="shared" si="80"/>
        <v>0</v>
      </c>
      <c r="Q54" s="88">
        <f t="shared" si="80"/>
        <v>0</v>
      </c>
      <c r="R54" s="88">
        <f t="shared" si="80"/>
        <v>0</v>
      </c>
      <c r="S54" s="88">
        <f t="shared" si="80"/>
        <v>0</v>
      </c>
      <c r="T54" s="88">
        <f t="shared" si="80"/>
        <v>0</v>
      </c>
      <c r="U54" s="88">
        <f t="shared" si="80"/>
        <v>0</v>
      </c>
      <c r="V54" s="88">
        <f t="shared" si="80"/>
        <v>0</v>
      </c>
      <c r="W54" s="88">
        <f t="shared" si="80"/>
        <v>0</v>
      </c>
      <c r="X54" s="88">
        <f t="shared" si="80"/>
        <v>0</v>
      </c>
      <c r="Y54" s="88">
        <f t="shared" si="80"/>
        <v>0</v>
      </c>
      <c r="Z54" s="88">
        <f t="shared" si="80"/>
        <v>0</v>
      </c>
      <c r="AA54" s="88">
        <f t="shared" si="80"/>
        <v>0</v>
      </c>
      <c r="AB54" s="10">
        <f t="shared" si="80"/>
        <v>0</v>
      </c>
      <c r="AC54" s="10">
        <f t="shared" si="80"/>
        <v>0</v>
      </c>
      <c r="AD54" s="10">
        <f t="shared" si="80"/>
        <v>0</v>
      </c>
      <c r="AE54" s="10">
        <f t="shared" si="80"/>
        <v>0</v>
      </c>
      <c r="AF54" s="10">
        <f t="shared" si="80"/>
        <v>0</v>
      </c>
      <c r="AG54" s="10">
        <f t="shared" si="80"/>
        <v>0</v>
      </c>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row>
    <row r="55">
      <c r="A55" s="181" t="s">
        <v>231</v>
      </c>
      <c r="B55" s="88">
        <f t="shared" si="17"/>
        <v>0</v>
      </c>
      <c r="C55" s="88">
        <f t="shared" ref="C55:AG55" si="81">0</f>
        <v>0</v>
      </c>
      <c r="D55" s="88">
        <f t="shared" si="81"/>
        <v>0</v>
      </c>
      <c r="E55" s="88">
        <f t="shared" si="81"/>
        <v>0</v>
      </c>
      <c r="F55" s="88">
        <f t="shared" si="81"/>
        <v>0</v>
      </c>
      <c r="G55" s="88">
        <f t="shared" si="81"/>
        <v>0</v>
      </c>
      <c r="H55" s="88">
        <f t="shared" si="81"/>
        <v>0</v>
      </c>
      <c r="I55" s="88">
        <f t="shared" si="81"/>
        <v>0</v>
      </c>
      <c r="J55" s="88">
        <f t="shared" si="81"/>
        <v>0</v>
      </c>
      <c r="K55" s="88">
        <f t="shared" si="81"/>
        <v>0</v>
      </c>
      <c r="L55" s="88">
        <f t="shared" si="81"/>
        <v>0</v>
      </c>
      <c r="M55" s="88">
        <f t="shared" si="81"/>
        <v>0</v>
      </c>
      <c r="N55" s="88">
        <f t="shared" si="81"/>
        <v>0</v>
      </c>
      <c r="O55" s="88">
        <f t="shared" si="81"/>
        <v>0</v>
      </c>
      <c r="P55" s="88">
        <f t="shared" si="81"/>
        <v>0</v>
      </c>
      <c r="Q55" s="88">
        <f t="shared" si="81"/>
        <v>0</v>
      </c>
      <c r="R55" s="88">
        <f t="shared" si="81"/>
        <v>0</v>
      </c>
      <c r="S55" s="88">
        <f t="shared" si="81"/>
        <v>0</v>
      </c>
      <c r="T55" s="88">
        <f t="shared" si="81"/>
        <v>0</v>
      </c>
      <c r="U55" s="88">
        <f t="shared" si="81"/>
        <v>0</v>
      </c>
      <c r="V55" s="88">
        <f t="shared" si="81"/>
        <v>0</v>
      </c>
      <c r="W55" s="88">
        <f t="shared" si="81"/>
        <v>0</v>
      </c>
      <c r="X55" s="88">
        <f t="shared" si="81"/>
        <v>0</v>
      </c>
      <c r="Y55" s="88">
        <f t="shared" si="81"/>
        <v>0</v>
      </c>
      <c r="Z55" s="88">
        <f t="shared" si="81"/>
        <v>0</v>
      </c>
      <c r="AA55" s="88">
        <f t="shared" si="81"/>
        <v>0</v>
      </c>
      <c r="AB55" s="10">
        <f t="shared" si="81"/>
        <v>0</v>
      </c>
      <c r="AC55" s="10">
        <f t="shared" si="81"/>
        <v>0</v>
      </c>
      <c r="AD55" s="10">
        <f t="shared" si="81"/>
        <v>0</v>
      </c>
      <c r="AE55" s="10">
        <f t="shared" si="81"/>
        <v>0</v>
      </c>
      <c r="AF55" s="10">
        <f t="shared" si="81"/>
        <v>0</v>
      </c>
      <c r="AG55" s="10">
        <f t="shared" si="81"/>
        <v>0</v>
      </c>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row>
    <row r="56">
      <c r="A56" s="181" t="s">
        <v>232</v>
      </c>
      <c r="B56" s="88">
        <f t="shared" si="17"/>
        <v>0</v>
      </c>
      <c r="C56" s="88">
        <f t="shared" ref="C56:AG56" si="82">0</f>
        <v>0</v>
      </c>
      <c r="D56" s="88">
        <f t="shared" si="82"/>
        <v>0</v>
      </c>
      <c r="E56" s="88">
        <f t="shared" si="82"/>
        <v>0</v>
      </c>
      <c r="F56" s="88">
        <f t="shared" si="82"/>
        <v>0</v>
      </c>
      <c r="G56" s="88">
        <f t="shared" si="82"/>
        <v>0</v>
      </c>
      <c r="H56" s="88">
        <f t="shared" si="82"/>
        <v>0</v>
      </c>
      <c r="I56" s="88">
        <f t="shared" si="82"/>
        <v>0</v>
      </c>
      <c r="J56" s="88">
        <f t="shared" si="82"/>
        <v>0</v>
      </c>
      <c r="K56" s="88">
        <f t="shared" si="82"/>
        <v>0</v>
      </c>
      <c r="L56" s="88">
        <f t="shared" si="82"/>
        <v>0</v>
      </c>
      <c r="M56" s="88">
        <f t="shared" si="82"/>
        <v>0</v>
      </c>
      <c r="N56" s="88">
        <f t="shared" si="82"/>
        <v>0</v>
      </c>
      <c r="O56" s="88">
        <f t="shared" si="82"/>
        <v>0</v>
      </c>
      <c r="P56" s="88">
        <f t="shared" si="82"/>
        <v>0</v>
      </c>
      <c r="Q56" s="88">
        <f t="shared" si="82"/>
        <v>0</v>
      </c>
      <c r="R56" s="88">
        <f t="shared" si="82"/>
        <v>0</v>
      </c>
      <c r="S56" s="88">
        <f t="shared" si="82"/>
        <v>0</v>
      </c>
      <c r="T56" s="88">
        <f t="shared" si="82"/>
        <v>0</v>
      </c>
      <c r="U56" s="88">
        <f t="shared" si="82"/>
        <v>0</v>
      </c>
      <c r="V56" s="88">
        <f t="shared" si="82"/>
        <v>0</v>
      </c>
      <c r="W56" s="88">
        <f t="shared" si="82"/>
        <v>0</v>
      </c>
      <c r="X56" s="88">
        <f t="shared" si="82"/>
        <v>0</v>
      </c>
      <c r="Y56" s="88">
        <f t="shared" si="82"/>
        <v>0</v>
      </c>
      <c r="Z56" s="88">
        <f t="shared" si="82"/>
        <v>0</v>
      </c>
      <c r="AA56" s="88">
        <f t="shared" si="82"/>
        <v>0</v>
      </c>
      <c r="AB56" s="10">
        <f t="shared" si="82"/>
        <v>0</v>
      </c>
      <c r="AC56" s="10">
        <f t="shared" si="82"/>
        <v>0</v>
      </c>
      <c r="AD56" s="10">
        <f t="shared" si="82"/>
        <v>0</v>
      </c>
      <c r="AE56" s="10">
        <f t="shared" si="82"/>
        <v>0</v>
      </c>
      <c r="AF56" s="10">
        <f t="shared" si="82"/>
        <v>0</v>
      </c>
      <c r="AG56" s="10">
        <f t="shared" si="82"/>
        <v>0</v>
      </c>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row>
    <row r="57">
      <c r="A57" s="181" t="s">
        <v>233</v>
      </c>
      <c r="B57" s="88">
        <f t="shared" si="17"/>
        <v>0</v>
      </c>
      <c r="C57" s="88">
        <f t="shared" ref="C57:AG57" si="83">0</f>
        <v>0</v>
      </c>
      <c r="D57" s="88">
        <f t="shared" si="83"/>
        <v>0</v>
      </c>
      <c r="E57" s="88">
        <f t="shared" si="83"/>
        <v>0</v>
      </c>
      <c r="F57" s="88">
        <f t="shared" si="83"/>
        <v>0</v>
      </c>
      <c r="G57" s="88">
        <f t="shared" si="83"/>
        <v>0</v>
      </c>
      <c r="H57" s="88">
        <f t="shared" si="83"/>
        <v>0</v>
      </c>
      <c r="I57" s="88">
        <f t="shared" si="83"/>
        <v>0</v>
      </c>
      <c r="J57" s="88">
        <f t="shared" si="83"/>
        <v>0</v>
      </c>
      <c r="K57" s="88">
        <f t="shared" si="83"/>
        <v>0</v>
      </c>
      <c r="L57" s="88">
        <f t="shared" si="83"/>
        <v>0</v>
      </c>
      <c r="M57" s="88">
        <f t="shared" si="83"/>
        <v>0</v>
      </c>
      <c r="N57" s="88">
        <f t="shared" si="83"/>
        <v>0</v>
      </c>
      <c r="O57" s="88">
        <f t="shared" si="83"/>
        <v>0</v>
      </c>
      <c r="P57" s="88">
        <f t="shared" si="83"/>
        <v>0</v>
      </c>
      <c r="Q57" s="88">
        <f t="shared" si="83"/>
        <v>0</v>
      </c>
      <c r="R57" s="88">
        <f t="shared" si="83"/>
        <v>0</v>
      </c>
      <c r="S57" s="88">
        <f t="shared" si="83"/>
        <v>0</v>
      </c>
      <c r="T57" s="88">
        <f t="shared" si="83"/>
        <v>0</v>
      </c>
      <c r="U57" s="88">
        <f t="shared" si="83"/>
        <v>0</v>
      </c>
      <c r="V57" s="88">
        <f t="shared" si="83"/>
        <v>0</v>
      </c>
      <c r="W57" s="88">
        <f t="shared" si="83"/>
        <v>0</v>
      </c>
      <c r="X57" s="88">
        <f t="shared" si="83"/>
        <v>0</v>
      </c>
      <c r="Y57" s="88">
        <f t="shared" si="83"/>
        <v>0</v>
      </c>
      <c r="Z57" s="88">
        <f t="shared" si="83"/>
        <v>0</v>
      </c>
      <c r="AA57" s="88">
        <f t="shared" si="83"/>
        <v>0</v>
      </c>
      <c r="AB57" s="10">
        <f t="shared" si="83"/>
        <v>0</v>
      </c>
      <c r="AC57" s="10">
        <f t="shared" si="83"/>
        <v>0</v>
      </c>
      <c r="AD57" s="10">
        <f t="shared" si="83"/>
        <v>0</v>
      </c>
      <c r="AE57" s="10">
        <f t="shared" si="83"/>
        <v>0</v>
      </c>
      <c r="AF57" s="10">
        <f t="shared" si="83"/>
        <v>0</v>
      </c>
      <c r="AG57" s="10">
        <f t="shared" si="83"/>
        <v>0</v>
      </c>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row>
    <row r="58">
      <c r="A58" s="181" t="s">
        <v>234</v>
      </c>
      <c r="B58" s="88">
        <f t="shared" si="17"/>
        <v>0</v>
      </c>
      <c r="C58" s="88">
        <f t="shared" ref="C58:AG58" si="84">0</f>
        <v>0</v>
      </c>
      <c r="D58" s="88">
        <f t="shared" si="84"/>
        <v>0</v>
      </c>
      <c r="E58" s="88">
        <f t="shared" si="84"/>
        <v>0</v>
      </c>
      <c r="F58" s="88">
        <f t="shared" si="84"/>
        <v>0</v>
      </c>
      <c r="G58" s="88">
        <f t="shared" si="84"/>
        <v>0</v>
      </c>
      <c r="H58" s="88">
        <f t="shared" si="84"/>
        <v>0</v>
      </c>
      <c r="I58" s="88">
        <f t="shared" si="84"/>
        <v>0</v>
      </c>
      <c r="J58" s="88">
        <f t="shared" si="84"/>
        <v>0</v>
      </c>
      <c r="K58" s="88">
        <f t="shared" si="84"/>
        <v>0</v>
      </c>
      <c r="L58" s="88">
        <f t="shared" si="84"/>
        <v>0</v>
      </c>
      <c r="M58" s="88">
        <f t="shared" si="84"/>
        <v>0</v>
      </c>
      <c r="N58" s="88">
        <f t="shared" si="84"/>
        <v>0</v>
      </c>
      <c r="O58" s="88">
        <f t="shared" si="84"/>
        <v>0</v>
      </c>
      <c r="P58" s="88">
        <f t="shared" si="84"/>
        <v>0</v>
      </c>
      <c r="Q58" s="88">
        <f t="shared" si="84"/>
        <v>0</v>
      </c>
      <c r="R58" s="88">
        <f t="shared" si="84"/>
        <v>0</v>
      </c>
      <c r="S58" s="88">
        <f t="shared" si="84"/>
        <v>0</v>
      </c>
      <c r="T58" s="88">
        <f t="shared" si="84"/>
        <v>0</v>
      </c>
      <c r="U58" s="88">
        <f t="shared" si="84"/>
        <v>0</v>
      </c>
      <c r="V58" s="88">
        <f t="shared" si="84"/>
        <v>0</v>
      </c>
      <c r="W58" s="88">
        <f t="shared" si="84"/>
        <v>0</v>
      </c>
      <c r="X58" s="88">
        <f t="shared" si="84"/>
        <v>0</v>
      </c>
      <c r="Y58" s="88">
        <f t="shared" si="84"/>
        <v>0</v>
      </c>
      <c r="Z58" s="88">
        <f t="shared" si="84"/>
        <v>0</v>
      </c>
      <c r="AA58" s="88">
        <f t="shared" si="84"/>
        <v>0</v>
      </c>
      <c r="AB58" s="10">
        <f t="shared" si="84"/>
        <v>0</v>
      </c>
      <c r="AC58" s="10">
        <f t="shared" si="84"/>
        <v>0</v>
      </c>
      <c r="AD58" s="10">
        <f t="shared" si="84"/>
        <v>0</v>
      </c>
      <c r="AE58" s="10">
        <f t="shared" si="84"/>
        <v>0</v>
      </c>
      <c r="AF58" s="10">
        <f t="shared" si="84"/>
        <v>0</v>
      </c>
      <c r="AG58" s="10">
        <f t="shared" si="84"/>
        <v>0</v>
      </c>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row>
    <row r="59">
      <c r="A59" s="181" t="s">
        <v>235</v>
      </c>
      <c r="B59" s="88">
        <f t="shared" si="17"/>
        <v>0</v>
      </c>
      <c r="C59" s="88">
        <f t="shared" ref="C59:AG59" si="85">0</f>
        <v>0</v>
      </c>
      <c r="D59" s="88">
        <f t="shared" si="85"/>
        <v>0</v>
      </c>
      <c r="E59" s="88">
        <f t="shared" si="85"/>
        <v>0</v>
      </c>
      <c r="F59" s="88">
        <f t="shared" si="85"/>
        <v>0</v>
      </c>
      <c r="G59" s="88">
        <f t="shared" si="85"/>
        <v>0</v>
      </c>
      <c r="H59" s="88">
        <f t="shared" si="85"/>
        <v>0</v>
      </c>
      <c r="I59" s="88">
        <f t="shared" si="85"/>
        <v>0</v>
      </c>
      <c r="J59" s="88">
        <f t="shared" si="85"/>
        <v>0</v>
      </c>
      <c r="K59" s="88">
        <f t="shared" si="85"/>
        <v>0</v>
      </c>
      <c r="L59" s="88">
        <f t="shared" si="85"/>
        <v>0</v>
      </c>
      <c r="M59" s="88">
        <f t="shared" si="85"/>
        <v>0</v>
      </c>
      <c r="N59" s="88">
        <f t="shared" si="85"/>
        <v>0</v>
      </c>
      <c r="O59" s="88">
        <f t="shared" si="85"/>
        <v>0</v>
      </c>
      <c r="P59" s="88">
        <f t="shared" si="85"/>
        <v>0</v>
      </c>
      <c r="Q59" s="88">
        <f t="shared" si="85"/>
        <v>0</v>
      </c>
      <c r="R59" s="88">
        <f t="shared" si="85"/>
        <v>0</v>
      </c>
      <c r="S59" s="88">
        <f t="shared" si="85"/>
        <v>0</v>
      </c>
      <c r="T59" s="88">
        <f t="shared" si="85"/>
        <v>0</v>
      </c>
      <c r="U59" s="88">
        <f t="shared" si="85"/>
        <v>0</v>
      </c>
      <c r="V59" s="88">
        <f t="shared" si="85"/>
        <v>0</v>
      </c>
      <c r="W59" s="88">
        <f t="shared" si="85"/>
        <v>0</v>
      </c>
      <c r="X59" s="88">
        <f t="shared" si="85"/>
        <v>0</v>
      </c>
      <c r="Y59" s="88">
        <f t="shared" si="85"/>
        <v>0</v>
      </c>
      <c r="Z59" s="88">
        <f t="shared" si="85"/>
        <v>0</v>
      </c>
      <c r="AA59" s="88">
        <f t="shared" si="85"/>
        <v>0</v>
      </c>
      <c r="AB59" s="10">
        <f t="shared" si="85"/>
        <v>0</v>
      </c>
      <c r="AC59" s="10">
        <f t="shared" si="85"/>
        <v>0</v>
      </c>
      <c r="AD59" s="10">
        <f t="shared" si="85"/>
        <v>0</v>
      </c>
      <c r="AE59" s="10">
        <f t="shared" si="85"/>
        <v>0</v>
      </c>
      <c r="AF59" s="10">
        <f t="shared" si="85"/>
        <v>0</v>
      </c>
      <c r="AG59" s="10">
        <f t="shared" si="85"/>
        <v>0</v>
      </c>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row>
    <row r="60">
      <c r="A60" s="181" t="s">
        <v>236</v>
      </c>
      <c r="B60" s="88">
        <f t="shared" si="17"/>
        <v>0</v>
      </c>
      <c r="C60" s="88">
        <f t="shared" ref="C60:AG60" si="86">0</f>
        <v>0</v>
      </c>
      <c r="D60" s="88">
        <f t="shared" si="86"/>
        <v>0</v>
      </c>
      <c r="E60" s="88">
        <f t="shared" si="86"/>
        <v>0</v>
      </c>
      <c r="F60" s="88">
        <f t="shared" si="86"/>
        <v>0</v>
      </c>
      <c r="G60" s="88">
        <f t="shared" si="86"/>
        <v>0</v>
      </c>
      <c r="H60" s="88">
        <f t="shared" si="86"/>
        <v>0</v>
      </c>
      <c r="I60" s="88">
        <f t="shared" si="86"/>
        <v>0</v>
      </c>
      <c r="J60" s="88">
        <f t="shared" si="86"/>
        <v>0</v>
      </c>
      <c r="K60" s="88">
        <f t="shared" si="86"/>
        <v>0</v>
      </c>
      <c r="L60" s="88">
        <f t="shared" si="86"/>
        <v>0</v>
      </c>
      <c r="M60" s="88">
        <f t="shared" si="86"/>
        <v>0</v>
      </c>
      <c r="N60" s="88">
        <f t="shared" si="86"/>
        <v>0</v>
      </c>
      <c r="O60" s="88">
        <f t="shared" si="86"/>
        <v>0</v>
      </c>
      <c r="P60" s="88">
        <f t="shared" si="86"/>
        <v>0</v>
      </c>
      <c r="Q60" s="88">
        <f t="shared" si="86"/>
        <v>0</v>
      </c>
      <c r="R60" s="88">
        <f t="shared" si="86"/>
        <v>0</v>
      </c>
      <c r="S60" s="88">
        <f t="shared" si="86"/>
        <v>0</v>
      </c>
      <c r="T60" s="88">
        <f t="shared" si="86"/>
        <v>0</v>
      </c>
      <c r="U60" s="88">
        <f t="shared" si="86"/>
        <v>0</v>
      </c>
      <c r="V60" s="88">
        <f t="shared" si="86"/>
        <v>0</v>
      </c>
      <c r="W60" s="88">
        <f t="shared" si="86"/>
        <v>0</v>
      </c>
      <c r="X60" s="88">
        <f t="shared" si="86"/>
        <v>0</v>
      </c>
      <c r="Y60" s="88">
        <f t="shared" si="86"/>
        <v>0</v>
      </c>
      <c r="Z60" s="88">
        <f t="shared" si="86"/>
        <v>0</v>
      </c>
      <c r="AA60" s="88">
        <f t="shared" si="86"/>
        <v>0</v>
      </c>
      <c r="AB60" s="10">
        <f t="shared" si="86"/>
        <v>0</v>
      </c>
      <c r="AC60" s="10">
        <f t="shared" si="86"/>
        <v>0</v>
      </c>
      <c r="AD60" s="10">
        <f t="shared" si="86"/>
        <v>0</v>
      </c>
      <c r="AE60" s="10">
        <f t="shared" si="86"/>
        <v>0</v>
      </c>
      <c r="AF60" s="10">
        <f t="shared" si="86"/>
        <v>0</v>
      </c>
      <c r="AG60" s="10">
        <f t="shared" si="86"/>
        <v>0</v>
      </c>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row>
    <row r="61">
      <c r="A61" s="181" t="s">
        <v>237</v>
      </c>
      <c r="B61" s="88">
        <f t="shared" si="17"/>
        <v>0</v>
      </c>
      <c r="C61" s="88">
        <f t="shared" ref="C61:AG61" si="87">0</f>
        <v>0</v>
      </c>
      <c r="D61" s="88">
        <f t="shared" si="87"/>
        <v>0</v>
      </c>
      <c r="E61" s="88">
        <f t="shared" si="87"/>
        <v>0</v>
      </c>
      <c r="F61" s="88">
        <f t="shared" si="87"/>
        <v>0</v>
      </c>
      <c r="G61" s="88">
        <f t="shared" si="87"/>
        <v>0</v>
      </c>
      <c r="H61" s="88">
        <f t="shared" si="87"/>
        <v>0</v>
      </c>
      <c r="I61" s="88">
        <f t="shared" si="87"/>
        <v>0</v>
      </c>
      <c r="J61" s="88">
        <f t="shared" si="87"/>
        <v>0</v>
      </c>
      <c r="K61" s="88">
        <f t="shared" si="87"/>
        <v>0</v>
      </c>
      <c r="L61" s="88">
        <f t="shared" si="87"/>
        <v>0</v>
      </c>
      <c r="M61" s="88">
        <f t="shared" si="87"/>
        <v>0</v>
      </c>
      <c r="N61" s="88">
        <f t="shared" si="87"/>
        <v>0</v>
      </c>
      <c r="O61" s="88">
        <f t="shared" si="87"/>
        <v>0</v>
      </c>
      <c r="P61" s="88">
        <f t="shared" si="87"/>
        <v>0</v>
      </c>
      <c r="Q61" s="88">
        <f t="shared" si="87"/>
        <v>0</v>
      </c>
      <c r="R61" s="88">
        <f t="shared" si="87"/>
        <v>0</v>
      </c>
      <c r="S61" s="88">
        <f t="shared" si="87"/>
        <v>0</v>
      </c>
      <c r="T61" s="88">
        <f t="shared" si="87"/>
        <v>0</v>
      </c>
      <c r="U61" s="88">
        <f t="shared" si="87"/>
        <v>0</v>
      </c>
      <c r="V61" s="88">
        <f t="shared" si="87"/>
        <v>0</v>
      </c>
      <c r="W61" s="88">
        <f t="shared" si="87"/>
        <v>0</v>
      </c>
      <c r="X61" s="88">
        <f t="shared" si="87"/>
        <v>0</v>
      </c>
      <c r="Y61" s="88">
        <f t="shared" si="87"/>
        <v>0</v>
      </c>
      <c r="Z61" s="88">
        <f t="shared" si="87"/>
        <v>0</v>
      </c>
      <c r="AA61" s="88">
        <f t="shared" si="87"/>
        <v>0</v>
      </c>
      <c r="AB61" s="10">
        <f t="shared" si="87"/>
        <v>0</v>
      </c>
      <c r="AC61" s="10">
        <f t="shared" si="87"/>
        <v>0</v>
      </c>
      <c r="AD61" s="10">
        <f t="shared" si="87"/>
        <v>0</v>
      </c>
      <c r="AE61" s="10">
        <f t="shared" si="87"/>
        <v>0</v>
      </c>
      <c r="AF61" s="10">
        <f t="shared" si="87"/>
        <v>0</v>
      </c>
      <c r="AG61" s="10">
        <f t="shared" si="87"/>
        <v>0</v>
      </c>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row>
    <row r="62">
      <c r="A62" s="181" t="s">
        <v>238</v>
      </c>
      <c r="B62" s="88">
        <f t="shared" si="17"/>
        <v>0</v>
      </c>
      <c r="C62" s="88">
        <f t="shared" ref="C62:AG62" si="88">0</f>
        <v>0</v>
      </c>
      <c r="D62" s="88">
        <f t="shared" si="88"/>
        <v>0</v>
      </c>
      <c r="E62" s="88">
        <f t="shared" si="88"/>
        <v>0</v>
      </c>
      <c r="F62" s="88">
        <f t="shared" si="88"/>
        <v>0</v>
      </c>
      <c r="G62" s="88">
        <f t="shared" si="88"/>
        <v>0</v>
      </c>
      <c r="H62" s="88">
        <f t="shared" si="88"/>
        <v>0</v>
      </c>
      <c r="I62" s="88">
        <f t="shared" si="88"/>
        <v>0</v>
      </c>
      <c r="J62" s="88">
        <f t="shared" si="88"/>
        <v>0</v>
      </c>
      <c r="K62" s="88">
        <f t="shared" si="88"/>
        <v>0</v>
      </c>
      <c r="L62" s="88">
        <f t="shared" si="88"/>
        <v>0</v>
      </c>
      <c r="M62" s="88">
        <f t="shared" si="88"/>
        <v>0</v>
      </c>
      <c r="N62" s="88">
        <f t="shared" si="88"/>
        <v>0</v>
      </c>
      <c r="O62" s="88">
        <f t="shared" si="88"/>
        <v>0</v>
      </c>
      <c r="P62" s="88">
        <f t="shared" si="88"/>
        <v>0</v>
      </c>
      <c r="Q62" s="88">
        <f t="shared" si="88"/>
        <v>0</v>
      </c>
      <c r="R62" s="88">
        <f t="shared" si="88"/>
        <v>0</v>
      </c>
      <c r="S62" s="88">
        <f t="shared" si="88"/>
        <v>0</v>
      </c>
      <c r="T62" s="88">
        <f t="shared" si="88"/>
        <v>0</v>
      </c>
      <c r="U62" s="88">
        <f t="shared" si="88"/>
        <v>0</v>
      </c>
      <c r="V62" s="88">
        <f t="shared" si="88"/>
        <v>0</v>
      </c>
      <c r="W62" s="88">
        <f t="shared" si="88"/>
        <v>0</v>
      </c>
      <c r="X62" s="88">
        <f t="shared" si="88"/>
        <v>0</v>
      </c>
      <c r="Y62" s="88">
        <f t="shared" si="88"/>
        <v>0</v>
      </c>
      <c r="Z62" s="88">
        <f t="shared" si="88"/>
        <v>0</v>
      </c>
      <c r="AA62" s="88">
        <f t="shared" si="88"/>
        <v>0</v>
      </c>
      <c r="AB62" s="10">
        <f t="shared" si="88"/>
        <v>0</v>
      </c>
      <c r="AC62" s="10">
        <f t="shared" si="88"/>
        <v>0</v>
      </c>
      <c r="AD62" s="10">
        <f t="shared" si="88"/>
        <v>0</v>
      </c>
      <c r="AE62" s="10">
        <f t="shared" si="88"/>
        <v>0</v>
      </c>
      <c r="AF62" s="10">
        <f t="shared" si="88"/>
        <v>0</v>
      </c>
      <c r="AG62" s="10">
        <f t="shared" si="88"/>
        <v>0</v>
      </c>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row>
    <row r="63">
      <c r="A63" s="181" t="s">
        <v>239</v>
      </c>
      <c r="B63" s="88">
        <f t="shared" si="17"/>
        <v>0</v>
      </c>
      <c r="C63" s="88">
        <f t="shared" ref="C63:AG63" si="89">0</f>
        <v>0</v>
      </c>
      <c r="D63" s="88">
        <f t="shared" si="89"/>
        <v>0</v>
      </c>
      <c r="E63" s="88">
        <f t="shared" si="89"/>
        <v>0</v>
      </c>
      <c r="F63" s="88">
        <f t="shared" si="89"/>
        <v>0</v>
      </c>
      <c r="G63" s="88">
        <f t="shared" si="89"/>
        <v>0</v>
      </c>
      <c r="H63" s="88">
        <f t="shared" si="89"/>
        <v>0</v>
      </c>
      <c r="I63" s="88">
        <f t="shared" si="89"/>
        <v>0</v>
      </c>
      <c r="J63" s="88">
        <f t="shared" si="89"/>
        <v>0</v>
      </c>
      <c r="K63" s="88">
        <f t="shared" si="89"/>
        <v>0</v>
      </c>
      <c r="L63" s="88">
        <f t="shared" si="89"/>
        <v>0</v>
      </c>
      <c r="M63" s="88">
        <f t="shared" si="89"/>
        <v>0</v>
      </c>
      <c r="N63" s="88">
        <f t="shared" si="89"/>
        <v>0</v>
      </c>
      <c r="O63" s="88">
        <f t="shared" si="89"/>
        <v>0</v>
      </c>
      <c r="P63" s="88">
        <f t="shared" si="89"/>
        <v>0</v>
      </c>
      <c r="Q63" s="88">
        <f t="shared" si="89"/>
        <v>0</v>
      </c>
      <c r="R63" s="88">
        <f t="shared" si="89"/>
        <v>0</v>
      </c>
      <c r="S63" s="88">
        <f t="shared" si="89"/>
        <v>0</v>
      </c>
      <c r="T63" s="88">
        <f t="shared" si="89"/>
        <v>0</v>
      </c>
      <c r="U63" s="88">
        <f t="shared" si="89"/>
        <v>0</v>
      </c>
      <c r="V63" s="88">
        <f t="shared" si="89"/>
        <v>0</v>
      </c>
      <c r="W63" s="88">
        <f t="shared" si="89"/>
        <v>0</v>
      </c>
      <c r="X63" s="88">
        <f t="shared" si="89"/>
        <v>0</v>
      </c>
      <c r="Y63" s="88">
        <f t="shared" si="89"/>
        <v>0</v>
      </c>
      <c r="Z63" s="88">
        <f t="shared" si="89"/>
        <v>0</v>
      </c>
      <c r="AA63" s="88">
        <f t="shared" si="89"/>
        <v>0</v>
      </c>
      <c r="AB63" s="10">
        <f t="shared" si="89"/>
        <v>0</v>
      </c>
      <c r="AC63" s="10">
        <f t="shared" si="89"/>
        <v>0</v>
      </c>
      <c r="AD63" s="10">
        <f t="shared" si="89"/>
        <v>0</v>
      </c>
      <c r="AE63" s="10">
        <f t="shared" si="89"/>
        <v>0</v>
      </c>
      <c r="AF63" s="10">
        <f t="shared" si="89"/>
        <v>0</v>
      </c>
      <c r="AG63" s="10">
        <f t="shared" si="89"/>
        <v>0</v>
      </c>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row>
    <row r="64">
      <c r="A64" s="181" t="s">
        <v>240</v>
      </c>
      <c r="B64" s="10">
        <f t="shared" si="17"/>
        <v>0</v>
      </c>
      <c r="C64" s="10">
        <f t="shared" ref="C64:AG64" si="90">0</f>
        <v>0</v>
      </c>
      <c r="D64" s="10">
        <f t="shared" si="90"/>
        <v>0</v>
      </c>
      <c r="E64" s="10">
        <f t="shared" si="90"/>
        <v>0</v>
      </c>
      <c r="F64" s="10">
        <f t="shared" si="90"/>
        <v>0</v>
      </c>
      <c r="G64" s="10">
        <f t="shared" si="90"/>
        <v>0</v>
      </c>
      <c r="H64" s="10">
        <f t="shared" si="90"/>
        <v>0</v>
      </c>
      <c r="I64" s="10">
        <f t="shared" si="90"/>
        <v>0</v>
      </c>
      <c r="J64" s="10">
        <f t="shared" si="90"/>
        <v>0</v>
      </c>
      <c r="K64" s="10">
        <f t="shared" si="90"/>
        <v>0</v>
      </c>
      <c r="L64" s="10">
        <f t="shared" si="90"/>
        <v>0</v>
      </c>
      <c r="M64" s="10">
        <f t="shared" si="90"/>
        <v>0</v>
      </c>
      <c r="N64" s="10">
        <f t="shared" si="90"/>
        <v>0</v>
      </c>
      <c r="O64" s="10">
        <f t="shared" si="90"/>
        <v>0</v>
      </c>
      <c r="P64" s="10">
        <f t="shared" si="90"/>
        <v>0</v>
      </c>
      <c r="Q64" s="10">
        <f t="shared" si="90"/>
        <v>0</v>
      </c>
      <c r="R64" s="10">
        <f t="shared" si="90"/>
        <v>0</v>
      </c>
      <c r="S64" s="10">
        <f t="shared" si="90"/>
        <v>0</v>
      </c>
      <c r="T64" s="10">
        <f t="shared" si="90"/>
        <v>0</v>
      </c>
      <c r="U64" s="10">
        <f t="shared" si="90"/>
        <v>0</v>
      </c>
      <c r="V64" s="10">
        <f t="shared" si="90"/>
        <v>0</v>
      </c>
      <c r="W64" s="10">
        <f t="shared" si="90"/>
        <v>0</v>
      </c>
      <c r="X64" s="10">
        <f t="shared" si="90"/>
        <v>0</v>
      </c>
      <c r="Y64" s="10">
        <f t="shared" si="90"/>
        <v>0</v>
      </c>
      <c r="Z64" s="10">
        <f t="shared" si="90"/>
        <v>0</v>
      </c>
      <c r="AA64" s="10">
        <f t="shared" si="90"/>
        <v>0</v>
      </c>
      <c r="AB64" s="10">
        <f t="shared" si="90"/>
        <v>0</v>
      </c>
      <c r="AC64" s="10">
        <f t="shared" si="90"/>
        <v>0</v>
      </c>
      <c r="AD64" s="10">
        <f t="shared" si="90"/>
        <v>0</v>
      </c>
      <c r="AE64" s="10">
        <f t="shared" si="90"/>
        <v>0</v>
      </c>
      <c r="AF64" s="10">
        <f t="shared" si="90"/>
        <v>0</v>
      </c>
      <c r="AG64" s="10">
        <f t="shared" si="90"/>
        <v>0</v>
      </c>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row>
    <row r="65">
      <c r="A65" s="181" t="s">
        <v>241</v>
      </c>
      <c r="B65" s="88">
        <f t="shared" si="17"/>
        <v>0</v>
      </c>
      <c r="C65" s="88">
        <f t="shared" ref="C65:AG65" si="91">0</f>
        <v>0</v>
      </c>
      <c r="D65" s="88">
        <f t="shared" si="91"/>
        <v>0</v>
      </c>
      <c r="E65" s="88">
        <f t="shared" si="91"/>
        <v>0</v>
      </c>
      <c r="F65" s="88">
        <f t="shared" si="91"/>
        <v>0</v>
      </c>
      <c r="G65" s="88">
        <f t="shared" si="91"/>
        <v>0</v>
      </c>
      <c r="H65" s="88">
        <f t="shared" si="91"/>
        <v>0</v>
      </c>
      <c r="I65" s="88">
        <f t="shared" si="91"/>
        <v>0</v>
      </c>
      <c r="J65" s="88">
        <f t="shared" si="91"/>
        <v>0</v>
      </c>
      <c r="K65" s="88">
        <f t="shared" si="91"/>
        <v>0</v>
      </c>
      <c r="L65" s="88">
        <f t="shared" si="91"/>
        <v>0</v>
      </c>
      <c r="M65" s="88">
        <f t="shared" si="91"/>
        <v>0</v>
      </c>
      <c r="N65" s="88">
        <f t="shared" si="91"/>
        <v>0</v>
      </c>
      <c r="O65" s="88">
        <f t="shared" si="91"/>
        <v>0</v>
      </c>
      <c r="P65" s="88">
        <f t="shared" si="91"/>
        <v>0</v>
      </c>
      <c r="Q65" s="88">
        <f t="shared" si="91"/>
        <v>0</v>
      </c>
      <c r="R65" s="88">
        <f t="shared" si="91"/>
        <v>0</v>
      </c>
      <c r="S65" s="88">
        <f t="shared" si="91"/>
        <v>0</v>
      </c>
      <c r="T65" s="88">
        <f t="shared" si="91"/>
        <v>0</v>
      </c>
      <c r="U65" s="88">
        <f t="shared" si="91"/>
        <v>0</v>
      </c>
      <c r="V65" s="88">
        <f t="shared" si="91"/>
        <v>0</v>
      </c>
      <c r="W65" s="88">
        <f t="shared" si="91"/>
        <v>0</v>
      </c>
      <c r="X65" s="88">
        <f t="shared" si="91"/>
        <v>0</v>
      </c>
      <c r="Y65" s="88">
        <f t="shared" si="91"/>
        <v>0</v>
      </c>
      <c r="Z65" s="88">
        <f t="shared" si="91"/>
        <v>0</v>
      </c>
      <c r="AA65" s="88">
        <f t="shared" si="91"/>
        <v>0</v>
      </c>
      <c r="AB65" s="10">
        <f t="shared" si="91"/>
        <v>0</v>
      </c>
      <c r="AC65" s="10">
        <f t="shared" si="91"/>
        <v>0</v>
      </c>
      <c r="AD65" s="10">
        <f t="shared" si="91"/>
        <v>0</v>
      </c>
      <c r="AE65" s="10">
        <f t="shared" si="91"/>
        <v>0</v>
      </c>
      <c r="AF65" s="10">
        <f t="shared" si="91"/>
        <v>0</v>
      </c>
      <c r="AG65" s="10">
        <f t="shared" si="91"/>
        <v>0</v>
      </c>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row>
    <row r="66">
      <c r="A66" s="181" t="s">
        <v>242</v>
      </c>
      <c r="B66" s="88">
        <f t="shared" si="17"/>
        <v>0</v>
      </c>
      <c r="C66" s="88">
        <f t="shared" ref="C66:AG66" si="92">0</f>
        <v>0</v>
      </c>
      <c r="D66" s="88">
        <f t="shared" si="92"/>
        <v>0</v>
      </c>
      <c r="E66" s="88">
        <f t="shared" si="92"/>
        <v>0</v>
      </c>
      <c r="F66" s="88">
        <f t="shared" si="92"/>
        <v>0</v>
      </c>
      <c r="G66" s="88">
        <f t="shared" si="92"/>
        <v>0</v>
      </c>
      <c r="H66" s="88">
        <f t="shared" si="92"/>
        <v>0</v>
      </c>
      <c r="I66" s="88">
        <f t="shared" si="92"/>
        <v>0</v>
      </c>
      <c r="J66" s="88">
        <f t="shared" si="92"/>
        <v>0</v>
      </c>
      <c r="K66" s="88">
        <f t="shared" si="92"/>
        <v>0</v>
      </c>
      <c r="L66" s="88">
        <f t="shared" si="92"/>
        <v>0</v>
      </c>
      <c r="M66" s="88">
        <f t="shared" si="92"/>
        <v>0</v>
      </c>
      <c r="N66" s="88">
        <f t="shared" si="92"/>
        <v>0</v>
      </c>
      <c r="O66" s="88">
        <f t="shared" si="92"/>
        <v>0</v>
      </c>
      <c r="P66" s="88">
        <f t="shared" si="92"/>
        <v>0</v>
      </c>
      <c r="Q66" s="88">
        <f t="shared" si="92"/>
        <v>0</v>
      </c>
      <c r="R66" s="88">
        <f t="shared" si="92"/>
        <v>0</v>
      </c>
      <c r="S66" s="88">
        <f t="shared" si="92"/>
        <v>0</v>
      </c>
      <c r="T66" s="88">
        <f t="shared" si="92"/>
        <v>0</v>
      </c>
      <c r="U66" s="88">
        <f t="shared" si="92"/>
        <v>0</v>
      </c>
      <c r="V66" s="88">
        <f t="shared" si="92"/>
        <v>0</v>
      </c>
      <c r="W66" s="88">
        <f t="shared" si="92"/>
        <v>0</v>
      </c>
      <c r="X66" s="88">
        <f t="shared" si="92"/>
        <v>0</v>
      </c>
      <c r="Y66" s="88">
        <f t="shared" si="92"/>
        <v>0</v>
      </c>
      <c r="Z66" s="88">
        <f t="shared" si="92"/>
        <v>0</v>
      </c>
      <c r="AA66" s="88">
        <f t="shared" si="92"/>
        <v>0</v>
      </c>
      <c r="AB66" s="10">
        <f t="shared" si="92"/>
        <v>0</v>
      </c>
      <c r="AC66" s="10">
        <f t="shared" si="92"/>
        <v>0</v>
      </c>
      <c r="AD66" s="10">
        <f t="shared" si="92"/>
        <v>0</v>
      </c>
      <c r="AE66" s="10">
        <f t="shared" si="92"/>
        <v>0</v>
      </c>
      <c r="AF66" s="10">
        <f t="shared" si="92"/>
        <v>0</v>
      </c>
      <c r="AG66" s="10">
        <f t="shared" si="92"/>
        <v>0</v>
      </c>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row>
    <row r="67">
      <c r="A67" s="181" t="s">
        <v>243</v>
      </c>
      <c r="B67" s="88">
        <f t="shared" si="17"/>
        <v>0</v>
      </c>
      <c r="C67" s="88">
        <f t="shared" ref="C67:AG67" si="93">0</f>
        <v>0</v>
      </c>
      <c r="D67" s="88">
        <f t="shared" si="93"/>
        <v>0</v>
      </c>
      <c r="E67" s="88">
        <f t="shared" si="93"/>
        <v>0</v>
      </c>
      <c r="F67" s="88">
        <f t="shared" si="93"/>
        <v>0</v>
      </c>
      <c r="G67" s="88">
        <f t="shared" si="93"/>
        <v>0</v>
      </c>
      <c r="H67" s="88">
        <f t="shared" si="93"/>
        <v>0</v>
      </c>
      <c r="I67" s="88">
        <f t="shared" si="93"/>
        <v>0</v>
      </c>
      <c r="J67" s="88">
        <f t="shared" si="93"/>
        <v>0</v>
      </c>
      <c r="K67" s="88">
        <f t="shared" si="93"/>
        <v>0</v>
      </c>
      <c r="L67" s="88">
        <f t="shared" si="93"/>
        <v>0</v>
      </c>
      <c r="M67" s="88">
        <f t="shared" si="93"/>
        <v>0</v>
      </c>
      <c r="N67" s="88">
        <f t="shared" si="93"/>
        <v>0</v>
      </c>
      <c r="O67" s="88">
        <f t="shared" si="93"/>
        <v>0</v>
      </c>
      <c r="P67" s="88">
        <f t="shared" si="93"/>
        <v>0</v>
      </c>
      <c r="Q67" s="88">
        <f t="shared" si="93"/>
        <v>0</v>
      </c>
      <c r="R67" s="88">
        <f t="shared" si="93"/>
        <v>0</v>
      </c>
      <c r="S67" s="88">
        <f t="shared" si="93"/>
        <v>0</v>
      </c>
      <c r="T67" s="88">
        <f t="shared" si="93"/>
        <v>0</v>
      </c>
      <c r="U67" s="88">
        <f t="shared" si="93"/>
        <v>0</v>
      </c>
      <c r="V67" s="88">
        <f t="shared" si="93"/>
        <v>0</v>
      </c>
      <c r="W67" s="88">
        <f t="shared" si="93"/>
        <v>0</v>
      </c>
      <c r="X67" s="88">
        <f t="shared" si="93"/>
        <v>0</v>
      </c>
      <c r="Y67" s="88">
        <f t="shared" si="93"/>
        <v>0</v>
      </c>
      <c r="Z67" s="88">
        <f t="shared" si="93"/>
        <v>0</v>
      </c>
      <c r="AA67" s="88">
        <f t="shared" si="93"/>
        <v>0</v>
      </c>
      <c r="AB67" s="10">
        <f t="shared" si="93"/>
        <v>0</v>
      </c>
      <c r="AC67" s="10">
        <f t="shared" si="93"/>
        <v>0</v>
      </c>
      <c r="AD67" s="10">
        <f t="shared" si="93"/>
        <v>0</v>
      </c>
      <c r="AE67" s="10">
        <f t="shared" si="93"/>
        <v>0</v>
      </c>
      <c r="AF67" s="10">
        <f t="shared" si="93"/>
        <v>0</v>
      </c>
      <c r="AG67" s="10">
        <f t="shared" si="93"/>
        <v>0</v>
      </c>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row>
    <row r="68">
      <c r="A68" s="181" t="s">
        <v>244</v>
      </c>
      <c r="B68" s="88">
        <f t="shared" si="17"/>
        <v>0</v>
      </c>
      <c r="C68" s="88">
        <f t="shared" ref="C68:AG68" si="94">0</f>
        <v>0</v>
      </c>
      <c r="D68" s="88">
        <f t="shared" si="94"/>
        <v>0</v>
      </c>
      <c r="E68" s="88">
        <f t="shared" si="94"/>
        <v>0</v>
      </c>
      <c r="F68" s="88">
        <f t="shared" si="94"/>
        <v>0</v>
      </c>
      <c r="G68" s="88">
        <f t="shared" si="94"/>
        <v>0</v>
      </c>
      <c r="H68" s="88">
        <f t="shared" si="94"/>
        <v>0</v>
      </c>
      <c r="I68" s="88">
        <f t="shared" si="94"/>
        <v>0</v>
      </c>
      <c r="J68" s="88">
        <f t="shared" si="94"/>
        <v>0</v>
      </c>
      <c r="K68" s="88">
        <f t="shared" si="94"/>
        <v>0</v>
      </c>
      <c r="L68" s="88">
        <f t="shared" si="94"/>
        <v>0</v>
      </c>
      <c r="M68" s="88">
        <f t="shared" si="94"/>
        <v>0</v>
      </c>
      <c r="N68" s="88">
        <f t="shared" si="94"/>
        <v>0</v>
      </c>
      <c r="O68" s="88">
        <f t="shared" si="94"/>
        <v>0</v>
      </c>
      <c r="P68" s="88">
        <f t="shared" si="94"/>
        <v>0</v>
      </c>
      <c r="Q68" s="88">
        <f t="shared" si="94"/>
        <v>0</v>
      </c>
      <c r="R68" s="88">
        <f t="shared" si="94"/>
        <v>0</v>
      </c>
      <c r="S68" s="88">
        <f t="shared" si="94"/>
        <v>0</v>
      </c>
      <c r="T68" s="88">
        <f t="shared" si="94"/>
        <v>0</v>
      </c>
      <c r="U68" s="88">
        <f t="shared" si="94"/>
        <v>0</v>
      </c>
      <c r="V68" s="88">
        <f t="shared" si="94"/>
        <v>0</v>
      </c>
      <c r="W68" s="88">
        <f t="shared" si="94"/>
        <v>0</v>
      </c>
      <c r="X68" s="88">
        <f t="shared" si="94"/>
        <v>0</v>
      </c>
      <c r="Y68" s="88">
        <f t="shared" si="94"/>
        <v>0</v>
      </c>
      <c r="Z68" s="88">
        <f t="shared" si="94"/>
        <v>0</v>
      </c>
      <c r="AA68" s="88">
        <f t="shared" si="94"/>
        <v>0</v>
      </c>
      <c r="AB68" s="10">
        <f t="shared" si="94"/>
        <v>0</v>
      </c>
      <c r="AC68" s="10">
        <f t="shared" si="94"/>
        <v>0</v>
      </c>
      <c r="AD68" s="10">
        <f t="shared" si="94"/>
        <v>0</v>
      </c>
      <c r="AE68" s="10">
        <f t="shared" si="94"/>
        <v>0</v>
      </c>
      <c r="AF68" s="10">
        <f t="shared" si="94"/>
        <v>0</v>
      </c>
      <c r="AG68" s="10">
        <f t="shared" si="94"/>
        <v>0</v>
      </c>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row>
    <row r="69">
      <c r="A69" s="181" t="s">
        <v>408</v>
      </c>
      <c r="B69" s="88">
        <f t="shared" si="17"/>
        <v>0</v>
      </c>
      <c r="C69" s="88">
        <f t="shared" ref="C69:AG69" si="95">0</f>
        <v>0</v>
      </c>
      <c r="D69" s="88">
        <f t="shared" si="95"/>
        <v>0</v>
      </c>
      <c r="E69" s="88">
        <f t="shared" si="95"/>
        <v>0</v>
      </c>
      <c r="F69" s="88">
        <f t="shared" si="95"/>
        <v>0</v>
      </c>
      <c r="G69" s="88">
        <f t="shared" si="95"/>
        <v>0</v>
      </c>
      <c r="H69" s="88">
        <f t="shared" si="95"/>
        <v>0</v>
      </c>
      <c r="I69" s="88">
        <f t="shared" si="95"/>
        <v>0</v>
      </c>
      <c r="J69" s="88">
        <f t="shared" si="95"/>
        <v>0</v>
      </c>
      <c r="K69" s="88">
        <f t="shared" si="95"/>
        <v>0</v>
      </c>
      <c r="L69" s="88">
        <f t="shared" si="95"/>
        <v>0</v>
      </c>
      <c r="M69" s="88">
        <f t="shared" si="95"/>
        <v>0</v>
      </c>
      <c r="N69" s="88">
        <f t="shared" si="95"/>
        <v>0</v>
      </c>
      <c r="O69" s="88">
        <f t="shared" si="95"/>
        <v>0</v>
      </c>
      <c r="P69" s="88">
        <f t="shared" si="95"/>
        <v>0</v>
      </c>
      <c r="Q69" s="88">
        <f t="shared" si="95"/>
        <v>0</v>
      </c>
      <c r="R69" s="88">
        <f t="shared" si="95"/>
        <v>0</v>
      </c>
      <c r="S69" s="88">
        <f t="shared" si="95"/>
        <v>0</v>
      </c>
      <c r="T69" s="88">
        <f t="shared" si="95"/>
        <v>0</v>
      </c>
      <c r="U69" s="88">
        <f t="shared" si="95"/>
        <v>0</v>
      </c>
      <c r="V69" s="88">
        <f t="shared" si="95"/>
        <v>0</v>
      </c>
      <c r="W69" s="88">
        <f t="shared" si="95"/>
        <v>0</v>
      </c>
      <c r="X69" s="88">
        <f t="shared" si="95"/>
        <v>0</v>
      </c>
      <c r="Y69" s="88">
        <f t="shared" si="95"/>
        <v>0</v>
      </c>
      <c r="Z69" s="88">
        <f t="shared" si="95"/>
        <v>0</v>
      </c>
      <c r="AA69" s="88">
        <f t="shared" si="95"/>
        <v>0</v>
      </c>
      <c r="AB69" s="10">
        <f t="shared" si="95"/>
        <v>0</v>
      </c>
      <c r="AC69" s="10">
        <f t="shared" si="95"/>
        <v>0</v>
      </c>
      <c r="AD69" s="10">
        <f t="shared" si="95"/>
        <v>0</v>
      </c>
      <c r="AE69" s="10">
        <f t="shared" si="95"/>
        <v>0</v>
      </c>
      <c r="AF69" s="10">
        <f t="shared" si="95"/>
        <v>0</v>
      </c>
      <c r="AG69" s="10">
        <f t="shared" si="95"/>
        <v>0</v>
      </c>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row>
    <row r="70">
      <c r="A70" s="181" t="s">
        <v>409</v>
      </c>
      <c r="B70" s="88">
        <f t="shared" si="17"/>
        <v>0</v>
      </c>
      <c r="C70" s="88">
        <f t="shared" ref="C70:AG70" si="96">0</f>
        <v>0</v>
      </c>
      <c r="D70" s="88">
        <f t="shared" si="96"/>
        <v>0</v>
      </c>
      <c r="E70" s="88">
        <f t="shared" si="96"/>
        <v>0</v>
      </c>
      <c r="F70" s="88">
        <f t="shared" si="96"/>
        <v>0</v>
      </c>
      <c r="G70" s="88">
        <f t="shared" si="96"/>
        <v>0</v>
      </c>
      <c r="H70" s="88">
        <f t="shared" si="96"/>
        <v>0</v>
      </c>
      <c r="I70" s="88">
        <f t="shared" si="96"/>
        <v>0</v>
      </c>
      <c r="J70" s="88">
        <f t="shared" si="96"/>
        <v>0</v>
      </c>
      <c r="K70" s="88">
        <f t="shared" si="96"/>
        <v>0</v>
      </c>
      <c r="L70" s="88">
        <f t="shared" si="96"/>
        <v>0</v>
      </c>
      <c r="M70" s="88">
        <f t="shared" si="96"/>
        <v>0</v>
      </c>
      <c r="N70" s="88">
        <f t="shared" si="96"/>
        <v>0</v>
      </c>
      <c r="O70" s="88">
        <f t="shared" si="96"/>
        <v>0</v>
      </c>
      <c r="P70" s="88">
        <f t="shared" si="96"/>
        <v>0</v>
      </c>
      <c r="Q70" s="88">
        <f t="shared" si="96"/>
        <v>0</v>
      </c>
      <c r="R70" s="88">
        <f t="shared" si="96"/>
        <v>0</v>
      </c>
      <c r="S70" s="88">
        <f t="shared" si="96"/>
        <v>0</v>
      </c>
      <c r="T70" s="88">
        <f t="shared" si="96"/>
        <v>0</v>
      </c>
      <c r="U70" s="88">
        <f t="shared" si="96"/>
        <v>0</v>
      </c>
      <c r="V70" s="88">
        <f t="shared" si="96"/>
        <v>0</v>
      </c>
      <c r="W70" s="88">
        <f t="shared" si="96"/>
        <v>0</v>
      </c>
      <c r="X70" s="88">
        <f t="shared" si="96"/>
        <v>0</v>
      </c>
      <c r="Y70" s="88">
        <f t="shared" si="96"/>
        <v>0</v>
      </c>
      <c r="Z70" s="88">
        <f t="shared" si="96"/>
        <v>0</v>
      </c>
      <c r="AA70" s="88">
        <f t="shared" si="96"/>
        <v>0</v>
      </c>
      <c r="AB70" s="10">
        <f t="shared" si="96"/>
        <v>0</v>
      </c>
      <c r="AC70" s="10">
        <f t="shared" si="96"/>
        <v>0</v>
      </c>
      <c r="AD70" s="10">
        <f t="shared" si="96"/>
        <v>0</v>
      </c>
      <c r="AE70" s="10">
        <f t="shared" si="96"/>
        <v>0</v>
      </c>
      <c r="AF70" s="10">
        <f t="shared" si="96"/>
        <v>0</v>
      </c>
      <c r="AG70" s="10">
        <f t="shared" si="96"/>
        <v>0</v>
      </c>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row>
    <row r="71">
      <c r="A71" s="181" t="s">
        <v>410</v>
      </c>
      <c r="B71" s="88">
        <f t="shared" si="17"/>
        <v>0</v>
      </c>
      <c r="C71" s="88">
        <f t="shared" ref="C71:AG71" si="97">0</f>
        <v>0</v>
      </c>
      <c r="D71" s="88">
        <f t="shared" si="97"/>
        <v>0</v>
      </c>
      <c r="E71" s="88">
        <f t="shared" si="97"/>
        <v>0</v>
      </c>
      <c r="F71" s="88">
        <f t="shared" si="97"/>
        <v>0</v>
      </c>
      <c r="G71" s="88">
        <f t="shared" si="97"/>
        <v>0</v>
      </c>
      <c r="H71" s="88">
        <f t="shared" si="97"/>
        <v>0</v>
      </c>
      <c r="I71" s="88">
        <f t="shared" si="97"/>
        <v>0</v>
      </c>
      <c r="J71" s="88">
        <f t="shared" si="97"/>
        <v>0</v>
      </c>
      <c r="K71" s="88">
        <f t="shared" si="97"/>
        <v>0</v>
      </c>
      <c r="L71" s="88">
        <f t="shared" si="97"/>
        <v>0</v>
      </c>
      <c r="M71" s="88">
        <f t="shared" si="97"/>
        <v>0</v>
      </c>
      <c r="N71" s="88">
        <f t="shared" si="97"/>
        <v>0</v>
      </c>
      <c r="O71" s="88">
        <f t="shared" si="97"/>
        <v>0</v>
      </c>
      <c r="P71" s="88">
        <f t="shared" si="97"/>
        <v>0</v>
      </c>
      <c r="Q71" s="88">
        <f t="shared" si="97"/>
        <v>0</v>
      </c>
      <c r="R71" s="88">
        <f t="shared" si="97"/>
        <v>0</v>
      </c>
      <c r="S71" s="88">
        <f t="shared" si="97"/>
        <v>0</v>
      </c>
      <c r="T71" s="88">
        <f t="shared" si="97"/>
        <v>0</v>
      </c>
      <c r="U71" s="88">
        <f t="shared" si="97"/>
        <v>0</v>
      </c>
      <c r="V71" s="88">
        <f t="shared" si="97"/>
        <v>0</v>
      </c>
      <c r="W71" s="88">
        <f t="shared" si="97"/>
        <v>0</v>
      </c>
      <c r="X71" s="88">
        <f t="shared" si="97"/>
        <v>0</v>
      </c>
      <c r="Y71" s="88">
        <f t="shared" si="97"/>
        <v>0</v>
      </c>
      <c r="Z71" s="88">
        <f t="shared" si="97"/>
        <v>0</v>
      </c>
      <c r="AA71" s="88">
        <f t="shared" si="97"/>
        <v>0</v>
      </c>
      <c r="AB71" s="10">
        <f t="shared" si="97"/>
        <v>0</v>
      </c>
      <c r="AC71" s="10">
        <f t="shared" si="97"/>
        <v>0</v>
      </c>
      <c r="AD71" s="10">
        <f t="shared" si="97"/>
        <v>0</v>
      </c>
      <c r="AE71" s="10">
        <f t="shared" si="97"/>
        <v>0</v>
      </c>
      <c r="AF71" s="10">
        <f t="shared" si="97"/>
        <v>0</v>
      </c>
      <c r="AG71" s="10">
        <f t="shared" si="97"/>
        <v>0</v>
      </c>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row>
    <row r="72">
      <c r="A72" s="181" t="s">
        <v>248</v>
      </c>
      <c r="B72" s="88">
        <f t="shared" si="17"/>
        <v>0</v>
      </c>
      <c r="C72" s="88">
        <f t="shared" ref="C72:AG72" si="98">0</f>
        <v>0</v>
      </c>
      <c r="D72" s="88">
        <f t="shared" si="98"/>
        <v>0</v>
      </c>
      <c r="E72" s="88">
        <f t="shared" si="98"/>
        <v>0</v>
      </c>
      <c r="F72" s="88">
        <f t="shared" si="98"/>
        <v>0</v>
      </c>
      <c r="G72" s="88">
        <f t="shared" si="98"/>
        <v>0</v>
      </c>
      <c r="H72" s="88">
        <f t="shared" si="98"/>
        <v>0</v>
      </c>
      <c r="I72" s="88">
        <f t="shared" si="98"/>
        <v>0</v>
      </c>
      <c r="J72" s="88">
        <f t="shared" si="98"/>
        <v>0</v>
      </c>
      <c r="K72" s="88">
        <f t="shared" si="98"/>
        <v>0</v>
      </c>
      <c r="L72" s="88">
        <f t="shared" si="98"/>
        <v>0</v>
      </c>
      <c r="M72" s="88">
        <f t="shared" si="98"/>
        <v>0</v>
      </c>
      <c r="N72" s="88">
        <f t="shared" si="98"/>
        <v>0</v>
      </c>
      <c r="O72" s="88">
        <f t="shared" si="98"/>
        <v>0</v>
      </c>
      <c r="P72" s="88">
        <f t="shared" si="98"/>
        <v>0</v>
      </c>
      <c r="Q72" s="88">
        <f t="shared" si="98"/>
        <v>0</v>
      </c>
      <c r="R72" s="88">
        <f t="shared" si="98"/>
        <v>0</v>
      </c>
      <c r="S72" s="88">
        <f t="shared" si="98"/>
        <v>0</v>
      </c>
      <c r="T72" s="88">
        <f t="shared" si="98"/>
        <v>0</v>
      </c>
      <c r="U72" s="88">
        <f t="shared" si="98"/>
        <v>0</v>
      </c>
      <c r="V72" s="88">
        <f t="shared" si="98"/>
        <v>0</v>
      </c>
      <c r="W72" s="88">
        <f t="shared" si="98"/>
        <v>0</v>
      </c>
      <c r="X72" s="88">
        <f t="shared" si="98"/>
        <v>0</v>
      </c>
      <c r="Y72" s="88">
        <f t="shared" si="98"/>
        <v>0</v>
      </c>
      <c r="Z72" s="88">
        <f t="shared" si="98"/>
        <v>0</v>
      </c>
      <c r="AA72" s="88">
        <f t="shared" si="98"/>
        <v>0</v>
      </c>
      <c r="AB72" s="10">
        <f t="shared" si="98"/>
        <v>0</v>
      </c>
      <c r="AC72" s="10">
        <f t="shared" si="98"/>
        <v>0</v>
      </c>
      <c r="AD72" s="10">
        <f t="shared" si="98"/>
        <v>0</v>
      </c>
      <c r="AE72" s="10">
        <f t="shared" si="98"/>
        <v>0</v>
      </c>
      <c r="AF72" s="10">
        <f t="shared" si="98"/>
        <v>0</v>
      </c>
      <c r="AG72" s="10">
        <f t="shared" si="98"/>
        <v>0</v>
      </c>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row>
    <row r="85">
      <c r="BJ85" s="10"/>
      <c r="BK85" s="10"/>
      <c r="BL85" s="10"/>
      <c r="BM85" s="10"/>
    </row>
    <row r="86">
      <c r="A86" s="4" t="s">
        <v>826</v>
      </c>
      <c r="B86" s="4" t="s">
        <v>827</v>
      </c>
      <c r="C86" s="4" t="s">
        <v>828</v>
      </c>
      <c r="D86" s="4" t="s">
        <v>829</v>
      </c>
      <c r="E86" s="4" t="s">
        <v>830</v>
      </c>
      <c r="F86" s="4" t="s">
        <v>831</v>
      </c>
      <c r="G86" s="4" t="s">
        <v>832</v>
      </c>
      <c r="H86" s="4" t="s">
        <v>833</v>
      </c>
      <c r="I86" s="4" t="s">
        <v>834</v>
      </c>
      <c r="J86" s="4" t="s">
        <v>835</v>
      </c>
      <c r="K86" s="4" t="s">
        <v>836</v>
      </c>
      <c r="L86" s="4" t="s">
        <v>837</v>
      </c>
      <c r="M86" s="4" t="s">
        <v>838</v>
      </c>
      <c r="N86" s="4" t="s">
        <v>839</v>
      </c>
      <c r="O86" s="4" t="s">
        <v>840</v>
      </c>
      <c r="P86" s="4" t="s">
        <v>841</v>
      </c>
      <c r="Q86" s="4" t="s">
        <v>842</v>
      </c>
      <c r="R86" s="4" t="s">
        <v>843</v>
      </c>
      <c r="S86" s="4" t="s">
        <v>844</v>
      </c>
      <c r="T86" s="4" t="s">
        <v>845</v>
      </c>
      <c r="U86" s="4" t="s">
        <v>846</v>
      </c>
      <c r="V86" s="4" t="s">
        <v>847</v>
      </c>
      <c r="W86" s="4" t="s">
        <v>848</v>
      </c>
      <c r="X86" s="4" t="s">
        <v>849</v>
      </c>
      <c r="Y86" s="4" t="s">
        <v>850</v>
      </c>
      <c r="Z86" s="4" t="s">
        <v>851</v>
      </c>
      <c r="AA86" s="4" t="s">
        <v>852</v>
      </c>
      <c r="AB86" s="4" t="s">
        <v>794</v>
      </c>
      <c r="AC86" s="4" t="s">
        <v>795</v>
      </c>
      <c r="AD86" s="4" t="s">
        <v>796</v>
      </c>
      <c r="AE86" s="4" t="s">
        <v>797</v>
      </c>
      <c r="AF86" s="4" t="s">
        <v>798</v>
      </c>
      <c r="AG86" s="4" t="s">
        <v>799</v>
      </c>
      <c r="AH86" s="4" t="s">
        <v>800</v>
      </c>
      <c r="AI86" s="4" t="s">
        <v>801</v>
      </c>
      <c r="AJ86" s="4" t="s">
        <v>802</v>
      </c>
      <c r="AK86" s="4" t="s">
        <v>803</v>
      </c>
      <c r="AL86" s="4" t="s">
        <v>804</v>
      </c>
      <c r="AM86" s="4" t="s">
        <v>805</v>
      </c>
      <c r="AN86" s="4" t="s">
        <v>806</v>
      </c>
      <c r="AO86" s="4" t="s">
        <v>807</v>
      </c>
      <c r="AP86" s="4" t="s">
        <v>808</v>
      </c>
      <c r="AQ86" s="4" t="s">
        <v>809</v>
      </c>
      <c r="AR86" s="4" t="s">
        <v>810</v>
      </c>
      <c r="AS86" s="4" t="s">
        <v>811</v>
      </c>
      <c r="AT86" s="4" t="s">
        <v>812</v>
      </c>
      <c r="AU86" s="4" t="s">
        <v>813</v>
      </c>
      <c r="AV86" s="4" t="s">
        <v>814</v>
      </c>
      <c r="AW86" s="4" t="s">
        <v>815</v>
      </c>
      <c r="AX86" s="4" t="s">
        <v>816</v>
      </c>
      <c r="AY86" s="4" t="s">
        <v>817</v>
      </c>
      <c r="AZ86" s="4" t="s">
        <v>818</v>
      </c>
      <c r="BA86" s="4" t="s">
        <v>819</v>
      </c>
      <c r="BB86" s="4" t="s">
        <v>820</v>
      </c>
      <c r="BC86" s="4" t="s">
        <v>821</v>
      </c>
      <c r="BD86" s="4" t="s">
        <v>853</v>
      </c>
      <c r="BE86" s="4" t="s">
        <v>854</v>
      </c>
      <c r="BF86" s="4" t="s">
        <v>822</v>
      </c>
      <c r="BG86" s="4" t="s">
        <v>823</v>
      </c>
      <c r="BH86" s="4" t="s">
        <v>855</v>
      </c>
      <c r="BI86" s="4" t="s">
        <v>856</v>
      </c>
      <c r="BJ86" s="4" t="s">
        <v>824</v>
      </c>
      <c r="BK86" s="4" t="s">
        <v>825</v>
      </c>
      <c r="BL86" s="4" t="s">
        <v>857</v>
      </c>
      <c r="BM86" s="4" t="s">
        <v>858</v>
      </c>
    </row>
    <row r="87">
      <c r="A87" s="4" t="s">
        <v>422</v>
      </c>
      <c r="B87" s="88">
        <f t="shared" ref="B87:BM87" si="99">0</f>
        <v>0</v>
      </c>
      <c r="C87" s="88">
        <f t="shared" si="99"/>
        <v>0</v>
      </c>
      <c r="D87" s="88">
        <f t="shared" si="99"/>
        <v>0</v>
      </c>
      <c r="E87" s="88">
        <f t="shared" si="99"/>
        <v>0</v>
      </c>
      <c r="F87" s="88">
        <f t="shared" si="99"/>
        <v>0</v>
      </c>
      <c r="G87" s="88">
        <f t="shared" si="99"/>
        <v>0</v>
      </c>
      <c r="H87" s="88">
        <f t="shared" si="99"/>
        <v>0</v>
      </c>
      <c r="I87" s="88">
        <f t="shared" si="99"/>
        <v>0</v>
      </c>
      <c r="J87" s="88">
        <f t="shared" si="99"/>
        <v>0</v>
      </c>
      <c r="K87" s="88">
        <f t="shared" si="99"/>
        <v>0</v>
      </c>
      <c r="L87" s="88">
        <f t="shared" si="99"/>
        <v>0</v>
      </c>
      <c r="M87" s="88">
        <f t="shared" si="99"/>
        <v>0</v>
      </c>
      <c r="N87" s="88">
        <f t="shared" si="99"/>
        <v>0</v>
      </c>
      <c r="O87" s="88">
        <f t="shared" si="99"/>
        <v>0</v>
      </c>
      <c r="P87" s="88">
        <f t="shared" si="99"/>
        <v>0</v>
      </c>
      <c r="Q87" s="88">
        <f t="shared" si="99"/>
        <v>0</v>
      </c>
      <c r="R87" s="88">
        <f t="shared" si="99"/>
        <v>0</v>
      </c>
      <c r="S87" s="88">
        <f t="shared" si="99"/>
        <v>0</v>
      </c>
      <c r="T87" s="88">
        <f t="shared" si="99"/>
        <v>0</v>
      </c>
      <c r="U87" s="88">
        <f t="shared" si="99"/>
        <v>0</v>
      </c>
      <c r="V87" s="88">
        <f t="shared" si="99"/>
        <v>0</v>
      </c>
      <c r="W87" s="88">
        <f t="shared" si="99"/>
        <v>0</v>
      </c>
      <c r="X87" s="88">
        <f t="shared" si="99"/>
        <v>0</v>
      </c>
      <c r="Y87" s="88">
        <f t="shared" si="99"/>
        <v>0</v>
      </c>
      <c r="Z87" s="88">
        <f t="shared" si="99"/>
        <v>0</v>
      </c>
      <c r="AA87" s="88">
        <f t="shared" si="99"/>
        <v>0</v>
      </c>
      <c r="AB87" s="88">
        <f t="shared" si="99"/>
        <v>0</v>
      </c>
      <c r="AC87" s="88">
        <f t="shared" si="99"/>
        <v>0</v>
      </c>
      <c r="AD87" s="88">
        <f t="shared" si="99"/>
        <v>0</v>
      </c>
      <c r="AE87" s="88">
        <f t="shared" si="99"/>
        <v>0</v>
      </c>
      <c r="AF87" s="88">
        <f t="shared" si="99"/>
        <v>0</v>
      </c>
      <c r="AG87" s="88">
        <f t="shared" si="99"/>
        <v>0</v>
      </c>
      <c r="AH87" s="88">
        <f t="shared" si="99"/>
        <v>0</v>
      </c>
      <c r="AI87" s="88">
        <f t="shared" si="99"/>
        <v>0</v>
      </c>
      <c r="AJ87" s="88">
        <f t="shared" si="99"/>
        <v>0</v>
      </c>
      <c r="AK87" s="88">
        <f t="shared" si="99"/>
        <v>0</v>
      </c>
      <c r="AL87" s="88">
        <f t="shared" si="99"/>
        <v>0</v>
      </c>
      <c r="AM87" s="88">
        <f t="shared" si="99"/>
        <v>0</v>
      </c>
      <c r="AN87" s="88">
        <f t="shared" si="99"/>
        <v>0</v>
      </c>
      <c r="AO87" s="88">
        <f t="shared" si="99"/>
        <v>0</v>
      </c>
      <c r="AP87" s="88">
        <f t="shared" si="99"/>
        <v>0</v>
      </c>
      <c r="AQ87" s="88">
        <f t="shared" si="99"/>
        <v>0</v>
      </c>
      <c r="AR87" s="88">
        <f t="shared" si="99"/>
        <v>0</v>
      </c>
      <c r="AS87" s="88">
        <f t="shared" si="99"/>
        <v>0</v>
      </c>
      <c r="AT87" s="88">
        <f t="shared" si="99"/>
        <v>0</v>
      </c>
      <c r="AU87" s="88">
        <f t="shared" si="99"/>
        <v>0</v>
      </c>
      <c r="AV87" s="88">
        <f t="shared" si="99"/>
        <v>0</v>
      </c>
      <c r="AW87" s="88">
        <f t="shared" si="99"/>
        <v>0</v>
      </c>
      <c r="AX87" s="88">
        <f t="shared" si="99"/>
        <v>0</v>
      </c>
      <c r="AY87" s="88">
        <f t="shared" si="99"/>
        <v>0</v>
      </c>
      <c r="AZ87" s="88">
        <f t="shared" si="99"/>
        <v>0</v>
      </c>
      <c r="BA87" s="88">
        <f t="shared" si="99"/>
        <v>0</v>
      </c>
      <c r="BB87" s="10">
        <f t="shared" si="99"/>
        <v>0</v>
      </c>
      <c r="BC87" s="10">
        <f t="shared" si="99"/>
        <v>0</v>
      </c>
      <c r="BD87" s="10">
        <f t="shared" si="99"/>
        <v>0</v>
      </c>
      <c r="BE87" s="10">
        <f t="shared" si="99"/>
        <v>0</v>
      </c>
      <c r="BF87" s="10">
        <f t="shared" si="99"/>
        <v>0</v>
      </c>
      <c r="BG87" s="10">
        <f t="shared" si="99"/>
        <v>0</v>
      </c>
      <c r="BH87" s="10">
        <f t="shared" si="99"/>
        <v>0</v>
      </c>
      <c r="BI87" s="10">
        <f t="shared" si="99"/>
        <v>0</v>
      </c>
      <c r="BJ87" s="10">
        <f t="shared" si="99"/>
        <v>0</v>
      </c>
      <c r="BK87" s="10">
        <f t="shared" si="99"/>
        <v>0</v>
      </c>
      <c r="BL87" s="10">
        <f t="shared" si="99"/>
        <v>0</v>
      </c>
      <c r="BM87" s="10">
        <f t="shared" si="99"/>
        <v>0</v>
      </c>
    </row>
    <row r="88">
      <c r="A88" s="4" t="s">
        <v>160</v>
      </c>
      <c r="B88" s="88">
        <f t="shared" ref="B88:AC88" si="100">0</f>
        <v>0</v>
      </c>
      <c r="C88" s="88">
        <f t="shared" si="100"/>
        <v>0</v>
      </c>
      <c r="D88" s="88">
        <f t="shared" si="100"/>
        <v>0</v>
      </c>
      <c r="E88" s="88">
        <f t="shared" si="100"/>
        <v>0</v>
      </c>
      <c r="F88" s="88">
        <f t="shared" si="100"/>
        <v>0</v>
      </c>
      <c r="G88" s="88">
        <f t="shared" si="100"/>
        <v>0</v>
      </c>
      <c r="H88" s="88">
        <f t="shared" si="100"/>
        <v>0</v>
      </c>
      <c r="I88" s="88">
        <f t="shared" si="100"/>
        <v>0</v>
      </c>
      <c r="J88" s="88">
        <f t="shared" si="100"/>
        <v>0</v>
      </c>
      <c r="K88" s="88">
        <f t="shared" si="100"/>
        <v>0</v>
      </c>
      <c r="L88" s="88">
        <f t="shared" si="100"/>
        <v>0</v>
      </c>
      <c r="M88" s="88">
        <f t="shared" si="100"/>
        <v>0</v>
      </c>
      <c r="N88" s="88">
        <f t="shared" si="100"/>
        <v>0</v>
      </c>
      <c r="O88" s="88">
        <f t="shared" si="100"/>
        <v>0</v>
      </c>
      <c r="P88" s="88">
        <f t="shared" si="100"/>
        <v>0</v>
      </c>
      <c r="Q88" s="88">
        <f t="shared" si="100"/>
        <v>0</v>
      </c>
      <c r="R88" s="88">
        <f t="shared" si="100"/>
        <v>0</v>
      </c>
      <c r="S88" s="88">
        <f t="shared" si="100"/>
        <v>0</v>
      </c>
      <c r="T88" s="88">
        <f t="shared" si="100"/>
        <v>0</v>
      </c>
      <c r="U88" s="88">
        <f t="shared" si="100"/>
        <v>0</v>
      </c>
      <c r="V88" s="88">
        <f t="shared" si="100"/>
        <v>0</v>
      </c>
      <c r="W88" s="88">
        <f t="shared" si="100"/>
        <v>0</v>
      </c>
      <c r="X88" s="88">
        <f t="shared" si="100"/>
        <v>0</v>
      </c>
      <c r="Y88" s="88">
        <f t="shared" si="100"/>
        <v>0</v>
      </c>
      <c r="Z88" s="88">
        <f t="shared" si="100"/>
        <v>0</v>
      </c>
      <c r="AA88" s="88">
        <f t="shared" si="100"/>
        <v>0</v>
      </c>
      <c r="AB88" s="88">
        <f t="shared" si="100"/>
        <v>0</v>
      </c>
      <c r="AC88" s="88">
        <f t="shared" si="100"/>
        <v>0</v>
      </c>
      <c r="AD88" s="10">
        <f>18</f>
        <v>18</v>
      </c>
      <c r="AE88" s="88">
        <f t="shared" ref="AE88:AS88" si="101">0</f>
        <v>0</v>
      </c>
      <c r="AF88" s="88">
        <f t="shared" si="101"/>
        <v>0</v>
      </c>
      <c r="AG88" s="88">
        <f t="shared" si="101"/>
        <v>0</v>
      </c>
      <c r="AH88" s="88">
        <f t="shared" si="101"/>
        <v>0</v>
      </c>
      <c r="AI88" s="88">
        <f t="shared" si="101"/>
        <v>0</v>
      </c>
      <c r="AJ88" s="88">
        <f t="shared" si="101"/>
        <v>0</v>
      </c>
      <c r="AK88" s="88">
        <f t="shared" si="101"/>
        <v>0</v>
      </c>
      <c r="AL88" s="88">
        <f t="shared" si="101"/>
        <v>0</v>
      </c>
      <c r="AM88" s="88">
        <f t="shared" si="101"/>
        <v>0</v>
      </c>
      <c r="AN88" s="88">
        <f t="shared" si="101"/>
        <v>0</v>
      </c>
      <c r="AO88" s="88">
        <f t="shared" si="101"/>
        <v>0</v>
      </c>
      <c r="AP88" s="88">
        <f t="shared" si="101"/>
        <v>0</v>
      </c>
      <c r="AQ88" s="88">
        <f t="shared" si="101"/>
        <v>0</v>
      </c>
      <c r="AR88" s="88">
        <f t="shared" si="101"/>
        <v>0</v>
      </c>
      <c r="AS88" s="88">
        <f t="shared" si="101"/>
        <v>0</v>
      </c>
      <c r="AT88" s="10">
        <f>18</f>
        <v>18</v>
      </c>
      <c r="AU88" s="88">
        <f t="shared" ref="AU88:AW88" si="102">0</f>
        <v>0</v>
      </c>
      <c r="AV88" s="88">
        <f t="shared" si="102"/>
        <v>0</v>
      </c>
      <c r="AW88" s="88">
        <f t="shared" si="102"/>
        <v>0</v>
      </c>
      <c r="AX88" s="10">
        <f t="shared" ref="AX88:AY88" si="103">18</f>
        <v>18</v>
      </c>
      <c r="AY88" s="10">
        <f t="shared" si="103"/>
        <v>18</v>
      </c>
      <c r="AZ88" s="88">
        <f t="shared" ref="AZ88:BM88" si="104">0</f>
        <v>0</v>
      </c>
      <c r="BA88" s="88">
        <f t="shared" si="104"/>
        <v>0</v>
      </c>
      <c r="BB88" s="10">
        <f t="shared" si="104"/>
        <v>0</v>
      </c>
      <c r="BC88" s="10">
        <f t="shared" si="104"/>
        <v>0</v>
      </c>
      <c r="BD88" s="10">
        <f t="shared" si="104"/>
        <v>0</v>
      </c>
      <c r="BE88" s="10">
        <f t="shared" si="104"/>
        <v>0</v>
      </c>
      <c r="BF88" s="10">
        <f t="shared" si="104"/>
        <v>0</v>
      </c>
      <c r="BG88" s="10">
        <f t="shared" si="104"/>
        <v>0</v>
      </c>
      <c r="BH88" s="10">
        <f t="shared" si="104"/>
        <v>0</v>
      </c>
      <c r="BI88" s="10">
        <f t="shared" si="104"/>
        <v>0</v>
      </c>
      <c r="BJ88" s="10">
        <f t="shared" si="104"/>
        <v>0</v>
      </c>
      <c r="BK88" s="10">
        <f t="shared" si="104"/>
        <v>0</v>
      </c>
      <c r="BL88" s="10">
        <f t="shared" si="104"/>
        <v>0</v>
      </c>
      <c r="BM88" s="10">
        <f t="shared" si="104"/>
        <v>0</v>
      </c>
    </row>
    <row r="89">
      <c r="A89" s="181" t="s">
        <v>423</v>
      </c>
      <c r="B89" s="88">
        <f t="shared" ref="B89:BM89" si="105">0</f>
        <v>0</v>
      </c>
      <c r="C89" s="88">
        <f t="shared" si="105"/>
        <v>0</v>
      </c>
      <c r="D89" s="88">
        <f t="shared" si="105"/>
        <v>0</v>
      </c>
      <c r="E89" s="88">
        <f t="shared" si="105"/>
        <v>0</v>
      </c>
      <c r="F89" s="88">
        <f t="shared" si="105"/>
        <v>0</v>
      </c>
      <c r="G89" s="88">
        <f t="shared" si="105"/>
        <v>0</v>
      </c>
      <c r="H89" s="88">
        <f t="shared" si="105"/>
        <v>0</v>
      </c>
      <c r="I89" s="88">
        <f t="shared" si="105"/>
        <v>0</v>
      </c>
      <c r="J89" s="88">
        <f t="shared" si="105"/>
        <v>0</v>
      </c>
      <c r="K89" s="88">
        <f t="shared" si="105"/>
        <v>0</v>
      </c>
      <c r="L89" s="88">
        <f t="shared" si="105"/>
        <v>0</v>
      </c>
      <c r="M89" s="88">
        <f t="shared" si="105"/>
        <v>0</v>
      </c>
      <c r="N89" s="88">
        <f t="shared" si="105"/>
        <v>0</v>
      </c>
      <c r="O89" s="88">
        <f t="shared" si="105"/>
        <v>0</v>
      </c>
      <c r="P89" s="88">
        <f t="shared" si="105"/>
        <v>0</v>
      </c>
      <c r="Q89" s="88">
        <f t="shared" si="105"/>
        <v>0</v>
      </c>
      <c r="R89" s="88">
        <f t="shared" si="105"/>
        <v>0</v>
      </c>
      <c r="S89" s="88">
        <f t="shared" si="105"/>
        <v>0</v>
      </c>
      <c r="T89" s="88">
        <f t="shared" si="105"/>
        <v>0</v>
      </c>
      <c r="U89" s="88">
        <f t="shared" si="105"/>
        <v>0</v>
      </c>
      <c r="V89" s="88">
        <f t="shared" si="105"/>
        <v>0</v>
      </c>
      <c r="W89" s="88">
        <f t="shared" si="105"/>
        <v>0</v>
      </c>
      <c r="X89" s="88">
        <f t="shared" si="105"/>
        <v>0</v>
      </c>
      <c r="Y89" s="88">
        <f t="shared" si="105"/>
        <v>0</v>
      </c>
      <c r="Z89" s="88">
        <f t="shared" si="105"/>
        <v>0</v>
      </c>
      <c r="AA89" s="88">
        <f t="shared" si="105"/>
        <v>0</v>
      </c>
      <c r="AB89" s="88">
        <f t="shared" si="105"/>
        <v>0</v>
      </c>
      <c r="AC89" s="88">
        <f t="shared" si="105"/>
        <v>0</v>
      </c>
      <c r="AD89" s="88">
        <f t="shared" si="105"/>
        <v>0</v>
      </c>
      <c r="AE89" s="88">
        <f t="shared" si="105"/>
        <v>0</v>
      </c>
      <c r="AF89" s="88">
        <f t="shared" si="105"/>
        <v>0</v>
      </c>
      <c r="AG89" s="88">
        <f t="shared" si="105"/>
        <v>0</v>
      </c>
      <c r="AH89" s="88">
        <f t="shared" si="105"/>
        <v>0</v>
      </c>
      <c r="AI89" s="88">
        <f t="shared" si="105"/>
        <v>0</v>
      </c>
      <c r="AJ89" s="88">
        <f t="shared" si="105"/>
        <v>0</v>
      </c>
      <c r="AK89" s="88">
        <f t="shared" si="105"/>
        <v>0</v>
      </c>
      <c r="AL89" s="88">
        <f t="shared" si="105"/>
        <v>0</v>
      </c>
      <c r="AM89" s="88">
        <f t="shared" si="105"/>
        <v>0</v>
      </c>
      <c r="AN89" s="88">
        <f t="shared" si="105"/>
        <v>0</v>
      </c>
      <c r="AO89" s="88">
        <f t="shared" si="105"/>
        <v>0</v>
      </c>
      <c r="AP89" s="88">
        <f t="shared" si="105"/>
        <v>0</v>
      </c>
      <c r="AQ89" s="88">
        <f t="shared" si="105"/>
        <v>0</v>
      </c>
      <c r="AR89" s="88">
        <f t="shared" si="105"/>
        <v>0</v>
      </c>
      <c r="AS89" s="88">
        <f t="shared" si="105"/>
        <v>0</v>
      </c>
      <c r="AT89" s="88">
        <f t="shared" si="105"/>
        <v>0</v>
      </c>
      <c r="AU89" s="88">
        <f t="shared" si="105"/>
        <v>0</v>
      </c>
      <c r="AV89" s="88">
        <f t="shared" si="105"/>
        <v>0</v>
      </c>
      <c r="AW89" s="88">
        <f t="shared" si="105"/>
        <v>0</v>
      </c>
      <c r="AX89" s="88">
        <f t="shared" si="105"/>
        <v>0</v>
      </c>
      <c r="AY89" s="88">
        <f t="shared" si="105"/>
        <v>0</v>
      </c>
      <c r="AZ89" s="88">
        <f t="shared" si="105"/>
        <v>0</v>
      </c>
      <c r="BA89" s="88">
        <f t="shared" si="105"/>
        <v>0</v>
      </c>
      <c r="BB89" s="10">
        <f t="shared" si="105"/>
        <v>0</v>
      </c>
      <c r="BC89" s="10">
        <f t="shared" si="105"/>
        <v>0</v>
      </c>
      <c r="BD89" s="10">
        <f t="shared" si="105"/>
        <v>0</v>
      </c>
      <c r="BE89" s="10">
        <f t="shared" si="105"/>
        <v>0</v>
      </c>
      <c r="BF89" s="10">
        <f t="shared" si="105"/>
        <v>0</v>
      </c>
      <c r="BG89" s="10">
        <f t="shared" si="105"/>
        <v>0</v>
      </c>
      <c r="BH89" s="10">
        <f t="shared" si="105"/>
        <v>0</v>
      </c>
      <c r="BI89" s="10">
        <f t="shared" si="105"/>
        <v>0</v>
      </c>
      <c r="BJ89" s="10">
        <f t="shared" si="105"/>
        <v>0</v>
      </c>
      <c r="BK89" s="10">
        <f t="shared" si="105"/>
        <v>0</v>
      </c>
      <c r="BL89" s="10">
        <f t="shared" si="105"/>
        <v>0</v>
      </c>
      <c r="BM89" s="10">
        <f t="shared" si="105"/>
        <v>0</v>
      </c>
    </row>
    <row r="90">
      <c r="A90" s="181" t="s">
        <v>424</v>
      </c>
      <c r="B90" s="88">
        <f t="shared" ref="B90:BM90" si="106">0</f>
        <v>0</v>
      </c>
      <c r="C90" s="88">
        <f t="shared" si="106"/>
        <v>0</v>
      </c>
      <c r="D90" s="88">
        <f t="shared" si="106"/>
        <v>0</v>
      </c>
      <c r="E90" s="88">
        <f t="shared" si="106"/>
        <v>0</v>
      </c>
      <c r="F90" s="88">
        <f t="shared" si="106"/>
        <v>0</v>
      </c>
      <c r="G90" s="88">
        <f t="shared" si="106"/>
        <v>0</v>
      </c>
      <c r="H90" s="88">
        <f t="shared" si="106"/>
        <v>0</v>
      </c>
      <c r="I90" s="88">
        <f t="shared" si="106"/>
        <v>0</v>
      </c>
      <c r="J90" s="88">
        <f t="shared" si="106"/>
        <v>0</v>
      </c>
      <c r="K90" s="88">
        <f t="shared" si="106"/>
        <v>0</v>
      </c>
      <c r="L90" s="88">
        <f t="shared" si="106"/>
        <v>0</v>
      </c>
      <c r="M90" s="88">
        <f t="shared" si="106"/>
        <v>0</v>
      </c>
      <c r="N90" s="88">
        <f t="shared" si="106"/>
        <v>0</v>
      </c>
      <c r="O90" s="88">
        <f t="shared" si="106"/>
        <v>0</v>
      </c>
      <c r="P90" s="88">
        <f t="shared" si="106"/>
        <v>0</v>
      </c>
      <c r="Q90" s="88">
        <f t="shared" si="106"/>
        <v>0</v>
      </c>
      <c r="R90" s="88">
        <f t="shared" si="106"/>
        <v>0</v>
      </c>
      <c r="S90" s="88">
        <f t="shared" si="106"/>
        <v>0</v>
      </c>
      <c r="T90" s="88">
        <f t="shared" si="106"/>
        <v>0</v>
      </c>
      <c r="U90" s="88">
        <f t="shared" si="106"/>
        <v>0</v>
      </c>
      <c r="V90" s="88">
        <f t="shared" si="106"/>
        <v>0</v>
      </c>
      <c r="W90" s="88">
        <f t="shared" si="106"/>
        <v>0</v>
      </c>
      <c r="X90" s="88">
        <f t="shared" si="106"/>
        <v>0</v>
      </c>
      <c r="Y90" s="88">
        <f t="shared" si="106"/>
        <v>0</v>
      </c>
      <c r="Z90" s="88">
        <f t="shared" si="106"/>
        <v>0</v>
      </c>
      <c r="AA90" s="88">
        <f t="shared" si="106"/>
        <v>0</v>
      </c>
      <c r="AB90" s="88">
        <f t="shared" si="106"/>
        <v>0</v>
      </c>
      <c r="AC90" s="88">
        <f t="shared" si="106"/>
        <v>0</v>
      </c>
      <c r="AD90" s="88">
        <f t="shared" si="106"/>
        <v>0</v>
      </c>
      <c r="AE90" s="88">
        <f t="shared" si="106"/>
        <v>0</v>
      </c>
      <c r="AF90" s="88">
        <f t="shared" si="106"/>
        <v>0</v>
      </c>
      <c r="AG90" s="88">
        <f t="shared" si="106"/>
        <v>0</v>
      </c>
      <c r="AH90" s="88">
        <f t="shared" si="106"/>
        <v>0</v>
      </c>
      <c r="AI90" s="88">
        <f t="shared" si="106"/>
        <v>0</v>
      </c>
      <c r="AJ90" s="88">
        <f t="shared" si="106"/>
        <v>0</v>
      </c>
      <c r="AK90" s="88">
        <f t="shared" si="106"/>
        <v>0</v>
      </c>
      <c r="AL90" s="88">
        <f t="shared" si="106"/>
        <v>0</v>
      </c>
      <c r="AM90" s="88">
        <f t="shared" si="106"/>
        <v>0</v>
      </c>
      <c r="AN90" s="88">
        <f t="shared" si="106"/>
        <v>0</v>
      </c>
      <c r="AO90" s="88">
        <f t="shared" si="106"/>
        <v>0</v>
      </c>
      <c r="AP90" s="88">
        <f t="shared" si="106"/>
        <v>0</v>
      </c>
      <c r="AQ90" s="88">
        <f t="shared" si="106"/>
        <v>0</v>
      </c>
      <c r="AR90" s="88">
        <f t="shared" si="106"/>
        <v>0</v>
      </c>
      <c r="AS90" s="88">
        <f t="shared" si="106"/>
        <v>0</v>
      </c>
      <c r="AT90" s="88">
        <f t="shared" si="106"/>
        <v>0</v>
      </c>
      <c r="AU90" s="88">
        <f t="shared" si="106"/>
        <v>0</v>
      </c>
      <c r="AV90" s="88">
        <f t="shared" si="106"/>
        <v>0</v>
      </c>
      <c r="AW90" s="88">
        <f t="shared" si="106"/>
        <v>0</v>
      </c>
      <c r="AX90" s="88">
        <f t="shared" si="106"/>
        <v>0</v>
      </c>
      <c r="AY90" s="88">
        <f t="shared" si="106"/>
        <v>0</v>
      </c>
      <c r="AZ90" s="88">
        <f t="shared" si="106"/>
        <v>0</v>
      </c>
      <c r="BA90" s="88">
        <f t="shared" si="106"/>
        <v>0</v>
      </c>
      <c r="BB90" s="10">
        <f t="shared" si="106"/>
        <v>0</v>
      </c>
      <c r="BC90" s="10">
        <f t="shared" si="106"/>
        <v>0</v>
      </c>
      <c r="BD90" s="10">
        <f t="shared" si="106"/>
        <v>0</v>
      </c>
      <c r="BE90" s="10">
        <f t="shared" si="106"/>
        <v>0</v>
      </c>
      <c r="BF90" s="10">
        <f t="shared" si="106"/>
        <v>0</v>
      </c>
      <c r="BG90" s="10">
        <f t="shared" si="106"/>
        <v>0</v>
      </c>
      <c r="BH90" s="10">
        <f t="shared" si="106"/>
        <v>0</v>
      </c>
      <c r="BI90" s="10">
        <f t="shared" si="106"/>
        <v>0</v>
      </c>
      <c r="BJ90" s="10">
        <f t="shared" si="106"/>
        <v>0</v>
      </c>
      <c r="BK90" s="10">
        <f t="shared" si="106"/>
        <v>0</v>
      </c>
      <c r="BL90" s="10">
        <f t="shared" si="106"/>
        <v>0</v>
      </c>
      <c r="BM90" s="10">
        <f t="shared" si="106"/>
        <v>0</v>
      </c>
    </row>
    <row r="91">
      <c r="A91" s="181" t="s">
        <v>425</v>
      </c>
      <c r="B91" s="88">
        <f t="shared" ref="B91:BM91" si="107">0</f>
        <v>0</v>
      </c>
      <c r="C91" s="88">
        <f t="shared" si="107"/>
        <v>0</v>
      </c>
      <c r="D91" s="88">
        <f t="shared" si="107"/>
        <v>0</v>
      </c>
      <c r="E91" s="88">
        <f t="shared" si="107"/>
        <v>0</v>
      </c>
      <c r="F91" s="88">
        <f t="shared" si="107"/>
        <v>0</v>
      </c>
      <c r="G91" s="88">
        <f t="shared" si="107"/>
        <v>0</v>
      </c>
      <c r="H91" s="88">
        <f t="shared" si="107"/>
        <v>0</v>
      </c>
      <c r="I91" s="88">
        <f t="shared" si="107"/>
        <v>0</v>
      </c>
      <c r="J91" s="88">
        <f t="shared" si="107"/>
        <v>0</v>
      </c>
      <c r="K91" s="88">
        <f t="shared" si="107"/>
        <v>0</v>
      </c>
      <c r="L91" s="88">
        <f t="shared" si="107"/>
        <v>0</v>
      </c>
      <c r="M91" s="88">
        <f t="shared" si="107"/>
        <v>0</v>
      </c>
      <c r="N91" s="88">
        <f t="shared" si="107"/>
        <v>0</v>
      </c>
      <c r="O91" s="88">
        <f t="shared" si="107"/>
        <v>0</v>
      </c>
      <c r="P91" s="88">
        <f t="shared" si="107"/>
        <v>0</v>
      </c>
      <c r="Q91" s="88">
        <f t="shared" si="107"/>
        <v>0</v>
      </c>
      <c r="R91" s="88">
        <f t="shared" si="107"/>
        <v>0</v>
      </c>
      <c r="S91" s="88">
        <f t="shared" si="107"/>
        <v>0</v>
      </c>
      <c r="T91" s="88">
        <f t="shared" si="107"/>
        <v>0</v>
      </c>
      <c r="U91" s="88">
        <f t="shared" si="107"/>
        <v>0</v>
      </c>
      <c r="V91" s="88">
        <f t="shared" si="107"/>
        <v>0</v>
      </c>
      <c r="W91" s="88">
        <f t="shared" si="107"/>
        <v>0</v>
      </c>
      <c r="X91" s="88">
        <f t="shared" si="107"/>
        <v>0</v>
      </c>
      <c r="Y91" s="88">
        <f t="shared" si="107"/>
        <v>0</v>
      </c>
      <c r="Z91" s="88">
        <f t="shared" si="107"/>
        <v>0</v>
      </c>
      <c r="AA91" s="88">
        <f t="shared" si="107"/>
        <v>0</v>
      </c>
      <c r="AB91" s="88">
        <f t="shared" si="107"/>
        <v>0</v>
      </c>
      <c r="AC91" s="88">
        <f t="shared" si="107"/>
        <v>0</v>
      </c>
      <c r="AD91" s="88">
        <f t="shared" si="107"/>
        <v>0</v>
      </c>
      <c r="AE91" s="88">
        <f t="shared" si="107"/>
        <v>0</v>
      </c>
      <c r="AF91" s="88">
        <f t="shared" si="107"/>
        <v>0</v>
      </c>
      <c r="AG91" s="88">
        <f t="shared" si="107"/>
        <v>0</v>
      </c>
      <c r="AH91" s="88">
        <f t="shared" si="107"/>
        <v>0</v>
      </c>
      <c r="AI91" s="88">
        <f t="shared" si="107"/>
        <v>0</v>
      </c>
      <c r="AJ91" s="88">
        <f t="shared" si="107"/>
        <v>0</v>
      </c>
      <c r="AK91" s="88">
        <f t="shared" si="107"/>
        <v>0</v>
      </c>
      <c r="AL91" s="88">
        <f t="shared" si="107"/>
        <v>0</v>
      </c>
      <c r="AM91" s="88">
        <f t="shared" si="107"/>
        <v>0</v>
      </c>
      <c r="AN91" s="88">
        <f t="shared" si="107"/>
        <v>0</v>
      </c>
      <c r="AO91" s="88">
        <f t="shared" si="107"/>
        <v>0</v>
      </c>
      <c r="AP91" s="88">
        <f t="shared" si="107"/>
        <v>0</v>
      </c>
      <c r="AQ91" s="88">
        <f t="shared" si="107"/>
        <v>0</v>
      </c>
      <c r="AR91" s="88">
        <f t="shared" si="107"/>
        <v>0</v>
      </c>
      <c r="AS91" s="88">
        <f t="shared" si="107"/>
        <v>0</v>
      </c>
      <c r="AT91" s="88">
        <f t="shared" si="107"/>
        <v>0</v>
      </c>
      <c r="AU91" s="88">
        <f t="shared" si="107"/>
        <v>0</v>
      </c>
      <c r="AV91" s="88">
        <f t="shared" si="107"/>
        <v>0</v>
      </c>
      <c r="AW91" s="88">
        <f t="shared" si="107"/>
        <v>0</v>
      </c>
      <c r="AX91" s="88">
        <f t="shared" si="107"/>
        <v>0</v>
      </c>
      <c r="AY91" s="88">
        <f t="shared" si="107"/>
        <v>0</v>
      </c>
      <c r="AZ91" s="88">
        <f t="shared" si="107"/>
        <v>0</v>
      </c>
      <c r="BA91" s="88">
        <f t="shared" si="107"/>
        <v>0</v>
      </c>
      <c r="BB91" s="10">
        <f t="shared" si="107"/>
        <v>0</v>
      </c>
      <c r="BC91" s="10">
        <f t="shared" si="107"/>
        <v>0</v>
      </c>
      <c r="BD91" s="10">
        <f t="shared" si="107"/>
        <v>0</v>
      </c>
      <c r="BE91" s="10">
        <f t="shared" si="107"/>
        <v>0</v>
      </c>
      <c r="BF91" s="10">
        <f t="shared" si="107"/>
        <v>0</v>
      </c>
      <c r="BG91" s="10">
        <f t="shared" si="107"/>
        <v>0</v>
      </c>
      <c r="BH91" s="10">
        <f t="shared" si="107"/>
        <v>0</v>
      </c>
      <c r="BI91" s="10">
        <f t="shared" si="107"/>
        <v>0</v>
      </c>
      <c r="BJ91" s="10">
        <f t="shared" si="107"/>
        <v>0</v>
      </c>
      <c r="BK91" s="10">
        <f t="shared" si="107"/>
        <v>0</v>
      </c>
      <c r="BL91" s="10">
        <f t="shared" si="107"/>
        <v>0</v>
      </c>
      <c r="BM91" s="10">
        <f t="shared" si="107"/>
        <v>0</v>
      </c>
    </row>
    <row r="92">
      <c r="A92" s="181" t="s">
        <v>161</v>
      </c>
      <c r="B92" s="88">
        <f t="shared" ref="B92:AU92" si="108">0</f>
        <v>0</v>
      </c>
      <c r="C92" s="88">
        <f t="shared" si="108"/>
        <v>0</v>
      </c>
      <c r="D92" s="88">
        <f t="shared" si="108"/>
        <v>0</v>
      </c>
      <c r="E92" s="88">
        <f t="shared" si="108"/>
        <v>0</v>
      </c>
      <c r="F92" s="88">
        <f t="shared" si="108"/>
        <v>0</v>
      </c>
      <c r="G92" s="88">
        <f t="shared" si="108"/>
        <v>0</v>
      </c>
      <c r="H92" s="88">
        <f t="shared" si="108"/>
        <v>0</v>
      </c>
      <c r="I92" s="88">
        <f t="shared" si="108"/>
        <v>0</v>
      </c>
      <c r="J92" s="88">
        <f t="shared" si="108"/>
        <v>0</v>
      </c>
      <c r="K92" s="88">
        <f t="shared" si="108"/>
        <v>0</v>
      </c>
      <c r="L92" s="88">
        <f t="shared" si="108"/>
        <v>0</v>
      </c>
      <c r="M92" s="88">
        <f t="shared" si="108"/>
        <v>0</v>
      </c>
      <c r="N92" s="88">
        <f t="shared" si="108"/>
        <v>0</v>
      </c>
      <c r="O92" s="88">
        <f t="shared" si="108"/>
        <v>0</v>
      </c>
      <c r="P92" s="88">
        <f t="shared" si="108"/>
        <v>0</v>
      </c>
      <c r="Q92" s="88">
        <f t="shared" si="108"/>
        <v>0</v>
      </c>
      <c r="R92" s="88">
        <f t="shared" si="108"/>
        <v>0</v>
      </c>
      <c r="S92" s="88">
        <f t="shared" si="108"/>
        <v>0</v>
      </c>
      <c r="T92" s="88">
        <f t="shared" si="108"/>
        <v>0</v>
      </c>
      <c r="U92" s="88">
        <f t="shared" si="108"/>
        <v>0</v>
      </c>
      <c r="V92" s="88">
        <f t="shared" si="108"/>
        <v>0</v>
      </c>
      <c r="W92" s="88">
        <f t="shared" si="108"/>
        <v>0</v>
      </c>
      <c r="X92" s="88">
        <f t="shared" si="108"/>
        <v>0</v>
      </c>
      <c r="Y92" s="88">
        <f t="shared" si="108"/>
        <v>0</v>
      </c>
      <c r="Z92" s="88">
        <f t="shared" si="108"/>
        <v>0</v>
      </c>
      <c r="AA92" s="88">
        <f t="shared" si="108"/>
        <v>0</v>
      </c>
      <c r="AB92" s="88">
        <f t="shared" si="108"/>
        <v>0</v>
      </c>
      <c r="AC92" s="88">
        <f t="shared" si="108"/>
        <v>0</v>
      </c>
      <c r="AD92" s="88">
        <f t="shared" si="108"/>
        <v>0</v>
      </c>
      <c r="AE92" s="88">
        <f t="shared" si="108"/>
        <v>0</v>
      </c>
      <c r="AF92" s="88">
        <f t="shared" si="108"/>
        <v>0</v>
      </c>
      <c r="AG92" s="88">
        <f t="shared" si="108"/>
        <v>0</v>
      </c>
      <c r="AH92" s="88">
        <f t="shared" si="108"/>
        <v>0</v>
      </c>
      <c r="AI92" s="88">
        <f t="shared" si="108"/>
        <v>0</v>
      </c>
      <c r="AJ92" s="88">
        <f t="shared" si="108"/>
        <v>0</v>
      </c>
      <c r="AK92" s="88">
        <f t="shared" si="108"/>
        <v>0</v>
      </c>
      <c r="AL92" s="88">
        <f t="shared" si="108"/>
        <v>0</v>
      </c>
      <c r="AM92" s="88">
        <f t="shared" si="108"/>
        <v>0</v>
      </c>
      <c r="AN92" s="88">
        <f t="shared" si="108"/>
        <v>0</v>
      </c>
      <c r="AO92" s="88">
        <f t="shared" si="108"/>
        <v>0</v>
      </c>
      <c r="AP92" s="88">
        <f t="shared" si="108"/>
        <v>0</v>
      </c>
      <c r="AQ92" s="88">
        <f t="shared" si="108"/>
        <v>0</v>
      </c>
      <c r="AR92" s="88">
        <f t="shared" si="108"/>
        <v>0</v>
      </c>
      <c r="AS92" s="88">
        <f t="shared" si="108"/>
        <v>0</v>
      </c>
      <c r="AT92" s="88">
        <f t="shared" si="108"/>
        <v>0</v>
      </c>
      <c r="AU92" s="88">
        <f t="shared" si="108"/>
        <v>0</v>
      </c>
      <c r="AV92" s="10">
        <f>30</f>
        <v>30</v>
      </c>
      <c r="AW92" s="88">
        <f t="shared" ref="AW92:BM92" si="109">0</f>
        <v>0</v>
      </c>
      <c r="AX92" s="88">
        <f t="shared" si="109"/>
        <v>0</v>
      </c>
      <c r="AY92" s="88">
        <f t="shared" si="109"/>
        <v>0</v>
      </c>
      <c r="AZ92" s="88">
        <f t="shared" si="109"/>
        <v>0</v>
      </c>
      <c r="BA92" s="88">
        <f t="shared" si="109"/>
        <v>0</v>
      </c>
      <c r="BB92" s="10">
        <f t="shared" si="109"/>
        <v>0</v>
      </c>
      <c r="BC92" s="10">
        <f t="shared" si="109"/>
        <v>0</v>
      </c>
      <c r="BD92" s="10">
        <f t="shared" si="109"/>
        <v>0</v>
      </c>
      <c r="BE92" s="10">
        <f t="shared" si="109"/>
        <v>0</v>
      </c>
      <c r="BF92" s="10">
        <f t="shared" si="109"/>
        <v>0</v>
      </c>
      <c r="BG92" s="10">
        <f t="shared" si="109"/>
        <v>0</v>
      </c>
      <c r="BH92" s="10">
        <f t="shared" si="109"/>
        <v>0</v>
      </c>
      <c r="BI92" s="10">
        <f t="shared" si="109"/>
        <v>0</v>
      </c>
      <c r="BJ92" s="10">
        <f t="shared" si="109"/>
        <v>0</v>
      </c>
      <c r="BK92" s="10">
        <f t="shared" si="109"/>
        <v>0</v>
      </c>
      <c r="BL92" s="10">
        <f t="shared" si="109"/>
        <v>0</v>
      </c>
      <c r="BM92" s="10">
        <f t="shared" si="109"/>
        <v>0</v>
      </c>
    </row>
    <row r="93">
      <c r="A93" s="181" t="s">
        <v>164</v>
      </c>
      <c r="B93" s="88">
        <f t="shared" ref="B93:AA93" si="110">0</f>
        <v>0</v>
      </c>
      <c r="C93" s="88">
        <f t="shared" si="110"/>
        <v>0</v>
      </c>
      <c r="D93" s="88">
        <f t="shared" si="110"/>
        <v>0</v>
      </c>
      <c r="E93" s="88">
        <f t="shared" si="110"/>
        <v>0</v>
      </c>
      <c r="F93" s="88">
        <f t="shared" si="110"/>
        <v>0</v>
      </c>
      <c r="G93" s="88">
        <f t="shared" si="110"/>
        <v>0</v>
      </c>
      <c r="H93" s="88">
        <f t="shared" si="110"/>
        <v>0</v>
      </c>
      <c r="I93" s="88">
        <f t="shared" si="110"/>
        <v>0</v>
      </c>
      <c r="J93" s="88">
        <f t="shared" si="110"/>
        <v>0</v>
      </c>
      <c r="K93" s="88">
        <f t="shared" si="110"/>
        <v>0</v>
      </c>
      <c r="L93" s="88">
        <f t="shared" si="110"/>
        <v>0</v>
      </c>
      <c r="M93" s="88">
        <f t="shared" si="110"/>
        <v>0</v>
      </c>
      <c r="N93" s="88">
        <f t="shared" si="110"/>
        <v>0</v>
      </c>
      <c r="O93" s="88">
        <f t="shared" si="110"/>
        <v>0</v>
      </c>
      <c r="P93" s="88">
        <f t="shared" si="110"/>
        <v>0</v>
      </c>
      <c r="Q93" s="88">
        <f t="shared" si="110"/>
        <v>0</v>
      </c>
      <c r="R93" s="88">
        <f t="shared" si="110"/>
        <v>0</v>
      </c>
      <c r="S93" s="88">
        <f t="shared" si="110"/>
        <v>0</v>
      </c>
      <c r="T93" s="88">
        <f t="shared" si="110"/>
        <v>0</v>
      </c>
      <c r="U93" s="88">
        <f t="shared" si="110"/>
        <v>0</v>
      </c>
      <c r="V93" s="88">
        <f t="shared" si="110"/>
        <v>0</v>
      </c>
      <c r="W93" s="88">
        <f t="shared" si="110"/>
        <v>0</v>
      </c>
      <c r="X93" s="88">
        <f t="shared" si="110"/>
        <v>0</v>
      </c>
      <c r="Y93" s="88">
        <f t="shared" si="110"/>
        <v>0</v>
      </c>
      <c r="Z93" s="88">
        <f t="shared" si="110"/>
        <v>0</v>
      </c>
      <c r="AA93" s="88">
        <f t="shared" si="110"/>
        <v>0</v>
      </c>
      <c r="AB93" s="10">
        <f>20</f>
        <v>20</v>
      </c>
      <c r="AC93" s="88">
        <f t="shared" ref="AC93:AT93" si="111">0</f>
        <v>0</v>
      </c>
      <c r="AD93" s="88">
        <f t="shared" si="111"/>
        <v>0</v>
      </c>
      <c r="AE93" s="88">
        <f t="shared" si="111"/>
        <v>0</v>
      </c>
      <c r="AF93" s="88">
        <f t="shared" si="111"/>
        <v>0</v>
      </c>
      <c r="AG93" s="88">
        <f t="shared" si="111"/>
        <v>0</v>
      </c>
      <c r="AH93" s="88">
        <f t="shared" si="111"/>
        <v>0</v>
      </c>
      <c r="AI93" s="88">
        <f t="shared" si="111"/>
        <v>0</v>
      </c>
      <c r="AJ93" s="88">
        <f t="shared" si="111"/>
        <v>0</v>
      </c>
      <c r="AK93" s="88">
        <f t="shared" si="111"/>
        <v>0</v>
      </c>
      <c r="AL93" s="88">
        <f t="shared" si="111"/>
        <v>0</v>
      </c>
      <c r="AM93" s="88">
        <f t="shared" si="111"/>
        <v>0</v>
      </c>
      <c r="AN93" s="88">
        <f t="shared" si="111"/>
        <v>0</v>
      </c>
      <c r="AO93" s="88">
        <f t="shared" si="111"/>
        <v>0</v>
      </c>
      <c r="AP93" s="88">
        <f t="shared" si="111"/>
        <v>0</v>
      </c>
      <c r="AQ93" s="88">
        <f t="shared" si="111"/>
        <v>0</v>
      </c>
      <c r="AR93" s="88">
        <f t="shared" si="111"/>
        <v>0</v>
      </c>
      <c r="AS93" s="88">
        <f t="shared" si="111"/>
        <v>0</v>
      </c>
      <c r="AT93" s="88">
        <f t="shared" si="111"/>
        <v>0</v>
      </c>
      <c r="AU93" s="10">
        <f>20</f>
        <v>20</v>
      </c>
      <c r="AV93" s="88">
        <f t="shared" ref="AV93:BM93" si="112">0</f>
        <v>0</v>
      </c>
      <c r="AW93" s="88">
        <f t="shared" si="112"/>
        <v>0</v>
      </c>
      <c r="AX93" s="88">
        <f t="shared" si="112"/>
        <v>0</v>
      </c>
      <c r="AY93" s="88">
        <f t="shared" si="112"/>
        <v>0</v>
      </c>
      <c r="AZ93" s="88">
        <f t="shared" si="112"/>
        <v>0</v>
      </c>
      <c r="BA93" s="88">
        <f t="shared" si="112"/>
        <v>0</v>
      </c>
      <c r="BB93" s="10">
        <f t="shared" si="112"/>
        <v>0</v>
      </c>
      <c r="BC93" s="10">
        <f t="shared" si="112"/>
        <v>0</v>
      </c>
      <c r="BD93" s="10">
        <f t="shared" si="112"/>
        <v>0</v>
      </c>
      <c r="BE93" s="10">
        <f t="shared" si="112"/>
        <v>0</v>
      </c>
      <c r="BF93" s="10">
        <f t="shared" si="112"/>
        <v>0</v>
      </c>
      <c r="BG93" s="10">
        <f t="shared" si="112"/>
        <v>0</v>
      </c>
      <c r="BH93" s="10">
        <f t="shared" si="112"/>
        <v>0</v>
      </c>
      <c r="BI93" s="10">
        <f t="shared" si="112"/>
        <v>0</v>
      </c>
      <c r="BJ93" s="10">
        <f t="shared" si="112"/>
        <v>0</v>
      </c>
      <c r="BK93" s="10">
        <f t="shared" si="112"/>
        <v>0</v>
      </c>
      <c r="BL93" s="10">
        <f t="shared" si="112"/>
        <v>0</v>
      </c>
      <c r="BM93" s="10">
        <f t="shared" si="112"/>
        <v>0</v>
      </c>
    </row>
    <row r="94">
      <c r="A94" s="181" t="s">
        <v>165</v>
      </c>
      <c r="B94" s="88">
        <f t="shared" ref="B94:AB94" si="113">0</f>
        <v>0</v>
      </c>
      <c r="C94" s="88">
        <f t="shared" si="113"/>
        <v>0</v>
      </c>
      <c r="D94" s="88">
        <f t="shared" si="113"/>
        <v>0</v>
      </c>
      <c r="E94" s="88">
        <f t="shared" si="113"/>
        <v>0</v>
      </c>
      <c r="F94" s="88">
        <f t="shared" si="113"/>
        <v>0</v>
      </c>
      <c r="G94" s="88">
        <f t="shared" si="113"/>
        <v>0</v>
      </c>
      <c r="H94" s="88">
        <f t="shared" si="113"/>
        <v>0</v>
      </c>
      <c r="I94" s="88">
        <f t="shared" si="113"/>
        <v>0</v>
      </c>
      <c r="J94" s="88">
        <f t="shared" si="113"/>
        <v>0</v>
      </c>
      <c r="K94" s="88">
        <f t="shared" si="113"/>
        <v>0</v>
      </c>
      <c r="L94" s="88">
        <f t="shared" si="113"/>
        <v>0</v>
      </c>
      <c r="M94" s="88">
        <f t="shared" si="113"/>
        <v>0</v>
      </c>
      <c r="N94" s="88">
        <f t="shared" si="113"/>
        <v>0</v>
      </c>
      <c r="O94" s="88">
        <f t="shared" si="113"/>
        <v>0</v>
      </c>
      <c r="P94" s="88">
        <f t="shared" si="113"/>
        <v>0</v>
      </c>
      <c r="Q94" s="88">
        <f t="shared" si="113"/>
        <v>0</v>
      </c>
      <c r="R94" s="88">
        <f t="shared" si="113"/>
        <v>0</v>
      </c>
      <c r="S94" s="88">
        <f t="shared" si="113"/>
        <v>0</v>
      </c>
      <c r="T94" s="88">
        <f t="shared" si="113"/>
        <v>0</v>
      </c>
      <c r="U94" s="88">
        <f t="shared" si="113"/>
        <v>0</v>
      </c>
      <c r="V94" s="88">
        <f t="shared" si="113"/>
        <v>0</v>
      </c>
      <c r="W94" s="88">
        <f t="shared" si="113"/>
        <v>0</v>
      </c>
      <c r="X94" s="88">
        <f t="shared" si="113"/>
        <v>0</v>
      </c>
      <c r="Y94" s="88">
        <f t="shared" si="113"/>
        <v>0</v>
      </c>
      <c r="Z94" s="88">
        <f t="shared" si="113"/>
        <v>0</v>
      </c>
      <c r="AA94" s="88">
        <f t="shared" si="113"/>
        <v>0</v>
      </c>
      <c r="AB94" s="88">
        <f t="shared" si="113"/>
        <v>0</v>
      </c>
      <c r="AC94" s="10">
        <f>80</f>
        <v>80</v>
      </c>
      <c r="AD94" s="88">
        <f>0</f>
        <v>0</v>
      </c>
      <c r="AE94" s="10">
        <f>80</f>
        <v>80</v>
      </c>
      <c r="AF94" s="88">
        <f t="shared" ref="AF94:AZ94" si="114">0</f>
        <v>0</v>
      </c>
      <c r="AG94" s="88">
        <f t="shared" si="114"/>
        <v>0</v>
      </c>
      <c r="AH94" s="88">
        <f t="shared" si="114"/>
        <v>0</v>
      </c>
      <c r="AI94" s="88">
        <f t="shared" si="114"/>
        <v>0</v>
      </c>
      <c r="AJ94" s="88">
        <f t="shared" si="114"/>
        <v>0</v>
      </c>
      <c r="AK94" s="88">
        <f t="shared" si="114"/>
        <v>0</v>
      </c>
      <c r="AL94" s="88">
        <f t="shared" si="114"/>
        <v>0</v>
      </c>
      <c r="AM94" s="88">
        <f t="shared" si="114"/>
        <v>0</v>
      </c>
      <c r="AN94" s="88">
        <f t="shared" si="114"/>
        <v>0</v>
      </c>
      <c r="AO94" s="88">
        <f t="shared" si="114"/>
        <v>0</v>
      </c>
      <c r="AP94" s="88">
        <f t="shared" si="114"/>
        <v>0</v>
      </c>
      <c r="AQ94" s="88">
        <f t="shared" si="114"/>
        <v>0</v>
      </c>
      <c r="AR94" s="88">
        <f t="shared" si="114"/>
        <v>0</v>
      </c>
      <c r="AS94" s="88">
        <f t="shared" si="114"/>
        <v>0</v>
      </c>
      <c r="AT94" s="88">
        <f t="shared" si="114"/>
        <v>0</v>
      </c>
      <c r="AU94" s="88">
        <f t="shared" si="114"/>
        <v>0</v>
      </c>
      <c r="AV94" s="88">
        <f t="shared" si="114"/>
        <v>0</v>
      </c>
      <c r="AW94" s="88">
        <f t="shared" si="114"/>
        <v>0</v>
      </c>
      <c r="AX94" s="88">
        <f t="shared" si="114"/>
        <v>0</v>
      </c>
      <c r="AY94" s="88">
        <f t="shared" si="114"/>
        <v>0</v>
      </c>
      <c r="AZ94" s="88">
        <f t="shared" si="114"/>
        <v>0</v>
      </c>
      <c r="BA94" s="10">
        <f t="shared" ref="BA94:BB94" si="115">80</f>
        <v>80</v>
      </c>
      <c r="BB94" s="10">
        <f t="shared" si="115"/>
        <v>80</v>
      </c>
      <c r="BC94" s="10">
        <f t="shared" ref="BC94:BM94" si="116">0</f>
        <v>0</v>
      </c>
      <c r="BD94" s="10">
        <f t="shared" si="116"/>
        <v>0</v>
      </c>
      <c r="BE94" s="10">
        <f t="shared" si="116"/>
        <v>0</v>
      </c>
      <c r="BF94" s="10">
        <f t="shared" si="116"/>
        <v>0</v>
      </c>
      <c r="BG94" s="10">
        <f t="shared" si="116"/>
        <v>0</v>
      </c>
      <c r="BH94" s="10">
        <f t="shared" si="116"/>
        <v>0</v>
      </c>
      <c r="BI94" s="10">
        <f t="shared" si="116"/>
        <v>0</v>
      </c>
      <c r="BJ94" s="10">
        <f t="shared" si="116"/>
        <v>0</v>
      </c>
      <c r="BK94" s="10">
        <f t="shared" si="116"/>
        <v>0</v>
      </c>
      <c r="BL94" s="10">
        <f t="shared" si="116"/>
        <v>0</v>
      </c>
      <c r="BM94" s="10">
        <f t="shared" si="116"/>
        <v>0</v>
      </c>
    </row>
    <row r="95">
      <c r="A95" s="181" t="s">
        <v>426</v>
      </c>
      <c r="B95" s="88">
        <f t="shared" ref="B95:BM95" si="117">0</f>
        <v>0</v>
      </c>
      <c r="C95" s="88">
        <f t="shared" si="117"/>
        <v>0</v>
      </c>
      <c r="D95" s="88">
        <f t="shared" si="117"/>
        <v>0</v>
      </c>
      <c r="E95" s="88">
        <f t="shared" si="117"/>
        <v>0</v>
      </c>
      <c r="F95" s="88">
        <f t="shared" si="117"/>
        <v>0</v>
      </c>
      <c r="G95" s="88">
        <f t="shared" si="117"/>
        <v>0</v>
      </c>
      <c r="H95" s="88">
        <f t="shared" si="117"/>
        <v>0</v>
      </c>
      <c r="I95" s="88">
        <f t="shared" si="117"/>
        <v>0</v>
      </c>
      <c r="J95" s="88">
        <f t="shared" si="117"/>
        <v>0</v>
      </c>
      <c r="K95" s="88">
        <f t="shared" si="117"/>
        <v>0</v>
      </c>
      <c r="L95" s="88">
        <f t="shared" si="117"/>
        <v>0</v>
      </c>
      <c r="M95" s="88">
        <f t="shared" si="117"/>
        <v>0</v>
      </c>
      <c r="N95" s="88">
        <f t="shared" si="117"/>
        <v>0</v>
      </c>
      <c r="O95" s="88">
        <f t="shared" si="117"/>
        <v>0</v>
      </c>
      <c r="P95" s="88">
        <f t="shared" si="117"/>
        <v>0</v>
      </c>
      <c r="Q95" s="88">
        <f t="shared" si="117"/>
        <v>0</v>
      </c>
      <c r="R95" s="88">
        <f t="shared" si="117"/>
        <v>0</v>
      </c>
      <c r="S95" s="88">
        <f t="shared" si="117"/>
        <v>0</v>
      </c>
      <c r="T95" s="88">
        <f t="shared" si="117"/>
        <v>0</v>
      </c>
      <c r="U95" s="88">
        <f t="shared" si="117"/>
        <v>0</v>
      </c>
      <c r="V95" s="88">
        <f t="shared" si="117"/>
        <v>0</v>
      </c>
      <c r="W95" s="88">
        <f t="shared" si="117"/>
        <v>0</v>
      </c>
      <c r="X95" s="88">
        <f t="shared" si="117"/>
        <v>0</v>
      </c>
      <c r="Y95" s="88">
        <f t="shared" si="117"/>
        <v>0</v>
      </c>
      <c r="Z95" s="88">
        <f t="shared" si="117"/>
        <v>0</v>
      </c>
      <c r="AA95" s="88">
        <f t="shared" si="117"/>
        <v>0</v>
      </c>
      <c r="AB95" s="88">
        <f t="shared" si="117"/>
        <v>0</v>
      </c>
      <c r="AC95" s="88">
        <f t="shared" si="117"/>
        <v>0</v>
      </c>
      <c r="AD95" s="88">
        <f t="shared" si="117"/>
        <v>0</v>
      </c>
      <c r="AE95" s="88">
        <f t="shared" si="117"/>
        <v>0</v>
      </c>
      <c r="AF95" s="88">
        <f t="shared" si="117"/>
        <v>0</v>
      </c>
      <c r="AG95" s="88">
        <f t="shared" si="117"/>
        <v>0</v>
      </c>
      <c r="AH95" s="88">
        <f t="shared" si="117"/>
        <v>0</v>
      </c>
      <c r="AI95" s="88">
        <f t="shared" si="117"/>
        <v>0</v>
      </c>
      <c r="AJ95" s="88">
        <f t="shared" si="117"/>
        <v>0</v>
      </c>
      <c r="AK95" s="88">
        <f t="shared" si="117"/>
        <v>0</v>
      </c>
      <c r="AL95" s="88">
        <f t="shared" si="117"/>
        <v>0</v>
      </c>
      <c r="AM95" s="88">
        <f t="shared" si="117"/>
        <v>0</v>
      </c>
      <c r="AN95" s="88">
        <f t="shared" si="117"/>
        <v>0</v>
      </c>
      <c r="AO95" s="88">
        <f t="shared" si="117"/>
        <v>0</v>
      </c>
      <c r="AP95" s="88">
        <f t="shared" si="117"/>
        <v>0</v>
      </c>
      <c r="AQ95" s="88">
        <f t="shared" si="117"/>
        <v>0</v>
      </c>
      <c r="AR95" s="88">
        <f t="shared" si="117"/>
        <v>0</v>
      </c>
      <c r="AS95" s="88">
        <f t="shared" si="117"/>
        <v>0</v>
      </c>
      <c r="AT95" s="88">
        <f t="shared" si="117"/>
        <v>0</v>
      </c>
      <c r="AU95" s="88">
        <f t="shared" si="117"/>
        <v>0</v>
      </c>
      <c r="AV95" s="88">
        <f t="shared" si="117"/>
        <v>0</v>
      </c>
      <c r="AW95" s="88">
        <f t="shared" si="117"/>
        <v>0</v>
      </c>
      <c r="AX95" s="88">
        <f t="shared" si="117"/>
        <v>0</v>
      </c>
      <c r="AY95" s="88">
        <f t="shared" si="117"/>
        <v>0</v>
      </c>
      <c r="AZ95" s="88">
        <f t="shared" si="117"/>
        <v>0</v>
      </c>
      <c r="BA95" s="88">
        <f t="shared" si="117"/>
        <v>0</v>
      </c>
      <c r="BB95" s="10">
        <f t="shared" si="117"/>
        <v>0</v>
      </c>
      <c r="BC95" s="10">
        <f t="shared" si="117"/>
        <v>0</v>
      </c>
      <c r="BD95" s="10">
        <f t="shared" si="117"/>
        <v>0</v>
      </c>
      <c r="BE95" s="10">
        <f t="shared" si="117"/>
        <v>0</v>
      </c>
      <c r="BF95" s="10">
        <f t="shared" si="117"/>
        <v>0</v>
      </c>
      <c r="BG95" s="10">
        <f t="shared" si="117"/>
        <v>0</v>
      </c>
      <c r="BH95" s="10">
        <f t="shared" si="117"/>
        <v>0</v>
      </c>
      <c r="BI95" s="10">
        <f t="shared" si="117"/>
        <v>0</v>
      </c>
      <c r="BJ95" s="10">
        <f t="shared" si="117"/>
        <v>0</v>
      </c>
      <c r="BK95" s="10">
        <f t="shared" si="117"/>
        <v>0</v>
      </c>
      <c r="BL95" s="10">
        <f t="shared" si="117"/>
        <v>0</v>
      </c>
      <c r="BM95" s="10">
        <f t="shared" si="117"/>
        <v>0</v>
      </c>
    </row>
    <row r="96">
      <c r="A96" s="181" t="s">
        <v>154</v>
      </c>
      <c r="B96" s="88">
        <f t="shared" ref="B96:AQ96" si="118">0</f>
        <v>0</v>
      </c>
      <c r="C96" s="88">
        <f t="shared" si="118"/>
        <v>0</v>
      </c>
      <c r="D96" s="88">
        <f t="shared" si="118"/>
        <v>0</v>
      </c>
      <c r="E96" s="88">
        <f t="shared" si="118"/>
        <v>0</v>
      </c>
      <c r="F96" s="88">
        <f t="shared" si="118"/>
        <v>0</v>
      </c>
      <c r="G96" s="88">
        <f t="shared" si="118"/>
        <v>0</v>
      </c>
      <c r="H96" s="88">
        <f t="shared" si="118"/>
        <v>0</v>
      </c>
      <c r="I96" s="88">
        <f t="shared" si="118"/>
        <v>0</v>
      </c>
      <c r="J96" s="88">
        <f t="shared" si="118"/>
        <v>0</v>
      </c>
      <c r="K96" s="88">
        <f t="shared" si="118"/>
        <v>0</v>
      </c>
      <c r="L96" s="88">
        <f t="shared" si="118"/>
        <v>0</v>
      </c>
      <c r="M96" s="88">
        <f t="shared" si="118"/>
        <v>0</v>
      </c>
      <c r="N96" s="88">
        <f t="shared" si="118"/>
        <v>0</v>
      </c>
      <c r="O96" s="88">
        <f t="shared" si="118"/>
        <v>0</v>
      </c>
      <c r="P96" s="88">
        <f t="shared" si="118"/>
        <v>0</v>
      </c>
      <c r="Q96" s="88">
        <f t="shared" si="118"/>
        <v>0</v>
      </c>
      <c r="R96" s="88">
        <f t="shared" si="118"/>
        <v>0</v>
      </c>
      <c r="S96" s="88">
        <f t="shared" si="118"/>
        <v>0</v>
      </c>
      <c r="T96" s="88">
        <f t="shared" si="118"/>
        <v>0</v>
      </c>
      <c r="U96" s="88">
        <f t="shared" si="118"/>
        <v>0</v>
      </c>
      <c r="V96" s="88">
        <f t="shared" si="118"/>
        <v>0</v>
      </c>
      <c r="W96" s="88">
        <f t="shared" si="118"/>
        <v>0</v>
      </c>
      <c r="X96" s="88">
        <f t="shared" si="118"/>
        <v>0</v>
      </c>
      <c r="Y96" s="88">
        <f t="shared" si="118"/>
        <v>0</v>
      </c>
      <c r="Z96" s="88">
        <f t="shared" si="118"/>
        <v>0</v>
      </c>
      <c r="AA96" s="88">
        <f t="shared" si="118"/>
        <v>0</v>
      </c>
      <c r="AB96" s="88">
        <f t="shared" si="118"/>
        <v>0</v>
      </c>
      <c r="AC96" s="88">
        <f t="shared" si="118"/>
        <v>0</v>
      </c>
      <c r="AD96" s="88">
        <f t="shared" si="118"/>
        <v>0</v>
      </c>
      <c r="AE96" s="88">
        <f t="shared" si="118"/>
        <v>0</v>
      </c>
      <c r="AF96" s="88">
        <f t="shared" si="118"/>
        <v>0</v>
      </c>
      <c r="AG96" s="88">
        <f t="shared" si="118"/>
        <v>0</v>
      </c>
      <c r="AH96" s="88">
        <f t="shared" si="118"/>
        <v>0</v>
      </c>
      <c r="AI96" s="88">
        <f t="shared" si="118"/>
        <v>0</v>
      </c>
      <c r="AJ96" s="88">
        <f t="shared" si="118"/>
        <v>0</v>
      </c>
      <c r="AK96" s="88">
        <f t="shared" si="118"/>
        <v>0</v>
      </c>
      <c r="AL96" s="88">
        <f t="shared" si="118"/>
        <v>0</v>
      </c>
      <c r="AM96" s="88">
        <f t="shared" si="118"/>
        <v>0</v>
      </c>
      <c r="AN96" s="88">
        <f t="shared" si="118"/>
        <v>0</v>
      </c>
      <c r="AO96" s="88">
        <f t="shared" si="118"/>
        <v>0</v>
      </c>
      <c r="AP96" s="88">
        <f t="shared" si="118"/>
        <v>0</v>
      </c>
      <c r="AQ96" s="88">
        <f t="shared" si="118"/>
        <v>0</v>
      </c>
      <c r="AR96" s="10">
        <f>20</f>
        <v>20</v>
      </c>
      <c r="AS96" s="88">
        <f t="shared" ref="AS96:BF96" si="119">0</f>
        <v>0</v>
      </c>
      <c r="AT96" s="88">
        <f t="shared" si="119"/>
        <v>0</v>
      </c>
      <c r="AU96" s="88">
        <f t="shared" si="119"/>
        <v>0</v>
      </c>
      <c r="AV96" s="88">
        <f t="shared" si="119"/>
        <v>0</v>
      </c>
      <c r="AW96" s="88">
        <f t="shared" si="119"/>
        <v>0</v>
      </c>
      <c r="AX96" s="88">
        <f t="shared" si="119"/>
        <v>0</v>
      </c>
      <c r="AY96" s="88">
        <f t="shared" si="119"/>
        <v>0</v>
      </c>
      <c r="AZ96" s="88">
        <f t="shared" si="119"/>
        <v>0</v>
      </c>
      <c r="BA96" s="88">
        <f t="shared" si="119"/>
        <v>0</v>
      </c>
      <c r="BB96" s="10">
        <f t="shared" si="119"/>
        <v>0</v>
      </c>
      <c r="BC96" s="10">
        <f t="shared" si="119"/>
        <v>0</v>
      </c>
      <c r="BD96" s="10">
        <f t="shared" si="119"/>
        <v>0</v>
      </c>
      <c r="BE96" s="10">
        <f t="shared" si="119"/>
        <v>0</v>
      </c>
      <c r="BF96" s="10">
        <f t="shared" si="119"/>
        <v>0</v>
      </c>
      <c r="BG96" s="10">
        <f>20</f>
        <v>20</v>
      </c>
      <c r="BH96" s="10">
        <f t="shared" ref="BH96:BM96" si="120">0</f>
        <v>0</v>
      </c>
      <c r="BI96" s="10">
        <f t="shared" si="120"/>
        <v>0</v>
      </c>
      <c r="BJ96" s="10">
        <f t="shared" si="120"/>
        <v>0</v>
      </c>
      <c r="BK96" s="10">
        <f t="shared" si="120"/>
        <v>0</v>
      </c>
      <c r="BL96" s="10">
        <f t="shared" si="120"/>
        <v>0</v>
      </c>
      <c r="BM96" s="10">
        <f t="shared" si="120"/>
        <v>0</v>
      </c>
    </row>
    <row r="97">
      <c r="A97" s="181" t="s">
        <v>189</v>
      </c>
      <c r="B97" s="88">
        <f t="shared" ref="B97:AI97" si="121">0</f>
        <v>0</v>
      </c>
      <c r="C97" s="88">
        <f t="shared" si="121"/>
        <v>0</v>
      </c>
      <c r="D97" s="88">
        <f t="shared" si="121"/>
        <v>0</v>
      </c>
      <c r="E97" s="88">
        <f t="shared" si="121"/>
        <v>0</v>
      </c>
      <c r="F97" s="88">
        <f t="shared" si="121"/>
        <v>0</v>
      </c>
      <c r="G97" s="88">
        <f t="shared" si="121"/>
        <v>0</v>
      </c>
      <c r="H97" s="88">
        <f t="shared" si="121"/>
        <v>0</v>
      </c>
      <c r="I97" s="88">
        <f t="shared" si="121"/>
        <v>0</v>
      </c>
      <c r="J97" s="88">
        <f t="shared" si="121"/>
        <v>0</v>
      </c>
      <c r="K97" s="88">
        <f t="shared" si="121"/>
        <v>0</v>
      </c>
      <c r="L97" s="88">
        <f t="shared" si="121"/>
        <v>0</v>
      </c>
      <c r="M97" s="88">
        <f t="shared" si="121"/>
        <v>0</v>
      </c>
      <c r="N97" s="88">
        <f t="shared" si="121"/>
        <v>0</v>
      </c>
      <c r="O97" s="88">
        <f t="shared" si="121"/>
        <v>0</v>
      </c>
      <c r="P97" s="88">
        <f t="shared" si="121"/>
        <v>0</v>
      </c>
      <c r="Q97" s="88">
        <f t="shared" si="121"/>
        <v>0</v>
      </c>
      <c r="R97" s="88">
        <f t="shared" si="121"/>
        <v>0</v>
      </c>
      <c r="S97" s="88">
        <f t="shared" si="121"/>
        <v>0</v>
      </c>
      <c r="T97" s="88">
        <f t="shared" si="121"/>
        <v>0</v>
      </c>
      <c r="U97" s="88">
        <f t="shared" si="121"/>
        <v>0</v>
      </c>
      <c r="V97" s="88">
        <f t="shared" si="121"/>
        <v>0</v>
      </c>
      <c r="W97" s="88">
        <f t="shared" si="121"/>
        <v>0</v>
      </c>
      <c r="X97" s="88">
        <f t="shared" si="121"/>
        <v>0</v>
      </c>
      <c r="Y97" s="88">
        <f t="shared" si="121"/>
        <v>0</v>
      </c>
      <c r="Z97" s="88">
        <f t="shared" si="121"/>
        <v>0</v>
      </c>
      <c r="AA97" s="88">
        <f t="shared" si="121"/>
        <v>0</v>
      </c>
      <c r="AB97" s="88">
        <f t="shared" si="121"/>
        <v>0</v>
      </c>
      <c r="AC97" s="88">
        <f t="shared" si="121"/>
        <v>0</v>
      </c>
      <c r="AD97" s="88">
        <f t="shared" si="121"/>
        <v>0</v>
      </c>
      <c r="AE97" s="88">
        <f t="shared" si="121"/>
        <v>0</v>
      </c>
      <c r="AF97" s="88">
        <f t="shared" si="121"/>
        <v>0</v>
      </c>
      <c r="AG97" s="88">
        <f t="shared" si="121"/>
        <v>0</v>
      </c>
      <c r="AH97" s="88">
        <f t="shared" si="121"/>
        <v>0</v>
      </c>
      <c r="AI97" s="88">
        <f t="shared" si="121"/>
        <v>0</v>
      </c>
      <c r="AJ97" s="10">
        <f>15</f>
        <v>15</v>
      </c>
      <c r="AK97" s="88">
        <f t="shared" ref="AK97:BM97" si="122">0</f>
        <v>0</v>
      </c>
      <c r="AL97" s="88">
        <f t="shared" si="122"/>
        <v>0</v>
      </c>
      <c r="AM97" s="88">
        <f t="shared" si="122"/>
        <v>0</v>
      </c>
      <c r="AN97" s="88">
        <f t="shared" si="122"/>
        <v>0</v>
      </c>
      <c r="AO97" s="88">
        <f t="shared" si="122"/>
        <v>0</v>
      </c>
      <c r="AP97" s="88">
        <f t="shared" si="122"/>
        <v>0</v>
      </c>
      <c r="AQ97" s="88">
        <f t="shared" si="122"/>
        <v>0</v>
      </c>
      <c r="AR97" s="88">
        <f t="shared" si="122"/>
        <v>0</v>
      </c>
      <c r="AS97" s="88">
        <f t="shared" si="122"/>
        <v>0</v>
      </c>
      <c r="AT97" s="88">
        <f t="shared" si="122"/>
        <v>0</v>
      </c>
      <c r="AU97" s="88">
        <f t="shared" si="122"/>
        <v>0</v>
      </c>
      <c r="AV97" s="88">
        <f t="shared" si="122"/>
        <v>0</v>
      </c>
      <c r="AW97" s="88">
        <f t="shared" si="122"/>
        <v>0</v>
      </c>
      <c r="AX97" s="88">
        <f t="shared" si="122"/>
        <v>0</v>
      </c>
      <c r="AY97" s="88">
        <f t="shared" si="122"/>
        <v>0</v>
      </c>
      <c r="AZ97" s="88">
        <f t="shared" si="122"/>
        <v>0</v>
      </c>
      <c r="BA97" s="88">
        <f t="shared" si="122"/>
        <v>0</v>
      </c>
      <c r="BB97" s="10">
        <f t="shared" si="122"/>
        <v>0</v>
      </c>
      <c r="BC97" s="10">
        <f t="shared" si="122"/>
        <v>0</v>
      </c>
      <c r="BD97" s="10">
        <f t="shared" si="122"/>
        <v>0</v>
      </c>
      <c r="BE97" s="10">
        <f t="shared" si="122"/>
        <v>0</v>
      </c>
      <c r="BF97" s="10">
        <f t="shared" si="122"/>
        <v>0</v>
      </c>
      <c r="BG97" s="10">
        <f t="shared" si="122"/>
        <v>0</v>
      </c>
      <c r="BH97" s="10">
        <f t="shared" si="122"/>
        <v>0</v>
      </c>
      <c r="BI97" s="10">
        <f t="shared" si="122"/>
        <v>0</v>
      </c>
      <c r="BJ97" s="10">
        <f t="shared" si="122"/>
        <v>0</v>
      </c>
      <c r="BK97" s="10">
        <f t="shared" si="122"/>
        <v>0</v>
      </c>
      <c r="BL97" s="10">
        <f t="shared" si="122"/>
        <v>0</v>
      </c>
      <c r="BM97" s="10">
        <f t="shared" si="122"/>
        <v>0</v>
      </c>
    </row>
    <row r="98">
      <c r="A98" s="181" t="s">
        <v>190</v>
      </c>
      <c r="B98" s="88">
        <f t="shared" ref="B98:AO98" si="123">0</f>
        <v>0</v>
      </c>
      <c r="C98" s="88">
        <f t="shared" si="123"/>
        <v>0</v>
      </c>
      <c r="D98" s="88">
        <f t="shared" si="123"/>
        <v>0</v>
      </c>
      <c r="E98" s="88">
        <f t="shared" si="123"/>
        <v>0</v>
      </c>
      <c r="F98" s="88">
        <f t="shared" si="123"/>
        <v>0</v>
      </c>
      <c r="G98" s="88">
        <f t="shared" si="123"/>
        <v>0</v>
      </c>
      <c r="H98" s="88">
        <f t="shared" si="123"/>
        <v>0</v>
      </c>
      <c r="I98" s="88">
        <f t="shared" si="123"/>
        <v>0</v>
      </c>
      <c r="J98" s="88">
        <f t="shared" si="123"/>
        <v>0</v>
      </c>
      <c r="K98" s="88">
        <f t="shared" si="123"/>
        <v>0</v>
      </c>
      <c r="L98" s="88">
        <f t="shared" si="123"/>
        <v>0</v>
      </c>
      <c r="M98" s="88">
        <f t="shared" si="123"/>
        <v>0</v>
      </c>
      <c r="N98" s="88">
        <f t="shared" si="123"/>
        <v>0</v>
      </c>
      <c r="O98" s="88">
        <f t="shared" si="123"/>
        <v>0</v>
      </c>
      <c r="P98" s="88">
        <f t="shared" si="123"/>
        <v>0</v>
      </c>
      <c r="Q98" s="88">
        <f t="shared" si="123"/>
        <v>0</v>
      </c>
      <c r="R98" s="88">
        <f t="shared" si="123"/>
        <v>0</v>
      </c>
      <c r="S98" s="88">
        <f t="shared" si="123"/>
        <v>0</v>
      </c>
      <c r="T98" s="88">
        <f t="shared" si="123"/>
        <v>0</v>
      </c>
      <c r="U98" s="88">
        <f t="shared" si="123"/>
        <v>0</v>
      </c>
      <c r="V98" s="88">
        <f t="shared" si="123"/>
        <v>0</v>
      </c>
      <c r="W98" s="88">
        <f t="shared" si="123"/>
        <v>0</v>
      </c>
      <c r="X98" s="88">
        <f t="shared" si="123"/>
        <v>0</v>
      </c>
      <c r="Y98" s="88">
        <f t="shared" si="123"/>
        <v>0</v>
      </c>
      <c r="Z98" s="88">
        <f t="shared" si="123"/>
        <v>0</v>
      </c>
      <c r="AA98" s="88">
        <f t="shared" si="123"/>
        <v>0</v>
      </c>
      <c r="AB98" s="88">
        <f t="shared" si="123"/>
        <v>0</v>
      </c>
      <c r="AC98" s="88">
        <f t="shared" si="123"/>
        <v>0</v>
      </c>
      <c r="AD98" s="88">
        <f t="shared" si="123"/>
        <v>0</v>
      </c>
      <c r="AE98" s="88">
        <f t="shared" si="123"/>
        <v>0</v>
      </c>
      <c r="AF98" s="88">
        <f t="shared" si="123"/>
        <v>0</v>
      </c>
      <c r="AG98" s="88">
        <f t="shared" si="123"/>
        <v>0</v>
      </c>
      <c r="AH98" s="88">
        <f t="shared" si="123"/>
        <v>0</v>
      </c>
      <c r="AI98" s="88">
        <f t="shared" si="123"/>
        <v>0</v>
      </c>
      <c r="AJ98" s="88">
        <f t="shared" si="123"/>
        <v>0</v>
      </c>
      <c r="AK98" s="88">
        <f t="shared" si="123"/>
        <v>0</v>
      </c>
      <c r="AL98" s="88">
        <f t="shared" si="123"/>
        <v>0</v>
      </c>
      <c r="AM98" s="88">
        <f t="shared" si="123"/>
        <v>0</v>
      </c>
      <c r="AN98" s="88">
        <f t="shared" si="123"/>
        <v>0</v>
      </c>
      <c r="AO98" s="88">
        <f t="shared" si="123"/>
        <v>0</v>
      </c>
      <c r="AP98" s="10">
        <f>15</f>
        <v>15</v>
      </c>
      <c r="AQ98" s="88">
        <f t="shared" ref="AQ98:BM98" si="124">0</f>
        <v>0</v>
      </c>
      <c r="AR98" s="88">
        <f t="shared" si="124"/>
        <v>0</v>
      </c>
      <c r="AS98" s="88">
        <f t="shared" si="124"/>
        <v>0</v>
      </c>
      <c r="AT98" s="88">
        <f t="shared" si="124"/>
        <v>0</v>
      </c>
      <c r="AU98" s="88">
        <f t="shared" si="124"/>
        <v>0</v>
      </c>
      <c r="AV98" s="88">
        <f t="shared" si="124"/>
        <v>0</v>
      </c>
      <c r="AW98" s="88">
        <f t="shared" si="124"/>
        <v>0</v>
      </c>
      <c r="AX98" s="88">
        <f t="shared" si="124"/>
        <v>0</v>
      </c>
      <c r="AY98" s="88">
        <f t="shared" si="124"/>
        <v>0</v>
      </c>
      <c r="AZ98" s="88">
        <f t="shared" si="124"/>
        <v>0</v>
      </c>
      <c r="BA98" s="88">
        <f t="shared" si="124"/>
        <v>0</v>
      </c>
      <c r="BB98" s="10">
        <f t="shared" si="124"/>
        <v>0</v>
      </c>
      <c r="BC98" s="10">
        <f t="shared" si="124"/>
        <v>0</v>
      </c>
      <c r="BD98" s="10">
        <f t="shared" si="124"/>
        <v>0</v>
      </c>
      <c r="BE98" s="10">
        <f t="shared" si="124"/>
        <v>0</v>
      </c>
      <c r="BF98" s="10">
        <f t="shared" si="124"/>
        <v>0</v>
      </c>
      <c r="BG98" s="10">
        <f t="shared" si="124"/>
        <v>0</v>
      </c>
      <c r="BH98" s="10">
        <f t="shared" si="124"/>
        <v>0</v>
      </c>
      <c r="BI98" s="10">
        <f t="shared" si="124"/>
        <v>0</v>
      </c>
      <c r="BJ98" s="10">
        <f t="shared" si="124"/>
        <v>0</v>
      </c>
      <c r="BK98" s="10">
        <f t="shared" si="124"/>
        <v>0</v>
      </c>
      <c r="BL98" s="10">
        <f t="shared" si="124"/>
        <v>0</v>
      </c>
      <c r="BM98" s="10">
        <f t="shared" si="124"/>
        <v>0</v>
      </c>
    </row>
    <row r="99">
      <c r="A99" s="181" t="s">
        <v>191</v>
      </c>
      <c r="B99" s="88">
        <f t="shared" ref="B99:AH99" si="125">0</f>
        <v>0</v>
      </c>
      <c r="C99" s="88">
        <f t="shared" si="125"/>
        <v>0</v>
      </c>
      <c r="D99" s="88">
        <f t="shared" si="125"/>
        <v>0</v>
      </c>
      <c r="E99" s="88">
        <f t="shared" si="125"/>
        <v>0</v>
      </c>
      <c r="F99" s="88">
        <f t="shared" si="125"/>
        <v>0</v>
      </c>
      <c r="G99" s="88">
        <f t="shared" si="125"/>
        <v>0</v>
      </c>
      <c r="H99" s="88">
        <f t="shared" si="125"/>
        <v>0</v>
      </c>
      <c r="I99" s="88">
        <f t="shared" si="125"/>
        <v>0</v>
      </c>
      <c r="J99" s="88">
        <f t="shared" si="125"/>
        <v>0</v>
      </c>
      <c r="K99" s="88">
        <f t="shared" si="125"/>
        <v>0</v>
      </c>
      <c r="L99" s="88">
        <f t="shared" si="125"/>
        <v>0</v>
      </c>
      <c r="M99" s="88">
        <f t="shared" si="125"/>
        <v>0</v>
      </c>
      <c r="N99" s="88">
        <f t="shared" si="125"/>
        <v>0</v>
      </c>
      <c r="O99" s="88">
        <f t="shared" si="125"/>
        <v>0</v>
      </c>
      <c r="P99" s="88">
        <f t="shared" si="125"/>
        <v>0</v>
      </c>
      <c r="Q99" s="88">
        <f t="shared" si="125"/>
        <v>0</v>
      </c>
      <c r="R99" s="88">
        <f t="shared" si="125"/>
        <v>0</v>
      </c>
      <c r="S99" s="88">
        <f t="shared" si="125"/>
        <v>0</v>
      </c>
      <c r="T99" s="88">
        <f t="shared" si="125"/>
        <v>0</v>
      </c>
      <c r="U99" s="88">
        <f t="shared" si="125"/>
        <v>0</v>
      </c>
      <c r="V99" s="88">
        <f t="shared" si="125"/>
        <v>0</v>
      </c>
      <c r="W99" s="88">
        <f t="shared" si="125"/>
        <v>0</v>
      </c>
      <c r="X99" s="88">
        <f t="shared" si="125"/>
        <v>0</v>
      </c>
      <c r="Y99" s="88">
        <f t="shared" si="125"/>
        <v>0</v>
      </c>
      <c r="Z99" s="88">
        <f t="shared" si="125"/>
        <v>0</v>
      </c>
      <c r="AA99" s="88">
        <f t="shared" si="125"/>
        <v>0</v>
      </c>
      <c r="AB99" s="88">
        <f t="shared" si="125"/>
        <v>0</v>
      </c>
      <c r="AC99" s="88">
        <f t="shared" si="125"/>
        <v>0</v>
      </c>
      <c r="AD99" s="88">
        <f t="shared" si="125"/>
        <v>0</v>
      </c>
      <c r="AE99" s="88">
        <f t="shared" si="125"/>
        <v>0</v>
      </c>
      <c r="AF99" s="88">
        <f t="shared" si="125"/>
        <v>0</v>
      </c>
      <c r="AG99" s="88">
        <f t="shared" si="125"/>
        <v>0</v>
      </c>
      <c r="AH99" s="88">
        <f t="shared" si="125"/>
        <v>0</v>
      </c>
      <c r="AI99" s="10">
        <f>15</f>
        <v>15</v>
      </c>
      <c r="AJ99" s="88">
        <f t="shared" ref="AJ99:BB99" si="126">0</f>
        <v>0</v>
      </c>
      <c r="AK99" s="88">
        <f t="shared" si="126"/>
        <v>0</v>
      </c>
      <c r="AL99" s="88">
        <f t="shared" si="126"/>
        <v>0</v>
      </c>
      <c r="AM99" s="88">
        <f t="shared" si="126"/>
        <v>0</v>
      </c>
      <c r="AN99" s="88">
        <f t="shared" si="126"/>
        <v>0</v>
      </c>
      <c r="AO99" s="88">
        <f t="shared" si="126"/>
        <v>0</v>
      </c>
      <c r="AP99" s="88">
        <f t="shared" si="126"/>
        <v>0</v>
      </c>
      <c r="AQ99" s="88">
        <f t="shared" si="126"/>
        <v>0</v>
      </c>
      <c r="AR99" s="88">
        <f t="shared" si="126"/>
        <v>0</v>
      </c>
      <c r="AS99" s="88">
        <f t="shared" si="126"/>
        <v>0</v>
      </c>
      <c r="AT99" s="88">
        <f t="shared" si="126"/>
        <v>0</v>
      </c>
      <c r="AU99" s="88">
        <f t="shared" si="126"/>
        <v>0</v>
      </c>
      <c r="AV99" s="88">
        <f t="shared" si="126"/>
        <v>0</v>
      </c>
      <c r="AW99" s="88">
        <f t="shared" si="126"/>
        <v>0</v>
      </c>
      <c r="AX99" s="88">
        <f t="shared" si="126"/>
        <v>0</v>
      </c>
      <c r="AY99" s="88">
        <f t="shared" si="126"/>
        <v>0</v>
      </c>
      <c r="AZ99" s="88">
        <f t="shared" si="126"/>
        <v>0</v>
      </c>
      <c r="BA99" s="88">
        <f t="shared" si="126"/>
        <v>0</v>
      </c>
      <c r="BB99" s="10">
        <f t="shared" si="126"/>
        <v>0</v>
      </c>
      <c r="BC99" s="10">
        <f>15</f>
        <v>15</v>
      </c>
      <c r="BD99" s="10">
        <f t="shared" ref="BD99:BM99" si="127">0</f>
        <v>0</v>
      </c>
      <c r="BE99" s="10">
        <f t="shared" si="127"/>
        <v>0</v>
      </c>
      <c r="BF99" s="10">
        <f t="shared" si="127"/>
        <v>0</v>
      </c>
      <c r="BG99" s="10">
        <f t="shared" si="127"/>
        <v>0</v>
      </c>
      <c r="BH99" s="10">
        <f t="shared" si="127"/>
        <v>0</v>
      </c>
      <c r="BI99" s="10">
        <f t="shared" si="127"/>
        <v>0</v>
      </c>
      <c r="BJ99" s="10">
        <f t="shared" si="127"/>
        <v>0</v>
      </c>
      <c r="BK99" s="10">
        <f t="shared" si="127"/>
        <v>0</v>
      </c>
      <c r="BL99" s="10">
        <f t="shared" si="127"/>
        <v>0</v>
      </c>
      <c r="BM99" s="10">
        <f t="shared" si="127"/>
        <v>0</v>
      </c>
    </row>
    <row r="100">
      <c r="A100" s="181" t="s">
        <v>192</v>
      </c>
      <c r="B100" s="88">
        <f t="shared" ref="B100:AP100" si="128">0</f>
        <v>0</v>
      </c>
      <c r="C100" s="88">
        <f t="shared" si="128"/>
        <v>0</v>
      </c>
      <c r="D100" s="88">
        <f t="shared" si="128"/>
        <v>0</v>
      </c>
      <c r="E100" s="88">
        <f t="shared" si="128"/>
        <v>0</v>
      </c>
      <c r="F100" s="88">
        <f t="shared" si="128"/>
        <v>0</v>
      </c>
      <c r="G100" s="88">
        <f t="shared" si="128"/>
        <v>0</v>
      </c>
      <c r="H100" s="88">
        <f t="shared" si="128"/>
        <v>0</v>
      </c>
      <c r="I100" s="88">
        <f t="shared" si="128"/>
        <v>0</v>
      </c>
      <c r="J100" s="88">
        <f t="shared" si="128"/>
        <v>0</v>
      </c>
      <c r="K100" s="88">
        <f t="shared" si="128"/>
        <v>0</v>
      </c>
      <c r="L100" s="88">
        <f t="shared" si="128"/>
        <v>0</v>
      </c>
      <c r="M100" s="88">
        <f t="shared" si="128"/>
        <v>0</v>
      </c>
      <c r="N100" s="88">
        <f t="shared" si="128"/>
        <v>0</v>
      </c>
      <c r="O100" s="88">
        <f t="shared" si="128"/>
        <v>0</v>
      </c>
      <c r="P100" s="88">
        <f t="shared" si="128"/>
        <v>0</v>
      </c>
      <c r="Q100" s="88">
        <f t="shared" si="128"/>
        <v>0</v>
      </c>
      <c r="R100" s="88">
        <f t="shared" si="128"/>
        <v>0</v>
      </c>
      <c r="S100" s="88">
        <f t="shared" si="128"/>
        <v>0</v>
      </c>
      <c r="T100" s="88">
        <f t="shared" si="128"/>
        <v>0</v>
      </c>
      <c r="U100" s="88">
        <f t="shared" si="128"/>
        <v>0</v>
      </c>
      <c r="V100" s="88">
        <f t="shared" si="128"/>
        <v>0</v>
      </c>
      <c r="W100" s="88">
        <f t="shared" si="128"/>
        <v>0</v>
      </c>
      <c r="X100" s="88">
        <f t="shared" si="128"/>
        <v>0</v>
      </c>
      <c r="Y100" s="88">
        <f t="shared" si="128"/>
        <v>0</v>
      </c>
      <c r="Z100" s="88">
        <f t="shared" si="128"/>
        <v>0</v>
      </c>
      <c r="AA100" s="88">
        <f t="shared" si="128"/>
        <v>0</v>
      </c>
      <c r="AB100" s="88">
        <f t="shared" si="128"/>
        <v>0</v>
      </c>
      <c r="AC100" s="88">
        <f t="shared" si="128"/>
        <v>0</v>
      </c>
      <c r="AD100" s="88">
        <f t="shared" si="128"/>
        <v>0</v>
      </c>
      <c r="AE100" s="88">
        <f t="shared" si="128"/>
        <v>0</v>
      </c>
      <c r="AF100" s="88">
        <f t="shared" si="128"/>
        <v>0</v>
      </c>
      <c r="AG100" s="88">
        <f t="shared" si="128"/>
        <v>0</v>
      </c>
      <c r="AH100" s="88">
        <f t="shared" si="128"/>
        <v>0</v>
      </c>
      <c r="AI100" s="88">
        <f t="shared" si="128"/>
        <v>0</v>
      </c>
      <c r="AJ100" s="88">
        <f t="shared" si="128"/>
        <v>0</v>
      </c>
      <c r="AK100" s="88">
        <f t="shared" si="128"/>
        <v>0</v>
      </c>
      <c r="AL100" s="88">
        <f t="shared" si="128"/>
        <v>0</v>
      </c>
      <c r="AM100" s="88">
        <f t="shared" si="128"/>
        <v>0</v>
      </c>
      <c r="AN100" s="88">
        <f t="shared" si="128"/>
        <v>0</v>
      </c>
      <c r="AO100" s="88">
        <f t="shared" si="128"/>
        <v>0</v>
      </c>
      <c r="AP100" s="88">
        <f t="shared" si="128"/>
        <v>0</v>
      </c>
      <c r="AQ100" s="10">
        <f>15</f>
        <v>15</v>
      </c>
      <c r="AR100" s="88">
        <f t="shared" ref="AR100:BE100" si="129">0</f>
        <v>0</v>
      </c>
      <c r="AS100" s="88">
        <f t="shared" si="129"/>
        <v>0</v>
      </c>
      <c r="AT100" s="88">
        <f t="shared" si="129"/>
        <v>0</v>
      </c>
      <c r="AU100" s="88">
        <f t="shared" si="129"/>
        <v>0</v>
      </c>
      <c r="AV100" s="88">
        <f t="shared" si="129"/>
        <v>0</v>
      </c>
      <c r="AW100" s="88">
        <f t="shared" si="129"/>
        <v>0</v>
      </c>
      <c r="AX100" s="88">
        <f t="shared" si="129"/>
        <v>0</v>
      </c>
      <c r="AY100" s="88">
        <f t="shared" si="129"/>
        <v>0</v>
      </c>
      <c r="AZ100" s="88">
        <f t="shared" si="129"/>
        <v>0</v>
      </c>
      <c r="BA100" s="88">
        <f t="shared" si="129"/>
        <v>0</v>
      </c>
      <c r="BB100" s="10">
        <f t="shared" si="129"/>
        <v>0</v>
      </c>
      <c r="BC100" s="10">
        <f t="shared" si="129"/>
        <v>0</v>
      </c>
      <c r="BD100" s="10">
        <f t="shared" si="129"/>
        <v>0</v>
      </c>
      <c r="BE100" s="10">
        <f t="shared" si="129"/>
        <v>0</v>
      </c>
      <c r="BF100" s="10">
        <f>15</f>
        <v>15</v>
      </c>
      <c r="BG100" s="10">
        <f t="shared" ref="BG100:BM100" si="130">0</f>
        <v>0</v>
      </c>
      <c r="BH100" s="10">
        <f t="shared" si="130"/>
        <v>0</v>
      </c>
      <c r="BI100" s="10">
        <f t="shared" si="130"/>
        <v>0</v>
      </c>
      <c r="BJ100" s="10">
        <f t="shared" si="130"/>
        <v>0</v>
      </c>
      <c r="BK100" s="10">
        <f t="shared" si="130"/>
        <v>0</v>
      </c>
      <c r="BL100" s="10">
        <f t="shared" si="130"/>
        <v>0</v>
      </c>
      <c r="BM100" s="10">
        <f t="shared" si="130"/>
        <v>0</v>
      </c>
    </row>
    <row r="101">
      <c r="A101" s="181" t="s">
        <v>193</v>
      </c>
      <c r="B101" s="88">
        <f t="shared" ref="B101:AN101" si="131">0</f>
        <v>0</v>
      </c>
      <c r="C101" s="88">
        <f t="shared" si="131"/>
        <v>0</v>
      </c>
      <c r="D101" s="88">
        <f t="shared" si="131"/>
        <v>0</v>
      </c>
      <c r="E101" s="88">
        <f t="shared" si="131"/>
        <v>0</v>
      </c>
      <c r="F101" s="88">
        <f t="shared" si="131"/>
        <v>0</v>
      </c>
      <c r="G101" s="88">
        <f t="shared" si="131"/>
        <v>0</v>
      </c>
      <c r="H101" s="88">
        <f t="shared" si="131"/>
        <v>0</v>
      </c>
      <c r="I101" s="88">
        <f t="shared" si="131"/>
        <v>0</v>
      </c>
      <c r="J101" s="88">
        <f t="shared" si="131"/>
        <v>0</v>
      </c>
      <c r="K101" s="88">
        <f t="shared" si="131"/>
        <v>0</v>
      </c>
      <c r="L101" s="88">
        <f t="shared" si="131"/>
        <v>0</v>
      </c>
      <c r="M101" s="88">
        <f t="shared" si="131"/>
        <v>0</v>
      </c>
      <c r="N101" s="88">
        <f t="shared" si="131"/>
        <v>0</v>
      </c>
      <c r="O101" s="88">
        <f t="shared" si="131"/>
        <v>0</v>
      </c>
      <c r="P101" s="88">
        <f t="shared" si="131"/>
        <v>0</v>
      </c>
      <c r="Q101" s="88">
        <f t="shared" si="131"/>
        <v>0</v>
      </c>
      <c r="R101" s="88">
        <f t="shared" si="131"/>
        <v>0</v>
      </c>
      <c r="S101" s="88">
        <f t="shared" si="131"/>
        <v>0</v>
      </c>
      <c r="T101" s="88">
        <f t="shared" si="131"/>
        <v>0</v>
      </c>
      <c r="U101" s="88">
        <f t="shared" si="131"/>
        <v>0</v>
      </c>
      <c r="V101" s="88">
        <f t="shared" si="131"/>
        <v>0</v>
      </c>
      <c r="W101" s="88">
        <f t="shared" si="131"/>
        <v>0</v>
      </c>
      <c r="X101" s="88">
        <f t="shared" si="131"/>
        <v>0</v>
      </c>
      <c r="Y101" s="88">
        <f t="shared" si="131"/>
        <v>0</v>
      </c>
      <c r="Z101" s="88">
        <f t="shared" si="131"/>
        <v>0</v>
      </c>
      <c r="AA101" s="88">
        <f t="shared" si="131"/>
        <v>0</v>
      </c>
      <c r="AB101" s="88">
        <f t="shared" si="131"/>
        <v>0</v>
      </c>
      <c r="AC101" s="88">
        <f t="shared" si="131"/>
        <v>0</v>
      </c>
      <c r="AD101" s="88">
        <f t="shared" si="131"/>
        <v>0</v>
      </c>
      <c r="AE101" s="88">
        <f t="shared" si="131"/>
        <v>0</v>
      </c>
      <c r="AF101" s="88">
        <f t="shared" si="131"/>
        <v>0</v>
      </c>
      <c r="AG101" s="88">
        <f t="shared" si="131"/>
        <v>0</v>
      </c>
      <c r="AH101" s="88">
        <f t="shared" si="131"/>
        <v>0</v>
      </c>
      <c r="AI101" s="88">
        <f t="shared" si="131"/>
        <v>0</v>
      </c>
      <c r="AJ101" s="88">
        <f t="shared" si="131"/>
        <v>0</v>
      </c>
      <c r="AK101" s="88">
        <f t="shared" si="131"/>
        <v>0</v>
      </c>
      <c r="AL101" s="88">
        <f t="shared" si="131"/>
        <v>0</v>
      </c>
      <c r="AM101" s="88">
        <f t="shared" si="131"/>
        <v>0</v>
      </c>
      <c r="AN101" s="88">
        <f t="shared" si="131"/>
        <v>0</v>
      </c>
      <c r="AO101" s="10">
        <f>15</f>
        <v>15</v>
      </c>
      <c r="AP101" s="88">
        <f t="shared" ref="AP101:BM101" si="132">0</f>
        <v>0</v>
      </c>
      <c r="AQ101" s="88">
        <f t="shared" si="132"/>
        <v>0</v>
      </c>
      <c r="AR101" s="88">
        <f t="shared" si="132"/>
        <v>0</v>
      </c>
      <c r="AS101" s="88">
        <f t="shared" si="132"/>
        <v>0</v>
      </c>
      <c r="AT101" s="88">
        <f t="shared" si="132"/>
        <v>0</v>
      </c>
      <c r="AU101" s="88">
        <f t="shared" si="132"/>
        <v>0</v>
      </c>
      <c r="AV101" s="88">
        <f t="shared" si="132"/>
        <v>0</v>
      </c>
      <c r="AW101" s="88">
        <f t="shared" si="132"/>
        <v>0</v>
      </c>
      <c r="AX101" s="88">
        <f t="shared" si="132"/>
        <v>0</v>
      </c>
      <c r="AY101" s="88">
        <f t="shared" si="132"/>
        <v>0</v>
      </c>
      <c r="AZ101" s="88">
        <f t="shared" si="132"/>
        <v>0</v>
      </c>
      <c r="BA101" s="88">
        <f t="shared" si="132"/>
        <v>0</v>
      </c>
      <c r="BB101" s="10">
        <f t="shared" si="132"/>
        <v>0</v>
      </c>
      <c r="BC101" s="10">
        <f t="shared" si="132"/>
        <v>0</v>
      </c>
      <c r="BD101" s="10">
        <f t="shared" si="132"/>
        <v>0</v>
      </c>
      <c r="BE101" s="10">
        <f t="shared" si="132"/>
        <v>0</v>
      </c>
      <c r="BF101" s="10">
        <f t="shared" si="132"/>
        <v>0</v>
      </c>
      <c r="BG101" s="10">
        <f t="shared" si="132"/>
        <v>0</v>
      </c>
      <c r="BH101" s="10">
        <f t="shared" si="132"/>
        <v>0</v>
      </c>
      <c r="BI101" s="10">
        <f t="shared" si="132"/>
        <v>0</v>
      </c>
      <c r="BJ101" s="10">
        <f t="shared" si="132"/>
        <v>0</v>
      </c>
      <c r="BK101" s="10">
        <f t="shared" si="132"/>
        <v>0</v>
      </c>
      <c r="BL101" s="10">
        <f t="shared" si="132"/>
        <v>0</v>
      </c>
      <c r="BM101" s="10">
        <f t="shared" si="132"/>
        <v>0</v>
      </c>
    </row>
    <row r="102">
      <c r="A102" s="181" t="s">
        <v>194</v>
      </c>
      <c r="B102" s="88">
        <f t="shared" ref="B102:AL102" si="133">0</f>
        <v>0</v>
      </c>
      <c r="C102" s="88">
        <f t="shared" si="133"/>
        <v>0</v>
      </c>
      <c r="D102" s="88">
        <f t="shared" si="133"/>
        <v>0</v>
      </c>
      <c r="E102" s="88">
        <f t="shared" si="133"/>
        <v>0</v>
      </c>
      <c r="F102" s="88">
        <f t="shared" si="133"/>
        <v>0</v>
      </c>
      <c r="G102" s="88">
        <f t="shared" si="133"/>
        <v>0</v>
      </c>
      <c r="H102" s="88">
        <f t="shared" si="133"/>
        <v>0</v>
      </c>
      <c r="I102" s="88">
        <f t="shared" si="133"/>
        <v>0</v>
      </c>
      <c r="J102" s="88">
        <f t="shared" si="133"/>
        <v>0</v>
      </c>
      <c r="K102" s="88">
        <f t="shared" si="133"/>
        <v>0</v>
      </c>
      <c r="L102" s="88">
        <f t="shared" si="133"/>
        <v>0</v>
      </c>
      <c r="M102" s="88">
        <f t="shared" si="133"/>
        <v>0</v>
      </c>
      <c r="N102" s="88">
        <f t="shared" si="133"/>
        <v>0</v>
      </c>
      <c r="O102" s="88">
        <f t="shared" si="133"/>
        <v>0</v>
      </c>
      <c r="P102" s="88">
        <f t="shared" si="133"/>
        <v>0</v>
      </c>
      <c r="Q102" s="88">
        <f t="shared" si="133"/>
        <v>0</v>
      </c>
      <c r="R102" s="88">
        <f t="shared" si="133"/>
        <v>0</v>
      </c>
      <c r="S102" s="88">
        <f t="shared" si="133"/>
        <v>0</v>
      </c>
      <c r="T102" s="88">
        <f t="shared" si="133"/>
        <v>0</v>
      </c>
      <c r="U102" s="88">
        <f t="shared" si="133"/>
        <v>0</v>
      </c>
      <c r="V102" s="88">
        <f t="shared" si="133"/>
        <v>0</v>
      </c>
      <c r="W102" s="88">
        <f t="shared" si="133"/>
        <v>0</v>
      </c>
      <c r="X102" s="88">
        <f t="shared" si="133"/>
        <v>0</v>
      </c>
      <c r="Y102" s="88">
        <f t="shared" si="133"/>
        <v>0</v>
      </c>
      <c r="Z102" s="88">
        <f t="shared" si="133"/>
        <v>0</v>
      </c>
      <c r="AA102" s="88">
        <f t="shared" si="133"/>
        <v>0</v>
      </c>
      <c r="AB102" s="88">
        <f t="shared" si="133"/>
        <v>0</v>
      </c>
      <c r="AC102" s="88">
        <f t="shared" si="133"/>
        <v>0</v>
      </c>
      <c r="AD102" s="88">
        <f t="shared" si="133"/>
        <v>0</v>
      </c>
      <c r="AE102" s="88">
        <f t="shared" si="133"/>
        <v>0</v>
      </c>
      <c r="AF102" s="88">
        <f t="shared" si="133"/>
        <v>0</v>
      </c>
      <c r="AG102" s="88">
        <f t="shared" si="133"/>
        <v>0</v>
      </c>
      <c r="AH102" s="88">
        <f t="shared" si="133"/>
        <v>0</v>
      </c>
      <c r="AI102" s="88">
        <f t="shared" si="133"/>
        <v>0</v>
      </c>
      <c r="AJ102" s="88">
        <f t="shared" si="133"/>
        <v>0</v>
      </c>
      <c r="AK102" s="88">
        <f t="shared" si="133"/>
        <v>0</v>
      </c>
      <c r="AL102" s="88">
        <f t="shared" si="133"/>
        <v>0</v>
      </c>
      <c r="AM102" s="10">
        <f>15</f>
        <v>15</v>
      </c>
      <c r="AN102" s="88">
        <f t="shared" ref="AN102:BM102" si="134">0</f>
        <v>0</v>
      </c>
      <c r="AO102" s="88">
        <f t="shared" si="134"/>
        <v>0</v>
      </c>
      <c r="AP102" s="88">
        <f t="shared" si="134"/>
        <v>0</v>
      </c>
      <c r="AQ102" s="88">
        <f t="shared" si="134"/>
        <v>0</v>
      </c>
      <c r="AR102" s="88">
        <f t="shared" si="134"/>
        <v>0</v>
      </c>
      <c r="AS102" s="88">
        <f t="shared" si="134"/>
        <v>0</v>
      </c>
      <c r="AT102" s="88">
        <f t="shared" si="134"/>
        <v>0</v>
      </c>
      <c r="AU102" s="88">
        <f t="shared" si="134"/>
        <v>0</v>
      </c>
      <c r="AV102" s="88">
        <f t="shared" si="134"/>
        <v>0</v>
      </c>
      <c r="AW102" s="88">
        <f t="shared" si="134"/>
        <v>0</v>
      </c>
      <c r="AX102" s="88">
        <f t="shared" si="134"/>
        <v>0</v>
      </c>
      <c r="AY102" s="88">
        <f t="shared" si="134"/>
        <v>0</v>
      </c>
      <c r="AZ102" s="88">
        <f t="shared" si="134"/>
        <v>0</v>
      </c>
      <c r="BA102" s="88">
        <f t="shared" si="134"/>
        <v>0</v>
      </c>
      <c r="BB102" s="10">
        <f t="shared" si="134"/>
        <v>0</v>
      </c>
      <c r="BC102" s="10">
        <f t="shared" si="134"/>
        <v>0</v>
      </c>
      <c r="BD102" s="10">
        <f t="shared" si="134"/>
        <v>0</v>
      </c>
      <c r="BE102" s="10">
        <f t="shared" si="134"/>
        <v>0</v>
      </c>
      <c r="BF102" s="10">
        <f t="shared" si="134"/>
        <v>0</v>
      </c>
      <c r="BG102" s="10">
        <f t="shared" si="134"/>
        <v>0</v>
      </c>
      <c r="BH102" s="10">
        <f t="shared" si="134"/>
        <v>0</v>
      </c>
      <c r="BI102" s="10">
        <f t="shared" si="134"/>
        <v>0</v>
      </c>
      <c r="BJ102" s="10">
        <f t="shared" si="134"/>
        <v>0</v>
      </c>
      <c r="BK102" s="10">
        <f t="shared" si="134"/>
        <v>0</v>
      </c>
      <c r="BL102" s="10">
        <f t="shared" si="134"/>
        <v>0</v>
      </c>
      <c r="BM102" s="10">
        <f t="shared" si="134"/>
        <v>0</v>
      </c>
    </row>
    <row r="103">
      <c r="A103" s="181" t="s">
        <v>195</v>
      </c>
      <c r="B103" s="88">
        <f t="shared" ref="B103:AY103" si="135">0</f>
        <v>0</v>
      </c>
      <c r="C103" s="88">
        <f t="shared" si="135"/>
        <v>0</v>
      </c>
      <c r="D103" s="88">
        <f t="shared" si="135"/>
        <v>0</v>
      </c>
      <c r="E103" s="88">
        <f t="shared" si="135"/>
        <v>0</v>
      </c>
      <c r="F103" s="88">
        <f t="shared" si="135"/>
        <v>0</v>
      </c>
      <c r="G103" s="88">
        <f t="shared" si="135"/>
        <v>0</v>
      </c>
      <c r="H103" s="88">
        <f t="shared" si="135"/>
        <v>0</v>
      </c>
      <c r="I103" s="88">
        <f t="shared" si="135"/>
        <v>0</v>
      </c>
      <c r="J103" s="88">
        <f t="shared" si="135"/>
        <v>0</v>
      </c>
      <c r="K103" s="88">
        <f t="shared" si="135"/>
        <v>0</v>
      </c>
      <c r="L103" s="88">
        <f t="shared" si="135"/>
        <v>0</v>
      </c>
      <c r="M103" s="88">
        <f t="shared" si="135"/>
        <v>0</v>
      </c>
      <c r="N103" s="88">
        <f t="shared" si="135"/>
        <v>0</v>
      </c>
      <c r="O103" s="88">
        <f t="shared" si="135"/>
        <v>0</v>
      </c>
      <c r="P103" s="88">
        <f t="shared" si="135"/>
        <v>0</v>
      </c>
      <c r="Q103" s="88">
        <f t="shared" si="135"/>
        <v>0</v>
      </c>
      <c r="R103" s="88">
        <f t="shared" si="135"/>
        <v>0</v>
      </c>
      <c r="S103" s="88">
        <f t="shared" si="135"/>
        <v>0</v>
      </c>
      <c r="T103" s="88">
        <f t="shared" si="135"/>
        <v>0</v>
      </c>
      <c r="U103" s="88">
        <f t="shared" si="135"/>
        <v>0</v>
      </c>
      <c r="V103" s="88">
        <f t="shared" si="135"/>
        <v>0</v>
      </c>
      <c r="W103" s="88">
        <f t="shared" si="135"/>
        <v>0</v>
      </c>
      <c r="X103" s="88">
        <f t="shared" si="135"/>
        <v>0</v>
      </c>
      <c r="Y103" s="88">
        <f t="shared" si="135"/>
        <v>0</v>
      </c>
      <c r="Z103" s="88">
        <f t="shared" si="135"/>
        <v>0</v>
      </c>
      <c r="AA103" s="88">
        <f t="shared" si="135"/>
        <v>0</v>
      </c>
      <c r="AB103" s="88">
        <f t="shared" si="135"/>
        <v>0</v>
      </c>
      <c r="AC103" s="88">
        <f t="shared" si="135"/>
        <v>0</v>
      </c>
      <c r="AD103" s="88">
        <f t="shared" si="135"/>
        <v>0</v>
      </c>
      <c r="AE103" s="88">
        <f t="shared" si="135"/>
        <v>0</v>
      </c>
      <c r="AF103" s="88">
        <f t="shared" si="135"/>
        <v>0</v>
      </c>
      <c r="AG103" s="88">
        <f t="shared" si="135"/>
        <v>0</v>
      </c>
      <c r="AH103" s="88">
        <f t="shared" si="135"/>
        <v>0</v>
      </c>
      <c r="AI103" s="88">
        <f t="shared" si="135"/>
        <v>0</v>
      </c>
      <c r="AJ103" s="88">
        <f t="shared" si="135"/>
        <v>0</v>
      </c>
      <c r="AK103" s="88">
        <f t="shared" si="135"/>
        <v>0</v>
      </c>
      <c r="AL103" s="88">
        <f t="shared" si="135"/>
        <v>0</v>
      </c>
      <c r="AM103" s="88">
        <f t="shared" si="135"/>
        <v>0</v>
      </c>
      <c r="AN103" s="88">
        <f t="shared" si="135"/>
        <v>0</v>
      </c>
      <c r="AO103" s="88">
        <f t="shared" si="135"/>
        <v>0</v>
      </c>
      <c r="AP103" s="88">
        <f t="shared" si="135"/>
        <v>0</v>
      </c>
      <c r="AQ103" s="88">
        <f t="shared" si="135"/>
        <v>0</v>
      </c>
      <c r="AR103" s="88">
        <f t="shared" si="135"/>
        <v>0</v>
      </c>
      <c r="AS103" s="88">
        <f t="shared" si="135"/>
        <v>0</v>
      </c>
      <c r="AT103" s="88">
        <f t="shared" si="135"/>
        <v>0</v>
      </c>
      <c r="AU103" s="88">
        <f t="shared" si="135"/>
        <v>0</v>
      </c>
      <c r="AV103" s="88">
        <f t="shared" si="135"/>
        <v>0</v>
      </c>
      <c r="AW103" s="88">
        <f t="shared" si="135"/>
        <v>0</v>
      </c>
      <c r="AX103" s="88">
        <f t="shared" si="135"/>
        <v>0</v>
      </c>
      <c r="AY103" s="88">
        <f t="shared" si="135"/>
        <v>0</v>
      </c>
      <c r="AZ103" s="10">
        <f>15</f>
        <v>15</v>
      </c>
      <c r="BA103" s="88">
        <f t="shared" ref="BA103:BM103" si="136">0</f>
        <v>0</v>
      </c>
      <c r="BB103" s="10">
        <f t="shared" si="136"/>
        <v>0</v>
      </c>
      <c r="BC103" s="10">
        <f t="shared" si="136"/>
        <v>0</v>
      </c>
      <c r="BD103" s="10">
        <f t="shared" si="136"/>
        <v>0</v>
      </c>
      <c r="BE103" s="10">
        <f t="shared" si="136"/>
        <v>0</v>
      </c>
      <c r="BF103" s="10">
        <f t="shared" si="136"/>
        <v>0</v>
      </c>
      <c r="BG103" s="10">
        <f t="shared" si="136"/>
        <v>0</v>
      </c>
      <c r="BH103" s="10">
        <f t="shared" si="136"/>
        <v>0</v>
      </c>
      <c r="BI103" s="10">
        <f t="shared" si="136"/>
        <v>0</v>
      </c>
      <c r="BJ103" s="10">
        <f t="shared" si="136"/>
        <v>0</v>
      </c>
      <c r="BK103" s="10">
        <f t="shared" si="136"/>
        <v>0</v>
      </c>
      <c r="BL103" s="10">
        <f t="shared" si="136"/>
        <v>0</v>
      </c>
      <c r="BM103" s="10">
        <f t="shared" si="136"/>
        <v>0</v>
      </c>
    </row>
    <row r="104">
      <c r="A104" s="181" t="s">
        <v>196</v>
      </c>
      <c r="B104" s="88">
        <f t="shared" ref="B104:AF104" si="137">0</f>
        <v>0</v>
      </c>
      <c r="C104" s="88">
        <f t="shared" si="137"/>
        <v>0</v>
      </c>
      <c r="D104" s="88">
        <f t="shared" si="137"/>
        <v>0</v>
      </c>
      <c r="E104" s="88">
        <f t="shared" si="137"/>
        <v>0</v>
      </c>
      <c r="F104" s="88">
        <f t="shared" si="137"/>
        <v>0</v>
      </c>
      <c r="G104" s="88">
        <f t="shared" si="137"/>
        <v>0</v>
      </c>
      <c r="H104" s="88">
        <f t="shared" si="137"/>
        <v>0</v>
      </c>
      <c r="I104" s="88">
        <f t="shared" si="137"/>
        <v>0</v>
      </c>
      <c r="J104" s="88">
        <f t="shared" si="137"/>
        <v>0</v>
      </c>
      <c r="K104" s="88">
        <f t="shared" si="137"/>
        <v>0</v>
      </c>
      <c r="L104" s="88">
        <f t="shared" si="137"/>
        <v>0</v>
      </c>
      <c r="M104" s="88">
        <f t="shared" si="137"/>
        <v>0</v>
      </c>
      <c r="N104" s="88">
        <f t="shared" si="137"/>
        <v>0</v>
      </c>
      <c r="O104" s="88">
        <f t="shared" si="137"/>
        <v>0</v>
      </c>
      <c r="P104" s="88">
        <f t="shared" si="137"/>
        <v>0</v>
      </c>
      <c r="Q104" s="88">
        <f t="shared" si="137"/>
        <v>0</v>
      </c>
      <c r="R104" s="88">
        <f t="shared" si="137"/>
        <v>0</v>
      </c>
      <c r="S104" s="88">
        <f t="shared" si="137"/>
        <v>0</v>
      </c>
      <c r="T104" s="88">
        <f t="shared" si="137"/>
        <v>0</v>
      </c>
      <c r="U104" s="88">
        <f t="shared" si="137"/>
        <v>0</v>
      </c>
      <c r="V104" s="88">
        <f t="shared" si="137"/>
        <v>0</v>
      </c>
      <c r="W104" s="88">
        <f t="shared" si="137"/>
        <v>0</v>
      </c>
      <c r="X104" s="88">
        <f t="shared" si="137"/>
        <v>0</v>
      </c>
      <c r="Y104" s="88">
        <f t="shared" si="137"/>
        <v>0</v>
      </c>
      <c r="Z104" s="88">
        <f t="shared" si="137"/>
        <v>0</v>
      </c>
      <c r="AA104" s="88">
        <f t="shared" si="137"/>
        <v>0</v>
      </c>
      <c r="AB104" s="88">
        <f t="shared" si="137"/>
        <v>0</v>
      </c>
      <c r="AC104" s="88">
        <f t="shared" si="137"/>
        <v>0</v>
      </c>
      <c r="AD104" s="88">
        <f t="shared" si="137"/>
        <v>0</v>
      </c>
      <c r="AE104" s="88">
        <f t="shared" si="137"/>
        <v>0</v>
      </c>
      <c r="AF104" s="88">
        <f t="shared" si="137"/>
        <v>0</v>
      </c>
      <c r="AG104" s="10">
        <f>25</f>
        <v>25</v>
      </c>
      <c r="AH104" s="88">
        <f t="shared" ref="AH104:AR104" si="138">0</f>
        <v>0</v>
      </c>
      <c r="AI104" s="88">
        <f t="shared" si="138"/>
        <v>0</v>
      </c>
      <c r="AJ104" s="88">
        <f t="shared" si="138"/>
        <v>0</v>
      </c>
      <c r="AK104" s="88">
        <f t="shared" si="138"/>
        <v>0</v>
      </c>
      <c r="AL104" s="88">
        <f t="shared" si="138"/>
        <v>0</v>
      </c>
      <c r="AM104" s="88">
        <f t="shared" si="138"/>
        <v>0</v>
      </c>
      <c r="AN104" s="88">
        <f t="shared" si="138"/>
        <v>0</v>
      </c>
      <c r="AO104" s="88">
        <f t="shared" si="138"/>
        <v>0</v>
      </c>
      <c r="AP104" s="88">
        <f t="shared" si="138"/>
        <v>0</v>
      </c>
      <c r="AQ104" s="88">
        <f t="shared" si="138"/>
        <v>0</v>
      </c>
      <c r="AR104" s="88">
        <f t="shared" si="138"/>
        <v>0</v>
      </c>
      <c r="AS104" s="10">
        <f>25</f>
        <v>25</v>
      </c>
      <c r="AT104" s="88">
        <f t="shared" ref="AT104:BM104" si="139">0</f>
        <v>0</v>
      </c>
      <c r="AU104" s="88">
        <f t="shared" si="139"/>
        <v>0</v>
      </c>
      <c r="AV104" s="88">
        <f t="shared" si="139"/>
        <v>0</v>
      </c>
      <c r="AW104" s="88">
        <f t="shared" si="139"/>
        <v>0</v>
      </c>
      <c r="AX104" s="88">
        <f t="shared" si="139"/>
        <v>0</v>
      </c>
      <c r="AY104" s="88">
        <f t="shared" si="139"/>
        <v>0</v>
      </c>
      <c r="AZ104" s="88">
        <f t="shared" si="139"/>
        <v>0</v>
      </c>
      <c r="BA104" s="88">
        <f t="shared" si="139"/>
        <v>0</v>
      </c>
      <c r="BB104" s="10">
        <f t="shared" si="139"/>
        <v>0</v>
      </c>
      <c r="BC104" s="10">
        <f t="shared" si="139"/>
        <v>0</v>
      </c>
      <c r="BD104" s="10">
        <f t="shared" si="139"/>
        <v>0</v>
      </c>
      <c r="BE104" s="10">
        <f t="shared" si="139"/>
        <v>0</v>
      </c>
      <c r="BF104" s="10">
        <f t="shared" si="139"/>
        <v>0</v>
      </c>
      <c r="BG104" s="10">
        <f t="shared" si="139"/>
        <v>0</v>
      </c>
      <c r="BH104" s="10">
        <f t="shared" si="139"/>
        <v>0</v>
      </c>
      <c r="BI104" s="10">
        <f t="shared" si="139"/>
        <v>0</v>
      </c>
      <c r="BJ104" s="10">
        <f t="shared" si="139"/>
        <v>0</v>
      </c>
      <c r="BK104" s="10">
        <f t="shared" si="139"/>
        <v>0</v>
      </c>
      <c r="BL104" s="10">
        <f t="shared" si="139"/>
        <v>0</v>
      </c>
      <c r="BM104" s="10">
        <f t="shared" si="139"/>
        <v>0</v>
      </c>
    </row>
    <row r="105">
      <c r="A105" s="181" t="s">
        <v>197</v>
      </c>
      <c r="B105" s="88">
        <f t="shared" ref="B105:AG105" si="140">0</f>
        <v>0</v>
      </c>
      <c r="C105" s="88">
        <f t="shared" si="140"/>
        <v>0</v>
      </c>
      <c r="D105" s="88">
        <f t="shared" si="140"/>
        <v>0</v>
      </c>
      <c r="E105" s="88">
        <f t="shared" si="140"/>
        <v>0</v>
      </c>
      <c r="F105" s="88">
        <f t="shared" si="140"/>
        <v>0</v>
      </c>
      <c r="G105" s="88">
        <f t="shared" si="140"/>
        <v>0</v>
      </c>
      <c r="H105" s="88">
        <f t="shared" si="140"/>
        <v>0</v>
      </c>
      <c r="I105" s="88">
        <f t="shared" si="140"/>
        <v>0</v>
      </c>
      <c r="J105" s="88">
        <f t="shared" si="140"/>
        <v>0</v>
      </c>
      <c r="K105" s="88">
        <f t="shared" si="140"/>
        <v>0</v>
      </c>
      <c r="L105" s="88">
        <f t="shared" si="140"/>
        <v>0</v>
      </c>
      <c r="M105" s="88">
        <f t="shared" si="140"/>
        <v>0</v>
      </c>
      <c r="N105" s="88">
        <f t="shared" si="140"/>
        <v>0</v>
      </c>
      <c r="O105" s="88">
        <f t="shared" si="140"/>
        <v>0</v>
      </c>
      <c r="P105" s="88">
        <f t="shared" si="140"/>
        <v>0</v>
      </c>
      <c r="Q105" s="88">
        <f t="shared" si="140"/>
        <v>0</v>
      </c>
      <c r="R105" s="88">
        <f t="shared" si="140"/>
        <v>0</v>
      </c>
      <c r="S105" s="88">
        <f t="shared" si="140"/>
        <v>0</v>
      </c>
      <c r="T105" s="88">
        <f t="shared" si="140"/>
        <v>0</v>
      </c>
      <c r="U105" s="88">
        <f t="shared" si="140"/>
        <v>0</v>
      </c>
      <c r="V105" s="88">
        <f t="shared" si="140"/>
        <v>0</v>
      </c>
      <c r="W105" s="88">
        <f t="shared" si="140"/>
        <v>0</v>
      </c>
      <c r="X105" s="88">
        <f t="shared" si="140"/>
        <v>0</v>
      </c>
      <c r="Y105" s="88">
        <f t="shared" si="140"/>
        <v>0</v>
      </c>
      <c r="Z105" s="88">
        <f t="shared" si="140"/>
        <v>0</v>
      </c>
      <c r="AA105" s="88">
        <f t="shared" si="140"/>
        <v>0</v>
      </c>
      <c r="AB105" s="88">
        <f t="shared" si="140"/>
        <v>0</v>
      </c>
      <c r="AC105" s="88">
        <f t="shared" si="140"/>
        <v>0</v>
      </c>
      <c r="AD105" s="88">
        <f t="shared" si="140"/>
        <v>0</v>
      </c>
      <c r="AE105" s="88">
        <f t="shared" si="140"/>
        <v>0</v>
      </c>
      <c r="AF105" s="88">
        <f t="shared" si="140"/>
        <v>0</v>
      </c>
      <c r="AG105" s="88">
        <f t="shared" si="140"/>
        <v>0</v>
      </c>
      <c r="AH105" s="10">
        <f>15</f>
        <v>15</v>
      </c>
      <c r="AI105" s="88">
        <f t="shared" ref="AI105:AV105" si="141">0</f>
        <v>0</v>
      </c>
      <c r="AJ105" s="88">
        <f t="shared" si="141"/>
        <v>0</v>
      </c>
      <c r="AK105" s="88">
        <f t="shared" si="141"/>
        <v>0</v>
      </c>
      <c r="AL105" s="88">
        <f t="shared" si="141"/>
        <v>0</v>
      </c>
      <c r="AM105" s="88">
        <f t="shared" si="141"/>
        <v>0</v>
      </c>
      <c r="AN105" s="88">
        <f t="shared" si="141"/>
        <v>0</v>
      </c>
      <c r="AO105" s="88">
        <f t="shared" si="141"/>
        <v>0</v>
      </c>
      <c r="AP105" s="88">
        <f t="shared" si="141"/>
        <v>0</v>
      </c>
      <c r="AQ105" s="88">
        <f t="shared" si="141"/>
        <v>0</v>
      </c>
      <c r="AR105" s="88">
        <f t="shared" si="141"/>
        <v>0</v>
      </c>
      <c r="AS105" s="88">
        <f t="shared" si="141"/>
        <v>0</v>
      </c>
      <c r="AT105" s="88">
        <f t="shared" si="141"/>
        <v>0</v>
      </c>
      <c r="AU105" s="88">
        <f t="shared" si="141"/>
        <v>0</v>
      </c>
      <c r="AV105" s="88">
        <f t="shared" si="141"/>
        <v>0</v>
      </c>
      <c r="AW105" s="10">
        <f>15</f>
        <v>15</v>
      </c>
      <c r="AX105" s="88">
        <f t="shared" ref="AX105:BM105" si="142">0</f>
        <v>0</v>
      </c>
      <c r="AY105" s="88">
        <f t="shared" si="142"/>
        <v>0</v>
      </c>
      <c r="AZ105" s="88">
        <f t="shared" si="142"/>
        <v>0</v>
      </c>
      <c r="BA105" s="88">
        <f t="shared" si="142"/>
        <v>0</v>
      </c>
      <c r="BB105" s="10">
        <f t="shared" si="142"/>
        <v>0</v>
      </c>
      <c r="BC105" s="10">
        <f t="shared" si="142"/>
        <v>0</v>
      </c>
      <c r="BD105" s="10">
        <f t="shared" si="142"/>
        <v>0</v>
      </c>
      <c r="BE105" s="10">
        <f t="shared" si="142"/>
        <v>0</v>
      </c>
      <c r="BF105" s="10">
        <f t="shared" si="142"/>
        <v>0</v>
      </c>
      <c r="BG105" s="10">
        <f t="shared" si="142"/>
        <v>0</v>
      </c>
      <c r="BH105" s="10">
        <f t="shared" si="142"/>
        <v>0</v>
      </c>
      <c r="BI105" s="10">
        <f t="shared" si="142"/>
        <v>0</v>
      </c>
      <c r="BJ105" s="10">
        <f t="shared" si="142"/>
        <v>0</v>
      </c>
      <c r="BK105" s="10">
        <f t="shared" si="142"/>
        <v>0</v>
      </c>
      <c r="BL105" s="10">
        <f t="shared" si="142"/>
        <v>0</v>
      </c>
      <c r="BM105" s="10">
        <f t="shared" si="142"/>
        <v>0</v>
      </c>
    </row>
    <row r="106">
      <c r="A106" s="181" t="s">
        <v>198</v>
      </c>
      <c r="B106" s="88">
        <f t="shared" ref="B106:AJ106" si="143">0</f>
        <v>0</v>
      </c>
      <c r="C106" s="88">
        <f t="shared" si="143"/>
        <v>0</v>
      </c>
      <c r="D106" s="88">
        <f t="shared" si="143"/>
        <v>0</v>
      </c>
      <c r="E106" s="88">
        <f t="shared" si="143"/>
        <v>0</v>
      </c>
      <c r="F106" s="88">
        <f t="shared" si="143"/>
        <v>0</v>
      </c>
      <c r="G106" s="88">
        <f t="shared" si="143"/>
        <v>0</v>
      </c>
      <c r="H106" s="88">
        <f t="shared" si="143"/>
        <v>0</v>
      </c>
      <c r="I106" s="88">
        <f t="shared" si="143"/>
        <v>0</v>
      </c>
      <c r="J106" s="88">
        <f t="shared" si="143"/>
        <v>0</v>
      </c>
      <c r="K106" s="88">
        <f t="shared" si="143"/>
        <v>0</v>
      </c>
      <c r="L106" s="88">
        <f t="shared" si="143"/>
        <v>0</v>
      </c>
      <c r="M106" s="88">
        <f t="shared" si="143"/>
        <v>0</v>
      </c>
      <c r="N106" s="88">
        <f t="shared" si="143"/>
        <v>0</v>
      </c>
      <c r="O106" s="88">
        <f t="shared" si="143"/>
        <v>0</v>
      </c>
      <c r="P106" s="88">
        <f t="shared" si="143"/>
        <v>0</v>
      </c>
      <c r="Q106" s="88">
        <f t="shared" si="143"/>
        <v>0</v>
      </c>
      <c r="R106" s="88">
        <f t="shared" si="143"/>
        <v>0</v>
      </c>
      <c r="S106" s="88">
        <f t="shared" si="143"/>
        <v>0</v>
      </c>
      <c r="T106" s="88">
        <f t="shared" si="143"/>
        <v>0</v>
      </c>
      <c r="U106" s="88">
        <f t="shared" si="143"/>
        <v>0</v>
      </c>
      <c r="V106" s="88">
        <f t="shared" si="143"/>
        <v>0</v>
      </c>
      <c r="W106" s="88">
        <f t="shared" si="143"/>
        <v>0</v>
      </c>
      <c r="X106" s="88">
        <f t="shared" si="143"/>
        <v>0</v>
      </c>
      <c r="Y106" s="88">
        <f t="shared" si="143"/>
        <v>0</v>
      </c>
      <c r="Z106" s="88">
        <f t="shared" si="143"/>
        <v>0</v>
      </c>
      <c r="AA106" s="88">
        <f t="shared" si="143"/>
        <v>0</v>
      </c>
      <c r="AB106" s="88">
        <f t="shared" si="143"/>
        <v>0</v>
      </c>
      <c r="AC106" s="88">
        <f t="shared" si="143"/>
        <v>0</v>
      </c>
      <c r="AD106" s="88">
        <f t="shared" si="143"/>
        <v>0</v>
      </c>
      <c r="AE106" s="88">
        <f t="shared" si="143"/>
        <v>0</v>
      </c>
      <c r="AF106" s="88">
        <f t="shared" si="143"/>
        <v>0</v>
      </c>
      <c r="AG106" s="88">
        <f t="shared" si="143"/>
        <v>0</v>
      </c>
      <c r="AH106" s="88">
        <f t="shared" si="143"/>
        <v>0</v>
      </c>
      <c r="AI106" s="88">
        <f t="shared" si="143"/>
        <v>0</v>
      </c>
      <c r="AJ106" s="88">
        <f t="shared" si="143"/>
        <v>0</v>
      </c>
      <c r="AK106" s="10">
        <f>35</f>
        <v>35</v>
      </c>
      <c r="AL106" s="88">
        <f t="shared" ref="AL106:BM106" si="144">0</f>
        <v>0</v>
      </c>
      <c r="AM106" s="88">
        <f t="shared" si="144"/>
        <v>0</v>
      </c>
      <c r="AN106" s="88">
        <f t="shared" si="144"/>
        <v>0</v>
      </c>
      <c r="AO106" s="88">
        <f t="shared" si="144"/>
        <v>0</v>
      </c>
      <c r="AP106" s="88">
        <f t="shared" si="144"/>
        <v>0</v>
      </c>
      <c r="AQ106" s="88">
        <f t="shared" si="144"/>
        <v>0</v>
      </c>
      <c r="AR106" s="88">
        <f t="shared" si="144"/>
        <v>0</v>
      </c>
      <c r="AS106" s="88">
        <f t="shared" si="144"/>
        <v>0</v>
      </c>
      <c r="AT106" s="88">
        <f t="shared" si="144"/>
        <v>0</v>
      </c>
      <c r="AU106" s="88">
        <f t="shared" si="144"/>
        <v>0</v>
      </c>
      <c r="AV106" s="88">
        <f t="shared" si="144"/>
        <v>0</v>
      </c>
      <c r="AW106" s="88">
        <f t="shared" si="144"/>
        <v>0</v>
      </c>
      <c r="AX106" s="88">
        <f t="shared" si="144"/>
        <v>0</v>
      </c>
      <c r="AY106" s="88">
        <f t="shared" si="144"/>
        <v>0</v>
      </c>
      <c r="AZ106" s="88">
        <f t="shared" si="144"/>
        <v>0</v>
      </c>
      <c r="BA106" s="88">
        <f t="shared" si="144"/>
        <v>0</v>
      </c>
      <c r="BB106" s="10">
        <f t="shared" si="144"/>
        <v>0</v>
      </c>
      <c r="BC106" s="10">
        <f t="shared" si="144"/>
        <v>0</v>
      </c>
      <c r="BD106" s="10">
        <f t="shared" si="144"/>
        <v>0</v>
      </c>
      <c r="BE106" s="10">
        <f t="shared" si="144"/>
        <v>0</v>
      </c>
      <c r="BF106" s="10">
        <f t="shared" si="144"/>
        <v>0</v>
      </c>
      <c r="BG106" s="10">
        <f t="shared" si="144"/>
        <v>0</v>
      </c>
      <c r="BH106" s="10">
        <f t="shared" si="144"/>
        <v>0</v>
      </c>
      <c r="BI106" s="10">
        <f t="shared" si="144"/>
        <v>0</v>
      </c>
      <c r="BJ106" s="10">
        <f t="shared" si="144"/>
        <v>0</v>
      </c>
      <c r="BK106" s="10">
        <f t="shared" si="144"/>
        <v>0</v>
      </c>
      <c r="BL106" s="10">
        <f t="shared" si="144"/>
        <v>0</v>
      </c>
      <c r="BM106" s="10">
        <f t="shared" si="144"/>
        <v>0</v>
      </c>
    </row>
    <row r="107">
      <c r="A107" s="181" t="s">
        <v>199</v>
      </c>
      <c r="B107" s="88">
        <f t="shared" ref="B107:BM107" si="145">0</f>
        <v>0</v>
      </c>
      <c r="C107" s="88">
        <f t="shared" si="145"/>
        <v>0</v>
      </c>
      <c r="D107" s="88">
        <f t="shared" si="145"/>
        <v>0</v>
      </c>
      <c r="E107" s="88">
        <f t="shared" si="145"/>
        <v>0</v>
      </c>
      <c r="F107" s="88">
        <f t="shared" si="145"/>
        <v>0</v>
      </c>
      <c r="G107" s="88">
        <f t="shared" si="145"/>
        <v>0</v>
      </c>
      <c r="H107" s="88">
        <f t="shared" si="145"/>
        <v>0</v>
      </c>
      <c r="I107" s="88">
        <f t="shared" si="145"/>
        <v>0</v>
      </c>
      <c r="J107" s="88">
        <f t="shared" si="145"/>
        <v>0</v>
      </c>
      <c r="K107" s="88">
        <f t="shared" si="145"/>
        <v>0</v>
      </c>
      <c r="L107" s="88">
        <f t="shared" si="145"/>
        <v>0</v>
      </c>
      <c r="M107" s="88">
        <f t="shared" si="145"/>
        <v>0</v>
      </c>
      <c r="N107" s="88">
        <f t="shared" si="145"/>
        <v>0</v>
      </c>
      <c r="O107" s="88">
        <f t="shared" si="145"/>
        <v>0</v>
      </c>
      <c r="P107" s="88">
        <f t="shared" si="145"/>
        <v>0</v>
      </c>
      <c r="Q107" s="88">
        <f t="shared" si="145"/>
        <v>0</v>
      </c>
      <c r="R107" s="88">
        <f t="shared" si="145"/>
        <v>0</v>
      </c>
      <c r="S107" s="88">
        <f t="shared" si="145"/>
        <v>0</v>
      </c>
      <c r="T107" s="88">
        <f t="shared" si="145"/>
        <v>0</v>
      </c>
      <c r="U107" s="88">
        <f t="shared" si="145"/>
        <v>0</v>
      </c>
      <c r="V107" s="88">
        <f t="shared" si="145"/>
        <v>0</v>
      </c>
      <c r="W107" s="88">
        <f t="shared" si="145"/>
        <v>0</v>
      </c>
      <c r="X107" s="88">
        <f t="shared" si="145"/>
        <v>0</v>
      </c>
      <c r="Y107" s="88">
        <f t="shared" si="145"/>
        <v>0</v>
      </c>
      <c r="Z107" s="88">
        <f t="shared" si="145"/>
        <v>0</v>
      </c>
      <c r="AA107" s="88">
        <f t="shared" si="145"/>
        <v>0</v>
      </c>
      <c r="AB107" s="88">
        <f t="shared" si="145"/>
        <v>0</v>
      </c>
      <c r="AC107" s="88">
        <f t="shared" si="145"/>
        <v>0</v>
      </c>
      <c r="AD107" s="88">
        <f t="shared" si="145"/>
        <v>0</v>
      </c>
      <c r="AE107" s="88">
        <f t="shared" si="145"/>
        <v>0</v>
      </c>
      <c r="AF107" s="88">
        <f t="shared" si="145"/>
        <v>0</v>
      </c>
      <c r="AG107" s="88">
        <f t="shared" si="145"/>
        <v>0</v>
      </c>
      <c r="AH107" s="88">
        <f t="shared" si="145"/>
        <v>0</v>
      </c>
      <c r="AI107" s="88">
        <f t="shared" si="145"/>
        <v>0</v>
      </c>
      <c r="AJ107" s="88">
        <f t="shared" si="145"/>
        <v>0</v>
      </c>
      <c r="AK107" s="88">
        <f t="shared" si="145"/>
        <v>0</v>
      </c>
      <c r="AL107" s="88">
        <f t="shared" si="145"/>
        <v>0</v>
      </c>
      <c r="AM107" s="88">
        <f t="shared" si="145"/>
        <v>0</v>
      </c>
      <c r="AN107" s="88">
        <f t="shared" si="145"/>
        <v>0</v>
      </c>
      <c r="AO107" s="88">
        <f t="shared" si="145"/>
        <v>0</v>
      </c>
      <c r="AP107" s="88">
        <f t="shared" si="145"/>
        <v>0</v>
      </c>
      <c r="AQ107" s="88">
        <f t="shared" si="145"/>
        <v>0</v>
      </c>
      <c r="AR107" s="88">
        <f t="shared" si="145"/>
        <v>0</v>
      </c>
      <c r="AS107" s="88">
        <f t="shared" si="145"/>
        <v>0</v>
      </c>
      <c r="AT107" s="88">
        <f t="shared" si="145"/>
        <v>0</v>
      </c>
      <c r="AU107" s="88">
        <f t="shared" si="145"/>
        <v>0</v>
      </c>
      <c r="AV107" s="88">
        <f t="shared" si="145"/>
        <v>0</v>
      </c>
      <c r="AW107" s="88">
        <f t="shared" si="145"/>
        <v>0</v>
      </c>
      <c r="AX107" s="88">
        <f t="shared" si="145"/>
        <v>0</v>
      </c>
      <c r="AY107" s="88">
        <f t="shared" si="145"/>
        <v>0</v>
      </c>
      <c r="AZ107" s="88">
        <f t="shared" si="145"/>
        <v>0</v>
      </c>
      <c r="BA107" s="88">
        <f t="shared" si="145"/>
        <v>0</v>
      </c>
      <c r="BB107" s="10">
        <f t="shared" si="145"/>
        <v>0</v>
      </c>
      <c r="BC107" s="10">
        <f t="shared" si="145"/>
        <v>0</v>
      </c>
      <c r="BD107" s="10">
        <f t="shared" si="145"/>
        <v>0</v>
      </c>
      <c r="BE107" s="10">
        <f t="shared" si="145"/>
        <v>0</v>
      </c>
      <c r="BF107" s="10">
        <f t="shared" si="145"/>
        <v>0</v>
      </c>
      <c r="BG107" s="10">
        <f t="shared" si="145"/>
        <v>0</v>
      </c>
      <c r="BH107" s="10">
        <f t="shared" si="145"/>
        <v>0</v>
      </c>
      <c r="BI107" s="10">
        <f t="shared" si="145"/>
        <v>0</v>
      </c>
      <c r="BJ107" s="10">
        <f t="shared" si="145"/>
        <v>0</v>
      </c>
      <c r="BK107" s="10">
        <f t="shared" si="145"/>
        <v>0</v>
      </c>
      <c r="BL107" s="10">
        <f t="shared" si="145"/>
        <v>0</v>
      </c>
      <c r="BM107" s="10">
        <f t="shared" si="145"/>
        <v>0</v>
      </c>
    </row>
    <row r="108">
      <c r="A108" s="181" t="s">
        <v>200</v>
      </c>
      <c r="B108" s="88">
        <f t="shared" ref="B108:BH108" si="146">0</f>
        <v>0</v>
      </c>
      <c r="C108" s="88">
        <f t="shared" si="146"/>
        <v>0</v>
      </c>
      <c r="D108" s="88">
        <f t="shared" si="146"/>
        <v>0</v>
      </c>
      <c r="E108" s="88">
        <f t="shared" si="146"/>
        <v>0</v>
      </c>
      <c r="F108" s="88">
        <f t="shared" si="146"/>
        <v>0</v>
      </c>
      <c r="G108" s="88">
        <f t="shared" si="146"/>
        <v>0</v>
      </c>
      <c r="H108" s="88">
        <f t="shared" si="146"/>
        <v>0</v>
      </c>
      <c r="I108" s="88">
        <f t="shared" si="146"/>
        <v>0</v>
      </c>
      <c r="J108" s="88">
        <f t="shared" si="146"/>
        <v>0</v>
      </c>
      <c r="K108" s="88">
        <f t="shared" si="146"/>
        <v>0</v>
      </c>
      <c r="L108" s="88">
        <f t="shared" si="146"/>
        <v>0</v>
      </c>
      <c r="M108" s="88">
        <f t="shared" si="146"/>
        <v>0</v>
      </c>
      <c r="N108" s="88">
        <f t="shared" si="146"/>
        <v>0</v>
      </c>
      <c r="O108" s="88">
        <f t="shared" si="146"/>
        <v>0</v>
      </c>
      <c r="P108" s="88">
        <f t="shared" si="146"/>
        <v>0</v>
      </c>
      <c r="Q108" s="88">
        <f t="shared" si="146"/>
        <v>0</v>
      </c>
      <c r="R108" s="88">
        <f t="shared" si="146"/>
        <v>0</v>
      </c>
      <c r="S108" s="88">
        <f t="shared" si="146"/>
        <v>0</v>
      </c>
      <c r="T108" s="88">
        <f t="shared" si="146"/>
        <v>0</v>
      </c>
      <c r="U108" s="88">
        <f t="shared" si="146"/>
        <v>0</v>
      </c>
      <c r="V108" s="88">
        <f t="shared" si="146"/>
        <v>0</v>
      </c>
      <c r="W108" s="88">
        <f t="shared" si="146"/>
        <v>0</v>
      </c>
      <c r="X108" s="88">
        <f t="shared" si="146"/>
        <v>0</v>
      </c>
      <c r="Y108" s="88">
        <f t="shared" si="146"/>
        <v>0</v>
      </c>
      <c r="Z108" s="88">
        <f t="shared" si="146"/>
        <v>0</v>
      </c>
      <c r="AA108" s="88">
        <f t="shared" si="146"/>
        <v>0</v>
      </c>
      <c r="AB108" s="88">
        <f t="shared" si="146"/>
        <v>0</v>
      </c>
      <c r="AC108" s="88">
        <f t="shared" si="146"/>
        <v>0</v>
      </c>
      <c r="AD108" s="88">
        <f t="shared" si="146"/>
        <v>0</v>
      </c>
      <c r="AE108" s="88">
        <f t="shared" si="146"/>
        <v>0</v>
      </c>
      <c r="AF108" s="88">
        <f t="shared" si="146"/>
        <v>0</v>
      </c>
      <c r="AG108" s="88">
        <f t="shared" si="146"/>
        <v>0</v>
      </c>
      <c r="AH108" s="88">
        <f t="shared" si="146"/>
        <v>0</v>
      </c>
      <c r="AI108" s="88">
        <f t="shared" si="146"/>
        <v>0</v>
      </c>
      <c r="AJ108" s="88">
        <f t="shared" si="146"/>
        <v>0</v>
      </c>
      <c r="AK108" s="88">
        <f t="shared" si="146"/>
        <v>0</v>
      </c>
      <c r="AL108" s="88">
        <f t="shared" si="146"/>
        <v>0</v>
      </c>
      <c r="AM108" s="88">
        <f t="shared" si="146"/>
        <v>0</v>
      </c>
      <c r="AN108" s="88">
        <f t="shared" si="146"/>
        <v>0</v>
      </c>
      <c r="AO108" s="88">
        <f t="shared" si="146"/>
        <v>0</v>
      </c>
      <c r="AP108" s="88">
        <f t="shared" si="146"/>
        <v>0</v>
      </c>
      <c r="AQ108" s="88">
        <f t="shared" si="146"/>
        <v>0</v>
      </c>
      <c r="AR108" s="88">
        <f t="shared" si="146"/>
        <v>0</v>
      </c>
      <c r="AS108" s="88">
        <f t="shared" si="146"/>
        <v>0</v>
      </c>
      <c r="AT108" s="88">
        <f t="shared" si="146"/>
        <v>0</v>
      </c>
      <c r="AU108" s="88">
        <f t="shared" si="146"/>
        <v>0</v>
      </c>
      <c r="AV108" s="88">
        <f t="shared" si="146"/>
        <v>0</v>
      </c>
      <c r="AW108" s="88">
        <f t="shared" si="146"/>
        <v>0</v>
      </c>
      <c r="AX108" s="88">
        <f t="shared" si="146"/>
        <v>0</v>
      </c>
      <c r="AY108" s="88">
        <f t="shared" si="146"/>
        <v>0</v>
      </c>
      <c r="AZ108" s="88">
        <f t="shared" si="146"/>
        <v>0</v>
      </c>
      <c r="BA108" s="88">
        <f t="shared" si="146"/>
        <v>0</v>
      </c>
      <c r="BB108" s="10">
        <f t="shared" si="146"/>
        <v>0</v>
      </c>
      <c r="BC108" s="10">
        <f t="shared" si="146"/>
        <v>0</v>
      </c>
      <c r="BD108" s="10">
        <f t="shared" si="146"/>
        <v>0</v>
      </c>
      <c r="BE108" s="10">
        <f t="shared" si="146"/>
        <v>0</v>
      </c>
      <c r="BF108" s="10">
        <f t="shared" si="146"/>
        <v>0</v>
      </c>
      <c r="BG108" s="10">
        <f t="shared" si="146"/>
        <v>0</v>
      </c>
      <c r="BH108" s="10">
        <f t="shared" si="146"/>
        <v>0</v>
      </c>
      <c r="BI108" s="10">
        <f t="shared" ref="BI108:BI109" si="149">10</f>
        <v>10</v>
      </c>
      <c r="BJ108" s="10">
        <f t="shared" ref="BJ108:BJ109" si="150">0</f>
        <v>0</v>
      </c>
      <c r="BK108" s="10">
        <f>20</f>
        <v>20</v>
      </c>
      <c r="BL108" s="10">
        <f>0</f>
        <v>0</v>
      </c>
      <c r="BM108" s="10">
        <f>25</f>
        <v>25</v>
      </c>
    </row>
    <row r="109">
      <c r="A109" s="181" t="s">
        <v>201</v>
      </c>
      <c r="B109" s="88">
        <f t="shared" ref="B109:AE109" si="147">0</f>
        <v>0</v>
      </c>
      <c r="C109" s="88">
        <f t="shared" si="147"/>
        <v>0</v>
      </c>
      <c r="D109" s="88">
        <f t="shared" si="147"/>
        <v>0</v>
      </c>
      <c r="E109" s="88">
        <f t="shared" si="147"/>
        <v>0</v>
      </c>
      <c r="F109" s="88">
        <f t="shared" si="147"/>
        <v>0</v>
      </c>
      <c r="G109" s="88">
        <f t="shared" si="147"/>
        <v>0</v>
      </c>
      <c r="H109" s="88">
        <f t="shared" si="147"/>
        <v>0</v>
      </c>
      <c r="I109" s="88">
        <f t="shared" si="147"/>
        <v>0</v>
      </c>
      <c r="J109" s="88">
        <f t="shared" si="147"/>
        <v>0</v>
      </c>
      <c r="K109" s="88">
        <f t="shared" si="147"/>
        <v>0</v>
      </c>
      <c r="L109" s="88">
        <f t="shared" si="147"/>
        <v>0</v>
      </c>
      <c r="M109" s="88">
        <f t="shared" si="147"/>
        <v>0</v>
      </c>
      <c r="N109" s="88">
        <f t="shared" si="147"/>
        <v>0</v>
      </c>
      <c r="O109" s="88">
        <f t="shared" si="147"/>
        <v>0</v>
      </c>
      <c r="P109" s="88">
        <f t="shared" si="147"/>
        <v>0</v>
      </c>
      <c r="Q109" s="88">
        <f t="shared" si="147"/>
        <v>0</v>
      </c>
      <c r="R109" s="88">
        <f t="shared" si="147"/>
        <v>0</v>
      </c>
      <c r="S109" s="88">
        <f t="shared" si="147"/>
        <v>0</v>
      </c>
      <c r="T109" s="88">
        <f t="shared" si="147"/>
        <v>0</v>
      </c>
      <c r="U109" s="88">
        <f t="shared" si="147"/>
        <v>0</v>
      </c>
      <c r="V109" s="88">
        <f t="shared" si="147"/>
        <v>0</v>
      </c>
      <c r="W109" s="88">
        <f t="shared" si="147"/>
        <v>0</v>
      </c>
      <c r="X109" s="88">
        <f t="shared" si="147"/>
        <v>0</v>
      </c>
      <c r="Y109" s="88">
        <f t="shared" si="147"/>
        <v>0</v>
      </c>
      <c r="Z109" s="88">
        <f t="shared" si="147"/>
        <v>0</v>
      </c>
      <c r="AA109" s="88">
        <f t="shared" si="147"/>
        <v>0</v>
      </c>
      <c r="AB109" s="88">
        <f t="shared" si="147"/>
        <v>0</v>
      </c>
      <c r="AC109" s="88">
        <f t="shared" si="147"/>
        <v>0</v>
      </c>
      <c r="AD109" s="88">
        <f t="shared" si="147"/>
        <v>0</v>
      </c>
      <c r="AE109" s="88">
        <f t="shared" si="147"/>
        <v>0</v>
      </c>
      <c r="AF109" s="88">
        <f>20</f>
        <v>20</v>
      </c>
      <c r="AG109" s="88">
        <f t="shared" ref="AG109:BH109" si="148">0</f>
        <v>0</v>
      </c>
      <c r="AH109" s="88">
        <f t="shared" si="148"/>
        <v>0</v>
      </c>
      <c r="AI109" s="88">
        <f t="shared" si="148"/>
        <v>0</v>
      </c>
      <c r="AJ109" s="88">
        <f t="shared" si="148"/>
        <v>0</v>
      </c>
      <c r="AK109" s="88">
        <f t="shared" si="148"/>
        <v>0</v>
      </c>
      <c r="AL109" s="88">
        <f t="shared" si="148"/>
        <v>0</v>
      </c>
      <c r="AM109" s="88">
        <f t="shared" si="148"/>
        <v>0</v>
      </c>
      <c r="AN109" s="88">
        <f t="shared" si="148"/>
        <v>0</v>
      </c>
      <c r="AO109" s="88">
        <f t="shared" si="148"/>
        <v>0</v>
      </c>
      <c r="AP109" s="88">
        <f t="shared" si="148"/>
        <v>0</v>
      </c>
      <c r="AQ109" s="88">
        <f t="shared" si="148"/>
        <v>0</v>
      </c>
      <c r="AR109" s="88">
        <f t="shared" si="148"/>
        <v>0</v>
      </c>
      <c r="AS109" s="88">
        <f t="shared" si="148"/>
        <v>0</v>
      </c>
      <c r="AT109" s="88">
        <f t="shared" si="148"/>
        <v>0</v>
      </c>
      <c r="AU109" s="88">
        <f t="shared" si="148"/>
        <v>0</v>
      </c>
      <c r="AV109" s="88">
        <f t="shared" si="148"/>
        <v>0</v>
      </c>
      <c r="AW109" s="88">
        <f t="shared" si="148"/>
        <v>0</v>
      </c>
      <c r="AX109" s="88">
        <f t="shared" si="148"/>
        <v>0</v>
      </c>
      <c r="AY109" s="88">
        <f t="shared" si="148"/>
        <v>0</v>
      </c>
      <c r="AZ109" s="88">
        <f t="shared" si="148"/>
        <v>0</v>
      </c>
      <c r="BA109" s="88">
        <f t="shared" si="148"/>
        <v>0</v>
      </c>
      <c r="BB109" s="10">
        <f t="shared" si="148"/>
        <v>0</v>
      </c>
      <c r="BC109" s="10">
        <f t="shared" si="148"/>
        <v>0</v>
      </c>
      <c r="BD109" s="10">
        <f t="shared" si="148"/>
        <v>0</v>
      </c>
      <c r="BE109" s="10">
        <f t="shared" si="148"/>
        <v>0</v>
      </c>
      <c r="BF109" s="10">
        <f t="shared" si="148"/>
        <v>0</v>
      </c>
      <c r="BG109" s="10">
        <f t="shared" si="148"/>
        <v>0</v>
      </c>
      <c r="BH109" s="10">
        <f t="shared" si="148"/>
        <v>0</v>
      </c>
      <c r="BI109" s="10">
        <f t="shared" si="149"/>
        <v>10</v>
      </c>
      <c r="BJ109" s="10">
        <f t="shared" si="150"/>
        <v>0</v>
      </c>
      <c r="BK109" s="10">
        <f t="shared" ref="BK109:BM109" si="151">0</f>
        <v>0</v>
      </c>
      <c r="BL109" s="10">
        <f t="shared" si="151"/>
        <v>0</v>
      </c>
      <c r="BM109" s="10">
        <f t="shared" si="151"/>
        <v>0</v>
      </c>
    </row>
    <row r="110">
      <c r="A110" s="181" t="s">
        <v>202</v>
      </c>
      <c r="B110" s="88">
        <f t="shared" ref="B110:C110" si="152">0</f>
        <v>0</v>
      </c>
      <c r="C110" s="88">
        <f t="shared" si="152"/>
        <v>0</v>
      </c>
      <c r="D110" s="10">
        <f>35</f>
        <v>35</v>
      </c>
      <c r="E110" s="88">
        <f t="shared" ref="E110:BI110" si="153">0</f>
        <v>0</v>
      </c>
      <c r="F110" s="88">
        <f t="shared" si="153"/>
        <v>0</v>
      </c>
      <c r="G110" s="88">
        <f t="shared" si="153"/>
        <v>0</v>
      </c>
      <c r="H110" s="88">
        <f t="shared" si="153"/>
        <v>0</v>
      </c>
      <c r="I110" s="88">
        <f t="shared" si="153"/>
        <v>0</v>
      </c>
      <c r="J110" s="88">
        <f t="shared" si="153"/>
        <v>0</v>
      </c>
      <c r="K110" s="10">
        <f t="shared" si="153"/>
        <v>0</v>
      </c>
      <c r="L110" s="88">
        <f t="shared" si="153"/>
        <v>0</v>
      </c>
      <c r="M110" s="88">
        <f t="shared" si="153"/>
        <v>0</v>
      </c>
      <c r="N110" s="88">
        <f t="shared" si="153"/>
        <v>0</v>
      </c>
      <c r="O110" s="88">
        <f t="shared" si="153"/>
        <v>0</v>
      </c>
      <c r="P110" s="88">
        <f t="shared" si="153"/>
        <v>0</v>
      </c>
      <c r="Q110" s="88">
        <f t="shared" si="153"/>
        <v>0</v>
      </c>
      <c r="R110" s="88">
        <f t="shared" si="153"/>
        <v>0</v>
      </c>
      <c r="S110" s="88">
        <f t="shared" si="153"/>
        <v>0</v>
      </c>
      <c r="T110" s="88">
        <f t="shared" si="153"/>
        <v>0</v>
      </c>
      <c r="U110" s="88">
        <f t="shared" si="153"/>
        <v>0</v>
      </c>
      <c r="V110" s="88">
        <f t="shared" si="153"/>
        <v>0</v>
      </c>
      <c r="W110" s="88">
        <f t="shared" si="153"/>
        <v>0</v>
      </c>
      <c r="X110" s="88">
        <f t="shared" si="153"/>
        <v>0</v>
      </c>
      <c r="Y110" s="88">
        <f t="shared" si="153"/>
        <v>0</v>
      </c>
      <c r="Z110" s="88">
        <f t="shared" si="153"/>
        <v>0</v>
      </c>
      <c r="AA110" s="88">
        <f t="shared" si="153"/>
        <v>0</v>
      </c>
      <c r="AB110" s="88">
        <f t="shared" si="153"/>
        <v>0</v>
      </c>
      <c r="AC110" s="88">
        <f t="shared" si="153"/>
        <v>0</v>
      </c>
      <c r="AD110" s="88">
        <f t="shared" si="153"/>
        <v>0</v>
      </c>
      <c r="AE110" s="88">
        <f t="shared" si="153"/>
        <v>0</v>
      </c>
      <c r="AF110" s="88">
        <f t="shared" si="153"/>
        <v>0</v>
      </c>
      <c r="AG110" s="88">
        <f t="shared" si="153"/>
        <v>0</v>
      </c>
      <c r="AH110" s="88">
        <f t="shared" si="153"/>
        <v>0</v>
      </c>
      <c r="AI110" s="88">
        <f t="shared" si="153"/>
        <v>0</v>
      </c>
      <c r="AJ110" s="88">
        <f t="shared" si="153"/>
        <v>0</v>
      </c>
      <c r="AK110" s="88">
        <f t="shared" si="153"/>
        <v>0</v>
      </c>
      <c r="AL110" s="88">
        <f t="shared" si="153"/>
        <v>0</v>
      </c>
      <c r="AM110" s="88">
        <f t="shared" si="153"/>
        <v>0</v>
      </c>
      <c r="AN110" s="88">
        <f t="shared" si="153"/>
        <v>0</v>
      </c>
      <c r="AO110" s="88">
        <f t="shared" si="153"/>
        <v>0</v>
      </c>
      <c r="AP110" s="88">
        <f t="shared" si="153"/>
        <v>0</v>
      </c>
      <c r="AQ110" s="88">
        <f t="shared" si="153"/>
        <v>0</v>
      </c>
      <c r="AR110" s="88">
        <f t="shared" si="153"/>
        <v>0</v>
      </c>
      <c r="AS110" s="88">
        <f t="shared" si="153"/>
        <v>0</v>
      </c>
      <c r="AT110" s="88">
        <f t="shared" si="153"/>
        <v>0</v>
      </c>
      <c r="AU110" s="88">
        <f t="shared" si="153"/>
        <v>0</v>
      </c>
      <c r="AV110" s="88">
        <f t="shared" si="153"/>
        <v>0</v>
      </c>
      <c r="AW110" s="88">
        <f t="shared" si="153"/>
        <v>0</v>
      </c>
      <c r="AX110" s="88">
        <f t="shared" si="153"/>
        <v>0</v>
      </c>
      <c r="AY110" s="88">
        <f t="shared" si="153"/>
        <v>0</v>
      </c>
      <c r="AZ110" s="88">
        <f t="shared" si="153"/>
        <v>0</v>
      </c>
      <c r="BA110" s="88">
        <f t="shared" si="153"/>
        <v>0</v>
      </c>
      <c r="BB110" s="10">
        <f t="shared" si="153"/>
        <v>0</v>
      </c>
      <c r="BC110" s="10">
        <f t="shared" si="153"/>
        <v>0</v>
      </c>
      <c r="BD110" s="10">
        <f t="shared" si="153"/>
        <v>0</v>
      </c>
      <c r="BE110" s="10">
        <f t="shared" si="153"/>
        <v>0</v>
      </c>
      <c r="BF110" s="10">
        <f t="shared" si="153"/>
        <v>0</v>
      </c>
      <c r="BG110" s="10">
        <f t="shared" si="153"/>
        <v>0</v>
      </c>
      <c r="BH110" s="10">
        <f t="shared" si="153"/>
        <v>0</v>
      </c>
      <c r="BI110" s="10">
        <f t="shared" si="153"/>
        <v>0</v>
      </c>
      <c r="BJ110" s="10">
        <f t="shared" ref="BJ110:BJ111" si="157">15</f>
        <v>15</v>
      </c>
      <c r="BK110" s="10">
        <f t="shared" ref="BK110:BM110" si="154">0</f>
        <v>0</v>
      </c>
      <c r="BL110" s="10">
        <f t="shared" si="154"/>
        <v>0</v>
      </c>
      <c r="BM110" s="10">
        <f t="shared" si="154"/>
        <v>0</v>
      </c>
    </row>
    <row r="111">
      <c r="A111" s="181" t="s">
        <v>203</v>
      </c>
      <c r="B111" s="88">
        <f t="shared" ref="B111:D111" si="155">0</f>
        <v>0</v>
      </c>
      <c r="C111" s="88">
        <f t="shared" si="155"/>
        <v>0</v>
      </c>
      <c r="D111" s="88">
        <f t="shared" si="155"/>
        <v>0</v>
      </c>
      <c r="E111" s="10">
        <f>35</f>
        <v>35</v>
      </c>
      <c r="F111" s="88">
        <f t="shared" ref="F111:BI111" si="156">0</f>
        <v>0</v>
      </c>
      <c r="G111" s="88">
        <f t="shared" si="156"/>
        <v>0</v>
      </c>
      <c r="H111" s="88">
        <f t="shared" si="156"/>
        <v>0</v>
      </c>
      <c r="I111" s="88">
        <f t="shared" si="156"/>
        <v>0</v>
      </c>
      <c r="J111" s="88">
        <f t="shared" si="156"/>
        <v>0</v>
      </c>
      <c r="K111" s="10">
        <f t="shared" si="156"/>
        <v>0</v>
      </c>
      <c r="L111" s="88">
        <f t="shared" si="156"/>
        <v>0</v>
      </c>
      <c r="M111" s="88">
        <f t="shared" si="156"/>
        <v>0</v>
      </c>
      <c r="N111" s="88">
        <f t="shared" si="156"/>
        <v>0</v>
      </c>
      <c r="O111" s="88">
        <f t="shared" si="156"/>
        <v>0</v>
      </c>
      <c r="P111" s="88">
        <f t="shared" si="156"/>
        <v>0</v>
      </c>
      <c r="Q111" s="88">
        <f t="shared" si="156"/>
        <v>0</v>
      </c>
      <c r="R111" s="88">
        <f t="shared" si="156"/>
        <v>0</v>
      </c>
      <c r="S111" s="88">
        <f t="shared" si="156"/>
        <v>0</v>
      </c>
      <c r="T111" s="88">
        <f t="shared" si="156"/>
        <v>0</v>
      </c>
      <c r="U111" s="88">
        <f t="shared" si="156"/>
        <v>0</v>
      </c>
      <c r="V111" s="88">
        <f t="shared" si="156"/>
        <v>0</v>
      </c>
      <c r="W111" s="88">
        <f t="shared" si="156"/>
        <v>0</v>
      </c>
      <c r="X111" s="88">
        <f t="shared" si="156"/>
        <v>0</v>
      </c>
      <c r="Y111" s="88">
        <f t="shared" si="156"/>
        <v>0</v>
      </c>
      <c r="Z111" s="88">
        <f t="shared" si="156"/>
        <v>0</v>
      </c>
      <c r="AA111" s="88">
        <f t="shared" si="156"/>
        <v>0</v>
      </c>
      <c r="AB111" s="88">
        <f t="shared" si="156"/>
        <v>0</v>
      </c>
      <c r="AC111" s="88">
        <f t="shared" si="156"/>
        <v>0</v>
      </c>
      <c r="AD111" s="88">
        <f t="shared" si="156"/>
        <v>0</v>
      </c>
      <c r="AE111" s="88">
        <f t="shared" si="156"/>
        <v>0</v>
      </c>
      <c r="AF111" s="88">
        <f t="shared" si="156"/>
        <v>0</v>
      </c>
      <c r="AG111" s="88">
        <f t="shared" si="156"/>
        <v>0</v>
      </c>
      <c r="AH111" s="88">
        <f t="shared" si="156"/>
        <v>0</v>
      </c>
      <c r="AI111" s="88">
        <f t="shared" si="156"/>
        <v>0</v>
      </c>
      <c r="AJ111" s="88">
        <f t="shared" si="156"/>
        <v>0</v>
      </c>
      <c r="AK111" s="88">
        <f t="shared" si="156"/>
        <v>0</v>
      </c>
      <c r="AL111" s="88">
        <f t="shared" si="156"/>
        <v>0</v>
      </c>
      <c r="AM111" s="88">
        <f t="shared" si="156"/>
        <v>0</v>
      </c>
      <c r="AN111" s="88">
        <f t="shared" si="156"/>
        <v>0</v>
      </c>
      <c r="AO111" s="88">
        <f t="shared" si="156"/>
        <v>0</v>
      </c>
      <c r="AP111" s="88">
        <f t="shared" si="156"/>
        <v>0</v>
      </c>
      <c r="AQ111" s="88">
        <f t="shared" si="156"/>
        <v>0</v>
      </c>
      <c r="AR111" s="88">
        <f t="shared" si="156"/>
        <v>0</v>
      </c>
      <c r="AS111" s="88">
        <f t="shared" si="156"/>
        <v>0</v>
      </c>
      <c r="AT111" s="88">
        <f t="shared" si="156"/>
        <v>0</v>
      </c>
      <c r="AU111" s="88">
        <f t="shared" si="156"/>
        <v>0</v>
      </c>
      <c r="AV111" s="88">
        <f t="shared" si="156"/>
        <v>0</v>
      </c>
      <c r="AW111" s="88">
        <f t="shared" si="156"/>
        <v>0</v>
      </c>
      <c r="AX111" s="88">
        <f t="shared" si="156"/>
        <v>0</v>
      </c>
      <c r="AY111" s="88">
        <f t="shared" si="156"/>
        <v>0</v>
      </c>
      <c r="AZ111" s="88">
        <f t="shared" si="156"/>
        <v>0</v>
      </c>
      <c r="BA111" s="88">
        <f t="shared" si="156"/>
        <v>0</v>
      </c>
      <c r="BB111" s="10">
        <f t="shared" si="156"/>
        <v>0</v>
      </c>
      <c r="BC111" s="10">
        <f t="shared" si="156"/>
        <v>0</v>
      </c>
      <c r="BD111" s="10">
        <f t="shared" si="156"/>
        <v>0</v>
      </c>
      <c r="BE111" s="10">
        <f t="shared" si="156"/>
        <v>0</v>
      </c>
      <c r="BF111" s="10">
        <f t="shared" si="156"/>
        <v>0</v>
      </c>
      <c r="BG111" s="10">
        <f t="shared" si="156"/>
        <v>0</v>
      </c>
      <c r="BH111" s="10">
        <f t="shared" si="156"/>
        <v>0</v>
      </c>
      <c r="BI111" s="10">
        <f t="shared" si="156"/>
        <v>0</v>
      </c>
      <c r="BJ111" s="10">
        <f t="shared" si="157"/>
        <v>15</v>
      </c>
      <c r="BK111" s="10">
        <f t="shared" ref="BK111:BM111" si="158">0</f>
        <v>0</v>
      </c>
      <c r="BL111" s="10">
        <f t="shared" si="158"/>
        <v>0</v>
      </c>
      <c r="BM111" s="10">
        <f t="shared" si="158"/>
        <v>0</v>
      </c>
    </row>
    <row r="112">
      <c r="A112" s="181" t="s">
        <v>204</v>
      </c>
      <c r="B112" s="88">
        <f t="shared" ref="B112:BM112" si="159">0</f>
        <v>0</v>
      </c>
      <c r="C112" s="88">
        <f t="shared" si="159"/>
        <v>0</v>
      </c>
      <c r="D112" s="88">
        <f t="shared" si="159"/>
        <v>0</v>
      </c>
      <c r="E112" s="88">
        <f t="shared" si="159"/>
        <v>0</v>
      </c>
      <c r="F112" s="88">
        <f t="shared" si="159"/>
        <v>0</v>
      </c>
      <c r="G112" s="88">
        <f t="shared" si="159"/>
        <v>0</v>
      </c>
      <c r="H112" s="88">
        <f t="shared" si="159"/>
        <v>0</v>
      </c>
      <c r="I112" s="88">
        <f t="shared" si="159"/>
        <v>0</v>
      </c>
      <c r="J112" s="88">
        <f t="shared" si="159"/>
        <v>0</v>
      </c>
      <c r="K112" s="88">
        <f t="shared" si="159"/>
        <v>0</v>
      </c>
      <c r="L112" s="88">
        <f t="shared" si="159"/>
        <v>0</v>
      </c>
      <c r="M112" s="88">
        <f t="shared" si="159"/>
        <v>0</v>
      </c>
      <c r="N112" s="88">
        <f t="shared" si="159"/>
        <v>0</v>
      </c>
      <c r="O112" s="88">
        <f t="shared" si="159"/>
        <v>0</v>
      </c>
      <c r="P112" s="88">
        <f t="shared" si="159"/>
        <v>0</v>
      </c>
      <c r="Q112" s="88">
        <f t="shared" si="159"/>
        <v>0</v>
      </c>
      <c r="R112" s="88">
        <f t="shared" si="159"/>
        <v>0</v>
      </c>
      <c r="S112" s="88">
        <f t="shared" si="159"/>
        <v>0</v>
      </c>
      <c r="T112" s="88">
        <f t="shared" si="159"/>
        <v>0</v>
      </c>
      <c r="U112" s="88">
        <f t="shared" si="159"/>
        <v>0</v>
      </c>
      <c r="V112" s="88">
        <f t="shared" si="159"/>
        <v>0</v>
      </c>
      <c r="W112" s="88">
        <f t="shared" si="159"/>
        <v>0</v>
      </c>
      <c r="X112" s="88">
        <f t="shared" si="159"/>
        <v>0</v>
      </c>
      <c r="Y112" s="88">
        <f t="shared" si="159"/>
        <v>0</v>
      </c>
      <c r="Z112" s="88">
        <f t="shared" si="159"/>
        <v>0</v>
      </c>
      <c r="AA112" s="88">
        <f t="shared" si="159"/>
        <v>0</v>
      </c>
      <c r="AB112" s="88">
        <f t="shared" si="159"/>
        <v>0</v>
      </c>
      <c r="AC112" s="88">
        <f t="shared" si="159"/>
        <v>0</v>
      </c>
      <c r="AD112" s="88">
        <f t="shared" si="159"/>
        <v>0</v>
      </c>
      <c r="AE112" s="88">
        <f t="shared" si="159"/>
        <v>0</v>
      </c>
      <c r="AF112" s="88">
        <f t="shared" si="159"/>
        <v>0</v>
      </c>
      <c r="AG112" s="88">
        <f t="shared" si="159"/>
        <v>0</v>
      </c>
      <c r="AH112" s="88">
        <f t="shared" si="159"/>
        <v>0</v>
      </c>
      <c r="AI112" s="88">
        <f t="shared" si="159"/>
        <v>0</v>
      </c>
      <c r="AJ112" s="88">
        <f t="shared" si="159"/>
        <v>0</v>
      </c>
      <c r="AK112" s="88">
        <f t="shared" si="159"/>
        <v>0</v>
      </c>
      <c r="AL112" s="88">
        <f t="shared" si="159"/>
        <v>0</v>
      </c>
      <c r="AM112" s="88">
        <f t="shared" si="159"/>
        <v>0</v>
      </c>
      <c r="AN112" s="88">
        <f t="shared" si="159"/>
        <v>0</v>
      </c>
      <c r="AO112" s="88">
        <f t="shared" si="159"/>
        <v>0</v>
      </c>
      <c r="AP112" s="88">
        <f t="shared" si="159"/>
        <v>0</v>
      </c>
      <c r="AQ112" s="88">
        <f t="shared" si="159"/>
        <v>0</v>
      </c>
      <c r="AR112" s="88">
        <f t="shared" si="159"/>
        <v>0</v>
      </c>
      <c r="AS112" s="88">
        <f t="shared" si="159"/>
        <v>0</v>
      </c>
      <c r="AT112" s="88">
        <f t="shared" si="159"/>
        <v>0</v>
      </c>
      <c r="AU112" s="88">
        <f t="shared" si="159"/>
        <v>0</v>
      </c>
      <c r="AV112" s="88">
        <f t="shared" si="159"/>
        <v>0</v>
      </c>
      <c r="AW112" s="88">
        <f t="shared" si="159"/>
        <v>0</v>
      </c>
      <c r="AX112" s="88">
        <f t="shared" si="159"/>
        <v>0</v>
      </c>
      <c r="AY112" s="88">
        <f t="shared" si="159"/>
        <v>0</v>
      </c>
      <c r="AZ112" s="88">
        <f t="shared" si="159"/>
        <v>0</v>
      </c>
      <c r="BA112" s="88">
        <f t="shared" si="159"/>
        <v>0</v>
      </c>
      <c r="BB112" s="10">
        <f t="shared" si="159"/>
        <v>0</v>
      </c>
      <c r="BC112" s="10">
        <f t="shared" si="159"/>
        <v>0</v>
      </c>
      <c r="BD112" s="10">
        <f t="shared" si="159"/>
        <v>0</v>
      </c>
      <c r="BE112" s="10">
        <f t="shared" si="159"/>
        <v>0</v>
      </c>
      <c r="BF112" s="10">
        <f t="shared" si="159"/>
        <v>0</v>
      </c>
      <c r="BG112" s="10">
        <f t="shared" si="159"/>
        <v>0</v>
      </c>
      <c r="BH112" s="10">
        <f t="shared" si="159"/>
        <v>0</v>
      </c>
      <c r="BI112" s="10">
        <f t="shared" si="159"/>
        <v>0</v>
      </c>
      <c r="BJ112" s="10">
        <f t="shared" si="159"/>
        <v>0</v>
      </c>
      <c r="BK112" s="10">
        <f t="shared" si="159"/>
        <v>0</v>
      </c>
      <c r="BL112" s="10">
        <f t="shared" si="159"/>
        <v>0</v>
      </c>
      <c r="BM112" s="10">
        <f t="shared" si="159"/>
        <v>0</v>
      </c>
    </row>
    <row r="113">
      <c r="A113" s="181" t="s">
        <v>205</v>
      </c>
      <c r="B113" s="88">
        <f t="shared" ref="B113:BM113" si="160">0</f>
        <v>0</v>
      </c>
      <c r="C113" s="88">
        <f t="shared" si="160"/>
        <v>0</v>
      </c>
      <c r="D113" s="88">
        <f t="shared" si="160"/>
        <v>0</v>
      </c>
      <c r="E113" s="88">
        <f t="shared" si="160"/>
        <v>0</v>
      </c>
      <c r="F113" s="88">
        <f t="shared" si="160"/>
        <v>0</v>
      </c>
      <c r="G113" s="88">
        <f t="shared" si="160"/>
        <v>0</v>
      </c>
      <c r="H113" s="88">
        <f t="shared" si="160"/>
        <v>0</v>
      </c>
      <c r="I113" s="88">
        <f t="shared" si="160"/>
        <v>0</v>
      </c>
      <c r="J113" s="88">
        <f t="shared" si="160"/>
        <v>0</v>
      </c>
      <c r="K113" s="88">
        <f t="shared" si="160"/>
        <v>0</v>
      </c>
      <c r="L113" s="88">
        <f t="shared" si="160"/>
        <v>0</v>
      </c>
      <c r="M113" s="88">
        <f t="shared" si="160"/>
        <v>0</v>
      </c>
      <c r="N113" s="88">
        <f t="shared" si="160"/>
        <v>0</v>
      </c>
      <c r="O113" s="88">
        <f t="shared" si="160"/>
        <v>0</v>
      </c>
      <c r="P113" s="88">
        <f t="shared" si="160"/>
        <v>0</v>
      </c>
      <c r="Q113" s="88">
        <f t="shared" si="160"/>
        <v>0</v>
      </c>
      <c r="R113" s="88">
        <f t="shared" si="160"/>
        <v>0</v>
      </c>
      <c r="S113" s="88">
        <f t="shared" si="160"/>
        <v>0</v>
      </c>
      <c r="T113" s="88">
        <f t="shared" si="160"/>
        <v>0</v>
      </c>
      <c r="U113" s="88">
        <f t="shared" si="160"/>
        <v>0</v>
      </c>
      <c r="V113" s="88">
        <f t="shared" si="160"/>
        <v>0</v>
      </c>
      <c r="W113" s="88">
        <f t="shared" si="160"/>
        <v>0</v>
      </c>
      <c r="X113" s="88">
        <f t="shared" si="160"/>
        <v>0</v>
      </c>
      <c r="Y113" s="88">
        <f t="shared" si="160"/>
        <v>0</v>
      </c>
      <c r="Z113" s="88">
        <f t="shared" si="160"/>
        <v>0</v>
      </c>
      <c r="AA113" s="88">
        <f t="shared" si="160"/>
        <v>0</v>
      </c>
      <c r="AB113" s="88">
        <f t="shared" si="160"/>
        <v>0</v>
      </c>
      <c r="AC113" s="88">
        <f t="shared" si="160"/>
        <v>0</v>
      </c>
      <c r="AD113" s="88">
        <f t="shared" si="160"/>
        <v>0</v>
      </c>
      <c r="AE113" s="88">
        <f t="shared" si="160"/>
        <v>0</v>
      </c>
      <c r="AF113" s="88">
        <f t="shared" si="160"/>
        <v>0</v>
      </c>
      <c r="AG113" s="88">
        <f t="shared" si="160"/>
        <v>0</v>
      </c>
      <c r="AH113" s="88">
        <f t="shared" si="160"/>
        <v>0</v>
      </c>
      <c r="AI113" s="88">
        <f t="shared" si="160"/>
        <v>0</v>
      </c>
      <c r="AJ113" s="88">
        <f t="shared" si="160"/>
        <v>0</v>
      </c>
      <c r="AK113" s="88">
        <f t="shared" si="160"/>
        <v>0</v>
      </c>
      <c r="AL113" s="88">
        <f t="shared" si="160"/>
        <v>0</v>
      </c>
      <c r="AM113" s="88">
        <f t="shared" si="160"/>
        <v>0</v>
      </c>
      <c r="AN113" s="88">
        <f t="shared" si="160"/>
        <v>0</v>
      </c>
      <c r="AO113" s="88">
        <f t="shared" si="160"/>
        <v>0</v>
      </c>
      <c r="AP113" s="88">
        <f t="shared" si="160"/>
        <v>0</v>
      </c>
      <c r="AQ113" s="88">
        <f t="shared" si="160"/>
        <v>0</v>
      </c>
      <c r="AR113" s="88">
        <f t="shared" si="160"/>
        <v>0</v>
      </c>
      <c r="AS113" s="88">
        <f t="shared" si="160"/>
        <v>0</v>
      </c>
      <c r="AT113" s="88">
        <f t="shared" si="160"/>
        <v>0</v>
      </c>
      <c r="AU113" s="88">
        <f t="shared" si="160"/>
        <v>0</v>
      </c>
      <c r="AV113" s="88">
        <f t="shared" si="160"/>
        <v>0</v>
      </c>
      <c r="AW113" s="88">
        <f t="shared" si="160"/>
        <v>0</v>
      </c>
      <c r="AX113" s="88">
        <f t="shared" si="160"/>
        <v>0</v>
      </c>
      <c r="AY113" s="88">
        <f t="shared" si="160"/>
        <v>0</v>
      </c>
      <c r="AZ113" s="88">
        <f t="shared" si="160"/>
        <v>0</v>
      </c>
      <c r="BA113" s="88">
        <f t="shared" si="160"/>
        <v>0</v>
      </c>
      <c r="BB113" s="10">
        <f t="shared" si="160"/>
        <v>0</v>
      </c>
      <c r="BC113" s="10">
        <f t="shared" si="160"/>
        <v>0</v>
      </c>
      <c r="BD113" s="10">
        <f t="shared" si="160"/>
        <v>0</v>
      </c>
      <c r="BE113" s="10">
        <f t="shared" si="160"/>
        <v>0</v>
      </c>
      <c r="BF113" s="10">
        <f t="shared" si="160"/>
        <v>0</v>
      </c>
      <c r="BG113" s="10">
        <f t="shared" si="160"/>
        <v>0</v>
      </c>
      <c r="BH113" s="10">
        <f t="shared" si="160"/>
        <v>0</v>
      </c>
      <c r="BI113" s="10">
        <f t="shared" si="160"/>
        <v>0</v>
      </c>
      <c r="BJ113" s="10">
        <f t="shared" si="160"/>
        <v>0</v>
      </c>
      <c r="BK113" s="10">
        <f t="shared" si="160"/>
        <v>0</v>
      </c>
      <c r="BL113" s="10">
        <f t="shared" si="160"/>
        <v>0</v>
      </c>
      <c r="BM113" s="10">
        <f t="shared" si="160"/>
        <v>0</v>
      </c>
    </row>
    <row r="114">
      <c r="A114" s="181" t="s">
        <v>206</v>
      </c>
      <c r="B114" s="88">
        <f t="shared" ref="B114:BM114" si="161">0</f>
        <v>0</v>
      </c>
      <c r="C114" s="88">
        <f t="shared" si="161"/>
        <v>0</v>
      </c>
      <c r="D114" s="88">
        <f t="shared" si="161"/>
        <v>0</v>
      </c>
      <c r="E114" s="88">
        <f t="shared" si="161"/>
        <v>0</v>
      </c>
      <c r="F114" s="88">
        <f t="shared" si="161"/>
        <v>0</v>
      </c>
      <c r="G114" s="88">
        <f t="shared" si="161"/>
        <v>0</v>
      </c>
      <c r="H114" s="88">
        <f t="shared" si="161"/>
        <v>0</v>
      </c>
      <c r="I114" s="88">
        <f t="shared" si="161"/>
        <v>0</v>
      </c>
      <c r="J114" s="88">
        <f t="shared" si="161"/>
        <v>0</v>
      </c>
      <c r="K114" s="88">
        <f t="shared" si="161"/>
        <v>0</v>
      </c>
      <c r="L114" s="88">
        <f t="shared" si="161"/>
        <v>0</v>
      </c>
      <c r="M114" s="88">
        <f t="shared" si="161"/>
        <v>0</v>
      </c>
      <c r="N114" s="88">
        <f t="shared" si="161"/>
        <v>0</v>
      </c>
      <c r="O114" s="88">
        <f t="shared" si="161"/>
        <v>0</v>
      </c>
      <c r="P114" s="88">
        <f t="shared" si="161"/>
        <v>0</v>
      </c>
      <c r="Q114" s="88">
        <f t="shared" si="161"/>
        <v>0</v>
      </c>
      <c r="R114" s="88">
        <f t="shared" si="161"/>
        <v>0</v>
      </c>
      <c r="S114" s="88">
        <f t="shared" si="161"/>
        <v>0</v>
      </c>
      <c r="T114" s="88">
        <f t="shared" si="161"/>
        <v>0</v>
      </c>
      <c r="U114" s="88">
        <f t="shared" si="161"/>
        <v>0</v>
      </c>
      <c r="V114" s="88">
        <f t="shared" si="161"/>
        <v>0</v>
      </c>
      <c r="W114" s="88">
        <f t="shared" si="161"/>
        <v>0</v>
      </c>
      <c r="X114" s="88">
        <f t="shared" si="161"/>
        <v>0</v>
      </c>
      <c r="Y114" s="88">
        <f t="shared" si="161"/>
        <v>0</v>
      </c>
      <c r="Z114" s="88">
        <f t="shared" si="161"/>
        <v>0</v>
      </c>
      <c r="AA114" s="88">
        <f t="shared" si="161"/>
        <v>0</v>
      </c>
      <c r="AB114" s="88">
        <f t="shared" si="161"/>
        <v>0</v>
      </c>
      <c r="AC114" s="88">
        <f t="shared" si="161"/>
        <v>0</v>
      </c>
      <c r="AD114" s="88">
        <f t="shared" si="161"/>
        <v>0</v>
      </c>
      <c r="AE114" s="88">
        <f t="shared" si="161"/>
        <v>0</v>
      </c>
      <c r="AF114" s="88">
        <f t="shared" si="161"/>
        <v>0</v>
      </c>
      <c r="AG114" s="88">
        <f t="shared" si="161"/>
        <v>0</v>
      </c>
      <c r="AH114" s="88">
        <f t="shared" si="161"/>
        <v>0</v>
      </c>
      <c r="AI114" s="88">
        <f t="shared" si="161"/>
        <v>0</v>
      </c>
      <c r="AJ114" s="88">
        <f t="shared" si="161"/>
        <v>0</v>
      </c>
      <c r="AK114" s="88">
        <f t="shared" si="161"/>
        <v>0</v>
      </c>
      <c r="AL114" s="88">
        <f t="shared" si="161"/>
        <v>0</v>
      </c>
      <c r="AM114" s="88">
        <f t="shared" si="161"/>
        <v>0</v>
      </c>
      <c r="AN114" s="88">
        <f t="shared" si="161"/>
        <v>0</v>
      </c>
      <c r="AO114" s="88">
        <f t="shared" si="161"/>
        <v>0</v>
      </c>
      <c r="AP114" s="88">
        <f t="shared" si="161"/>
        <v>0</v>
      </c>
      <c r="AQ114" s="88">
        <f t="shared" si="161"/>
        <v>0</v>
      </c>
      <c r="AR114" s="88">
        <f t="shared" si="161"/>
        <v>0</v>
      </c>
      <c r="AS114" s="88">
        <f t="shared" si="161"/>
        <v>0</v>
      </c>
      <c r="AT114" s="88">
        <f t="shared" si="161"/>
        <v>0</v>
      </c>
      <c r="AU114" s="88">
        <f t="shared" si="161"/>
        <v>0</v>
      </c>
      <c r="AV114" s="88">
        <f t="shared" si="161"/>
        <v>0</v>
      </c>
      <c r="AW114" s="88">
        <f t="shared" si="161"/>
        <v>0</v>
      </c>
      <c r="AX114" s="88">
        <f t="shared" si="161"/>
        <v>0</v>
      </c>
      <c r="AY114" s="88">
        <f t="shared" si="161"/>
        <v>0</v>
      </c>
      <c r="AZ114" s="88">
        <f t="shared" si="161"/>
        <v>0</v>
      </c>
      <c r="BA114" s="88">
        <f t="shared" si="161"/>
        <v>0</v>
      </c>
      <c r="BB114" s="10">
        <f t="shared" si="161"/>
        <v>0</v>
      </c>
      <c r="BC114" s="10">
        <f t="shared" si="161"/>
        <v>0</v>
      </c>
      <c r="BD114" s="10">
        <f t="shared" si="161"/>
        <v>0</v>
      </c>
      <c r="BE114" s="10">
        <f t="shared" si="161"/>
        <v>0</v>
      </c>
      <c r="BF114" s="10">
        <f t="shared" si="161"/>
        <v>0</v>
      </c>
      <c r="BG114" s="10">
        <f t="shared" si="161"/>
        <v>0</v>
      </c>
      <c r="BH114" s="10">
        <f t="shared" si="161"/>
        <v>0</v>
      </c>
      <c r="BI114" s="10">
        <f t="shared" si="161"/>
        <v>0</v>
      </c>
      <c r="BJ114" s="10">
        <f t="shared" si="161"/>
        <v>0</v>
      </c>
      <c r="BK114" s="10">
        <f t="shared" si="161"/>
        <v>0</v>
      </c>
      <c r="BL114" s="10">
        <f t="shared" si="161"/>
        <v>0</v>
      </c>
      <c r="BM114" s="10">
        <f t="shared" si="161"/>
        <v>0</v>
      </c>
    </row>
    <row r="115">
      <c r="A115" s="181" t="s">
        <v>207</v>
      </c>
      <c r="B115" s="88">
        <f t="shared" ref="B115:BM115" si="162">0</f>
        <v>0</v>
      </c>
      <c r="C115" s="88">
        <f t="shared" si="162"/>
        <v>0</v>
      </c>
      <c r="D115" s="88">
        <f t="shared" si="162"/>
        <v>0</v>
      </c>
      <c r="E115" s="88">
        <f t="shared" si="162"/>
        <v>0</v>
      </c>
      <c r="F115" s="88">
        <f t="shared" si="162"/>
        <v>0</v>
      </c>
      <c r="G115" s="88">
        <f t="shared" si="162"/>
        <v>0</v>
      </c>
      <c r="H115" s="88">
        <f t="shared" si="162"/>
        <v>0</v>
      </c>
      <c r="I115" s="88">
        <f t="shared" si="162"/>
        <v>0</v>
      </c>
      <c r="J115" s="88">
        <f t="shared" si="162"/>
        <v>0</v>
      </c>
      <c r="K115" s="88">
        <f t="shared" si="162"/>
        <v>0</v>
      </c>
      <c r="L115" s="88">
        <f t="shared" si="162"/>
        <v>0</v>
      </c>
      <c r="M115" s="88">
        <f t="shared" si="162"/>
        <v>0</v>
      </c>
      <c r="N115" s="88">
        <f t="shared" si="162"/>
        <v>0</v>
      </c>
      <c r="O115" s="88">
        <f t="shared" si="162"/>
        <v>0</v>
      </c>
      <c r="P115" s="88">
        <f t="shared" si="162"/>
        <v>0</v>
      </c>
      <c r="Q115" s="88">
        <f t="shared" si="162"/>
        <v>0</v>
      </c>
      <c r="R115" s="88">
        <f t="shared" si="162"/>
        <v>0</v>
      </c>
      <c r="S115" s="88">
        <f t="shared" si="162"/>
        <v>0</v>
      </c>
      <c r="T115" s="88">
        <f t="shared" si="162"/>
        <v>0</v>
      </c>
      <c r="U115" s="88">
        <f t="shared" si="162"/>
        <v>0</v>
      </c>
      <c r="V115" s="88">
        <f t="shared" si="162"/>
        <v>0</v>
      </c>
      <c r="W115" s="88">
        <f t="shared" si="162"/>
        <v>0</v>
      </c>
      <c r="X115" s="88">
        <f t="shared" si="162"/>
        <v>0</v>
      </c>
      <c r="Y115" s="88">
        <f t="shared" si="162"/>
        <v>0</v>
      </c>
      <c r="Z115" s="88">
        <f t="shared" si="162"/>
        <v>0</v>
      </c>
      <c r="AA115" s="88">
        <f t="shared" si="162"/>
        <v>0</v>
      </c>
      <c r="AB115" s="88">
        <f t="shared" si="162"/>
        <v>0</v>
      </c>
      <c r="AC115" s="88">
        <f t="shared" si="162"/>
        <v>0</v>
      </c>
      <c r="AD115" s="88">
        <f t="shared" si="162"/>
        <v>0</v>
      </c>
      <c r="AE115" s="88">
        <f t="shared" si="162"/>
        <v>0</v>
      </c>
      <c r="AF115" s="88">
        <f t="shared" si="162"/>
        <v>0</v>
      </c>
      <c r="AG115" s="88">
        <f t="shared" si="162"/>
        <v>0</v>
      </c>
      <c r="AH115" s="88">
        <f t="shared" si="162"/>
        <v>0</v>
      </c>
      <c r="AI115" s="88">
        <f t="shared" si="162"/>
        <v>0</v>
      </c>
      <c r="AJ115" s="88">
        <f t="shared" si="162"/>
        <v>0</v>
      </c>
      <c r="AK115" s="88">
        <f t="shared" si="162"/>
        <v>0</v>
      </c>
      <c r="AL115" s="88">
        <f t="shared" si="162"/>
        <v>0</v>
      </c>
      <c r="AM115" s="88">
        <f t="shared" si="162"/>
        <v>0</v>
      </c>
      <c r="AN115" s="88">
        <f t="shared" si="162"/>
        <v>0</v>
      </c>
      <c r="AO115" s="88">
        <f t="shared" si="162"/>
        <v>0</v>
      </c>
      <c r="AP115" s="88">
        <f t="shared" si="162"/>
        <v>0</v>
      </c>
      <c r="AQ115" s="88">
        <f t="shared" si="162"/>
        <v>0</v>
      </c>
      <c r="AR115" s="88">
        <f t="shared" si="162"/>
        <v>0</v>
      </c>
      <c r="AS115" s="88">
        <f t="shared" si="162"/>
        <v>0</v>
      </c>
      <c r="AT115" s="88">
        <f t="shared" si="162"/>
        <v>0</v>
      </c>
      <c r="AU115" s="88">
        <f t="shared" si="162"/>
        <v>0</v>
      </c>
      <c r="AV115" s="88">
        <f t="shared" si="162"/>
        <v>0</v>
      </c>
      <c r="AW115" s="88">
        <f t="shared" si="162"/>
        <v>0</v>
      </c>
      <c r="AX115" s="88">
        <f t="shared" si="162"/>
        <v>0</v>
      </c>
      <c r="AY115" s="88">
        <f t="shared" si="162"/>
        <v>0</v>
      </c>
      <c r="AZ115" s="88">
        <f t="shared" si="162"/>
        <v>0</v>
      </c>
      <c r="BA115" s="88">
        <f t="shared" si="162"/>
        <v>0</v>
      </c>
      <c r="BB115" s="10">
        <f t="shared" si="162"/>
        <v>0</v>
      </c>
      <c r="BC115" s="10">
        <f t="shared" si="162"/>
        <v>0</v>
      </c>
      <c r="BD115" s="10">
        <f t="shared" si="162"/>
        <v>0</v>
      </c>
      <c r="BE115" s="10">
        <f t="shared" si="162"/>
        <v>0</v>
      </c>
      <c r="BF115" s="10">
        <f t="shared" si="162"/>
        <v>0</v>
      </c>
      <c r="BG115" s="10">
        <f t="shared" si="162"/>
        <v>0</v>
      </c>
      <c r="BH115" s="10">
        <f t="shared" si="162"/>
        <v>0</v>
      </c>
      <c r="BI115" s="10">
        <f t="shared" si="162"/>
        <v>0</v>
      </c>
      <c r="BJ115" s="10">
        <f t="shared" si="162"/>
        <v>0</v>
      </c>
      <c r="BK115" s="10">
        <f t="shared" si="162"/>
        <v>0</v>
      </c>
      <c r="BL115" s="10">
        <f t="shared" si="162"/>
        <v>0</v>
      </c>
      <c r="BM115" s="10">
        <f t="shared" si="162"/>
        <v>0</v>
      </c>
    </row>
    <row r="116">
      <c r="A116" s="181" t="s">
        <v>208</v>
      </c>
      <c r="B116" s="88">
        <f t="shared" ref="B116:BM116" si="163">0</f>
        <v>0</v>
      </c>
      <c r="C116" s="88">
        <f t="shared" si="163"/>
        <v>0</v>
      </c>
      <c r="D116" s="88">
        <f t="shared" si="163"/>
        <v>0</v>
      </c>
      <c r="E116" s="88">
        <f t="shared" si="163"/>
        <v>0</v>
      </c>
      <c r="F116" s="88">
        <f t="shared" si="163"/>
        <v>0</v>
      </c>
      <c r="G116" s="88">
        <f t="shared" si="163"/>
        <v>0</v>
      </c>
      <c r="H116" s="88">
        <f t="shared" si="163"/>
        <v>0</v>
      </c>
      <c r="I116" s="88">
        <f t="shared" si="163"/>
        <v>0</v>
      </c>
      <c r="J116" s="88">
        <f t="shared" si="163"/>
        <v>0</v>
      </c>
      <c r="K116" s="88">
        <f t="shared" si="163"/>
        <v>0</v>
      </c>
      <c r="L116" s="88">
        <f t="shared" si="163"/>
        <v>0</v>
      </c>
      <c r="M116" s="88">
        <f t="shared" si="163"/>
        <v>0</v>
      </c>
      <c r="N116" s="88">
        <f t="shared" si="163"/>
        <v>0</v>
      </c>
      <c r="O116" s="88">
        <f t="shared" si="163"/>
        <v>0</v>
      </c>
      <c r="P116" s="88">
        <f t="shared" si="163"/>
        <v>0</v>
      </c>
      <c r="Q116" s="88">
        <f t="shared" si="163"/>
        <v>0</v>
      </c>
      <c r="R116" s="88">
        <f t="shared" si="163"/>
        <v>0</v>
      </c>
      <c r="S116" s="88">
        <f t="shared" si="163"/>
        <v>0</v>
      </c>
      <c r="T116" s="88">
        <f t="shared" si="163"/>
        <v>0</v>
      </c>
      <c r="U116" s="88">
        <f t="shared" si="163"/>
        <v>0</v>
      </c>
      <c r="V116" s="88">
        <f t="shared" si="163"/>
        <v>0</v>
      </c>
      <c r="W116" s="88">
        <f t="shared" si="163"/>
        <v>0</v>
      </c>
      <c r="X116" s="88">
        <f t="shared" si="163"/>
        <v>0</v>
      </c>
      <c r="Y116" s="88">
        <f t="shared" si="163"/>
        <v>0</v>
      </c>
      <c r="Z116" s="88">
        <f t="shared" si="163"/>
        <v>0</v>
      </c>
      <c r="AA116" s="88">
        <f t="shared" si="163"/>
        <v>0</v>
      </c>
      <c r="AB116" s="88">
        <f t="shared" si="163"/>
        <v>0</v>
      </c>
      <c r="AC116" s="88">
        <f t="shared" si="163"/>
        <v>0</v>
      </c>
      <c r="AD116" s="88">
        <f t="shared" si="163"/>
        <v>0</v>
      </c>
      <c r="AE116" s="88">
        <f t="shared" si="163"/>
        <v>0</v>
      </c>
      <c r="AF116" s="88">
        <f t="shared" si="163"/>
        <v>0</v>
      </c>
      <c r="AG116" s="88">
        <f t="shared" si="163"/>
        <v>0</v>
      </c>
      <c r="AH116" s="88">
        <f t="shared" si="163"/>
        <v>0</v>
      </c>
      <c r="AI116" s="88">
        <f t="shared" si="163"/>
        <v>0</v>
      </c>
      <c r="AJ116" s="88">
        <f t="shared" si="163"/>
        <v>0</v>
      </c>
      <c r="AK116" s="88">
        <f t="shared" si="163"/>
        <v>0</v>
      </c>
      <c r="AL116" s="88">
        <f t="shared" si="163"/>
        <v>0</v>
      </c>
      <c r="AM116" s="88">
        <f t="shared" si="163"/>
        <v>0</v>
      </c>
      <c r="AN116" s="88">
        <f t="shared" si="163"/>
        <v>0</v>
      </c>
      <c r="AO116" s="88">
        <f t="shared" si="163"/>
        <v>0</v>
      </c>
      <c r="AP116" s="88">
        <f t="shared" si="163"/>
        <v>0</v>
      </c>
      <c r="AQ116" s="88">
        <f t="shared" si="163"/>
        <v>0</v>
      </c>
      <c r="AR116" s="88">
        <f t="shared" si="163"/>
        <v>0</v>
      </c>
      <c r="AS116" s="88">
        <f t="shared" si="163"/>
        <v>0</v>
      </c>
      <c r="AT116" s="88">
        <f t="shared" si="163"/>
        <v>0</v>
      </c>
      <c r="AU116" s="88">
        <f t="shared" si="163"/>
        <v>0</v>
      </c>
      <c r="AV116" s="88">
        <f t="shared" si="163"/>
        <v>0</v>
      </c>
      <c r="AW116" s="88">
        <f t="shared" si="163"/>
        <v>0</v>
      </c>
      <c r="AX116" s="88">
        <f t="shared" si="163"/>
        <v>0</v>
      </c>
      <c r="AY116" s="88">
        <f t="shared" si="163"/>
        <v>0</v>
      </c>
      <c r="AZ116" s="88">
        <f t="shared" si="163"/>
        <v>0</v>
      </c>
      <c r="BA116" s="88">
        <f t="shared" si="163"/>
        <v>0</v>
      </c>
      <c r="BB116" s="10">
        <f t="shared" si="163"/>
        <v>0</v>
      </c>
      <c r="BC116" s="10">
        <f t="shared" si="163"/>
        <v>0</v>
      </c>
      <c r="BD116" s="10">
        <f t="shared" si="163"/>
        <v>0</v>
      </c>
      <c r="BE116" s="10">
        <f t="shared" si="163"/>
        <v>0</v>
      </c>
      <c r="BF116" s="10">
        <f t="shared" si="163"/>
        <v>0</v>
      </c>
      <c r="BG116" s="10">
        <f t="shared" si="163"/>
        <v>0</v>
      </c>
      <c r="BH116" s="10">
        <f t="shared" si="163"/>
        <v>0</v>
      </c>
      <c r="BI116" s="10">
        <f t="shared" si="163"/>
        <v>0</v>
      </c>
      <c r="BJ116" s="10">
        <f t="shared" si="163"/>
        <v>0</v>
      </c>
      <c r="BK116" s="10">
        <f t="shared" si="163"/>
        <v>0</v>
      </c>
      <c r="BL116" s="10">
        <f t="shared" si="163"/>
        <v>0</v>
      </c>
      <c r="BM116" s="10">
        <f t="shared" si="163"/>
        <v>0</v>
      </c>
    </row>
    <row r="117">
      <c r="A117" s="181" t="s">
        <v>209</v>
      </c>
      <c r="B117" s="88">
        <f t="shared" ref="B117:BM117" si="164">0</f>
        <v>0</v>
      </c>
      <c r="C117" s="88">
        <f t="shared" si="164"/>
        <v>0</v>
      </c>
      <c r="D117" s="88">
        <f t="shared" si="164"/>
        <v>0</v>
      </c>
      <c r="E117" s="88">
        <f t="shared" si="164"/>
        <v>0</v>
      </c>
      <c r="F117" s="88">
        <f t="shared" si="164"/>
        <v>0</v>
      </c>
      <c r="G117" s="88">
        <f t="shared" si="164"/>
        <v>0</v>
      </c>
      <c r="H117" s="88">
        <f t="shared" si="164"/>
        <v>0</v>
      </c>
      <c r="I117" s="88">
        <f t="shared" si="164"/>
        <v>0</v>
      </c>
      <c r="J117" s="88">
        <f t="shared" si="164"/>
        <v>0</v>
      </c>
      <c r="K117" s="88">
        <f t="shared" si="164"/>
        <v>0</v>
      </c>
      <c r="L117" s="88">
        <f t="shared" si="164"/>
        <v>0</v>
      </c>
      <c r="M117" s="88">
        <f t="shared" si="164"/>
        <v>0</v>
      </c>
      <c r="N117" s="88">
        <f t="shared" si="164"/>
        <v>0</v>
      </c>
      <c r="O117" s="88">
        <f t="shared" si="164"/>
        <v>0</v>
      </c>
      <c r="P117" s="88">
        <f t="shared" si="164"/>
        <v>0</v>
      </c>
      <c r="Q117" s="88">
        <f t="shared" si="164"/>
        <v>0</v>
      </c>
      <c r="R117" s="88">
        <f t="shared" si="164"/>
        <v>0</v>
      </c>
      <c r="S117" s="88">
        <f t="shared" si="164"/>
        <v>0</v>
      </c>
      <c r="T117" s="88">
        <f t="shared" si="164"/>
        <v>0</v>
      </c>
      <c r="U117" s="88">
        <f t="shared" si="164"/>
        <v>0</v>
      </c>
      <c r="V117" s="88">
        <f t="shared" si="164"/>
        <v>0</v>
      </c>
      <c r="W117" s="88">
        <f t="shared" si="164"/>
        <v>0</v>
      </c>
      <c r="X117" s="88">
        <f t="shared" si="164"/>
        <v>0</v>
      </c>
      <c r="Y117" s="88">
        <f t="shared" si="164"/>
        <v>0</v>
      </c>
      <c r="Z117" s="88">
        <f t="shared" si="164"/>
        <v>0</v>
      </c>
      <c r="AA117" s="88">
        <f t="shared" si="164"/>
        <v>0</v>
      </c>
      <c r="AB117" s="88">
        <f t="shared" si="164"/>
        <v>0</v>
      </c>
      <c r="AC117" s="88">
        <f t="shared" si="164"/>
        <v>0</v>
      </c>
      <c r="AD117" s="88">
        <f t="shared" si="164"/>
        <v>0</v>
      </c>
      <c r="AE117" s="88">
        <f t="shared" si="164"/>
        <v>0</v>
      </c>
      <c r="AF117" s="88">
        <f t="shared" si="164"/>
        <v>0</v>
      </c>
      <c r="AG117" s="88">
        <f t="shared" si="164"/>
        <v>0</v>
      </c>
      <c r="AH117" s="88">
        <f t="shared" si="164"/>
        <v>0</v>
      </c>
      <c r="AI117" s="88">
        <f t="shared" si="164"/>
        <v>0</v>
      </c>
      <c r="AJ117" s="88">
        <f t="shared" si="164"/>
        <v>0</v>
      </c>
      <c r="AK117" s="88">
        <f t="shared" si="164"/>
        <v>0</v>
      </c>
      <c r="AL117" s="88">
        <f t="shared" si="164"/>
        <v>0</v>
      </c>
      <c r="AM117" s="88">
        <f t="shared" si="164"/>
        <v>0</v>
      </c>
      <c r="AN117" s="88">
        <f t="shared" si="164"/>
        <v>0</v>
      </c>
      <c r="AO117" s="88">
        <f t="shared" si="164"/>
        <v>0</v>
      </c>
      <c r="AP117" s="88">
        <f t="shared" si="164"/>
        <v>0</v>
      </c>
      <c r="AQ117" s="88">
        <f t="shared" si="164"/>
        <v>0</v>
      </c>
      <c r="AR117" s="88">
        <f t="shared" si="164"/>
        <v>0</v>
      </c>
      <c r="AS117" s="88">
        <f t="shared" si="164"/>
        <v>0</v>
      </c>
      <c r="AT117" s="88">
        <f t="shared" si="164"/>
        <v>0</v>
      </c>
      <c r="AU117" s="88">
        <f t="shared" si="164"/>
        <v>0</v>
      </c>
      <c r="AV117" s="88">
        <f t="shared" si="164"/>
        <v>0</v>
      </c>
      <c r="AW117" s="88">
        <f t="shared" si="164"/>
        <v>0</v>
      </c>
      <c r="AX117" s="88">
        <f t="shared" si="164"/>
        <v>0</v>
      </c>
      <c r="AY117" s="88">
        <f t="shared" si="164"/>
        <v>0</v>
      </c>
      <c r="AZ117" s="88">
        <f t="shared" si="164"/>
        <v>0</v>
      </c>
      <c r="BA117" s="88">
        <f t="shared" si="164"/>
        <v>0</v>
      </c>
      <c r="BB117" s="10">
        <f t="shared" si="164"/>
        <v>0</v>
      </c>
      <c r="BC117" s="10">
        <f t="shared" si="164"/>
        <v>0</v>
      </c>
      <c r="BD117" s="10">
        <f t="shared" si="164"/>
        <v>0</v>
      </c>
      <c r="BE117" s="10">
        <f t="shared" si="164"/>
        <v>0</v>
      </c>
      <c r="BF117" s="10">
        <f t="shared" si="164"/>
        <v>0</v>
      </c>
      <c r="BG117" s="10">
        <f t="shared" si="164"/>
        <v>0</v>
      </c>
      <c r="BH117" s="10">
        <f t="shared" si="164"/>
        <v>0</v>
      </c>
      <c r="BI117" s="10">
        <f t="shared" si="164"/>
        <v>0</v>
      </c>
      <c r="BJ117" s="10">
        <f t="shared" si="164"/>
        <v>0</v>
      </c>
      <c r="BK117" s="10">
        <f t="shared" si="164"/>
        <v>0</v>
      </c>
      <c r="BL117" s="10">
        <f t="shared" si="164"/>
        <v>0</v>
      </c>
      <c r="BM117" s="10">
        <f t="shared" si="164"/>
        <v>0</v>
      </c>
    </row>
    <row r="118">
      <c r="A118" s="181" t="s">
        <v>210</v>
      </c>
      <c r="B118" s="88">
        <f t="shared" ref="B118:BM118" si="165">0</f>
        <v>0</v>
      </c>
      <c r="C118" s="88">
        <f t="shared" si="165"/>
        <v>0</v>
      </c>
      <c r="D118" s="88">
        <f t="shared" si="165"/>
        <v>0</v>
      </c>
      <c r="E118" s="88">
        <f t="shared" si="165"/>
        <v>0</v>
      </c>
      <c r="F118" s="88">
        <f t="shared" si="165"/>
        <v>0</v>
      </c>
      <c r="G118" s="88">
        <f t="shared" si="165"/>
        <v>0</v>
      </c>
      <c r="H118" s="88">
        <f t="shared" si="165"/>
        <v>0</v>
      </c>
      <c r="I118" s="88">
        <f t="shared" si="165"/>
        <v>0</v>
      </c>
      <c r="J118" s="88">
        <f t="shared" si="165"/>
        <v>0</v>
      </c>
      <c r="K118" s="88">
        <f t="shared" si="165"/>
        <v>0</v>
      </c>
      <c r="L118" s="88">
        <f t="shared" si="165"/>
        <v>0</v>
      </c>
      <c r="M118" s="88">
        <f t="shared" si="165"/>
        <v>0</v>
      </c>
      <c r="N118" s="88">
        <f t="shared" si="165"/>
        <v>0</v>
      </c>
      <c r="O118" s="88">
        <f t="shared" si="165"/>
        <v>0</v>
      </c>
      <c r="P118" s="88">
        <f t="shared" si="165"/>
        <v>0</v>
      </c>
      <c r="Q118" s="88">
        <f t="shared" si="165"/>
        <v>0</v>
      </c>
      <c r="R118" s="88">
        <f t="shared" si="165"/>
        <v>0</v>
      </c>
      <c r="S118" s="88">
        <f t="shared" si="165"/>
        <v>0</v>
      </c>
      <c r="T118" s="88">
        <f t="shared" si="165"/>
        <v>0</v>
      </c>
      <c r="U118" s="88">
        <f t="shared" si="165"/>
        <v>0</v>
      </c>
      <c r="V118" s="88">
        <f t="shared" si="165"/>
        <v>0</v>
      </c>
      <c r="W118" s="88">
        <f t="shared" si="165"/>
        <v>0</v>
      </c>
      <c r="X118" s="88">
        <f t="shared" si="165"/>
        <v>0</v>
      </c>
      <c r="Y118" s="88">
        <f t="shared" si="165"/>
        <v>0</v>
      </c>
      <c r="Z118" s="88">
        <f t="shared" si="165"/>
        <v>0</v>
      </c>
      <c r="AA118" s="88">
        <f t="shared" si="165"/>
        <v>0</v>
      </c>
      <c r="AB118" s="88">
        <f t="shared" si="165"/>
        <v>0</v>
      </c>
      <c r="AC118" s="88">
        <f t="shared" si="165"/>
        <v>0</v>
      </c>
      <c r="AD118" s="88">
        <f t="shared" si="165"/>
        <v>0</v>
      </c>
      <c r="AE118" s="88">
        <f t="shared" si="165"/>
        <v>0</v>
      </c>
      <c r="AF118" s="88">
        <f t="shared" si="165"/>
        <v>0</v>
      </c>
      <c r="AG118" s="88">
        <f t="shared" si="165"/>
        <v>0</v>
      </c>
      <c r="AH118" s="88">
        <f t="shared" si="165"/>
        <v>0</v>
      </c>
      <c r="AI118" s="88">
        <f t="shared" si="165"/>
        <v>0</v>
      </c>
      <c r="AJ118" s="88">
        <f t="shared" si="165"/>
        <v>0</v>
      </c>
      <c r="AK118" s="88">
        <f t="shared" si="165"/>
        <v>0</v>
      </c>
      <c r="AL118" s="88">
        <f t="shared" si="165"/>
        <v>0</v>
      </c>
      <c r="AM118" s="88">
        <f t="shared" si="165"/>
        <v>0</v>
      </c>
      <c r="AN118" s="88">
        <f t="shared" si="165"/>
        <v>0</v>
      </c>
      <c r="AO118" s="88">
        <f t="shared" si="165"/>
        <v>0</v>
      </c>
      <c r="AP118" s="88">
        <f t="shared" si="165"/>
        <v>0</v>
      </c>
      <c r="AQ118" s="88">
        <f t="shared" si="165"/>
        <v>0</v>
      </c>
      <c r="AR118" s="88">
        <f t="shared" si="165"/>
        <v>0</v>
      </c>
      <c r="AS118" s="88">
        <f t="shared" si="165"/>
        <v>0</v>
      </c>
      <c r="AT118" s="88">
        <f t="shared" si="165"/>
        <v>0</v>
      </c>
      <c r="AU118" s="88">
        <f t="shared" si="165"/>
        <v>0</v>
      </c>
      <c r="AV118" s="88">
        <f t="shared" si="165"/>
        <v>0</v>
      </c>
      <c r="AW118" s="88">
        <f t="shared" si="165"/>
        <v>0</v>
      </c>
      <c r="AX118" s="88">
        <f t="shared" si="165"/>
        <v>0</v>
      </c>
      <c r="AY118" s="88">
        <f t="shared" si="165"/>
        <v>0</v>
      </c>
      <c r="AZ118" s="88">
        <f t="shared" si="165"/>
        <v>0</v>
      </c>
      <c r="BA118" s="88">
        <f t="shared" si="165"/>
        <v>0</v>
      </c>
      <c r="BB118" s="10">
        <f t="shared" si="165"/>
        <v>0</v>
      </c>
      <c r="BC118" s="10">
        <f t="shared" si="165"/>
        <v>0</v>
      </c>
      <c r="BD118" s="10">
        <f t="shared" si="165"/>
        <v>0</v>
      </c>
      <c r="BE118" s="10">
        <f t="shared" si="165"/>
        <v>0</v>
      </c>
      <c r="BF118" s="10">
        <f t="shared" si="165"/>
        <v>0</v>
      </c>
      <c r="BG118" s="10">
        <f t="shared" si="165"/>
        <v>0</v>
      </c>
      <c r="BH118" s="10">
        <f t="shared" si="165"/>
        <v>0</v>
      </c>
      <c r="BI118" s="10">
        <f t="shared" si="165"/>
        <v>0</v>
      </c>
      <c r="BJ118" s="10">
        <f t="shared" si="165"/>
        <v>0</v>
      </c>
      <c r="BK118" s="10">
        <f t="shared" si="165"/>
        <v>0</v>
      </c>
      <c r="BL118" s="10">
        <f t="shared" si="165"/>
        <v>0</v>
      </c>
      <c r="BM118" s="10">
        <f t="shared" si="165"/>
        <v>0</v>
      </c>
    </row>
    <row r="119">
      <c r="A119" s="181" t="s">
        <v>211</v>
      </c>
      <c r="B119" s="88">
        <f t="shared" ref="B119:BM119" si="166">0</f>
        <v>0</v>
      </c>
      <c r="C119" s="88">
        <f t="shared" si="166"/>
        <v>0</v>
      </c>
      <c r="D119" s="88">
        <f t="shared" si="166"/>
        <v>0</v>
      </c>
      <c r="E119" s="88">
        <f t="shared" si="166"/>
        <v>0</v>
      </c>
      <c r="F119" s="88">
        <f t="shared" si="166"/>
        <v>0</v>
      </c>
      <c r="G119" s="88">
        <f t="shared" si="166"/>
        <v>0</v>
      </c>
      <c r="H119" s="88">
        <f t="shared" si="166"/>
        <v>0</v>
      </c>
      <c r="I119" s="88">
        <f t="shared" si="166"/>
        <v>0</v>
      </c>
      <c r="J119" s="88">
        <f t="shared" si="166"/>
        <v>0</v>
      </c>
      <c r="K119" s="88">
        <f t="shared" si="166"/>
        <v>0</v>
      </c>
      <c r="L119" s="88">
        <f t="shared" si="166"/>
        <v>0</v>
      </c>
      <c r="M119" s="88">
        <f t="shared" si="166"/>
        <v>0</v>
      </c>
      <c r="N119" s="88">
        <f t="shared" si="166"/>
        <v>0</v>
      </c>
      <c r="O119" s="88">
        <f t="shared" si="166"/>
        <v>0</v>
      </c>
      <c r="P119" s="88">
        <f t="shared" si="166"/>
        <v>0</v>
      </c>
      <c r="Q119" s="88">
        <f t="shared" si="166"/>
        <v>0</v>
      </c>
      <c r="R119" s="88">
        <f t="shared" si="166"/>
        <v>0</v>
      </c>
      <c r="S119" s="88">
        <f t="shared" si="166"/>
        <v>0</v>
      </c>
      <c r="T119" s="88">
        <f t="shared" si="166"/>
        <v>0</v>
      </c>
      <c r="U119" s="88">
        <f t="shared" si="166"/>
        <v>0</v>
      </c>
      <c r="V119" s="88">
        <f t="shared" si="166"/>
        <v>0</v>
      </c>
      <c r="W119" s="88">
        <f t="shared" si="166"/>
        <v>0</v>
      </c>
      <c r="X119" s="88">
        <f t="shared" si="166"/>
        <v>0</v>
      </c>
      <c r="Y119" s="88">
        <f t="shared" si="166"/>
        <v>0</v>
      </c>
      <c r="Z119" s="88">
        <f t="shared" si="166"/>
        <v>0</v>
      </c>
      <c r="AA119" s="88">
        <f t="shared" si="166"/>
        <v>0</v>
      </c>
      <c r="AB119" s="88">
        <f t="shared" si="166"/>
        <v>0</v>
      </c>
      <c r="AC119" s="88">
        <f t="shared" si="166"/>
        <v>0</v>
      </c>
      <c r="AD119" s="88">
        <f t="shared" si="166"/>
        <v>0</v>
      </c>
      <c r="AE119" s="88">
        <f t="shared" si="166"/>
        <v>0</v>
      </c>
      <c r="AF119" s="88">
        <f t="shared" si="166"/>
        <v>0</v>
      </c>
      <c r="AG119" s="88">
        <f t="shared" si="166"/>
        <v>0</v>
      </c>
      <c r="AH119" s="88">
        <f t="shared" si="166"/>
        <v>0</v>
      </c>
      <c r="AI119" s="88">
        <f t="shared" si="166"/>
        <v>0</v>
      </c>
      <c r="AJ119" s="88">
        <f t="shared" si="166"/>
        <v>0</v>
      </c>
      <c r="AK119" s="88">
        <f t="shared" si="166"/>
        <v>0</v>
      </c>
      <c r="AL119" s="88">
        <f t="shared" si="166"/>
        <v>0</v>
      </c>
      <c r="AM119" s="88">
        <f t="shared" si="166"/>
        <v>0</v>
      </c>
      <c r="AN119" s="88">
        <f t="shared" si="166"/>
        <v>0</v>
      </c>
      <c r="AO119" s="88">
        <f t="shared" si="166"/>
        <v>0</v>
      </c>
      <c r="AP119" s="88">
        <f t="shared" si="166"/>
        <v>0</v>
      </c>
      <c r="AQ119" s="88">
        <f t="shared" si="166"/>
        <v>0</v>
      </c>
      <c r="AR119" s="88">
        <f t="shared" si="166"/>
        <v>0</v>
      </c>
      <c r="AS119" s="88">
        <f t="shared" si="166"/>
        <v>0</v>
      </c>
      <c r="AT119" s="88">
        <f t="shared" si="166"/>
        <v>0</v>
      </c>
      <c r="AU119" s="88">
        <f t="shared" si="166"/>
        <v>0</v>
      </c>
      <c r="AV119" s="88">
        <f t="shared" si="166"/>
        <v>0</v>
      </c>
      <c r="AW119" s="88">
        <f t="shared" si="166"/>
        <v>0</v>
      </c>
      <c r="AX119" s="88">
        <f t="shared" si="166"/>
        <v>0</v>
      </c>
      <c r="AY119" s="88">
        <f t="shared" si="166"/>
        <v>0</v>
      </c>
      <c r="AZ119" s="88">
        <f t="shared" si="166"/>
        <v>0</v>
      </c>
      <c r="BA119" s="88">
        <f t="shared" si="166"/>
        <v>0</v>
      </c>
      <c r="BB119" s="10">
        <f t="shared" si="166"/>
        <v>0</v>
      </c>
      <c r="BC119" s="10">
        <f t="shared" si="166"/>
        <v>0</v>
      </c>
      <c r="BD119" s="10">
        <f t="shared" si="166"/>
        <v>0</v>
      </c>
      <c r="BE119" s="10">
        <f t="shared" si="166"/>
        <v>0</v>
      </c>
      <c r="BF119" s="10">
        <f t="shared" si="166"/>
        <v>0</v>
      </c>
      <c r="BG119" s="10">
        <f t="shared" si="166"/>
        <v>0</v>
      </c>
      <c r="BH119" s="10">
        <f t="shared" si="166"/>
        <v>0</v>
      </c>
      <c r="BI119" s="10">
        <f t="shared" si="166"/>
        <v>0</v>
      </c>
      <c r="BJ119" s="10">
        <f t="shared" si="166"/>
        <v>0</v>
      </c>
      <c r="BK119" s="10">
        <f t="shared" si="166"/>
        <v>0</v>
      </c>
      <c r="BL119" s="10">
        <f t="shared" si="166"/>
        <v>0</v>
      </c>
      <c r="BM119" s="10">
        <f t="shared" si="166"/>
        <v>0</v>
      </c>
    </row>
    <row r="120">
      <c r="A120" s="181" t="s">
        <v>212</v>
      </c>
      <c r="B120" s="88">
        <f t="shared" ref="B120:BM120" si="167">0</f>
        <v>0</v>
      </c>
      <c r="C120" s="88">
        <f t="shared" si="167"/>
        <v>0</v>
      </c>
      <c r="D120" s="88">
        <f t="shared" si="167"/>
        <v>0</v>
      </c>
      <c r="E120" s="88">
        <f t="shared" si="167"/>
        <v>0</v>
      </c>
      <c r="F120" s="88">
        <f t="shared" si="167"/>
        <v>0</v>
      </c>
      <c r="G120" s="88">
        <f t="shared" si="167"/>
        <v>0</v>
      </c>
      <c r="H120" s="88">
        <f t="shared" si="167"/>
        <v>0</v>
      </c>
      <c r="I120" s="88">
        <f t="shared" si="167"/>
        <v>0</v>
      </c>
      <c r="J120" s="88">
        <f t="shared" si="167"/>
        <v>0</v>
      </c>
      <c r="K120" s="88">
        <f t="shared" si="167"/>
        <v>0</v>
      </c>
      <c r="L120" s="88">
        <f t="shared" si="167"/>
        <v>0</v>
      </c>
      <c r="M120" s="88">
        <f t="shared" si="167"/>
        <v>0</v>
      </c>
      <c r="N120" s="88">
        <f t="shared" si="167"/>
        <v>0</v>
      </c>
      <c r="O120" s="88">
        <f t="shared" si="167"/>
        <v>0</v>
      </c>
      <c r="P120" s="88">
        <f t="shared" si="167"/>
        <v>0</v>
      </c>
      <c r="Q120" s="88">
        <f t="shared" si="167"/>
        <v>0</v>
      </c>
      <c r="R120" s="88">
        <f t="shared" si="167"/>
        <v>0</v>
      </c>
      <c r="S120" s="88">
        <f t="shared" si="167"/>
        <v>0</v>
      </c>
      <c r="T120" s="88">
        <f t="shared" si="167"/>
        <v>0</v>
      </c>
      <c r="U120" s="88">
        <f t="shared" si="167"/>
        <v>0</v>
      </c>
      <c r="V120" s="88">
        <f t="shared" si="167"/>
        <v>0</v>
      </c>
      <c r="W120" s="88">
        <f t="shared" si="167"/>
        <v>0</v>
      </c>
      <c r="X120" s="88">
        <f t="shared" si="167"/>
        <v>0</v>
      </c>
      <c r="Y120" s="88">
        <f t="shared" si="167"/>
        <v>0</v>
      </c>
      <c r="Z120" s="88">
        <f t="shared" si="167"/>
        <v>0</v>
      </c>
      <c r="AA120" s="88">
        <f t="shared" si="167"/>
        <v>0</v>
      </c>
      <c r="AB120" s="88">
        <f t="shared" si="167"/>
        <v>0</v>
      </c>
      <c r="AC120" s="88">
        <f t="shared" si="167"/>
        <v>0</v>
      </c>
      <c r="AD120" s="88">
        <f t="shared" si="167"/>
        <v>0</v>
      </c>
      <c r="AE120" s="88">
        <f t="shared" si="167"/>
        <v>0</v>
      </c>
      <c r="AF120" s="88">
        <f t="shared" si="167"/>
        <v>0</v>
      </c>
      <c r="AG120" s="88">
        <f t="shared" si="167"/>
        <v>0</v>
      </c>
      <c r="AH120" s="88">
        <f t="shared" si="167"/>
        <v>0</v>
      </c>
      <c r="AI120" s="88">
        <f t="shared" si="167"/>
        <v>0</v>
      </c>
      <c r="AJ120" s="88">
        <f t="shared" si="167"/>
        <v>0</v>
      </c>
      <c r="AK120" s="88">
        <f t="shared" si="167"/>
        <v>0</v>
      </c>
      <c r="AL120" s="88">
        <f t="shared" si="167"/>
        <v>0</v>
      </c>
      <c r="AM120" s="88">
        <f t="shared" si="167"/>
        <v>0</v>
      </c>
      <c r="AN120" s="88">
        <f t="shared" si="167"/>
        <v>0</v>
      </c>
      <c r="AO120" s="88">
        <f t="shared" si="167"/>
        <v>0</v>
      </c>
      <c r="AP120" s="88">
        <f t="shared" si="167"/>
        <v>0</v>
      </c>
      <c r="AQ120" s="88">
        <f t="shared" si="167"/>
        <v>0</v>
      </c>
      <c r="AR120" s="88">
        <f t="shared" si="167"/>
        <v>0</v>
      </c>
      <c r="AS120" s="88">
        <f t="shared" si="167"/>
        <v>0</v>
      </c>
      <c r="AT120" s="88">
        <f t="shared" si="167"/>
        <v>0</v>
      </c>
      <c r="AU120" s="88">
        <f t="shared" si="167"/>
        <v>0</v>
      </c>
      <c r="AV120" s="88">
        <f t="shared" si="167"/>
        <v>0</v>
      </c>
      <c r="AW120" s="88">
        <f t="shared" si="167"/>
        <v>0</v>
      </c>
      <c r="AX120" s="88">
        <f t="shared" si="167"/>
        <v>0</v>
      </c>
      <c r="AY120" s="88">
        <f t="shared" si="167"/>
        <v>0</v>
      </c>
      <c r="AZ120" s="88">
        <f t="shared" si="167"/>
        <v>0</v>
      </c>
      <c r="BA120" s="88">
        <f t="shared" si="167"/>
        <v>0</v>
      </c>
      <c r="BB120" s="10">
        <f t="shared" si="167"/>
        <v>0</v>
      </c>
      <c r="BC120" s="10">
        <f t="shared" si="167"/>
        <v>0</v>
      </c>
      <c r="BD120" s="10">
        <f t="shared" si="167"/>
        <v>0</v>
      </c>
      <c r="BE120" s="10">
        <f t="shared" si="167"/>
        <v>0</v>
      </c>
      <c r="BF120" s="10">
        <f t="shared" si="167"/>
        <v>0</v>
      </c>
      <c r="BG120" s="10">
        <f t="shared" si="167"/>
        <v>0</v>
      </c>
      <c r="BH120" s="10">
        <f t="shared" si="167"/>
        <v>0</v>
      </c>
      <c r="BI120" s="10">
        <f t="shared" si="167"/>
        <v>0</v>
      </c>
      <c r="BJ120" s="10">
        <f t="shared" si="167"/>
        <v>0</v>
      </c>
      <c r="BK120" s="10">
        <f t="shared" si="167"/>
        <v>0</v>
      </c>
      <c r="BL120" s="10">
        <f t="shared" si="167"/>
        <v>0</v>
      </c>
      <c r="BM120" s="10">
        <f t="shared" si="167"/>
        <v>0</v>
      </c>
    </row>
    <row r="121">
      <c r="A121" s="181" t="s">
        <v>213</v>
      </c>
      <c r="B121" s="88">
        <f t="shared" ref="B121:BM121" si="168">0</f>
        <v>0</v>
      </c>
      <c r="C121" s="88">
        <f t="shared" si="168"/>
        <v>0</v>
      </c>
      <c r="D121" s="88">
        <f t="shared" si="168"/>
        <v>0</v>
      </c>
      <c r="E121" s="88">
        <f t="shared" si="168"/>
        <v>0</v>
      </c>
      <c r="F121" s="88">
        <f t="shared" si="168"/>
        <v>0</v>
      </c>
      <c r="G121" s="88">
        <f t="shared" si="168"/>
        <v>0</v>
      </c>
      <c r="H121" s="88">
        <f t="shared" si="168"/>
        <v>0</v>
      </c>
      <c r="I121" s="88">
        <f t="shared" si="168"/>
        <v>0</v>
      </c>
      <c r="J121" s="88">
        <f t="shared" si="168"/>
        <v>0</v>
      </c>
      <c r="K121" s="88">
        <f t="shared" si="168"/>
        <v>0</v>
      </c>
      <c r="L121" s="88">
        <f t="shared" si="168"/>
        <v>0</v>
      </c>
      <c r="M121" s="88">
        <f t="shared" si="168"/>
        <v>0</v>
      </c>
      <c r="N121" s="88">
        <f t="shared" si="168"/>
        <v>0</v>
      </c>
      <c r="O121" s="88">
        <f t="shared" si="168"/>
        <v>0</v>
      </c>
      <c r="P121" s="88">
        <f t="shared" si="168"/>
        <v>0</v>
      </c>
      <c r="Q121" s="88">
        <f t="shared" si="168"/>
        <v>0</v>
      </c>
      <c r="R121" s="88">
        <f t="shared" si="168"/>
        <v>0</v>
      </c>
      <c r="S121" s="88">
        <f t="shared" si="168"/>
        <v>0</v>
      </c>
      <c r="T121" s="88">
        <f t="shared" si="168"/>
        <v>0</v>
      </c>
      <c r="U121" s="88">
        <f t="shared" si="168"/>
        <v>0</v>
      </c>
      <c r="V121" s="88">
        <f t="shared" si="168"/>
        <v>0</v>
      </c>
      <c r="W121" s="88">
        <f t="shared" si="168"/>
        <v>0</v>
      </c>
      <c r="X121" s="88">
        <f t="shared" si="168"/>
        <v>0</v>
      </c>
      <c r="Y121" s="88">
        <f t="shared" si="168"/>
        <v>0</v>
      </c>
      <c r="Z121" s="88">
        <f t="shared" si="168"/>
        <v>0</v>
      </c>
      <c r="AA121" s="88">
        <f t="shared" si="168"/>
        <v>0</v>
      </c>
      <c r="AB121" s="88">
        <f t="shared" si="168"/>
        <v>0</v>
      </c>
      <c r="AC121" s="88">
        <f t="shared" si="168"/>
        <v>0</v>
      </c>
      <c r="AD121" s="88">
        <f t="shared" si="168"/>
        <v>0</v>
      </c>
      <c r="AE121" s="88">
        <f t="shared" si="168"/>
        <v>0</v>
      </c>
      <c r="AF121" s="88">
        <f t="shared" si="168"/>
        <v>0</v>
      </c>
      <c r="AG121" s="88">
        <f t="shared" si="168"/>
        <v>0</v>
      </c>
      <c r="AH121" s="88">
        <f t="shared" si="168"/>
        <v>0</v>
      </c>
      <c r="AI121" s="88">
        <f t="shared" si="168"/>
        <v>0</v>
      </c>
      <c r="AJ121" s="88">
        <f t="shared" si="168"/>
        <v>0</v>
      </c>
      <c r="AK121" s="88">
        <f t="shared" si="168"/>
        <v>0</v>
      </c>
      <c r="AL121" s="88">
        <f t="shared" si="168"/>
        <v>0</v>
      </c>
      <c r="AM121" s="88">
        <f t="shared" si="168"/>
        <v>0</v>
      </c>
      <c r="AN121" s="88">
        <f t="shared" si="168"/>
        <v>0</v>
      </c>
      <c r="AO121" s="88">
        <f t="shared" si="168"/>
        <v>0</v>
      </c>
      <c r="AP121" s="88">
        <f t="shared" si="168"/>
        <v>0</v>
      </c>
      <c r="AQ121" s="88">
        <f t="shared" si="168"/>
        <v>0</v>
      </c>
      <c r="AR121" s="88">
        <f t="shared" si="168"/>
        <v>0</v>
      </c>
      <c r="AS121" s="88">
        <f t="shared" si="168"/>
        <v>0</v>
      </c>
      <c r="AT121" s="88">
        <f t="shared" si="168"/>
        <v>0</v>
      </c>
      <c r="AU121" s="88">
        <f t="shared" si="168"/>
        <v>0</v>
      </c>
      <c r="AV121" s="88">
        <f t="shared" si="168"/>
        <v>0</v>
      </c>
      <c r="AW121" s="88">
        <f t="shared" si="168"/>
        <v>0</v>
      </c>
      <c r="AX121" s="88">
        <f t="shared" si="168"/>
        <v>0</v>
      </c>
      <c r="AY121" s="88">
        <f t="shared" si="168"/>
        <v>0</v>
      </c>
      <c r="AZ121" s="88">
        <f t="shared" si="168"/>
        <v>0</v>
      </c>
      <c r="BA121" s="88">
        <f t="shared" si="168"/>
        <v>0</v>
      </c>
      <c r="BB121" s="10">
        <f t="shared" si="168"/>
        <v>0</v>
      </c>
      <c r="BC121" s="10">
        <f t="shared" si="168"/>
        <v>0</v>
      </c>
      <c r="BD121" s="10">
        <f t="shared" si="168"/>
        <v>0</v>
      </c>
      <c r="BE121" s="10">
        <f t="shared" si="168"/>
        <v>0</v>
      </c>
      <c r="BF121" s="10">
        <f t="shared" si="168"/>
        <v>0</v>
      </c>
      <c r="BG121" s="10">
        <f t="shared" si="168"/>
        <v>0</v>
      </c>
      <c r="BH121" s="10">
        <f t="shared" si="168"/>
        <v>0</v>
      </c>
      <c r="BI121" s="10">
        <f t="shared" si="168"/>
        <v>0</v>
      </c>
      <c r="BJ121" s="10">
        <f t="shared" si="168"/>
        <v>0</v>
      </c>
      <c r="BK121" s="10">
        <f t="shared" si="168"/>
        <v>0</v>
      </c>
      <c r="BL121" s="10">
        <f t="shared" si="168"/>
        <v>0</v>
      </c>
      <c r="BM121" s="10">
        <f t="shared" si="168"/>
        <v>0</v>
      </c>
    </row>
    <row r="122">
      <c r="A122" s="181" t="s">
        <v>214</v>
      </c>
      <c r="B122" s="88">
        <f t="shared" ref="B122:BM122" si="169">0</f>
        <v>0</v>
      </c>
      <c r="C122" s="88">
        <f t="shared" si="169"/>
        <v>0</v>
      </c>
      <c r="D122" s="88">
        <f t="shared" si="169"/>
        <v>0</v>
      </c>
      <c r="E122" s="88">
        <f t="shared" si="169"/>
        <v>0</v>
      </c>
      <c r="F122" s="88">
        <f t="shared" si="169"/>
        <v>0</v>
      </c>
      <c r="G122" s="88">
        <f t="shared" si="169"/>
        <v>0</v>
      </c>
      <c r="H122" s="88">
        <f t="shared" si="169"/>
        <v>0</v>
      </c>
      <c r="I122" s="88">
        <f t="shared" si="169"/>
        <v>0</v>
      </c>
      <c r="J122" s="88">
        <f t="shared" si="169"/>
        <v>0</v>
      </c>
      <c r="K122" s="88">
        <f t="shared" si="169"/>
        <v>0</v>
      </c>
      <c r="L122" s="88">
        <f t="shared" si="169"/>
        <v>0</v>
      </c>
      <c r="M122" s="88">
        <f t="shared" si="169"/>
        <v>0</v>
      </c>
      <c r="N122" s="88">
        <f t="shared" si="169"/>
        <v>0</v>
      </c>
      <c r="O122" s="88">
        <f t="shared" si="169"/>
        <v>0</v>
      </c>
      <c r="P122" s="88">
        <f t="shared" si="169"/>
        <v>0</v>
      </c>
      <c r="Q122" s="88">
        <f t="shared" si="169"/>
        <v>0</v>
      </c>
      <c r="R122" s="88">
        <f t="shared" si="169"/>
        <v>0</v>
      </c>
      <c r="S122" s="88">
        <f t="shared" si="169"/>
        <v>0</v>
      </c>
      <c r="T122" s="88">
        <f t="shared" si="169"/>
        <v>0</v>
      </c>
      <c r="U122" s="88">
        <f t="shared" si="169"/>
        <v>0</v>
      </c>
      <c r="V122" s="88">
        <f t="shared" si="169"/>
        <v>0</v>
      </c>
      <c r="W122" s="88">
        <f t="shared" si="169"/>
        <v>0</v>
      </c>
      <c r="X122" s="88">
        <f t="shared" si="169"/>
        <v>0</v>
      </c>
      <c r="Y122" s="88">
        <f t="shared" si="169"/>
        <v>0</v>
      </c>
      <c r="Z122" s="88">
        <f t="shared" si="169"/>
        <v>0</v>
      </c>
      <c r="AA122" s="88">
        <f t="shared" si="169"/>
        <v>0</v>
      </c>
      <c r="AB122" s="88">
        <f t="shared" si="169"/>
        <v>0</v>
      </c>
      <c r="AC122" s="88">
        <f t="shared" si="169"/>
        <v>0</v>
      </c>
      <c r="AD122" s="88">
        <f t="shared" si="169"/>
        <v>0</v>
      </c>
      <c r="AE122" s="88">
        <f t="shared" si="169"/>
        <v>0</v>
      </c>
      <c r="AF122" s="88">
        <f t="shared" si="169"/>
        <v>0</v>
      </c>
      <c r="AG122" s="88">
        <f t="shared" si="169"/>
        <v>0</v>
      </c>
      <c r="AH122" s="88">
        <f t="shared" si="169"/>
        <v>0</v>
      </c>
      <c r="AI122" s="88">
        <f t="shared" si="169"/>
        <v>0</v>
      </c>
      <c r="AJ122" s="88">
        <f t="shared" si="169"/>
        <v>0</v>
      </c>
      <c r="AK122" s="88">
        <f t="shared" si="169"/>
        <v>0</v>
      </c>
      <c r="AL122" s="88">
        <f t="shared" si="169"/>
        <v>0</v>
      </c>
      <c r="AM122" s="88">
        <f t="shared" si="169"/>
        <v>0</v>
      </c>
      <c r="AN122" s="88">
        <f t="shared" si="169"/>
        <v>0</v>
      </c>
      <c r="AO122" s="88">
        <f t="shared" si="169"/>
        <v>0</v>
      </c>
      <c r="AP122" s="88">
        <f t="shared" si="169"/>
        <v>0</v>
      </c>
      <c r="AQ122" s="88">
        <f t="shared" si="169"/>
        <v>0</v>
      </c>
      <c r="AR122" s="88">
        <f t="shared" si="169"/>
        <v>0</v>
      </c>
      <c r="AS122" s="88">
        <f t="shared" si="169"/>
        <v>0</v>
      </c>
      <c r="AT122" s="88">
        <f t="shared" si="169"/>
        <v>0</v>
      </c>
      <c r="AU122" s="88">
        <f t="shared" si="169"/>
        <v>0</v>
      </c>
      <c r="AV122" s="88">
        <f t="shared" si="169"/>
        <v>0</v>
      </c>
      <c r="AW122" s="88">
        <f t="shared" si="169"/>
        <v>0</v>
      </c>
      <c r="AX122" s="88">
        <f t="shared" si="169"/>
        <v>0</v>
      </c>
      <c r="AY122" s="88">
        <f t="shared" si="169"/>
        <v>0</v>
      </c>
      <c r="AZ122" s="88">
        <f t="shared" si="169"/>
        <v>0</v>
      </c>
      <c r="BA122" s="88">
        <f t="shared" si="169"/>
        <v>0</v>
      </c>
      <c r="BB122" s="10">
        <f t="shared" si="169"/>
        <v>0</v>
      </c>
      <c r="BC122" s="10">
        <f t="shared" si="169"/>
        <v>0</v>
      </c>
      <c r="BD122" s="10">
        <f t="shared" si="169"/>
        <v>0</v>
      </c>
      <c r="BE122" s="10">
        <f t="shared" si="169"/>
        <v>0</v>
      </c>
      <c r="BF122" s="10">
        <f t="shared" si="169"/>
        <v>0</v>
      </c>
      <c r="BG122" s="10">
        <f t="shared" si="169"/>
        <v>0</v>
      </c>
      <c r="BH122" s="10">
        <f t="shared" si="169"/>
        <v>0</v>
      </c>
      <c r="BI122" s="10">
        <f t="shared" si="169"/>
        <v>0</v>
      </c>
      <c r="BJ122" s="10">
        <f t="shared" si="169"/>
        <v>0</v>
      </c>
      <c r="BK122" s="10">
        <f t="shared" si="169"/>
        <v>0</v>
      </c>
      <c r="BL122" s="10">
        <f t="shared" si="169"/>
        <v>0</v>
      </c>
      <c r="BM122" s="10">
        <f t="shared" si="169"/>
        <v>0</v>
      </c>
    </row>
    <row r="123">
      <c r="A123" s="181" t="s">
        <v>215</v>
      </c>
      <c r="B123" s="88">
        <f t="shared" ref="B123:BM123" si="170">0</f>
        <v>0</v>
      </c>
      <c r="C123" s="88">
        <f t="shared" si="170"/>
        <v>0</v>
      </c>
      <c r="D123" s="88">
        <f t="shared" si="170"/>
        <v>0</v>
      </c>
      <c r="E123" s="88">
        <f t="shared" si="170"/>
        <v>0</v>
      </c>
      <c r="F123" s="88">
        <f t="shared" si="170"/>
        <v>0</v>
      </c>
      <c r="G123" s="88">
        <f t="shared" si="170"/>
        <v>0</v>
      </c>
      <c r="H123" s="88">
        <f t="shared" si="170"/>
        <v>0</v>
      </c>
      <c r="I123" s="88">
        <f t="shared" si="170"/>
        <v>0</v>
      </c>
      <c r="J123" s="88">
        <f t="shared" si="170"/>
        <v>0</v>
      </c>
      <c r="K123" s="88">
        <f t="shared" si="170"/>
        <v>0</v>
      </c>
      <c r="L123" s="88">
        <f t="shared" si="170"/>
        <v>0</v>
      </c>
      <c r="M123" s="88">
        <f t="shared" si="170"/>
        <v>0</v>
      </c>
      <c r="N123" s="88">
        <f t="shared" si="170"/>
        <v>0</v>
      </c>
      <c r="O123" s="88">
        <f t="shared" si="170"/>
        <v>0</v>
      </c>
      <c r="P123" s="88">
        <f t="shared" si="170"/>
        <v>0</v>
      </c>
      <c r="Q123" s="88">
        <f t="shared" si="170"/>
        <v>0</v>
      </c>
      <c r="R123" s="88">
        <f t="shared" si="170"/>
        <v>0</v>
      </c>
      <c r="S123" s="88">
        <f t="shared" si="170"/>
        <v>0</v>
      </c>
      <c r="T123" s="88">
        <f t="shared" si="170"/>
        <v>0</v>
      </c>
      <c r="U123" s="88">
        <f t="shared" si="170"/>
        <v>0</v>
      </c>
      <c r="V123" s="88">
        <f t="shared" si="170"/>
        <v>0</v>
      </c>
      <c r="W123" s="88">
        <f t="shared" si="170"/>
        <v>0</v>
      </c>
      <c r="X123" s="88">
        <f t="shared" si="170"/>
        <v>0</v>
      </c>
      <c r="Y123" s="88">
        <f t="shared" si="170"/>
        <v>0</v>
      </c>
      <c r="Z123" s="88">
        <f t="shared" si="170"/>
        <v>0</v>
      </c>
      <c r="AA123" s="88">
        <f t="shared" si="170"/>
        <v>0</v>
      </c>
      <c r="AB123" s="88">
        <f t="shared" si="170"/>
        <v>0</v>
      </c>
      <c r="AC123" s="88">
        <f t="shared" si="170"/>
        <v>0</v>
      </c>
      <c r="AD123" s="88">
        <f t="shared" si="170"/>
        <v>0</v>
      </c>
      <c r="AE123" s="88">
        <f t="shared" si="170"/>
        <v>0</v>
      </c>
      <c r="AF123" s="88">
        <f t="shared" si="170"/>
        <v>0</v>
      </c>
      <c r="AG123" s="88">
        <f t="shared" si="170"/>
        <v>0</v>
      </c>
      <c r="AH123" s="88">
        <f t="shared" si="170"/>
        <v>0</v>
      </c>
      <c r="AI123" s="88">
        <f t="shared" si="170"/>
        <v>0</v>
      </c>
      <c r="AJ123" s="88">
        <f t="shared" si="170"/>
        <v>0</v>
      </c>
      <c r="AK123" s="88">
        <f t="shared" si="170"/>
        <v>0</v>
      </c>
      <c r="AL123" s="88">
        <f t="shared" si="170"/>
        <v>0</v>
      </c>
      <c r="AM123" s="88">
        <f t="shared" si="170"/>
        <v>0</v>
      </c>
      <c r="AN123" s="88">
        <f t="shared" si="170"/>
        <v>0</v>
      </c>
      <c r="AO123" s="88">
        <f t="shared" si="170"/>
        <v>0</v>
      </c>
      <c r="AP123" s="88">
        <f t="shared" si="170"/>
        <v>0</v>
      </c>
      <c r="AQ123" s="88">
        <f t="shared" si="170"/>
        <v>0</v>
      </c>
      <c r="AR123" s="88">
        <f t="shared" si="170"/>
        <v>0</v>
      </c>
      <c r="AS123" s="88">
        <f t="shared" si="170"/>
        <v>0</v>
      </c>
      <c r="AT123" s="88">
        <f t="shared" si="170"/>
        <v>0</v>
      </c>
      <c r="AU123" s="88">
        <f t="shared" si="170"/>
        <v>0</v>
      </c>
      <c r="AV123" s="88">
        <f t="shared" si="170"/>
        <v>0</v>
      </c>
      <c r="AW123" s="88">
        <f t="shared" si="170"/>
        <v>0</v>
      </c>
      <c r="AX123" s="88">
        <f t="shared" si="170"/>
        <v>0</v>
      </c>
      <c r="AY123" s="88">
        <f t="shared" si="170"/>
        <v>0</v>
      </c>
      <c r="AZ123" s="88">
        <f t="shared" si="170"/>
        <v>0</v>
      </c>
      <c r="BA123" s="88">
        <f t="shared" si="170"/>
        <v>0</v>
      </c>
      <c r="BB123" s="10">
        <f t="shared" si="170"/>
        <v>0</v>
      </c>
      <c r="BC123" s="10">
        <f t="shared" si="170"/>
        <v>0</v>
      </c>
      <c r="BD123" s="10">
        <f t="shared" si="170"/>
        <v>0</v>
      </c>
      <c r="BE123" s="10">
        <f t="shared" si="170"/>
        <v>0</v>
      </c>
      <c r="BF123" s="10">
        <f t="shared" si="170"/>
        <v>0</v>
      </c>
      <c r="BG123" s="10">
        <f t="shared" si="170"/>
        <v>0</v>
      </c>
      <c r="BH123" s="10">
        <f t="shared" si="170"/>
        <v>0</v>
      </c>
      <c r="BI123" s="10">
        <f t="shared" si="170"/>
        <v>0</v>
      </c>
      <c r="BJ123" s="10">
        <f t="shared" si="170"/>
        <v>0</v>
      </c>
      <c r="BK123" s="10">
        <f t="shared" si="170"/>
        <v>0</v>
      </c>
      <c r="BL123" s="10">
        <f t="shared" si="170"/>
        <v>0</v>
      </c>
      <c r="BM123" s="10">
        <f t="shared" si="170"/>
        <v>0</v>
      </c>
    </row>
    <row r="124">
      <c r="A124" s="181" t="s">
        <v>216</v>
      </c>
      <c r="B124" s="88">
        <f t="shared" ref="B124:BM124" si="171">0</f>
        <v>0</v>
      </c>
      <c r="C124" s="88">
        <f t="shared" si="171"/>
        <v>0</v>
      </c>
      <c r="D124" s="88">
        <f t="shared" si="171"/>
        <v>0</v>
      </c>
      <c r="E124" s="88">
        <f t="shared" si="171"/>
        <v>0</v>
      </c>
      <c r="F124" s="88">
        <f t="shared" si="171"/>
        <v>0</v>
      </c>
      <c r="G124" s="88">
        <f t="shared" si="171"/>
        <v>0</v>
      </c>
      <c r="H124" s="88">
        <f t="shared" si="171"/>
        <v>0</v>
      </c>
      <c r="I124" s="88">
        <f t="shared" si="171"/>
        <v>0</v>
      </c>
      <c r="J124" s="88">
        <f t="shared" si="171"/>
        <v>0</v>
      </c>
      <c r="K124" s="88">
        <f t="shared" si="171"/>
        <v>0</v>
      </c>
      <c r="L124" s="88">
        <f t="shared" si="171"/>
        <v>0</v>
      </c>
      <c r="M124" s="88">
        <f t="shared" si="171"/>
        <v>0</v>
      </c>
      <c r="N124" s="88">
        <f t="shared" si="171"/>
        <v>0</v>
      </c>
      <c r="O124" s="88">
        <f t="shared" si="171"/>
        <v>0</v>
      </c>
      <c r="P124" s="88">
        <f t="shared" si="171"/>
        <v>0</v>
      </c>
      <c r="Q124" s="88">
        <f t="shared" si="171"/>
        <v>0</v>
      </c>
      <c r="R124" s="88">
        <f t="shared" si="171"/>
        <v>0</v>
      </c>
      <c r="S124" s="88">
        <f t="shared" si="171"/>
        <v>0</v>
      </c>
      <c r="T124" s="88">
        <f t="shared" si="171"/>
        <v>0</v>
      </c>
      <c r="U124" s="88">
        <f t="shared" si="171"/>
        <v>0</v>
      </c>
      <c r="V124" s="88">
        <f t="shared" si="171"/>
        <v>0</v>
      </c>
      <c r="W124" s="88">
        <f t="shared" si="171"/>
        <v>0</v>
      </c>
      <c r="X124" s="88">
        <f t="shared" si="171"/>
        <v>0</v>
      </c>
      <c r="Y124" s="88">
        <f t="shared" si="171"/>
        <v>0</v>
      </c>
      <c r="Z124" s="88">
        <f t="shared" si="171"/>
        <v>0</v>
      </c>
      <c r="AA124" s="88">
        <f t="shared" si="171"/>
        <v>0</v>
      </c>
      <c r="AB124" s="88">
        <f t="shared" si="171"/>
        <v>0</v>
      </c>
      <c r="AC124" s="88">
        <f t="shared" si="171"/>
        <v>0</v>
      </c>
      <c r="AD124" s="88">
        <f t="shared" si="171"/>
        <v>0</v>
      </c>
      <c r="AE124" s="88">
        <f t="shared" si="171"/>
        <v>0</v>
      </c>
      <c r="AF124" s="88">
        <f t="shared" si="171"/>
        <v>0</v>
      </c>
      <c r="AG124" s="88">
        <f t="shared" si="171"/>
        <v>0</v>
      </c>
      <c r="AH124" s="88">
        <f t="shared" si="171"/>
        <v>0</v>
      </c>
      <c r="AI124" s="88">
        <f t="shared" si="171"/>
        <v>0</v>
      </c>
      <c r="AJ124" s="88">
        <f t="shared" si="171"/>
        <v>0</v>
      </c>
      <c r="AK124" s="88">
        <f t="shared" si="171"/>
        <v>0</v>
      </c>
      <c r="AL124" s="88">
        <f t="shared" si="171"/>
        <v>0</v>
      </c>
      <c r="AM124" s="88">
        <f t="shared" si="171"/>
        <v>0</v>
      </c>
      <c r="AN124" s="88">
        <f t="shared" si="171"/>
        <v>0</v>
      </c>
      <c r="AO124" s="88">
        <f t="shared" si="171"/>
        <v>0</v>
      </c>
      <c r="AP124" s="88">
        <f t="shared" si="171"/>
        <v>0</v>
      </c>
      <c r="AQ124" s="88">
        <f t="shared" si="171"/>
        <v>0</v>
      </c>
      <c r="AR124" s="88">
        <f t="shared" si="171"/>
        <v>0</v>
      </c>
      <c r="AS124" s="88">
        <f t="shared" si="171"/>
        <v>0</v>
      </c>
      <c r="AT124" s="88">
        <f t="shared" si="171"/>
        <v>0</v>
      </c>
      <c r="AU124" s="88">
        <f t="shared" si="171"/>
        <v>0</v>
      </c>
      <c r="AV124" s="88">
        <f t="shared" si="171"/>
        <v>0</v>
      </c>
      <c r="AW124" s="88">
        <f t="shared" si="171"/>
        <v>0</v>
      </c>
      <c r="AX124" s="88">
        <f t="shared" si="171"/>
        <v>0</v>
      </c>
      <c r="AY124" s="88">
        <f t="shared" si="171"/>
        <v>0</v>
      </c>
      <c r="AZ124" s="88">
        <f t="shared" si="171"/>
        <v>0</v>
      </c>
      <c r="BA124" s="88">
        <f t="shared" si="171"/>
        <v>0</v>
      </c>
      <c r="BB124" s="10">
        <f t="shared" si="171"/>
        <v>0</v>
      </c>
      <c r="BC124" s="10">
        <f t="shared" si="171"/>
        <v>0</v>
      </c>
      <c r="BD124" s="10">
        <f t="shared" si="171"/>
        <v>0</v>
      </c>
      <c r="BE124" s="10">
        <f t="shared" si="171"/>
        <v>0</v>
      </c>
      <c r="BF124" s="10">
        <f t="shared" si="171"/>
        <v>0</v>
      </c>
      <c r="BG124" s="10">
        <f t="shared" si="171"/>
        <v>0</v>
      </c>
      <c r="BH124" s="10">
        <f t="shared" si="171"/>
        <v>0</v>
      </c>
      <c r="BI124" s="10">
        <f t="shared" si="171"/>
        <v>0</v>
      </c>
      <c r="BJ124" s="10">
        <f t="shared" si="171"/>
        <v>0</v>
      </c>
      <c r="BK124" s="10">
        <f t="shared" si="171"/>
        <v>0</v>
      </c>
      <c r="BL124" s="10">
        <f t="shared" si="171"/>
        <v>0</v>
      </c>
      <c r="BM124" s="10">
        <f t="shared" si="171"/>
        <v>0</v>
      </c>
    </row>
    <row r="125">
      <c r="A125" s="181" t="s">
        <v>217</v>
      </c>
      <c r="B125" s="88">
        <f t="shared" ref="B125:BM125" si="172">0</f>
        <v>0</v>
      </c>
      <c r="C125" s="88">
        <f t="shared" si="172"/>
        <v>0</v>
      </c>
      <c r="D125" s="88">
        <f t="shared" si="172"/>
        <v>0</v>
      </c>
      <c r="E125" s="88">
        <f t="shared" si="172"/>
        <v>0</v>
      </c>
      <c r="F125" s="88">
        <f t="shared" si="172"/>
        <v>0</v>
      </c>
      <c r="G125" s="88">
        <f t="shared" si="172"/>
        <v>0</v>
      </c>
      <c r="H125" s="88">
        <f t="shared" si="172"/>
        <v>0</v>
      </c>
      <c r="I125" s="88">
        <f t="shared" si="172"/>
        <v>0</v>
      </c>
      <c r="J125" s="88">
        <f t="shared" si="172"/>
        <v>0</v>
      </c>
      <c r="K125" s="88">
        <f t="shared" si="172"/>
        <v>0</v>
      </c>
      <c r="L125" s="88">
        <f t="shared" si="172"/>
        <v>0</v>
      </c>
      <c r="M125" s="88">
        <f t="shared" si="172"/>
        <v>0</v>
      </c>
      <c r="N125" s="88">
        <f t="shared" si="172"/>
        <v>0</v>
      </c>
      <c r="O125" s="88">
        <f t="shared" si="172"/>
        <v>0</v>
      </c>
      <c r="P125" s="88">
        <f t="shared" si="172"/>
        <v>0</v>
      </c>
      <c r="Q125" s="88">
        <f t="shared" si="172"/>
        <v>0</v>
      </c>
      <c r="R125" s="88">
        <f t="shared" si="172"/>
        <v>0</v>
      </c>
      <c r="S125" s="88">
        <f t="shared" si="172"/>
        <v>0</v>
      </c>
      <c r="T125" s="88">
        <f t="shared" si="172"/>
        <v>0</v>
      </c>
      <c r="U125" s="88">
        <f t="shared" si="172"/>
        <v>0</v>
      </c>
      <c r="V125" s="88">
        <f t="shared" si="172"/>
        <v>0</v>
      </c>
      <c r="W125" s="88">
        <f t="shared" si="172"/>
        <v>0</v>
      </c>
      <c r="X125" s="88">
        <f t="shared" si="172"/>
        <v>0</v>
      </c>
      <c r="Y125" s="88">
        <f t="shared" si="172"/>
        <v>0</v>
      </c>
      <c r="Z125" s="88">
        <f t="shared" si="172"/>
        <v>0</v>
      </c>
      <c r="AA125" s="88">
        <f t="shared" si="172"/>
        <v>0</v>
      </c>
      <c r="AB125" s="88">
        <f t="shared" si="172"/>
        <v>0</v>
      </c>
      <c r="AC125" s="88">
        <f t="shared" si="172"/>
        <v>0</v>
      </c>
      <c r="AD125" s="88">
        <f t="shared" si="172"/>
        <v>0</v>
      </c>
      <c r="AE125" s="88">
        <f t="shared" si="172"/>
        <v>0</v>
      </c>
      <c r="AF125" s="88">
        <f t="shared" si="172"/>
        <v>0</v>
      </c>
      <c r="AG125" s="88">
        <f t="shared" si="172"/>
        <v>0</v>
      </c>
      <c r="AH125" s="88">
        <f t="shared" si="172"/>
        <v>0</v>
      </c>
      <c r="AI125" s="88">
        <f t="shared" si="172"/>
        <v>0</v>
      </c>
      <c r="AJ125" s="88">
        <f t="shared" si="172"/>
        <v>0</v>
      </c>
      <c r="AK125" s="88">
        <f t="shared" si="172"/>
        <v>0</v>
      </c>
      <c r="AL125" s="88">
        <f t="shared" si="172"/>
        <v>0</v>
      </c>
      <c r="AM125" s="88">
        <f t="shared" si="172"/>
        <v>0</v>
      </c>
      <c r="AN125" s="88">
        <f t="shared" si="172"/>
        <v>0</v>
      </c>
      <c r="AO125" s="88">
        <f t="shared" si="172"/>
        <v>0</v>
      </c>
      <c r="AP125" s="88">
        <f t="shared" si="172"/>
        <v>0</v>
      </c>
      <c r="AQ125" s="88">
        <f t="shared" si="172"/>
        <v>0</v>
      </c>
      <c r="AR125" s="88">
        <f t="shared" si="172"/>
        <v>0</v>
      </c>
      <c r="AS125" s="88">
        <f t="shared" si="172"/>
        <v>0</v>
      </c>
      <c r="AT125" s="88">
        <f t="shared" si="172"/>
        <v>0</v>
      </c>
      <c r="AU125" s="88">
        <f t="shared" si="172"/>
        <v>0</v>
      </c>
      <c r="AV125" s="88">
        <f t="shared" si="172"/>
        <v>0</v>
      </c>
      <c r="AW125" s="88">
        <f t="shared" si="172"/>
        <v>0</v>
      </c>
      <c r="AX125" s="88">
        <f t="shared" si="172"/>
        <v>0</v>
      </c>
      <c r="AY125" s="88">
        <f t="shared" si="172"/>
        <v>0</v>
      </c>
      <c r="AZ125" s="88">
        <f t="shared" si="172"/>
        <v>0</v>
      </c>
      <c r="BA125" s="88">
        <f t="shared" si="172"/>
        <v>0</v>
      </c>
      <c r="BB125" s="10">
        <f t="shared" si="172"/>
        <v>0</v>
      </c>
      <c r="BC125" s="10">
        <f t="shared" si="172"/>
        <v>0</v>
      </c>
      <c r="BD125" s="10">
        <f t="shared" si="172"/>
        <v>0</v>
      </c>
      <c r="BE125" s="10">
        <f t="shared" si="172"/>
        <v>0</v>
      </c>
      <c r="BF125" s="10">
        <f t="shared" si="172"/>
        <v>0</v>
      </c>
      <c r="BG125" s="10">
        <f t="shared" si="172"/>
        <v>0</v>
      </c>
      <c r="BH125" s="10">
        <f t="shared" si="172"/>
        <v>0</v>
      </c>
      <c r="BI125" s="10">
        <f t="shared" si="172"/>
        <v>0</v>
      </c>
      <c r="BJ125" s="10">
        <f t="shared" si="172"/>
        <v>0</v>
      </c>
      <c r="BK125" s="10">
        <f t="shared" si="172"/>
        <v>0</v>
      </c>
      <c r="BL125" s="10">
        <f t="shared" si="172"/>
        <v>0</v>
      </c>
      <c r="BM125" s="10">
        <f t="shared" si="172"/>
        <v>0</v>
      </c>
    </row>
    <row r="126">
      <c r="A126" s="181" t="s">
        <v>218</v>
      </c>
      <c r="B126" s="88">
        <f t="shared" ref="B126:BM126" si="173">0</f>
        <v>0</v>
      </c>
      <c r="C126" s="88">
        <f t="shared" si="173"/>
        <v>0</v>
      </c>
      <c r="D126" s="88">
        <f t="shared" si="173"/>
        <v>0</v>
      </c>
      <c r="E126" s="88">
        <f t="shared" si="173"/>
        <v>0</v>
      </c>
      <c r="F126" s="88">
        <f t="shared" si="173"/>
        <v>0</v>
      </c>
      <c r="G126" s="88">
        <f t="shared" si="173"/>
        <v>0</v>
      </c>
      <c r="H126" s="88">
        <f t="shared" si="173"/>
        <v>0</v>
      </c>
      <c r="I126" s="88">
        <f t="shared" si="173"/>
        <v>0</v>
      </c>
      <c r="J126" s="88">
        <f t="shared" si="173"/>
        <v>0</v>
      </c>
      <c r="K126" s="88">
        <f t="shared" si="173"/>
        <v>0</v>
      </c>
      <c r="L126" s="88">
        <f t="shared" si="173"/>
        <v>0</v>
      </c>
      <c r="M126" s="88">
        <f t="shared" si="173"/>
        <v>0</v>
      </c>
      <c r="N126" s="88">
        <f t="shared" si="173"/>
        <v>0</v>
      </c>
      <c r="O126" s="88">
        <f t="shared" si="173"/>
        <v>0</v>
      </c>
      <c r="P126" s="88">
        <f t="shared" si="173"/>
        <v>0</v>
      </c>
      <c r="Q126" s="88">
        <f t="shared" si="173"/>
        <v>0</v>
      </c>
      <c r="R126" s="88">
        <f t="shared" si="173"/>
        <v>0</v>
      </c>
      <c r="S126" s="88">
        <f t="shared" si="173"/>
        <v>0</v>
      </c>
      <c r="T126" s="88">
        <f t="shared" si="173"/>
        <v>0</v>
      </c>
      <c r="U126" s="88">
        <f t="shared" si="173"/>
        <v>0</v>
      </c>
      <c r="V126" s="88">
        <f t="shared" si="173"/>
        <v>0</v>
      </c>
      <c r="W126" s="88">
        <f t="shared" si="173"/>
        <v>0</v>
      </c>
      <c r="X126" s="88">
        <f t="shared" si="173"/>
        <v>0</v>
      </c>
      <c r="Y126" s="88">
        <f t="shared" si="173"/>
        <v>0</v>
      </c>
      <c r="Z126" s="88">
        <f t="shared" si="173"/>
        <v>0</v>
      </c>
      <c r="AA126" s="88">
        <f t="shared" si="173"/>
        <v>0</v>
      </c>
      <c r="AB126" s="88">
        <f t="shared" si="173"/>
        <v>0</v>
      </c>
      <c r="AC126" s="88">
        <f t="shared" si="173"/>
        <v>0</v>
      </c>
      <c r="AD126" s="88">
        <f t="shared" si="173"/>
        <v>0</v>
      </c>
      <c r="AE126" s="88">
        <f t="shared" si="173"/>
        <v>0</v>
      </c>
      <c r="AF126" s="88">
        <f t="shared" si="173"/>
        <v>0</v>
      </c>
      <c r="AG126" s="88">
        <f t="shared" si="173"/>
        <v>0</v>
      </c>
      <c r="AH126" s="88">
        <f t="shared" si="173"/>
        <v>0</v>
      </c>
      <c r="AI126" s="88">
        <f t="shared" si="173"/>
        <v>0</v>
      </c>
      <c r="AJ126" s="88">
        <f t="shared" si="173"/>
        <v>0</v>
      </c>
      <c r="AK126" s="88">
        <f t="shared" si="173"/>
        <v>0</v>
      </c>
      <c r="AL126" s="88">
        <f t="shared" si="173"/>
        <v>0</v>
      </c>
      <c r="AM126" s="88">
        <f t="shared" si="173"/>
        <v>0</v>
      </c>
      <c r="AN126" s="88">
        <f t="shared" si="173"/>
        <v>0</v>
      </c>
      <c r="AO126" s="88">
        <f t="shared" si="173"/>
        <v>0</v>
      </c>
      <c r="AP126" s="88">
        <f t="shared" si="173"/>
        <v>0</v>
      </c>
      <c r="AQ126" s="88">
        <f t="shared" si="173"/>
        <v>0</v>
      </c>
      <c r="AR126" s="88">
        <f t="shared" si="173"/>
        <v>0</v>
      </c>
      <c r="AS126" s="88">
        <f t="shared" si="173"/>
        <v>0</v>
      </c>
      <c r="AT126" s="88">
        <f t="shared" si="173"/>
        <v>0</v>
      </c>
      <c r="AU126" s="88">
        <f t="shared" si="173"/>
        <v>0</v>
      </c>
      <c r="AV126" s="88">
        <f t="shared" si="173"/>
        <v>0</v>
      </c>
      <c r="AW126" s="88">
        <f t="shared" si="173"/>
        <v>0</v>
      </c>
      <c r="AX126" s="88">
        <f t="shared" si="173"/>
        <v>0</v>
      </c>
      <c r="AY126" s="88">
        <f t="shared" si="173"/>
        <v>0</v>
      </c>
      <c r="AZ126" s="88">
        <f t="shared" si="173"/>
        <v>0</v>
      </c>
      <c r="BA126" s="88">
        <f t="shared" si="173"/>
        <v>0</v>
      </c>
      <c r="BB126" s="10">
        <f t="shared" si="173"/>
        <v>0</v>
      </c>
      <c r="BC126" s="10">
        <f t="shared" si="173"/>
        <v>0</v>
      </c>
      <c r="BD126" s="10">
        <f t="shared" si="173"/>
        <v>0</v>
      </c>
      <c r="BE126" s="10">
        <f t="shared" si="173"/>
        <v>0</v>
      </c>
      <c r="BF126" s="10">
        <f t="shared" si="173"/>
        <v>0</v>
      </c>
      <c r="BG126" s="10">
        <f t="shared" si="173"/>
        <v>0</v>
      </c>
      <c r="BH126" s="10">
        <f t="shared" si="173"/>
        <v>0</v>
      </c>
      <c r="BI126" s="10">
        <f t="shared" si="173"/>
        <v>0</v>
      </c>
      <c r="BJ126" s="10">
        <f t="shared" si="173"/>
        <v>0</v>
      </c>
      <c r="BK126" s="10">
        <f t="shared" si="173"/>
        <v>0</v>
      </c>
      <c r="BL126" s="10">
        <f t="shared" si="173"/>
        <v>0</v>
      </c>
      <c r="BM126" s="10">
        <f t="shared" si="173"/>
        <v>0</v>
      </c>
    </row>
    <row r="127">
      <c r="A127" s="181" t="s">
        <v>219</v>
      </c>
      <c r="B127" s="88">
        <f t="shared" ref="B127:BM127" si="174">0</f>
        <v>0</v>
      </c>
      <c r="C127" s="88">
        <f t="shared" si="174"/>
        <v>0</v>
      </c>
      <c r="D127" s="88">
        <f t="shared" si="174"/>
        <v>0</v>
      </c>
      <c r="E127" s="88">
        <f t="shared" si="174"/>
        <v>0</v>
      </c>
      <c r="F127" s="88">
        <f t="shared" si="174"/>
        <v>0</v>
      </c>
      <c r="G127" s="88">
        <f t="shared" si="174"/>
        <v>0</v>
      </c>
      <c r="H127" s="88">
        <f t="shared" si="174"/>
        <v>0</v>
      </c>
      <c r="I127" s="88">
        <f t="shared" si="174"/>
        <v>0</v>
      </c>
      <c r="J127" s="88">
        <f t="shared" si="174"/>
        <v>0</v>
      </c>
      <c r="K127" s="88">
        <f t="shared" si="174"/>
        <v>0</v>
      </c>
      <c r="L127" s="88">
        <f t="shared" si="174"/>
        <v>0</v>
      </c>
      <c r="M127" s="88">
        <f t="shared" si="174"/>
        <v>0</v>
      </c>
      <c r="N127" s="88">
        <f t="shared" si="174"/>
        <v>0</v>
      </c>
      <c r="O127" s="88">
        <f t="shared" si="174"/>
        <v>0</v>
      </c>
      <c r="P127" s="88">
        <f t="shared" si="174"/>
        <v>0</v>
      </c>
      <c r="Q127" s="88">
        <f t="shared" si="174"/>
        <v>0</v>
      </c>
      <c r="R127" s="88">
        <f t="shared" si="174"/>
        <v>0</v>
      </c>
      <c r="S127" s="88">
        <f t="shared" si="174"/>
        <v>0</v>
      </c>
      <c r="T127" s="88">
        <f t="shared" si="174"/>
        <v>0</v>
      </c>
      <c r="U127" s="88">
        <f t="shared" si="174"/>
        <v>0</v>
      </c>
      <c r="V127" s="88">
        <f t="shared" si="174"/>
        <v>0</v>
      </c>
      <c r="W127" s="88">
        <f t="shared" si="174"/>
        <v>0</v>
      </c>
      <c r="X127" s="88">
        <f t="shared" si="174"/>
        <v>0</v>
      </c>
      <c r="Y127" s="88">
        <f t="shared" si="174"/>
        <v>0</v>
      </c>
      <c r="Z127" s="88">
        <f t="shared" si="174"/>
        <v>0</v>
      </c>
      <c r="AA127" s="88">
        <f t="shared" si="174"/>
        <v>0</v>
      </c>
      <c r="AB127" s="88">
        <f t="shared" si="174"/>
        <v>0</v>
      </c>
      <c r="AC127" s="88">
        <f t="shared" si="174"/>
        <v>0</v>
      </c>
      <c r="AD127" s="88">
        <f t="shared" si="174"/>
        <v>0</v>
      </c>
      <c r="AE127" s="88">
        <f t="shared" si="174"/>
        <v>0</v>
      </c>
      <c r="AF127" s="88">
        <f t="shared" si="174"/>
        <v>0</v>
      </c>
      <c r="AG127" s="88">
        <f t="shared" si="174"/>
        <v>0</v>
      </c>
      <c r="AH127" s="88">
        <f t="shared" si="174"/>
        <v>0</v>
      </c>
      <c r="AI127" s="88">
        <f t="shared" si="174"/>
        <v>0</v>
      </c>
      <c r="AJ127" s="88">
        <f t="shared" si="174"/>
        <v>0</v>
      </c>
      <c r="AK127" s="88">
        <f t="shared" si="174"/>
        <v>0</v>
      </c>
      <c r="AL127" s="88">
        <f t="shared" si="174"/>
        <v>0</v>
      </c>
      <c r="AM127" s="88">
        <f t="shared" si="174"/>
        <v>0</v>
      </c>
      <c r="AN127" s="88">
        <f t="shared" si="174"/>
        <v>0</v>
      </c>
      <c r="AO127" s="88">
        <f t="shared" si="174"/>
        <v>0</v>
      </c>
      <c r="AP127" s="88">
        <f t="shared" si="174"/>
        <v>0</v>
      </c>
      <c r="AQ127" s="88">
        <f t="shared" si="174"/>
        <v>0</v>
      </c>
      <c r="AR127" s="88">
        <f t="shared" si="174"/>
        <v>0</v>
      </c>
      <c r="AS127" s="88">
        <f t="shared" si="174"/>
        <v>0</v>
      </c>
      <c r="AT127" s="88">
        <f t="shared" si="174"/>
        <v>0</v>
      </c>
      <c r="AU127" s="88">
        <f t="shared" si="174"/>
        <v>0</v>
      </c>
      <c r="AV127" s="88">
        <f t="shared" si="174"/>
        <v>0</v>
      </c>
      <c r="AW127" s="88">
        <f t="shared" si="174"/>
        <v>0</v>
      </c>
      <c r="AX127" s="88">
        <f t="shared" si="174"/>
        <v>0</v>
      </c>
      <c r="AY127" s="88">
        <f t="shared" si="174"/>
        <v>0</v>
      </c>
      <c r="AZ127" s="88">
        <f t="shared" si="174"/>
        <v>0</v>
      </c>
      <c r="BA127" s="88">
        <f t="shared" si="174"/>
        <v>0</v>
      </c>
      <c r="BB127" s="10">
        <f t="shared" si="174"/>
        <v>0</v>
      </c>
      <c r="BC127" s="10">
        <f t="shared" si="174"/>
        <v>0</v>
      </c>
      <c r="BD127" s="10">
        <f t="shared" si="174"/>
        <v>0</v>
      </c>
      <c r="BE127" s="10">
        <f t="shared" si="174"/>
        <v>0</v>
      </c>
      <c r="BF127" s="10">
        <f t="shared" si="174"/>
        <v>0</v>
      </c>
      <c r="BG127" s="10">
        <f t="shared" si="174"/>
        <v>0</v>
      </c>
      <c r="BH127" s="10">
        <f t="shared" si="174"/>
        <v>0</v>
      </c>
      <c r="BI127" s="10">
        <f t="shared" si="174"/>
        <v>0</v>
      </c>
      <c r="BJ127" s="10">
        <f t="shared" si="174"/>
        <v>0</v>
      </c>
      <c r="BK127" s="10">
        <f t="shared" si="174"/>
        <v>0</v>
      </c>
      <c r="BL127" s="10">
        <f t="shared" si="174"/>
        <v>0</v>
      </c>
      <c r="BM127" s="10">
        <f t="shared" si="174"/>
        <v>0</v>
      </c>
    </row>
    <row r="128">
      <c r="A128" s="181" t="s">
        <v>220</v>
      </c>
      <c r="B128" s="88">
        <f t="shared" ref="B128:BM128" si="175">0</f>
        <v>0</v>
      </c>
      <c r="C128" s="88">
        <f t="shared" si="175"/>
        <v>0</v>
      </c>
      <c r="D128" s="88">
        <f t="shared" si="175"/>
        <v>0</v>
      </c>
      <c r="E128" s="88">
        <f t="shared" si="175"/>
        <v>0</v>
      </c>
      <c r="F128" s="88">
        <f t="shared" si="175"/>
        <v>0</v>
      </c>
      <c r="G128" s="88">
        <f t="shared" si="175"/>
        <v>0</v>
      </c>
      <c r="H128" s="88">
        <f t="shared" si="175"/>
        <v>0</v>
      </c>
      <c r="I128" s="88">
        <f t="shared" si="175"/>
        <v>0</v>
      </c>
      <c r="J128" s="88">
        <f t="shared" si="175"/>
        <v>0</v>
      </c>
      <c r="K128" s="88">
        <f t="shared" si="175"/>
        <v>0</v>
      </c>
      <c r="L128" s="88">
        <f t="shared" si="175"/>
        <v>0</v>
      </c>
      <c r="M128" s="88">
        <f t="shared" si="175"/>
        <v>0</v>
      </c>
      <c r="N128" s="88">
        <f t="shared" si="175"/>
        <v>0</v>
      </c>
      <c r="O128" s="88">
        <f t="shared" si="175"/>
        <v>0</v>
      </c>
      <c r="P128" s="88">
        <f t="shared" si="175"/>
        <v>0</v>
      </c>
      <c r="Q128" s="88">
        <f t="shared" si="175"/>
        <v>0</v>
      </c>
      <c r="R128" s="88">
        <f t="shared" si="175"/>
        <v>0</v>
      </c>
      <c r="S128" s="88">
        <f t="shared" si="175"/>
        <v>0</v>
      </c>
      <c r="T128" s="88">
        <f t="shared" si="175"/>
        <v>0</v>
      </c>
      <c r="U128" s="88">
        <f t="shared" si="175"/>
        <v>0</v>
      </c>
      <c r="V128" s="88">
        <f t="shared" si="175"/>
        <v>0</v>
      </c>
      <c r="W128" s="88">
        <f t="shared" si="175"/>
        <v>0</v>
      </c>
      <c r="X128" s="88">
        <f t="shared" si="175"/>
        <v>0</v>
      </c>
      <c r="Y128" s="88">
        <f t="shared" si="175"/>
        <v>0</v>
      </c>
      <c r="Z128" s="88">
        <f t="shared" si="175"/>
        <v>0</v>
      </c>
      <c r="AA128" s="88">
        <f t="shared" si="175"/>
        <v>0</v>
      </c>
      <c r="AB128" s="88">
        <f t="shared" si="175"/>
        <v>0</v>
      </c>
      <c r="AC128" s="88">
        <f t="shared" si="175"/>
        <v>0</v>
      </c>
      <c r="AD128" s="88">
        <f t="shared" si="175"/>
        <v>0</v>
      </c>
      <c r="AE128" s="88">
        <f t="shared" si="175"/>
        <v>0</v>
      </c>
      <c r="AF128" s="88">
        <f t="shared" si="175"/>
        <v>0</v>
      </c>
      <c r="AG128" s="88">
        <f t="shared" si="175"/>
        <v>0</v>
      </c>
      <c r="AH128" s="88">
        <f t="shared" si="175"/>
        <v>0</v>
      </c>
      <c r="AI128" s="88">
        <f t="shared" si="175"/>
        <v>0</v>
      </c>
      <c r="AJ128" s="88">
        <f t="shared" si="175"/>
        <v>0</v>
      </c>
      <c r="AK128" s="88">
        <f t="shared" si="175"/>
        <v>0</v>
      </c>
      <c r="AL128" s="88">
        <f t="shared" si="175"/>
        <v>0</v>
      </c>
      <c r="AM128" s="88">
        <f t="shared" si="175"/>
        <v>0</v>
      </c>
      <c r="AN128" s="88">
        <f t="shared" si="175"/>
        <v>0</v>
      </c>
      <c r="AO128" s="88">
        <f t="shared" si="175"/>
        <v>0</v>
      </c>
      <c r="AP128" s="88">
        <f t="shared" si="175"/>
        <v>0</v>
      </c>
      <c r="AQ128" s="88">
        <f t="shared" si="175"/>
        <v>0</v>
      </c>
      <c r="AR128" s="88">
        <f t="shared" si="175"/>
        <v>0</v>
      </c>
      <c r="AS128" s="88">
        <f t="shared" si="175"/>
        <v>0</v>
      </c>
      <c r="AT128" s="88">
        <f t="shared" si="175"/>
        <v>0</v>
      </c>
      <c r="AU128" s="88">
        <f t="shared" si="175"/>
        <v>0</v>
      </c>
      <c r="AV128" s="88">
        <f t="shared" si="175"/>
        <v>0</v>
      </c>
      <c r="AW128" s="88">
        <f t="shared" si="175"/>
        <v>0</v>
      </c>
      <c r="AX128" s="88">
        <f t="shared" si="175"/>
        <v>0</v>
      </c>
      <c r="AY128" s="88">
        <f t="shared" si="175"/>
        <v>0</v>
      </c>
      <c r="AZ128" s="88">
        <f t="shared" si="175"/>
        <v>0</v>
      </c>
      <c r="BA128" s="88">
        <f t="shared" si="175"/>
        <v>0</v>
      </c>
      <c r="BB128" s="10">
        <f t="shared" si="175"/>
        <v>0</v>
      </c>
      <c r="BC128" s="10">
        <f t="shared" si="175"/>
        <v>0</v>
      </c>
      <c r="BD128" s="10">
        <f t="shared" si="175"/>
        <v>0</v>
      </c>
      <c r="BE128" s="10">
        <f t="shared" si="175"/>
        <v>0</v>
      </c>
      <c r="BF128" s="10">
        <f t="shared" si="175"/>
        <v>0</v>
      </c>
      <c r="BG128" s="10">
        <f t="shared" si="175"/>
        <v>0</v>
      </c>
      <c r="BH128" s="10">
        <f t="shared" si="175"/>
        <v>0</v>
      </c>
      <c r="BI128" s="10">
        <f t="shared" si="175"/>
        <v>0</v>
      </c>
      <c r="BJ128" s="10">
        <f t="shared" si="175"/>
        <v>0</v>
      </c>
      <c r="BK128" s="10">
        <f t="shared" si="175"/>
        <v>0</v>
      </c>
      <c r="BL128" s="10">
        <f t="shared" si="175"/>
        <v>0</v>
      </c>
      <c r="BM128" s="10">
        <f t="shared" si="175"/>
        <v>0</v>
      </c>
    </row>
    <row r="129">
      <c r="A129" s="181" t="s">
        <v>221</v>
      </c>
      <c r="B129" s="88">
        <f t="shared" ref="B129:BM129" si="176">0</f>
        <v>0</v>
      </c>
      <c r="C129" s="88">
        <f t="shared" si="176"/>
        <v>0</v>
      </c>
      <c r="D129" s="88">
        <f t="shared" si="176"/>
        <v>0</v>
      </c>
      <c r="E129" s="88">
        <f t="shared" si="176"/>
        <v>0</v>
      </c>
      <c r="F129" s="88">
        <f t="shared" si="176"/>
        <v>0</v>
      </c>
      <c r="G129" s="88">
        <f t="shared" si="176"/>
        <v>0</v>
      </c>
      <c r="H129" s="88">
        <f t="shared" si="176"/>
        <v>0</v>
      </c>
      <c r="I129" s="88">
        <f t="shared" si="176"/>
        <v>0</v>
      </c>
      <c r="J129" s="88">
        <f t="shared" si="176"/>
        <v>0</v>
      </c>
      <c r="K129" s="88">
        <f t="shared" si="176"/>
        <v>0</v>
      </c>
      <c r="L129" s="88">
        <f t="shared" si="176"/>
        <v>0</v>
      </c>
      <c r="M129" s="88">
        <f t="shared" si="176"/>
        <v>0</v>
      </c>
      <c r="N129" s="88">
        <f t="shared" si="176"/>
        <v>0</v>
      </c>
      <c r="O129" s="88">
        <f t="shared" si="176"/>
        <v>0</v>
      </c>
      <c r="P129" s="88">
        <f t="shared" si="176"/>
        <v>0</v>
      </c>
      <c r="Q129" s="88">
        <f t="shared" si="176"/>
        <v>0</v>
      </c>
      <c r="R129" s="88">
        <f t="shared" si="176"/>
        <v>0</v>
      </c>
      <c r="S129" s="88">
        <f t="shared" si="176"/>
        <v>0</v>
      </c>
      <c r="T129" s="88">
        <f t="shared" si="176"/>
        <v>0</v>
      </c>
      <c r="U129" s="88">
        <f t="shared" si="176"/>
        <v>0</v>
      </c>
      <c r="V129" s="88">
        <f t="shared" si="176"/>
        <v>0</v>
      </c>
      <c r="W129" s="88">
        <f t="shared" si="176"/>
        <v>0</v>
      </c>
      <c r="X129" s="88">
        <f t="shared" si="176"/>
        <v>0</v>
      </c>
      <c r="Y129" s="88">
        <f t="shared" si="176"/>
        <v>0</v>
      </c>
      <c r="Z129" s="88">
        <f t="shared" si="176"/>
        <v>0</v>
      </c>
      <c r="AA129" s="88">
        <f t="shared" si="176"/>
        <v>0</v>
      </c>
      <c r="AB129" s="88">
        <f t="shared" si="176"/>
        <v>0</v>
      </c>
      <c r="AC129" s="88">
        <f t="shared" si="176"/>
        <v>0</v>
      </c>
      <c r="AD129" s="88">
        <f t="shared" si="176"/>
        <v>0</v>
      </c>
      <c r="AE129" s="88">
        <f t="shared" si="176"/>
        <v>0</v>
      </c>
      <c r="AF129" s="88">
        <f t="shared" si="176"/>
        <v>0</v>
      </c>
      <c r="AG129" s="88">
        <f t="shared" si="176"/>
        <v>0</v>
      </c>
      <c r="AH129" s="88">
        <f t="shared" si="176"/>
        <v>0</v>
      </c>
      <c r="AI129" s="88">
        <f t="shared" si="176"/>
        <v>0</v>
      </c>
      <c r="AJ129" s="88">
        <f t="shared" si="176"/>
        <v>0</v>
      </c>
      <c r="AK129" s="88">
        <f t="shared" si="176"/>
        <v>0</v>
      </c>
      <c r="AL129" s="88">
        <f t="shared" si="176"/>
        <v>0</v>
      </c>
      <c r="AM129" s="88">
        <f t="shared" si="176"/>
        <v>0</v>
      </c>
      <c r="AN129" s="88">
        <f t="shared" si="176"/>
        <v>0</v>
      </c>
      <c r="AO129" s="88">
        <f t="shared" si="176"/>
        <v>0</v>
      </c>
      <c r="AP129" s="88">
        <f t="shared" si="176"/>
        <v>0</v>
      </c>
      <c r="AQ129" s="88">
        <f t="shared" si="176"/>
        <v>0</v>
      </c>
      <c r="AR129" s="88">
        <f t="shared" si="176"/>
        <v>0</v>
      </c>
      <c r="AS129" s="88">
        <f t="shared" si="176"/>
        <v>0</v>
      </c>
      <c r="AT129" s="88">
        <f t="shared" si="176"/>
        <v>0</v>
      </c>
      <c r="AU129" s="88">
        <f t="shared" si="176"/>
        <v>0</v>
      </c>
      <c r="AV129" s="88">
        <f t="shared" si="176"/>
        <v>0</v>
      </c>
      <c r="AW129" s="88">
        <f t="shared" si="176"/>
        <v>0</v>
      </c>
      <c r="AX129" s="88">
        <f t="shared" si="176"/>
        <v>0</v>
      </c>
      <c r="AY129" s="88">
        <f t="shared" si="176"/>
        <v>0</v>
      </c>
      <c r="AZ129" s="88">
        <f t="shared" si="176"/>
        <v>0</v>
      </c>
      <c r="BA129" s="88">
        <f t="shared" si="176"/>
        <v>0</v>
      </c>
      <c r="BB129" s="10">
        <f t="shared" si="176"/>
        <v>0</v>
      </c>
      <c r="BC129" s="10">
        <f t="shared" si="176"/>
        <v>0</v>
      </c>
      <c r="BD129" s="10">
        <f t="shared" si="176"/>
        <v>0</v>
      </c>
      <c r="BE129" s="10">
        <f t="shared" si="176"/>
        <v>0</v>
      </c>
      <c r="BF129" s="10">
        <f t="shared" si="176"/>
        <v>0</v>
      </c>
      <c r="BG129" s="10">
        <f t="shared" si="176"/>
        <v>0</v>
      </c>
      <c r="BH129" s="10">
        <f t="shared" si="176"/>
        <v>0</v>
      </c>
      <c r="BI129" s="10">
        <f t="shared" si="176"/>
        <v>0</v>
      </c>
      <c r="BJ129" s="10">
        <f t="shared" si="176"/>
        <v>0</v>
      </c>
      <c r="BK129" s="10">
        <f t="shared" si="176"/>
        <v>0</v>
      </c>
      <c r="BL129" s="10">
        <f t="shared" si="176"/>
        <v>0</v>
      </c>
      <c r="BM129" s="10">
        <f t="shared" si="176"/>
        <v>0</v>
      </c>
    </row>
    <row r="130">
      <c r="A130" s="181" t="s">
        <v>222</v>
      </c>
      <c r="B130" s="88">
        <f t="shared" ref="B130:BM130" si="177">0</f>
        <v>0</v>
      </c>
      <c r="C130" s="88">
        <f t="shared" si="177"/>
        <v>0</v>
      </c>
      <c r="D130" s="88">
        <f t="shared" si="177"/>
        <v>0</v>
      </c>
      <c r="E130" s="88">
        <f t="shared" si="177"/>
        <v>0</v>
      </c>
      <c r="F130" s="88">
        <f t="shared" si="177"/>
        <v>0</v>
      </c>
      <c r="G130" s="88">
        <f t="shared" si="177"/>
        <v>0</v>
      </c>
      <c r="H130" s="88">
        <f t="shared" si="177"/>
        <v>0</v>
      </c>
      <c r="I130" s="88">
        <f t="shared" si="177"/>
        <v>0</v>
      </c>
      <c r="J130" s="88">
        <f t="shared" si="177"/>
        <v>0</v>
      </c>
      <c r="K130" s="88">
        <f t="shared" si="177"/>
        <v>0</v>
      </c>
      <c r="L130" s="88">
        <f t="shared" si="177"/>
        <v>0</v>
      </c>
      <c r="M130" s="88">
        <f t="shared" si="177"/>
        <v>0</v>
      </c>
      <c r="N130" s="88">
        <f t="shared" si="177"/>
        <v>0</v>
      </c>
      <c r="O130" s="88">
        <f t="shared" si="177"/>
        <v>0</v>
      </c>
      <c r="P130" s="88">
        <f t="shared" si="177"/>
        <v>0</v>
      </c>
      <c r="Q130" s="88">
        <f t="shared" si="177"/>
        <v>0</v>
      </c>
      <c r="R130" s="88">
        <f t="shared" si="177"/>
        <v>0</v>
      </c>
      <c r="S130" s="88">
        <f t="shared" si="177"/>
        <v>0</v>
      </c>
      <c r="T130" s="88">
        <f t="shared" si="177"/>
        <v>0</v>
      </c>
      <c r="U130" s="88">
        <f t="shared" si="177"/>
        <v>0</v>
      </c>
      <c r="V130" s="88">
        <f t="shared" si="177"/>
        <v>0</v>
      </c>
      <c r="W130" s="88">
        <f t="shared" si="177"/>
        <v>0</v>
      </c>
      <c r="X130" s="88">
        <f t="shared" si="177"/>
        <v>0</v>
      </c>
      <c r="Y130" s="88">
        <f t="shared" si="177"/>
        <v>0</v>
      </c>
      <c r="Z130" s="88">
        <f t="shared" si="177"/>
        <v>0</v>
      </c>
      <c r="AA130" s="88">
        <f t="shared" si="177"/>
        <v>0</v>
      </c>
      <c r="AB130" s="88">
        <f t="shared" si="177"/>
        <v>0</v>
      </c>
      <c r="AC130" s="88">
        <f t="shared" si="177"/>
        <v>0</v>
      </c>
      <c r="AD130" s="88">
        <f t="shared" si="177"/>
        <v>0</v>
      </c>
      <c r="AE130" s="88">
        <f t="shared" si="177"/>
        <v>0</v>
      </c>
      <c r="AF130" s="88">
        <f t="shared" si="177"/>
        <v>0</v>
      </c>
      <c r="AG130" s="88">
        <f t="shared" si="177"/>
        <v>0</v>
      </c>
      <c r="AH130" s="88">
        <f t="shared" si="177"/>
        <v>0</v>
      </c>
      <c r="AI130" s="88">
        <f t="shared" si="177"/>
        <v>0</v>
      </c>
      <c r="AJ130" s="88">
        <f t="shared" si="177"/>
        <v>0</v>
      </c>
      <c r="AK130" s="88">
        <f t="shared" si="177"/>
        <v>0</v>
      </c>
      <c r="AL130" s="88">
        <f t="shared" si="177"/>
        <v>0</v>
      </c>
      <c r="AM130" s="88">
        <f t="shared" si="177"/>
        <v>0</v>
      </c>
      <c r="AN130" s="88">
        <f t="shared" si="177"/>
        <v>0</v>
      </c>
      <c r="AO130" s="88">
        <f t="shared" si="177"/>
        <v>0</v>
      </c>
      <c r="AP130" s="88">
        <f t="shared" si="177"/>
        <v>0</v>
      </c>
      <c r="AQ130" s="88">
        <f t="shared" si="177"/>
        <v>0</v>
      </c>
      <c r="AR130" s="88">
        <f t="shared" si="177"/>
        <v>0</v>
      </c>
      <c r="AS130" s="88">
        <f t="shared" si="177"/>
        <v>0</v>
      </c>
      <c r="AT130" s="88">
        <f t="shared" si="177"/>
        <v>0</v>
      </c>
      <c r="AU130" s="88">
        <f t="shared" si="177"/>
        <v>0</v>
      </c>
      <c r="AV130" s="88">
        <f t="shared" si="177"/>
        <v>0</v>
      </c>
      <c r="AW130" s="88">
        <f t="shared" si="177"/>
        <v>0</v>
      </c>
      <c r="AX130" s="88">
        <f t="shared" si="177"/>
        <v>0</v>
      </c>
      <c r="AY130" s="88">
        <f t="shared" si="177"/>
        <v>0</v>
      </c>
      <c r="AZ130" s="88">
        <f t="shared" si="177"/>
        <v>0</v>
      </c>
      <c r="BA130" s="88">
        <f t="shared" si="177"/>
        <v>0</v>
      </c>
      <c r="BB130" s="10">
        <f t="shared" si="177"/>
        <v>0</v>
      </c>
      <c r="BC130" s="10">
        <f t="shared" si="177"/>
        <v>0</v>
      </c>
      <c r="BD130" s="10">
        <f t="shared" si="177"/>
        <v>0</v>
      </c>
      <c r="BE130" s="10">
        <f t="shared" si="177"/>
        <v>0</v>
      </c>
      <c r="BF130" s="10">
        <f t="shared" si="177"/>
        <v>0</v>
      </c>
      <c r="BG130" s="10">
        <f t="shared" si="177"/>
        <v>0</v>
      </c>
      <c r="BH130" s="10">
        <f t="shared" si="177"/>
        <v>0</v>
      </c>
      <c r="BI130" s="10">
        <f t="shared" si="177"/>
        <v>0</v>
      </c>
      <c r="BJ130" s="10">
        <f t="shared" si="177"/>
        <v>0</v>
      </c>
      <c r="BK130" s="10">
        <f t="shared" si="177"/>
        <v>0</v>
      </c>
      <c r="BL130" s="10">
        <f t="shared" si="177"/>
        <v>0</v>
      </c>
      <c r="BM130" s="10">
        <f t="shared" si="177"/>
        <v>0</v>
      </c>
    </row>
    <row r="131">
      <c r="A131" s="181" t="s">
        <v>223</v>
      </c>
      <c r="B131" s="88">
        <f t="shared" ref="B131:BM131" si="178">0</f>
        <v>0</v>
      </c>
      <c r="C131" s="88">
        <f t="shared" si="178"/>
        <v>0</v>
      </c>
      <c r="D131" s="88">
        <f t="shared" si="178"/>
        <v>0</v>
      </c>
      <c r="E131" s="88">
        <f t="shared" si="178"/>
        <v>0</v>
      </c>
      <c r="F131" s="88">
        <f t="shared" si="178"/>
        <v>0</v>
      </c>
      <c r="G131" s="88">
        <f t="shared" si="178"/>
        <v>0</v>
      </c>
      <c r="H131" s="88">
        <f t="shared" si="178"/>
        <v>0</v>
      </c>
      <c r="I131" s="88">
        <f t="shared" si="178"/>
        <v>0</v>
      </c>
      <c r="J131" s="88">
        <f t="shared" si="178"/>
        <v>0</v>
      </c>
      <c r="K131" s="88">
        <f t="shared" si="178"/>
        <v>0</v>
      </c>
      <c r="L131" s="88">
        <f t="shared" si="178"/>
        <v>0</v>
      </c>
      <c r="M131" s="88">
        <f t="shared" si="178"/>
        <v>0</v>
      </c>
      <c r="N131" s="88">
        <f t="shared" si="178"/>
        <v>0</v>
      </c>
      <c r="O131" s="88">
        <f t="shared" si="178"/>
        <v>0</v>
      </c>
      <c r="P131" s="88">
        <f t="shared" si="178"/>
        <v>0</v>
      </c>
      <c r="Q131" s="88">
        <f t="shared" si="178"/>
        <v>0</v>
      </c>
      <c r="R131" s="88">
        <f t="shared" si="178"/>
        <v>0</v>
      </c>
      <c r="S131" s="88">
        <f t="shared" si="178"/>
        <v>0</v>
      </c>
      <c r="T131" s="88">
        <f t="shared" si="178"/>
        <v>0</v>
      </c>
      <c r="U131" s="88">
        <f t="shared" si="178"/>
        <v>0</v>
      </c>
      <c r="V131" s="88">
        <f t="shared" si="178"/>
        <v>0</v>
      </c>
      <c r="W131" s="88">
        <f t="shared" si="178"/>
        <v>0</v>
      </c>
      <c r="X131" s="88">
        <f t="shared" si="178"/>
        <v>0</v>
      </c>
      <c r="Y131" s="88">
        <f t="shared" si="178"/>
        <v>0</v>
      </c>
      <c r="Z131" s="88">
        <f t="shared" si="178"/>
        <v>0</v>
      </c>
      <c r="AA131" s="88">
        <f t="shared" si="178"/>
        <v>0</v>
      </c>
      <c r="AB131" s="88">
        <f t="shared" si="178"/>
        <v>0</v>
      </c>
      <c r="AC131" s="88">
        <f t="shared" si="178"/>
        <v>0</v>
      </c>
      <c r="AD131" s="88">
        <f t="shared" si="178"/>
        <v>0</v>
      </c>
      <c r="AE131" s="88">
        <f t="shared" si="178"/>
        <v>0</v>
      </c>
      <c r="AF131" s="88">
        <f t="shared" si="178"/>
        <v>0</v>
      </c>
      <c r="AG131" s="88">
        <f t="shared" si="178"/>
        <v>0</v>
      </c>
      <c r="AH131" s="88">
        <f t="shared" si="178"/>
        <v>0</v>
      </c>
      <c r="AI131" s="88">
        <f t="shared" si="178"/>
        <v>0</v>
      </c>
      <c r="AJ131" s="88">
        <f t="shared" si="178"/>
        <v>0</v>
      </c>
      <c r="AK131" s="88">
        <f t="shared" si="178"/>
        <v>0</v>
      </c>
      <c r="AL131" s="88">
        <f t="shared" si="178"/>
        <v>0</v>
      </c>
      <c r="AM131" s="88">
        <f t="shared" si="178"/>
        <v>0</v>
      </c>
      <c r="AN131" s="88">
        <f t="shared" si="178"/>
        <v>0</v>
      </c>
      <c r="AO131" s="88">
        <f t="shared" si="178"/>
        <v>0</v>
      </c>
      <c r="AP131" s="88">
        <f t="shared" si="178"/>
        <v>0</v>
      </c>
      <c r="AQ131" s="88">
        <f t="shared" si="178"/>
        <v>0</v>
      </c>
      <c r="AR131" s="88">
        <f t="shared" si="178"/>
        <v>0</v>
      </c>
      <c r="AS131" s="88">
        <f t="shared" si="178"/>
        <v>0</v>
      </c>
      <c r="AT131" s="88">
        <f t="shared" si="178"/>
        <v>0</v>
      </c>
      <c r="AU131" s="88">
        <f t="shared" si="178"/>
        <v>0</v>
      </c>
      <c r="AV131" s="88">
        <f t="shared" si="178"/>
        <v>0</v>
      </c>
      <c r="AW131" s="88">
        <f t="shared" si="178"/>
        <v>0</v>
      </c>
      <c r="AX131" s="88">
        <f t="shared" si="178"/>
        <v>0</v>
      </c>
      <c r="AY131" s="88">
        <f t="shared" si="178"/>
        <v>0</v>
      </c>
      <c r="AZ131" s="88">
        <f t="shared" si="178"/>
        <v>0</v>
      </c>
      <c r="BA131" s="88">
        <f t="shared" si="178"/>
        <v>0</v>
      </c>
      <c r="BB131" s="10">
        <f t="shared" si="178"/>
        <v>0</v>
      </c>
      <c r="BC131" s="10">
        <f t="shared" si="178"/>
        <v>0</v>
      </c>
      <c r="BD131" s="10">
        <f t="shared" si="178"/>
        <v>0</v>
      </c>
      <c r="BE131" s="10">
        <f t="shared" si="178"/>
        <v>0</v>
      </c>
      <c r="BF131" s="10">
        <f t="shared" si="178"/>
        <v>0</v>
      </c>
      <c r="BG131" s="10">
        <f t="shared" si="178"/>
        <v>0</v>
      </c>
      <c r="BH131" s="10">
        <f t="shared" si="178"/>
        <v>0</v>
      </c>
      <c r="BI131" s="10">
        <f t="shared" si="178"/>
        <v>0</v>
      </c>
      <c r="BJ131" s="10">
        <f t="shared" si="178"/>
        <v>0</v>
      </c>
      <c r="BK131" s="10">
        <f t="shared" si="178"/>
        <v>0</v>
      </c>
      <c r="BL131" s="10">
        <f t="shared" si="178"/>
        <v>0</v>
      </c>
      <c r="BM131" s="10">
        <f t="shared" si="178"/>
        <v>0</v>
      </c>
    </row>
    <row r="132">
      <c r="A132" s="181" t="s">
        <v>224</v>
      </c>
      <c r="B132" s="88">
        <f t="shared" ref="B132:BM132" si="179">0</f>
        <v>0</v>
      </c>
      <c r="C132" s="88">
        <f t="shared" si="179"/>
        <v>0</v>
      </c>
      <c r="D132" s="88">
        <f t="shared" si="179"/>
        <v>0</v>
      </c>
      <c r="E132" s="88">
        <f t="shared" si="179"/>
        <v>0</v>
      </c>
      <c r="F132" s="88">
        <f t="shared" si="179"/>
        <v>0</v>
      </c>
      <c r="G132" s="88">
        <f t="shared" si="179"/>
        <v>0</v>
      </c>
      <c r="H132" s="88">
        <f t="shared" si="179"/>
        <v>0</v>
      </c>
      <c r="I132" s="88">
        <f t="shared" si="179"/>
        <v>0</v>
      </c>
      <c r="J132" s="88">
        <f t="shared" si="179"/>
        <v>0</v>
      </c>
      <c r="K132" s="88">
        <f t="shared" si="179"/>
        <v>0</v>
      </c>
      <c r="L132" s="88">
        <f t="shared" si="179"/>
        <v>0</v>
      </c>
      <c r="M132" s="88">
        <f t="shared" si="179"/>
        <v>0</v>
      </c>
      <c r="N132" s="88">
        <f t="shared" si="179"/>
        <v>0</v>
      </c>
      <c r="O132" s="88">
        <f t="shared" si="179"/>
        <v>0</v>
      </c>
      <c r="P132" s="88">
        <f t="shared" si="179"/>
        <v>0</v>
      </c>
      <c r="Q132" s="88">
        <f t="shared" si="179"/>
        <v>0</v>
      </c>
      <c r="R132" s="88">
        <f t="shared" si="179"/>
        <v>0</v>
      </c>
      <c r="S132" s="88">
        <f t="shared" si="179"/>
        <v>0</v>
      </c>
      <c r="T132" s="88">
        <f t="shared" si="179"/>
        <v>0</v>
      </c>
      <c r="U132" s="88">
        <f t="shared" si="179"/>
        <v>0</v>
      </c>
      <c r="V132" s="88">
        <f t="shared" si="179"/>
        <v>0</v>
      </c>
      <c r="W132" s="88">
        <f t="shared" si="179"/>
        <v>0</v>
      </c>
      <c r="X132" s="88">
        <f t="shared" si="179"/>
        <v>0</v>
      </c>
      <c r="Y132" s="88">
        <f t="shared" si="179"/>
        <v>0</v>
      </c>
      <c r="Z132" s="88">
        <f t="shared" si="179"/>
        <v>0</v>
      </c>
      <c r="AA132" s="88">
        <f t="shared" si="179"/>
        <v>0</v>
      </c>
      <c r="AB132" s="88">
        <f t="shared" si="179"/>
        <v>0</v>
      </c>
      <c r="AC132" s="88">
        <f t="shared" si="179"/>
        <v>0</v>
      </c>
      <c r="AD132" s="88">
        <f t="shared" si="179"/>
        <v>0</v>
      </c>
      <c r="AE132" s="88">
        <f t="shared" si="179"/>
        <v>0</v>
      </c>
      <c r="AF132" s="88">
        <f t="shared" si="179"/>
        <v>0</v>
      </c>
      <c r="AG132" s="88">
        <f t="shared" si="179"/>
        <v>0</v>
      </c>
      <c r="AH132" s="88">
        <f t="shared" si="179"/>
        <v>0</v>
      </c>
      <c r="AI132" s="88">
        <f t="shared" si="179"/>
        <v>0</v>
      </c>
      <c r="AJ132" s="88">
        <f t="shared" si="179"/>
        <v>0</v>
      </c>
      <c r="AK132" s="88">
        <f t="shared" si="179"/>
        <v>0</v>
      </c>
      <c r="AL132" s="88">
        <f t="shared" si="179"/>
        <v>0</v>
      </c>
      <c r="AM132" s="88">
        <f t="shared" si="179"/>
        <v>0</v>
      </c>
      <c r="AN132" s="88">
        <f t="shared" si="179"/>
        <v>0</v>
      </c>
      <c r="AO132" s="88">
        <f t="shared" si="179"/>
        <v>0</v>
      </c>
      <c r="AP132" s="88">
        <f t="shared" si="179"/>
        <v>0</v>
      </c>
      <c r="AQ132" s="88">
        <f t="shared" si="179"/>
        <v>0</v>
      </c>
      <c r="AR132" s="88">
        <f t="shared" si="179"/>
        <v>0</v>
      </c>
      <c r="AS132" s="88">
        <f t="shared" si="179"/>
        <v>0</v>
      </c>
      <c r="AT132" s="88">
        <f t="shared" si="179"/>
        <v>0</v>
      </c>
      <c r="AU132" s="88">
        <f t="shared" si="179"/>
        <v>0</v>
      </c>
      <c r="AV132" s="88">
        <f t="shared" si="179"/>
        <v>0</v>
      </c>
      <c r="AW132" s="88">
        <f t="shared" si="179"/>
        <v>0</v>
      </c>
      <c r="AX132" s="88">
        <f t="shared" si="179"/>
        <v>0</v>
      </c>
      <c r="AY132" s="88">
        <f t="shared" si="179"/>
        <v>0</v>
      </c>
      <c r="AZ132" s="88">
        <f t="shared" si="179"/>
        <v>0</v>
      </c>
      <c r="BA132" s="88">
        <f t="shared" si="179"/>
        <v>0</v>
      </c>
      <c r="BB132" s="10">
        <f t="shared" si="179"/>
        <v>0</v>
      </c>
      <c r="BC132" s="10">
        <f t="shared" si="179"/>
        <v>0</v>
      </c>
      <c r="BD132" s="10">
        <f t="shared" si="179"/>
        <v>0</v>
      </c>
      <c r="BE132" s="10">
        <f t="shared" si="179"/>
        <v>0</v>
      </c>
      <c r="BF132" s="10">
        <f t="shared" si="179"/>
        <v>0</v>
      </c>
      <c r="BG132" s="10">
        <f t="shared" si="179"/>
        <v>0</v>
      </c>
      <c r="BH132" s="10">
        <f t="shared" si="179"/>
        <v>0</v>
      </c>
      <c r="BI132" s="10">
        <f t="shared" si="179"/>
        <v>0</v>
      </c>
      <c r="BJ132" s="10">
        <f t="shared" si="179"/>
        <v>0</v>
      </c>
      <c r="BK132" s="10">
        <f t="shared" si="179"/>
        <v>0</v>
      </c>
      <c r="BL132" s="10">
        <f t="shared" si="179"/>
        <v>0</v>
      </c>
      <c r="BM132" s="10">
        <f t="shared" si="179"/>
        <v>0</v>
      </c>
    </row>
    <row r="133">
      <c r="A133" s="181" t="s">
        <v>225</v>
      </c>
      <c r="B133" s="88">
        <f t="shared" ref="B133:O133" si="180">0</f>
        <v>0</v>
      </c>
      <c r="C133" s="88">
        <f t="shared" si="180"/>
        <v>0</v>
      </c>
      <c r="D133" s="88">
        <f t="shared" si="180"/>
        <v>0</v>
      </c>
      <c r="E133" s="88">
        <f t="shared" si="180"/>
        <v>0</v>
      </c>
      <c r="F133" s="88">
        <f t="shared" si="180"/>
        <v>0</v>
      </c>
      <c r="G133" s="88">
        <f t="shared" si="180"/>
        <v>0</v>
      </c>
      <c r="H133" s="88">
        <f t="shared" si="180"/>
        <v>0</v>
      </c>
      <c r="I133" s="88">
        <f t="shared" si="180"/>
        <v>0</v>
      </c>
      <c r="J133" s="88">
        <f t="shared" si="180"/>
        <v>0</v>
      </c>
      <c r="K133" s="88">
        <f t="shared" si="180"/>
        <v>0</v>
      </c>
      <c r="L133" s="88">
        <f t="shared" si="180"/>
        <v>0</v>
      </c>
      <c r="M133" s="88">
        <f t="shared" si="180"/>
        <v>0</v>
      </c>
      <c r="N133" s="88">
        <f t="shared" si="180"/>
        <v>0</v>
      </c>
      <c r="O133" s="88">
        <f t="shared" si="180"/>
        <v>0</v>
      </c>
      <c r="P133" s="10">
        <f>20</f>
        <v>20</v>
      </c>
      <c r="Q133" s="88">
        <f t="shared" ref="Q133:BM133" si="181">0</f>
        <v>0</v>
      </c>
      <c r="R133" s="88">
        <f t="shared" si="181"/>
        <v>0</v>
      </c>
      <c r="S133" s="88">
        <f t="shared" si="181"/>
        <v>0</v>
      </c>
      <c r="T133" s="88">
        <f t="shared" si="181"/>
        <v>0</v>
      </c>
      <c r="U133" s="88">
        <f t="shared" si="181"/>
        <v>0</v>
      </c>
      <c r="V133" s="88">
        <f t="shared" si="181"/>
        <v>0</v>
      </c>
      <c r="W133" s="88">
        <f t="shared" si="181"/>
        <v>0</v>
      </c>
      <c r="X133" s="88">
        <f t="shared" si="181"/>
        <v>0</v>
      </c>
      <c r="Y133" s="88">
        <f t="shared" si="181"/>
        <v>0</v>
      </c>
      <c r="Z133" s="88">
        <f t="shared" si="181"/>
        <v>0</v>
      </c>
      <c r="AA133" s="88">
        <f t="shared" si="181"/>
        <v>0</v>
      </c>
      <c r="AB133" s="88">
        <f t="shared" si="181"/>
        <v>0</v>
      </c>
      <c r="AC133" s="88">
        <f t="shared" si="181"/>
        <v>0</v>
      </c>
      <c r="AD133" s="88">
        <f t="shared" si="181"/>
        <v>0</v>
      </c>
      <c r="AE133" s="88">
        <f t="shared" si="181"/>
        <v>0</v>
      </c>
      <c r="AF133" s="88">
        <f t="shared" si="181"/>
        <v>0</v>
      </c>
      <c r="AG133" s="88">
        <f t="shared" si="181"/>
        <v>0</v>
      </c>
      <c r="AH133" s="88">
        <f t="shared" si="181"/>
        <v>0</v>
      </c>
      <c r="AI133" s="88">
        <f t="shared" si="181"/>
        <v>0</v>
      </c>
      <c r="AJ133" s="88">
        <f t="shared" si="181"/>
        <v>0</v>
      </c>
      <c r="AK133" s="88">
        <f t="shared" si="181"/>
        <v>0</v>
      </c>
      <c r="AL133" s="88">
        <f t="shared" si="181"/>
        <v>0</v>
      </c>
      <c r="AM133" s="88">
        <f t="shared" si="181"/>
        <v>0</v>
      </c>
      <c r="AN133" s="88">
        <f t="shared" si="181"/>
        <v>0</v>
      </c>
      <c r="AO133" s="88">
        <f t="shared" si="181"/>
        <v>0</v>
      </c>
      <c r="AP133" s="88">
        <f t="shared" si="181"/>
        <v>0</v>
      </c>
      <c r="AQ133" s="88">
        <f t="shared" si="181"/>
        <v>0</v>
      </c>
      <c r="AR133" s="88">
        <f t="shared" si="181"/>
        <v>0</v>
      </c>
      <c r="AS133" s="88">
        <f t="shared" si="181"/>
        <v>0</v>
      </c>
      <c r="AT133" s="88">
        <f t="shared" si="181"/>
        <v>0</v>
      </c>
      <c r="AU133" s="88">
        <f t="shared" si="181"/>
        <v>0</v>
      </c>
      <c r="AV133" s="88">
        <f t="shared" si="181"/>
        <v>0</v>
      </c>
      <c r="AW133" s="88">
        <f t="shared" si="181"/>
        <v>0</v>
      </c>
      <c r="AX133" s="88">
        <f t="shared" si="181"/>
        <v>0</v>
      </c>
      <c r="AY133" s="88">
        <f t="shared" si="181"/>
        <v>0</v>
      </c>
      <c r="AZ133" s="88">
        <f t="shared" si="181"/>
        <v>0</v>
      </c>
      <c r="BA133" s="88">
        <f t="shared" si="181"/>
        <v>0</v>
      </c>
      <c r="BB133" s="10">
        <f t="shared" si="181"/>
        <v>0</v>
      </c>
      <c r="BC133" s="10">
        <f t="shared" si="181"/>
        <v>0</v>
      </c>
      <c r="BD133" s="10">
        <f t="shared" si="181"/>
        <v>0</v>
      </c>
      <c r="BE133" s="10">
        <f t="shared" si="181"/>
        <v>0</v>
      </c>
      <c r="BF133" s="10">
        <f t="shared" si="181"/>
        <v>0</v>
      </c>
      <c r="BG133" s="10">
        <f t="shared" si="181"/>
        <v>0</v>
      </c>
      <c r="BH133" s="10">
        <f t="shared" si="181"/>
        <v>0</v>
      </c>
      <c r="BI133" s="10">
        <f t="shared" si="181"/>
        <v>0</v>
      </c>
      <c r="BJ133" s="10">
        <f t="shared" si="181"/>
        <v>0</v>
      </c>
      <c r="BK133" s="10">
        <f t="shared" si="181"/>
        <v>0</v>
      </c>
      <c r="BL133" s="10">
        <f t="shared" si="181"/>
        <v>0</v>
      </c>
      <c r="BM133" s="10">
        <f t="shared" si="181"/>
        <v>0</v>
      </c>
    </row>
    <row r="134">
      <c r="A134" s="181" t="s">
        <v>226</v>
      </c>
      <c r="B134" s="88">
        <f t="shared" ref="B134:BM134" si="182">0</f>
        <v>0</v>
      </c>
      <c r="C134" s="88">
        <f t="shared" si="182"/>
        <v>0</v>
      </c>
      <c r="D134" s="88">
        <f t="shared" si="182"/>
        <v>0</v>
      </c>
      <c r="E134" s="88">
        <f t="shared" si="182"/>
        <v>0</v>
      </c>
      <c r="F134" s="88">
        <f t="shared" si="182"/>
        <v>0</v>
      </c>
      <c r="G134" s="88">
        <f t="shared" si="182"/>
        <v>0</v>
      </c>
      <c r="H134" s="88">
        <f t="shared" si="182"/>
        <v>0</v>
      </c>
      <c r="I134" s="88">
        <f t="shared" si="182"/>
        <v>0</v>
      </c>
      <c r="J134" s="88">
        <f t="shared" si="182"/>
        <v>0</v>
      </c>
      <c r="K134" s="88">
        <f t="shared" si="182"/>
        <v>0</v>
      </c>
      <c r="L134" s="88">
        <f t="shared" si="182"/>
        <v>0</v>
      </c>
      <c r="M134" s="88">
        <f t="shared" si="182"/>
        <v>0</v>
      </c>
      <c r="N134" s="88">
        <f t="shared" si="182"/>
        <v>0</v>
      </c>
      <c r="O134" s="88">
        <f t="shared" si="182"/>
        <v>0</v>
      </c>
      <c r="P134" s="88">
        <f t="shared" si="182"/>
        <v>0</v>
      </c>
      <c r="Q134" s="88">
        <f t="shared" si="182"/>
        <v>0</v>
      </c>
      <c r="R134" s="88">
        <f t="shared" si="182"/>
        <v>0</v>
      </c>
      <c r="S134" s="88">
        <f t="shared" si="182"/>
        <v>0</v>
      </c>
      <c r="T134" s="88">
        <f t="shared" si="182"/>
        <v>0</v>
      </c>
      <c r="U134" s="88">
        <f t="shared" si="182"/>
        <v>0</v>
      </c>
      <c r="V134" s="88">
        <f t="shared" si="182"/>
        <v>0</v>
      </c>
      <c r="W134" s="88">
        <f t="shared" si="182"/>
        <v>0</v>
      </c>
      <c r="X134" s="88">
        <f t="shared" si="182"/>
        <v>0</v>
      </c>
      <c r="Y134" s="88">
        <f t="shared" si="182"/>
        <v>0</v>
      </c>
      <c r="Z134" s="88">
        <f t="shared" si="182"/>
        <v>0</v>
      </c>
      <c r="AA134" s="88">
        <f t="shared" si="182"/>
        <v>0</v>
      </c>
      <c r="AB134" s="88">
        <f t="shared" si="182"/>
        <v>0</v>
      </c>
      <c r="AC134" s="88">
        <f t="shared" si="182"/>
        <v>0</v>
      </c>
      <c r="AD134" s="88">
        <f t="shared" si="182"/>
        <v>0</v>
      </c>
      <c r="AE134" s="88">
        <f t="shared" si="182"/>
        <v>0</v>
      </c>
      <c r="AF134" s="88">
        <f t="shared" si="182"/>
        <v>0</v>
      </c>
      <c r="AG134" s="88">
        <f t="shared" si="182"/>
        <v>0</v>
      </c>
      <c r="AH134" s="88">
        <f t="shared" si="182"/>
        <v>0</v>
      </c>
      <c r="AI134" s="88">
        <f t="shared" si="182"/>
        <v>0</v>
      </c>
      <c r="AJ134" s="88">
        <f t="shared" si="182"/>
        <v>0</v>
      </c>
      <c r="AK134" s="88">
        <f t="shared" si="182"/>
        <v>0</v>
      </c>
      <c r="AL134" s="88">
        <f t="shared" si="182"/>
        <v>0</v>
      </c>
      <c r="AM134" s="88">
        <f t="shared" si="182"/>
        <v>0</v>
      </c>
      <c r="AN134" s="88">
        <f t="shared" si="182"/>
        <v>0</v>
      </c>
      <c r="AO134" s="88">
        <f t="shared" si="182"/>
        <v>0</v>
      </c>
      <c r="AP134" s="88">
        <f t="shared" si="182"/>
        <v>0</v>
      </c>
      <c r="AQ134" s="88">
        <f t="shared" si="182"/>
        <v>0</v>
      </c>
      <c r="AR134" s="88">
        <f t="shared" si="182"/>
        <v>0</v>
      </c>
      <c r="AS134" s="88">
        <f t="shared" si="182"/>
        <v>0</v>
      </c>
      <c r="AT134" s="88">
        <f t="shared" si="182"/>
        <v>0</v>
      </c>
      <c r="AU134" s="88">
        <f t="shared" si="182"/>
        <v>0</v>
      </c>
      <c r="AV134" s="88">
        <f t="shared" si="182"/>
        <v>0</v>
      </c>
      <c r="AW134" s="88">
        <f t="shared" si="182"/>
        <v>0</v>
      </c>
      <c r="AX134" s="88">
        <f t="shared" si="182"/>
        <v>0</v>
      </c>
      <c r="AY134" s="88">
        <f t="shared" si="182"/>
        <v>0</v>
      </c>
      <c r="AZ134" s="88">
        <f t="shared" si="182"/>
        <v>0</v>
      </c>
      <c r="BA134" s="88">
        <f t="shared" si="182"/>
        <v>0</v>
      </c>
      <c r="BB134" s="10">
        <f t="shared" si="182"/>
        <v>0</v>
      </c>
      <c r="BC134" s="10">
        <f t="shared" si="182"/>
        <v>0</v>
      </c>
      <c r="BD134" s="10">
        <f t="shared" si="182"/>
        <v>0</v>
      </c>
      <c r="BE134" s="10">
        <f t="shared" si="182"/>
        <v>0</v>
      </c>
      <c r="BF134" s="10">
        <f t="shared" si="182"/>
        <v>0</v>
      </c>
      <c r="BG134" s="10">
        <f t="shared" si="182"/>
        <v>0</v>
      </c>
      <c r="BH134" s="10">
        <f t="shared" si="182"/>
        <v>0</v>
      </c>
      <c r="BI134" s="10">
        <f t="shared" si="182"/>
        <v>0</v>
      </c>
      <c r="BJ134" s="10">
        <f t="shared" si="182"/>
        <v>0</v>
      </c>
      <c r="BK134" s="10">
        <f t="shared" si="182"/>
        <v>0</v>
      </c>
      <c r="BL134" s="10">
        <f t="shared" si="182"/>
        <v>0</v>
      </c>
      <c r="BM134" s="10">
        <f t="shared" si="182"/>
        <v>0</v>
      </c>
    </row>
    <row r="135">
      <c r="A135" s="181" t="s">
        <v>227</v>
      </c>
      <c r="B135" s="88">
        <f t="shared" ref="B135:BM135" si="183">0</f>
        <v>0</v>
      </c>
      <c r="C135" s="88">
        <f t="shared" si="183"/>
        <v>0</v>
      </c>
      <c r="D135" s="88">
        <f t="shared" si="183"/>
        <v>0</v>
      </c>
      <c r="E135" s="88">
        <f t="shared" si="183"/>
        <v>0</v>
      </c>
      <c r="F135" s="88">
        <f t="shared" si="183"/>
        <v>0</v>
      </c>
      <c r="G135" s="88">
        <f t="shared" si="183"/>
        <v>0</v>
      </c>
      <c r="H135" s="88">
        <f t="shared" si="183"/>
        <v>0</v>
      </c>
      <c r="I135" s="88">
        <f t="shared" si="183"/>
        <v>0</v>
      </c>
      <c r="J135" s="88">
        <f t="shared" si="183"/>
        <v>0</v>
      </c>
      <c r="K135" s="88">
        <f t="shared" si="183"/>
        <v>0</v>
      </c>
      <c r="L135" s="88">
        <f t="shared" si="183"/>
        <v>0</v>
      </c>
      <c r="M135" s="88">
        <f t="shared" si="183"/>
        <v>0</v>
      </c>
      <c r="N135" s="88">
        <f t="shared" si="183"/>
        <v>0</v>
      </c>
      <c r="O135" s="88">
        <f t="shared" si="183"/>
        <v>0</v>
      </c>
      <c r="P135" s="88">
        <f t="shared" si="183"/>
        <v>0</v>
      </c>
      <c r="Q135" s="88">
        <f t="shared" si="183"/>
        <v>0</v>
      </c>
      <c r="R135" s="88">
        <f t="shared" si="183"/>
        <v>0</v>
      </c>
      <c r="S135" s="88">
        <f t="shared" si="183"/>
        <v>0</v>
      </c>
      <c r="T135" s="88">
        <f t="shared" si="183"/>
        <v>0</v>
      </c>
      <c r="U135" s="88">
        <f t="shared" si="183"/>
        <v>0</v>
      </c>
      <c r="V135" s="88">
        <f t="shared" si="183"/>
        <v>0</v>
      </c>
      <c r="W135" s="88">
        <f t="shared" si="183"/>
        <v>0</v>
      </c>
      <c r="X135" s="88">
        <f t="shared" si="183"/>
        <v>0</v>
      </c>
      <c r="Y135" s="88">
        <f t="shared" si="183"/>
        <v>0</v>
      </c>
      <c r="Z135" s="88">
        <f t="shared" si="183"/>
        <v>0</v>
      </c>
      <c r="AA135" s="88">
        <f t="shared" si="183"/>
        <v>0</v>
      </c>
      <c r="AB135" s="88">
        <f t="shared" si="183"/>
        <v>0</v>
      </c>
      <c r="AC135" s="88">
        <f t="shared" si="183"/>
        <v>0</v>
      </c>
      <c r="AD135" s="88">
        <f t="shared" si="183"/>
        <v>0</v>
      </c>
      <c r="AE135" s="88">
        <f t="shared" si="183"/>
        <v>0</v>
      </c>
      <c r="AF135" s="88">
        <f t="shared" si="183"/>
        <v>0</v>
      </c>
      <c r="AG135" s="88">
        <f t="shared" si="183"/>
        <v>0</v>
      </c>
      <c r="AH135" s="88">
        <f t="shared" si="183"/>
        <v>0</v>
      </c>
      <c r="AI135" s="88">
        <f t="shared" si="183"/>
        <v>0</v>
      </c>
      <c r="AJ135" s="88">
        <f t="shared" si="183"/>
        <v>0</v>
      </c>
      <c r="AK135" s="88">
        <f t="shared" si="183"/>
        <v>0</v>
      </c>
      <c r="AL135" s="88">
        <f t="shared" si="183"/>
        <v>0</v>
      </c>
      <c r="AM135" s="88">
        <f t="shared" si="183"/>
        <v>0</v>
      </c>
      <c r="AN135" s="88">
        <f t="shared" si="183"/>
        <v>0</v>
      </c>
      <c r="AO135" s="88">
        <f t="shared" si="183"/>
        <v>0</v>
      </c>
      <c r="AP135" s="88">
        <f t="shared" si="183"/>
        <v>0</v>
      </c>
      <c r="AQ135" s="88">
        <f t="shared" si="183"/>
        <v>0</v>
      </c>
      <c r="AR135" s="88">
        <f t="shared" si="183"/>
        <v>0</v>
      </c>
      <c r="AS135" s="88">
        <f t="shared" si="183"/>
        <v>0</v>
      </c>
      <c r="AT135" s="88">
        <f t="shared" si="183"/>
        <v>0</v>
      </c>
      <c r="AU135" s="88">
        <f t="shared" si="183"/>
        <v>0</v>
      </c>
      <c r="AV135" s="88">
        <f t="shared" si="183"/>
        <v>0</v>
      </c>
      <c r="AW135" s="88">
        <f t="shared" si="183"/>
        <v>0</v>
      </c>
      <c r="AX135" s="88">
        <f t="shared" si="183"/>
        <v>0</v>
      </c>
      <c r="AY135" s="88">
        <f t="shared" si="183"/>
        <v>0</v>
      </c>
      <c r="AZ135" s="88">
        <f t="shared" si="183"/>
        <v>0</v>
      </c>
      <c r="BA135" s="88">
        <f t="shared" si="183"/>
        <v>0</v>
      </c>
      <c r="BB135" s="10">
        <f t="shared" si="183"/>
        <v>0</v>
      </c>
      <c r="BC135" s="10">
        <f t="shared" si="183"/>
        <v>0</v>
      </c>
      <c r="BD135" s="10">
        <f t="shared" si="183"/>
        <v>0</v>
      </c>
      <c r="BE135" s="10">
        <f t="shared" si="183"/>
        <v>0</v>
      </c>
      <c r="BF135" s="10">
        <f t="shared" si="183"/>
        <v>0</v>
      </c>
      <c r="BG135" s="10">
        <f t="shared" si="183"/>
        <v>0</v>
      </c>
      <c r="BH135" s="10">
        <f t="shared" si="183"/>
        <v>0</v>
      </c>
      <c r="BI135" s="10">
        <f t="shared" si="183"/>
        <v>0</v>
      </c>
      <c r="BJ135" s="10">
        <f t="shared" si="183"/>
        <v>0</v>
      </c>
      <c r="BK135" s="10">
        <f t="shared" si="183"/>
        <v>0</v>
      </c>
      <c r="BL135" s="10">
        <f t="shared" si="183"/>
        <v>0</v>
      </c>
      <c r="BM135" s="10">
        <f t="shared" si="183"/>
        <v>0</v>
      </c>
    </row>
    <row r="136">
      <c r="A136" s="181" t="s">
        <v>228</v>
      </c>
      <c r="B136" s="88">
        <f t="shared" ref="B136:K136" si="184">0</f>
        <v>0</v>
      </c>
      <c r="C136" s="88">
        <f t="shared" si="184"/>
        <v>0</v>
      </c>
      <c r="D136" s="88">
        <f t="shared" si="184"/>
        <v>0</v>
      </c>
      <c r="E136" s="88">
        <f t="shared" si="184"/>
        <v>0</v>
      </c>
      <c r="F136" s="88">
        <f t="shared" si="184"/>
        <v>0</v>
      </c>
      <c r="G136" s="88">
        <f t="shared" si="184"/>
        <v>0</v>
      </c>
      <c r="H136" s="88">
        <f t="shared" si="184"/>
        <v>0</v>
      </c>
      <c r="I136" s="88">
        <f t="shared" si="184"/>
        <v>0</v>
      </c>
      <c r="J136" s="88">
        <f t="shared" si="184"/>
        <v>0</v>
      </c>
      <c r="K136" s="88">
        <f t="shared" si="184"/>
        <v>0</v>
      </c>
      <c r="L136" s="10">
        <f>35</f>
        <v>35</v>
      </c>
      <c r="M136" s="88">
        <f t="shared" ref="M136:BM136" si="185">0</f>
        <v>0</v>
      </c>
      <c r="N136" s="88">
        <f t="shared" si="185"/>
        <v>0</v>
      </c>
      <c r="O136" s="88">
        <f t="shared" si="185"/>
        <v>0</v>
      </c>
      <c r="P136" s="88">
        <f t="shared" si="185"/>
        <v>0</v>
      </c>
      <c r="Q136" s="88">
        <f t="shared" si="185"/>
        <v>0</v>
      </c>
      <c r="R136" s="88">
        <f t="shared" si="185"/>
        <v>0</v>
      </c>
      <c r="S136" s="88">
        <f t="shared" si="185"/>
        <v>0</v>
      </c>
      <c r="T136" s="88">
        <f t="shared" si="185"/>
        <v>0</v>
      </c>
      <c r="U136" s="88">
        <f t="shared" si="185"/>
        <v>0</v>
      </c>
      <c r="V136" s="88">
        <f t="shared" si="185"/>
        <v>0</v>
      </c>
      <c r="W136" s="88">
        <f t="shared" si="185"/>
        <v>0</v>
      </c>
      <c r="X136" s="88">
        <f t="shared" si="185"/>
        <v>0</v>
      </c>
      <c r="Y136" s="88">
        <f t="shared" si="185"/>
        <v>0</v>
      </c>
      <c r="Z136" s="88">
        <f t="shared" si="185"/>
        <v>0</v>
      </c>
      <c r="AA136" s="88">
        <f t="shared" si="185"/>
        <v>0</v>
      </c>
      <c r="AB136" s="88">
        <f t="shared" si="185"/>
        <v>0</v>
      </c>
      <c r="AC136" s="88">
        <f t="shared" si="185"/>
        <v>0</v>
      </c>
      <c r="AD136" s="88">
        <f t="shared" si="185"/>
        <v>0</v>
      </c>
      <c r="AE136" s="88">
        <f t="shared" si="185"/>
        <v>0</v>
      </c>
      <c r="AF136" s="88">
        <f t="shared" si="185"/>
        <v>0</v>
      </c>
      <c r="AG136" s="88">
        <f t="shared" si="185"/>
        <v>0</v>
      </c>
      <c r="AH136" s="88">
        <f t="shared" si="185"/>
        <v>0</v>
      </c>
      <c r="AI136" s="88">
        <f t="shared" si="185"/>
        <v>0</v>
      </c>
      <c r="AJ136" s="88">
        <f t="shared" si="185"/>
        <v>0</v>
      </c>
      <c r="AK136" s="88">
        <f t="shared" si="185"/>
        <v>0</v>
      </c>
      <c r="AL136" s="88">
        <f t="shared" si="185"/>
        <v>0</v>
      </c>
      <c r="AM136" s="88">
        <f t="shared" si="185"/>
        <v>0</v>
      </c>
      <c r="AN136" s="88">
        <f t="shared" si="185"/>
        <v>0</v>
      </c>
      <c r="AO136" s="88">
        <f t="shared" si="185"/>
        <v>0</v>
      </c>
      <c r="AP136" s="88">
        <f t="shared" si="185"/>
        <v>0</v>
      </c>
      <c r="AQ136" s="88">
        <f t="shared" si="185"/>
        <v>0</v>
      </c>
      <c r="AR136" s="88">
        <f t="shared" si="185"/>
        <v>0</v>
      </c>
      <c r="AS136" s="88">
        <f t="shared" si="185"/>
        <v>0</v>
      </c>
      <c r="AT136" s="88">
        <f t="shared" si="185"/>
        <v>0</v>
      </c>
      <c r="AU136" s="88">
        <f t="shared" si="185"/>
        <v>0</v>
      </c>
      <c r="AV136" s="88">
        <f t="shared" si="185"/>
        <v>0</v>
      </c>
      <c r="AW136" s="88">
        <f t="shared" si="185"/>
        <v>0</v>
      </c>
      <c r="AX136" s="88">
        <f t="shared" si="185"/>
        <v>0</v>
      </c>
      <c r="AY136" s="88">
        <f t="shared" si="185"/>
        <v>0</v>
      </c>
      <c r="AZ136" s="88">
        <f t="shared" si="185"/>
        <v>0</v>
      </c>
      <c r="BA136" s="88">
        <f t="shared" si="185"/>
        <v>0</v>
      </c>
      <c r="BB136" s="10">
        <f t="shared" si="185"/>
        <v>0</v>
      </c>
      <c r="BC136" s="10">
        <f t="shared" si="185"/>
        <v>0</v>
      </c>
      <c r="BD136" s="10">
        <f t="shared" si="185"/>
        <v>0</v>
      </c>
      <c r="BE136" s="10">
        <f t="shared" si="185"/>
        <v>0</v>
      </c>
      <c r="BF136" s="10">
        <f t="shared" si="185"/>
        <v>0</v>
      </c>
      <c r="BG136" s="10">
        <f t="shared" si="185"/>
        <v>0</v>
      </c>
      <c r="BH136" s="10">
        <f t="shared" si="185"/>
        <v>0</v>
      </c>
      <c r="BI136" s="10">
        <f t="shared" si="185"/>
        <v>0</v>
      </c>
      <c r="BJ136" s="10">
        <f t="shared" si="185"/>
        <v>0</v>
      </c>
      <c r="BK136" s="10">
        <f t="shared" si="185"/>
        <v>0</v>
      </c>
      <c r="BL136" s="10">
        <f t="shared" si="185"/>
        <v>0</v>
      </c>
      <c r="BM136" s="10">
        <f t="shared" si="185"/>
        <v>0</v>
      </c>
    </row>
    <row r="137">
      <c r="A137" s="181" t="s">
        <v>229</v>
      </c>
      <c r="B137" s="88">
        <f t="shared" ref="B137:BM137" si="186">0</f>
        <v>0</v>
      </c>
      <c r="C137" s="88">
        <f t="shared" si="186"/>
        <v>0</v>
      </c>
      <c r="D137" s="88">
        <f t="shared" si="186"/>
        <v>0</v>
      </c>
      <c r="E137" s="88">
        <f t="shared" si="186"/>
        <v>0</v>
      </c>
      <c r="F137" s="88">
        <f t="shared" si="186"/>
        <v>0</v>
      </c>
      <c r="G137" s="88">
        <f t="shared" si="186"/>
        <v>0</v>
      </c>
      <c r="H137" s="88">
        <f t="shared" si="186"/>
        <v>0</v>
      </c>
      <c r="I137" s="88">
        <f t="shared" si="186"/>
        <v>0</v>
      </c>
      <c r="J137" s="88">
        <f t="shared" si="186"/>
        <v>0</v>
      </c>
      <c r="K137" s="88">
        <f t="shared" si="186"/>
        <v>0</v>
      </c>
      <c r="L137" s="88">
        <f t="shared" si="186"/>
        <v>0</v>
      </c>
      <c r="M137" s="88">
        <f t="shared" si="186"/>
        <v>0</v>
      </c>
      <c r="N137" s="88">
        <f t="shared" si="186"/>
        <v>0</v>
      </c>
      <c r="O137" s="88">
        <f t="shared" si="186"/>
        <v>0</v>
      </c>
      <c r="P137" s="88">
        <f t="shared" si="186"/>
        <v>0</v>
      </c>
      <c r="Q137" s="88">
        <f t="shared" si="186"/>
        <v>0</v>
      </c>
      <c r="R137" s="88">
        <f t="shared" si="186"/>
        <v>0</v>
      </c>
      <c r="S137" s="88">
        <f t="shared" si="186"/>
        <v>0</v>
      </c>
      <c r="T137" s="88">
        <f t="shared" si="186"/>
        <v>0</v>
      </c>
      <c r="U137" s="88">
        <f t="shared" si="186"/>
        <v>0</v>
      </c>
      <c r="V137" s="88">
        <f t="shared" si="186"/>
        <v>0</v>
      </c>
      <c r="W137" s="88">
        <f t="shared" si="186"/>
        <v>0</v>
      </c>
      <c r="X137" s="88">
        <f t="shared" si="186"/>
        <v>0</v>
      </c>
      <c r="Y137" s="88">
        <f t="shared" si="186"/>
        <v>0</v>
      </c>
      <c r="Z137" s="88">
        <f t="shared" si="186"/>
        <v>0</v>
      </c>
      <c r="AA137" s="88">
        <f t="shared" si="186"/>
        <v>0</v>
      </c>
      <c r="AB137" s="88">
        <f t="shared" si="186"/>
        <v>0</v>
      </c>
      <c r="AC137" s="88">
        <f t="shared" si="186"/>
        <v>0</v>
      </c>
      <c r="AD137" s="88">
        <f t="shared" si="186"/>
        <v>0</v>
      </c>
      <c r="AE137" s="88">
        <f t="shared" si="186"/>
        <v>0</v>
      </c>
      <c r="AF137" s="88">
        <f t="shared" si="186"/>
        <v>0</v>
      </c>
      <c r="AG137" s="88">
        <f t="shared" si="186"/>
        <v>0</v>
      </c>
      <c r="AH137" s="88">
        <f t="shared" si="186"/>
        <v>0</v>
      </c>
      <c r="AI137" s="88">
        <f t="shared" si="186"/>
        <v>0</v>
      </c>
      <c r="AJ137" s="88">
        <f t="shared" si="186"/>
        <v>0</v>
      </c>
      <c r="AK137" s="88">
        <f t="shared" si="186"/>
        <v>0</v>
      </c>
      <c r="AL137" s="88">
        <f t="shared" si="186"/>
        <v>0</v>
      </c>
      <c r="AM137" s="88">
        <f t="shared" si="186"/>
        <v>0</v>
      </c>
      <c r="AN137" s="88">
        <f t="shared" si="186"/>
        <v>0</v>
      </c>
      <c r="AO137" s="88">
        <f t="shared" si="186"/>
        <v>0</v>
      </c>
      <c r="AP137" s="88">
        <f t="shared" si="186"/>
        <v>0</v>
      </c>
      <c r="AQ137" s="88">
        <f t="shared" si="186"/>
        <v>0</v>
      </c>
      <c r="AR137" s="88">
        <f t="shared" si="186"/>
        <v>0</v>
      </c>
      <c r="AS137" s="88">
        <f t="shared" si="186"/>
        <v>0</v>
      </c>
      <c r="AT137" s="88">
        <f t="shared" si="186"/>
        <v>0</v>
      </c>
      <c r="AU137" s="88">
        <f t="shared" si="186"/>
        <v>0</v>
      </c>
      <c r="AV137" s="88">
        <f t="shared" si="186"/>
        <v>0</v>
      </c>
      <c r="AW137" s="88">
        <f t="shared" si="186"/>
        <v>0</v>
      </c>
      <c r="AX137" s="88">
        <f t="shared" si="186"/>
        <v>0</v>
      </c>
      <c r="AY137" s="88">
        <f t="shared" si="186"/>
        <v>0</v>
      </c>
      <c r="AZ137" s="88">
        <f t="shared" si="186"/>
        <v>0</v>
      </c>
      <c r="BA137" s="88">
        <f t="shared" si="186"/>
        <v>0</v>
      </c>
      <c r="BB137" s="10">
        <f t="shared" si="186"/>
        <v>0</v>
      </c>
      <c r="BC137" s="10">
        <f t="shared" si="186"/>
        <v>0</v>
      </c>
      <c r="BD137" s="10">
        <f t="shared" si="186"/>
        <v>0</v>
      </c>
      <c r="BE137" s="10">
        <f t="shared" si="186"/>
        <v>0</v>
      </c>
      <c r="BF137" s="10">
        <f t="shared" si="186"/>
        <v>0</v>
      </c>
      <c r="BG137" s="10">
        <f t="shared" si="186"/>
        <v>0</v>
      </c>
      <c r="BH137" s="10">
        <f t="shared" si="186"/>
        <v>0</v>
      </c>
      <c r="BI137" s="10">
        <f t="shared" si="186"/>
        <v>0</v>
      </c>
      <c r="BJ137" s="10">
        <f t="shared" si="186"/>
        <v>0</v>
      </c>
      <c r="BK137" s="10">
        <f t="shared" si="186"/>
        <v>0</v>
      </c>
      <c r="BL137" s="10">
        <f t="shared" si="186"/>
        <v>0</v>
      </c>
      <c r="BM137" s="10">
        <f t="shared" si="186"/>
        <v>0</v>
      </c>
    </row>
    <row r="138">
      <c r="A138" s="181" t="s">
        <v>230</v>
      </c>
      <c r="B138" s="88">
        <f t="shared" ref="B138:BM138" si="187">0</f>
        <v>0</v>
      </c>
      <c r="C138" s="88">
        <f t="shared" si="187"/>
        <v>0</v>
      </c>
      <c r="D138" s="88">
        <f t="shared" si="187"/>
        <v>0</v>
      </c>
      <c r="E138" s="88">
        <f t="shared" si="187"/>
        <v>0</v>
      </c>
      <c r="F138" s="88">
        <f t="shared" si="187"/>
        <v>0</v>
      </c>
      <c r="G138" s="88">
        <f t="shared" si="187"/>
        <v>0</v>
      </c>
      <c r="H138" s="88">
        <f t="shared" si="187"/>
        <v>0</v>
      </c>
      <c r="I138" s="88">
        <f t="shared" si="187"/>
        <v>0</v>
      </c>
      <c r="J138" s="88">
        <f t="shared" si="187"/>
        <v>0</v>
      </c>
      <c r="K138" s="88">
        <f t="shared" si="187"/>
        <v>0</v>
      </c>
      <c r="L138" s="88">
        <f t="shared" si="187"/>
        <v>0</v>
      </c>
      <c r="M138" s="88">
        <f t="shared" si="187"/>
        <v>0</v>
      </c>
      <c r="N138" s="88">
        <f t="shared" si="187"/>
        <v>0</v>
      </c>
      <c r="O138" s="88">
        <f t="shared" si="187"/>
        <v>0</v>
      </c>
      <c r="P138" s="88">
        <f t="shared" si="187"/>
        <v>0</v>
      </c>
      <c r="Q138" s="88">
        <f t="shared" si="187"/>
        <v>0</v>
      </c>
      <c r="R138" s="88">
        <f t="shared" si="187"/>
        <v>0</v>
      </c>
      <c r="S138" s="88">
        <f t="shared" si="187"/>
        <v>0</v>
      </c>
      <c r="T138" s="88">
        <f t="shared" si="187"/>
        <v>0</v>
      </c>
      <c r="U138" s="88">
        <f t="shared" si="187"/>
        <v>0</v>
      </c>
      <c r="V138" s="88">
        <f t="shared" si="187"/>
        <v>0</v>
      </c>
      <c r="W138" s="88">
        <f t="shared" si="187"/>
        <v>0</v>
      </c>
      <c r="X138" s="88">
        <f t="shared" si="187"/>
        <v>0</v>
      </c>
      <c r="Y138" s="88">
        <f t="shared" si="187"/>
        <v>0</v>
      </c>
      <c r="Z138" s="88">
        <f t="shared" si="187"/>
        <v>0</v>
      </c>
      <c r="AA138" s="88">
        <f t="shared" si="187"/>
        <v>0</v>
      </c>
      <c r="AB138" s="88">
        <f t="shared" si="187"/>
        <v>0</v>
      </c>
      <c r="AC138" s="88">
        <f t="shared" si="187"/>
        <v>0</v>
      </c>
      <c r="AD138" s="88">
        <f t="shared" si="187"/>
        <v>0</v>
      </c>
      <c r="AE138" s="88">
        <f t="shared" si="187"/>
        <v>0</v>
      </c>
      <c r="AF138" s="88">
        <f t="shared" si="187"/>
        <v>0</v>
      </c>
      <c r="AG138" s="88">
        <f t="shared" si="187"/>
        <v>0</v>
      </c>
      <c r="AH138" s="88">
        <f t="shared" si="187"/>
        <v>0</v>
      </c>
      <c r="AI138" s="88">
        <f t="shared" si="187"/>
        <v>0</v>
      </c>
      <c r="AJ138" s="88">
        <f t="shared" si="187"/>
        <v>0</v>
      </c>
      <c r="AK138" s="88">
        <f t="shared" si="187"/>
        <v>0</v>
      </c>
      <c r="AL138" s="88">
        <f t="shared" si="187"/>
        <v>0</v>
      </c>
      <c r="AM138" s="88">
        <f t="shared" si="187"/>
        <v>0</v>
      </c>
      <c r="AN138" s="88">
        <f t="shared" si="187"/>
        <v>0</v>
      </c>
      <c r="AO138" s="88">
        <f t="shared" si="187"/>
        <v>0</v>
      </c>
      <c r="AP138" s="88">
        <f t="shared" si="187"/>
        <v>0</v>
      </c>
      <c r="AQ138" s="88">
        <f t="shared" si="187"/>
        <v>0</v>
      </c>
      <c r="AR138" s="88">
        <f t="shared" si="187"/>
        <v>0</v>
      </c>
      <c r="AS138" s="88">
        <f t="shared" si="187"/>
        <v>0</v>
      </c>
      <c r="AT138" s="88">
        <f t="shared" si="187"/>
        <v>0</v>
      </c>
      <c r="AU138" s="88">
        <f t="shared" si="187"/>
        <v>0</v>
      </c>
      <c r="AV138" s="88">
        <f t="shared" si="187"/>
        <v>0</v>
      </c>
      <c r="AW138" s="88">
        <f t="shared" si="187"/>
        <v>0</v>
      </c>
      <c r="AX138" s="88">
        <f t="shared" si="187"/>
        <v>0</v>
      </c>
      <c r="AY138" s="88">
        <f t="shared" si="187"/>
        <v>0</v>
      </c>
      <c r="AZ138" s="88">
        <f t="shared" si="187"/>
        <v>0</v>
      </c>
      <c r="BA138" s="88">
        <f t="shared" si="187"/>
        <v>0</v>
      </c>
      <c r="BB138" s="10">
        <f t="shared" si="187"/>
        <v>0</v>
      </c>
      <c r="BC138" s="10">
        <f t="shared" si="187"/>
        <v>0</v>
      </c>
      <c r="BD138" s="10">
        <f t="shared" si="187"/>
        <v>0</v>
      </c>
      <c r="BE138" s="10">
        <f t="shared" si="187"/>
        <v>0</v>
      </c>
      <c r="BF138" s="10">
        <f t="shared" si="187"/>
        <v>0</v>
      </c>
      <c r="BG138" s="10">
        <f t="shared" si="187"/>
        <v>0</v>
      </c>
      <c r="BH138" s="10">
        <f t="shared" si="187"/>
        <v>0</v>
      </c>
      <c r="BI138" s="10">
        <f t="shared" si="187"/>
        <v>0</v>
      </c>
      <c r="BJ138" s="10">
        <f t="shared" si="187"/>
        <v>0</v>
      </c>
      <c r="BK138" s="10">
        <f t="shared" si="187"/>
        <v>0</v>
      </c>
      <c r="BL138" s="10">
        <f t="shared" si="187"/>
        <v>0</v>
      </c>
      <c r="BM138" s="10">
        <f t="shared" si="187"/>
        <v>0</v>
      </c>
    </row>
    <row r="139">
      <c r="A139" s="181" t="s">
        <v>231</v>
      </c>
      <c r="B139" s="88">
        <f t="shared" ref="B139:BM139" si="188">0</f>
        <v>0</v>
      </c>
      <c r="C139" s="88">
        <f t="shared" si="188"/>
        <v>0</v>
      </c>
      <c r="D139" s="88">
        <f t="shared" si="188"/>
        <v>0</v>
      </c>
      <c r="E139" s="88">
        <f t="shared" si="188"/>
        <v>0</v>
      </c>
      <c r="F139" s="88">
        <f t="shared" si="188"/>
        <v>0</v>
      </c>
      <c r="G139" s="88">
        <f t="shared" si="188"/>
        <v>0</v>
      </c>
      <c r="H139" s="88">
        <f t="shared" si="188"/>
        <v>0</v>
      </c>
      <c r="I139" s="88">
        <f t="shared" si="188"/>
        <v>0</v>
      </c>
      <c r="J139" s="88">
        <f t="shared" si="188"/>
        <v>0</v>
      </c>
      <c r="K139" s="88">
        <f t="shared" si="188"/>
        <v>0</v>
      </c>
      <c r="L139" s="88">
        <f t="shared" si="188"/>
        <v>0</v>
      </c>
      <c r="M139" s="88">
        <f t="shared" si="188"/>
        <v>0</v>
      </c>
      <c r="N139" s="88">
        <f t="shared" si="188"/>
        <v>0</v>
      </c>
      <c r="O139" s="88">
        <f t="shared" si="188"/>
        <v>0</v>
      </c>
      <c r="P139" s="88">
        <f t="shared" si="188"/>
        <v>0</v>
      </c>
      <c r="Q139" s="88">
        <f t="shared" si="188"/>
        <v>0</v>
      </c>
      <c r="R139" s="88">
        <f t="shared" si="188"/>
        <v>0</v>
      </c>
      <c r="S139" s="88">
        <f t="shared" si="188"/>
        <v>0</v>
      </c>
      <c r="T139" s="88">
        <f t="shared" si="188"/>
        <v>0</v>
      </c>
      <c r="U139" s="88">
        <f t="shared" si="188"/>
        <v>0</v>
      </c>
      <c r="V139" s="88">
        <f t="shared" si="188"/>
        <v>0</v>
      </c>
      <c r="W139" s="88">
        <f t="shared" si="188"/>
        <v>0</v>
      </c>
      <c r="X139" s="88">
        <f t="shared" si="188"/>
        <v>0</v>
      </c>
      <c r="Y139" s="88">
        <f t="shared" si="188"/>
        <v>0</v>
      </c>
      <c r="Z139" s="88">
        <f t="shared" si="188"/>
        <v>0</v>
      </c>
      <c r="AA139" s="88">
        <f t="shared" si="188"/>
        <v>0</v>
      </c>
      <c r="AB139" s="88">
        <f t="shared" si="188"/>
        <v>0</v>
      </c>
      <c r="AC139" s="88">
        <f t="shared" si="188"/>
        <v>0</v>
      </c>
      <c r="AD139" s="88">
        <f t="shared" si="188"/>
        <v>0</v>
      </c>
      <c r="AE139" s="88">
        <f t="shared" si="188"/>
        <v>0</v>
      </c>
      <c r="AF139" s="88">
        <f t="shared" si="188"/>
        <v>0</v>
      </c>
      <c r="AG139" s="88">
        <f t="shared" si="188"/>
        <v>0</v>
      </c>
      <c r="AH139" s="88">
        <f t="shared" si="188"/>
        <v>0</v>
      </c>
      <c r="AI139" s="88">
        <f t="shared" si="188"/>
        <v>0</v>
      </c>
      <c r="AJ139" s="88">
        <f t="shared" si="188"/>
        <v>0</v>
      </c>
      <c r="AK139" s="88">
        <f t="shared" si="188"/>
        <v>0</v>
      </c>
      <c r="AL139" s="88">
        <f t="shared" si="188"/>
        <v>0</v>
      </c>
      <c r="AM139" s="88">
        <f t="shared" si="188"/>
        <v>0</v>
      </c>
      <c r="AN139" s="88">
        <f t="shared" si="188"/>
        <v>0</v>
      </c>
      <c r="AO139" s="88">
        <f t="shared" si="188"/>
        <v>0</v>
      </c>
      <c r="AP139" s="88">
        <f t="shared" si="188"/>
        <v>0</v>
      </c>
      <c r="AQ139" s="88">
        <f t="shared" si="188"/>
        <v>0</v>
      </c>
      <c r="AR139" s="88">
        <f t="shared" si="188"/>
        <v>0</v>
      </c>
      <c r="AS139" s="88">
        <f t="shared" si="188"/>
        <v>0</v>
      </c>
      <c r="AT139" s="88">
        <f t="shared" si="188"/>
        <v>0</v>
      </c>
      <c r="AU139" s="88">
        <f t="shared" si="188"/>
        <v>0</v>
      </c>
      <c r="AV139" s="88">
        <f t="shared" si="188"/>
        <v>0</v>
      </c>
      <c r="AW139" s="88">
        <f t="shared" si="188"/>
        <v>0</v>
      </c>
      <c r="AX139" s="88">
        <f t="shared" si="188"/>
        <v>0</v>
      </c>
      <c r="AY139" s="88">
        <f t="shared" si="188"/>
        <v>0</v>
      </c>
      <c r="AZ139" s="88">
        <f t="shared" si="188"/>
        <v>0</v>
      </c>
      <c r="BA139" s="88">
        <f t="shared" si="188"/>
        <v>0</v>
      </c>
      <c r="BB139" s="10">
        <f t="shared" si="188"/>
        <v>0</v>
      </c>
      <c r="BC139" s="10">
        <f t="shared" si="188"/>
        <v>0</v>
      </c>
      <c r="BD139" s="10">
        <f t="shared" si="188"/>
        <v>0</v>
      </c>
      <c r="BE139" s="10">
        <f t="shared" si="188"/>
        <v>0</v>
      </c>
      <c r="BF139" s="10">
        <f t="shared" si="188"/>
        <v>0</v>
      </c>
      <c r="BG139" s="10">
        <f t="shared" si="188"/>
        <v>0</v>
      </c>
      <c r="BH139" s="10">
        <f t="shared" si="188"/>
        <v>0</v>
      </c>
      <c r="BI139" s="10">
        <f t="shared" si="188"/>
        <v>0</v>
      </c>
      <c r="BJ139" s="10">
        <f t="shared" si="188"/>
        <v>0</v>
      </c>
      <c r="BK139" s="10">
        <f t="shared" si="188"/>
        <v>0</v>
      </c>
      <c r="BL139" s="10">
        <f t="shared" si="188"/>
        <v>0</v>
      </c>
      <c r="BM139" s="10">
        <f t="shared" si="188"/>
        <v>0</v>
      </c>
    </row>
    <row r="140">
      <c r="A140" s="181" t="s">
        <v>232</v>
      </c>
      <c r="B140" s="88">
        <f t="shared" ref="B140:M140" si="189">0</f>
        <v>0</v>
      </c>
      <c r="C140" s="88">
        <f t="shared" si="189"/>
        <v>0</v>
      </c>
      <c r="D140" s="88">
        <f t="shared" si="189"/>
        <v>0</v>
      </c>
      <c r="E140" s="88">
        <f t="shared" si="189"/>
        <v>0</v>
      </c>
      <c r="F140" s="88">
        <f t="shared" si="189"/>
        <v>0</v>
      </c>
      <c r="G140" s="88">
        <f t="shared" si="189"/>
        <v>0</v>
      </c>
      <c r="H140" s="88">
        <f t="shared" si="189"/>
        <v>0</v>
      </c>
      <c r="I140" s="88">
        <f t="shared" si="189"/>
        <v>0</v>
      </c>
      <c r="J140" s="88">
        <f t="shared" si="189"/>
        <v>0</v>
      </c>
      <c r="K140" s="88">
        <f t="shared" si="189"/>
        <v>0</v>
      </c>
      <c r="L140" s="88">
        <f t="shared" si="189"/>
        <v>0</v>
      </c>
      <c r="M140" s="88">
        <f t="shared" si="189"/>
        <v>0</v>
      </c>
      <c r="N140" s="88">
        <f>35</f>
        <v>35</v>
      </c>
      <c r="O140" s="88">
        <f t="shared" ref="O140:BM140" si="190">0</f>
        <v>0</v>
      </c>
      <c r="P140" s="88">
        <f t="shared" si="190"/>
        <v>0</v>
      </c>
      <c r="Q140" s="88">
        <f t="shared" si="190"/>
        <v>0</v>
      </c>
      <c r="R140" s="88">
        <f t="shared" si="190"/>
        <v>0</v>
      </c>
      <c r="S140" s="88">
        <f t="shared" si="190"/>
        <v>0</v>
      </c>
      <c r="T140" s="88">
        <f t="shared" si="190"/>
        <v>0</v>
      </c>
      <c r="U140" s="88">
        <f t="shared" si="190"/>
        <v>0</v>
      </c>
      <c r="V140" s="88">
        <f t="shared" si="190"/>
        <v>0</v>
      </c>
      <c r="W140" s="88">
        <f t="shared" si="190"/>
        <v>0</v>
      </c>
      <c r="X140" s="88">
        <f t="shared" si="190"/>
        <v>0</v>
      </c>
      <c r="Y140" s="88">
        <f t="shared" si="190"/>
        <v>0</v>
      </c>
      <c r="Z140" s="88">
        <f t="shared" si="190"/>
        <v>0</v>
      </c>
      <c r="AA140" s="88">
        <f t="shared" si="190"/>
        <v>0</v>
      </c>
      <c r="AB140" s="88">
        <f t="shared" si="190"/>
        <v>0</v>
      </c>
      <c r="AC140" s="88">
        <f t="shared" si="190"/>
        <v>0</v>
      </c>
      <c r="AD140" s="88">
        <f t="shared" si="190"/>
        <v>0</v>
      </c>
      <c r="AE140" s="88">
        <f t="shared" si="190"/>
        <v>0</v>
      </c>
      <c r="AF140" s="88">
        <f t="shared" si="190"/>
        <v>0</v>
      </c>
      <c r="AG140" s="88">
        <f t="shared" si="190"/>
        <v>0</v>
      </c>
      <c r="AH140" s="88">
        <f t="shared" si="190"/>
        <v>0</v>
      </c>
      <c r="AI140" s="88">
        <f t="shared" si="190"/>
        <v>0</v>
      </c>
      <c r="AJ140" s="88">
        <f t="shared" si="190"/>
        <v>0</v>
      </c>
      <c r="AK140" s="88">
        <f t="shared" si="190"/>
        <v>0</v>
      </c>
      <c r="AL140" s="88">
        <f t="shared" si="190"/>
        <v>0</v>
      </c>
      <c r="AM140" s="88">
        <f t="shared" si="190"/>
        <v>0</v>
      </c>
      <c r="AN140" s="88">
        <f t="shared" si="190"/>
        <v>0</v>
      </c>
      <c r="AO140" s="88">
        <f t="shared" si="190"/>
        <v>0</v>
      </c>
      <c r="AP140" s="88">
        <f t="shared" si="190"/>
        <v>0</v>
      </c>
      <c r="AQ140" s="88">
        <f t="shared" si="190"/>
        <v>0</v>
      </c>
      <c r="AR140" s="88">
        <f t="shared" si="190"/>
        <v>0</v>
      </c>
      <c r="AS140" s="88">
        <f t="shared" si="190"/>
        <v>0</v>
      </c>
      <c r="AT140" s="88">
        <f t="shared" si="190"/>
        <v>0</v>
      </c>
      <c r="AU140" s="88">
        <f t="shared" si="190"/>
        <v>0</v>
      </c>
      <c r="AV140" s="88">
        <f t="shared" si="190"/>
        <v>0</v>
      </c>
      <c r="AW140" s="88">
        <f t="shared" si="190"/>
        <v>0</v>
      </c>
      <c r="AX140" s="88">
        <f t="shared" si="190"/>
        <v>0</v>
      </c>
      <c r="AY140" s="88">
        <f t="shared" si="190"/>
        <v>0</v>
      </c>
      <c r="AZ140" s="88">
        <f t="shared" si="190"/>
        <v>0</v>
      </c>
      <c r="BA140" s="88">
        <f t="shared" si="190"/>
        <v>0</v>
      </c>
      <c r="BB140" s="10">
        <f t="shared" si="190"/>
        <v>0</v>
      </c>
      <c r="BC140" s="10">
        <f t="shared" si="190"/>
        <v>0</v>
      </c>
      <c r="BD140" s="10">
        <f t="shared" si="190"/>
        <v>0</v>
      </c>
      <c r="BE140" s="10">
        <f t="shared" si="190"/>
        <v>0</v>
      </c>
      <c r="BF140" s="10">
        <f t="shared" si="190"/>
        <v>0</v>
      </c>
      <c r="BG140" s="10">
        <f t="shared" si="190"/>
        <v>0</v>
      </c>
      <c r="BH140" s="10">
        <f t="shared" si="190"/>
        <v>0</v>
      </c>
      <c r="BI140" s="10">
        <f t="shared" si="190"/>
        <v>0</v>
      </c>
      <c r="BJ140" s="10">
        <f t="shared" si="190"/>
        <v>0</v>
      </c>
      <c r="BK140" s="10">
        <f t="shared" si="190"/>
        <v>0</v>
      </c>
      <c r="BL140" s="10">
        <f t="shared" si="190"/>
        <v>0</v>
      </c>
      <c r="BM140" s="10">
        <f t="shared" si="190"/>
        <v>0</v>
      </c>
    </row>
    <row r="141">
      <c r="A141" s="181" t="s">
        <v>233</v>
      </c>
      <c r="B141" s="88">
        <f t="shared" ref="B141:BM141" si="191">0</f>
        <v>0</v>
      </c>
      <c r="C141" s="88">
        <f t="shared" si="191"/>
        <v>0</v>
      </c>
      <c r="D141" s="88">
        <f t="shared" si="191"/>
        <v>0</v>
      </c>
      <c r="E141" s="88">
        <f t="shared" si="191"/>
        <v>0</v>
      </c>
      <c r="F141" s="88">
        <f t="shared" si="191"/>
        <v>0</v>
      </c>
      <c r="G141" s="88">
        <f t="shared" si="191"/>
        <v>0</v>
      </c>
      <c r="H141" s="88">
        <f t="shared" si="191"/>
        <v>0</v>
      </c>
      <c r="I141" s="88">
        <f t="shared" si="191"/>
        <v>0</v>
      </c>
      <c r="J141" s="88">
        <f t="shared" si="191"/>
        <v>0</v>
      </c>
      <c r="K141" s="88">
        <f t="shared" si="191"/>
        <v>0</v>
      </c>
      <c r="L141" s="88">
        <f t="shared" si="191"/>
        <v>0</v>
      </c>
      <c r="M141" s="88">
        <f t="shared" si="191"/>
        <v>0</v>
      </c>
      <c r="N141" s="88">
        <f t="shared" si="191"/>
        <v>0</v>
      </c>
      <c r="O141" s="88">
        <f t="shared" si="191"/>
        <v>0</v>
      </c>
      <c r="P141" s="88">
        <f t="shared" si="191"/>
        <v>0</v>
      </c>
      <c r="Q141" s="88">
        <f t="shared" si="191"/>
        <v>0</v>
      </c>
      <c r="R141" s="88">
        <f t="shared" si="191"/>
        <v>0</v>
      </c>
      <c r="S141" s="88">
        <f t="shared" si="191"/>
        <v>0</v>
      </c>
      <c r="T141" s="88">
        <f t="shared" si="191"/>
        <v>0</v>
      </c>
      <c r="U141" s="88">
        <f t="shared" si="191"/>
        <v>0</v>
      </c>
      <c r="V141" s="88">
        <f t="shared" si="191"/>
        <v>0</v>
      </c>
      <c r="W141" s="88">
        <f t="shared" si="191"/>
        <v>0</v>
      </c>
      <c r="X141" s="88">
        <f t="shared" si="191"/>
        <v>0</v>
      </c>
      <c r="Y141" s="88">
        <f t="shared" si="191"/>
        <v>0</v>
      </c>
      <c r="Z141" s="88">
        <f t="shared" si="191"/>
        <v>0</v>
      </c>
      <c r="AA141" s="88">
        <f t="shared" si="191"/>
        <v>0</v>
      </c>
      <c r="AB141" s="88">
        <f t="shared" si="191"/>
        <v>0</v>
      </c>
      <c r="AC141" s="88">
        <f t="shared" si="191"/>
        <v>0</v>
      </c>
      <c r="AD141" s="88">
        <f t="shared" si="191"/>
        <v>0</v>
      </c>
      <c r="AE141" s="88">
        <f t="shared" si="191"/>
        <v>0</v>
      </c>
      <c r="AF141" s="88">
        <f t="shared" si="191"/>
        <v>0</v>
      </c>
      <c r="AG141" s="88">
        <f t="shared" si="191"/>
        <v>0</v>
      </c>
      <c r="AH141" s="88">
        <f t="shared" si="191"/>
        <v>0</v>
      </c>
      <c r="AI141" s="88">
        <f t="shared" si="191"/>
        <v>0</v>
      </c>
      <c r="AJ141" s="88">
        <f t="shared" si="191"/>
        <v>0</v>
      </c>
      <c r="AK141" s="88">
        <f t="shared" si="191"/>
        <v>0</v>
      </c>
      <c r="AL141" s="88">
        <f t="shared" si="191"/>
        <v>0</v>
      </c>
      <c r="AM141" s="88">
        <f t="shared" si="191"/>
        <v>0</v>
      </c>
      <c r="AN141" s="88">
        <f t="shared" si="191"/>
        <v>0</v>
      </c>
      <c r="AO141" s="88">
        <f t="shared" si="191"/>
        <v>0</v>
      </c>
      <c r="AP141" s="88">
        <f t="shared" si="191"/>
        <v>0</v>
      </c>
      <c r="AQ141" s="88">
        <f t="shared" si="191"/>
        <v>0</v>
      </c>
      <c r="AR141" s="88">
        <f t="shared" si="191"/>
        <v>0</v>
      </c>
      <c r="AS141" s="88">
        <f t="shared" si="191"/>
        <v>0</v>
      </c>
      <c r="AT141" s="88">
        <f t="shared" si="191"/>
        <v>0</v>
      </c>
      <c r="AU141" s="88">
        <f t="shared" si="191"/>
        <v>0</v>
      </c>
      <c r="AV141" s="88">
        <f t="shared" si="191"/>
        <v>0</v>
      </c>
      <c r="AW141" s="88">
        <f t="shared" si="191"/>
        <v>0</v>
      </c>
      <c r="AX141" s="88">
        <f t="shared" si="191"/>
        <v>0</v>
      </c>
      <c r="AY141" s="88">
        <f t="shared" si="191"/>
        <v>0</v>
      </c>
      <c r="AZ141" s="88">
        <f t="shared" si="191"/>
        <v>0</v>
      </c>
      <c r="BA141" s="88">
        <f t="shared" si="191"/>
        <v>0</v>
      </c>
      <c r="BB141" s="10">
        <f t="shared" si="191"/>
        <v>0</v>
      </c>
      <c r="BC141" s="10">
        <f t="shared" si="191"/>
        <v>0</v>
      </c>
      <c r="BD141" s="10">
        <f t="shared" si="191"/>
        <v>0</v>
      </c>
      <c r="BE141" s="10">
        <f t="shared" si="191"/>
        <v>0</v>
      </c>
      <c r="BF141" s="10">
        <f t="shared" si="191"/>
        <v>0</v>
      </c>
      <c r="BG141" s="10">
        <f t="shared" si="191"/>
        <v>0</v>
      </c>
      <c r="BH141" s="10">
        <f t="shared" si="191"/>
        <v>0</v>
      </c>
      <c r="BI141" s="10">
        <f t="shared" si="191"/>
        <v>0</v>
      </c>
      <c r="BJ141" s="10">
        <f t="shared" si="191"/>
        <v>0</v>
      </c>
      <c r="BK141" s="10">
        <f t="shared" si="191"/>
        <v>0</v>
      </c>
      <c r="BL141" s="10">
        <f t="shared" si="191"/>
        <v>0</v>
      </c>
      <c r="BM141" s="10">
        <f t="shared" si="191"/>
        <v>0</v>
      </c>
    </row>
    <row r="142">
      <c r="A142" s="181" t="s">
        <v>234</v>
      </c>
      <c r="B142" s="88">
        <f t="shared" ref="B142:O142" si="192">0</f>
        <v>0</v>
      </c>
      <c r="C142" s="88">
        <f t="shared" si="192"/>
        <v>0</v>
      </c>
      <c r="D142" s="88">
        <f t="shared" si="192"/>
        <v>0</v>
      </c>
      <c r="E142" s="88">
        <f t="shared" si="192"/>
        <v>0</v>
      </c>
      <c r="F142" s="88">
        <f t="shared" si="192"/>
        <v>0</v>
      </c>
      <c r="G142" s="88">
        <f t="shared" si="192"/>
        <v>0</v>
      </c>
      <c r="H142" s="88">
        <f t="shared" si="192"/>
        <v>0</v>
      </c>
      <c r="I142" s="88">
        <f t="shared" si="192"/>
        <v>0</v>
      </c>
      <c r="J142" s="88">
        <f t="shared" si="192"/>
        <v>0</v>
      </c>
      <c r="K142" s="88">
        <f t="shared" si="192"/>
        <v>0</v>
      </c>
      <c r="L142" s="88">
        <f t="shared" si="192"/>
        <v>0</v>
      </c>
      <c r="M142" s="88">
        <f t="shared" si="192"/>
        <v>0</v>
      </c>
      <c r="N142" s="88">
        <f t="shared" si="192"/>
        <v>0</v>
      </c>
      <c r="O142" s="88">
        <f t="shared" si="192"/>
        <v>0</v>
      </c>
      <c r="P142" s="10">
        <f>20</f>
        <v>20</v>
      </c>
      <c r="Q142" s="88">
        <f t="shared" ref="Q142:BM142" si="193">0</f>
        <v>0</v>
      </c>
      <c r="R142" s="88">
        <f t="shared" si="193"/>
        <v>0</v>
      </c>
      <c r="S142" s="88">
        <f t="shared" si="193"/>
        <v>0</v>
      </c>
      <c r="T142" s="88">
        <f t="shared" si="193"/>
        <v>0</v>
      </c>
      <c r="U142" s="88">
        <f t="shared" si="193"/>
        <v>0</v>
      </c>
      <c r="V142" s="88">
        <f t="shared" si="193"/>
        <v>0</v>
      </c>
      <c r="W142" s="88">
        <f t="shared" si="193"/>
        <v>0</v>
      </c>
      <c r="X142" s="88">
        <f t="shared" si="193"/>
        <v>0</v>
      </c>
      <c r="Y142" s="88">
        <f t="shared" si="193"/>
        <v>0</v>
      </c>
      <c r="Z142" s="88">
        <f t="shared" si="193"/>
        <v>0</v>
      </c>
      <c r="AA142" s="88">
        <f t="shared" si="193"/>
        <v>0</v>
      </c>
      <c r="AB142" s="88">
        <f t="shared" si="193"/>
        <v>0</v>
      </c>
      <c r="AC142" s="88">
        <f t="shared" si="193"/>
        <v>0</v>
      </c>
      <c r="AD142" s="88">
        <f t="shared" si="193"/>
        <v>0</v>
      </c>
      <c r="AE142" s="88">
        <f t="shared" si="193"/>
        <v>0</v>
      </c>
      <c r="AF142" s="88">
        <f t="shared" si="193"/>
        <v>0</v>
      </c>
      <c r="AG142" s="88">
        <f t="shared" si="193"/>
        <v>0</v>
      </c>
      <c r="AH142" s="88">
        <f t="shared" si="193"/>
        <v>0</v>
      </c>
      <c r="AI142" s="88">
        <f t="shared" si="193"/>
        <v>0</v>
      </c>
      <c r="AJ142" s="88">
        <f t="shared" si="193"/>
        <v>0</v>
      </c>
      <c r="AK142" s="88">
        <f t="shared" si="193"/>
        <v>0</v>
      </c>
      <c r="AL142" s="88">
        <f t="shared" si="193"/>
        <v>0</v>
      </c>
      <c r="AM142" s="88">
        <f t="shared" si="193"/>
        <v>0</v>
      </c>
      <c r="AN142" s="88">
        <f t="shared" si="193"/>
        <v>0</v>
      </c>
      <c r="AO142" s="88">
        <f t="shared" si="193"/>
        <v>0</v>
      </c>
      <c r="AP142" s="88">
        <f t="shared" si="193"/>
        <v>0</v>
      </c>
      <c r="AQ142" s="88">
        <f t="shared" si="193"/>
        <v>0</v>
      </c>
      <c r="AR142" s="88">
        <f t="shared" si="193"/>
        <v>0</v>
      </c>
      <c r="AS142" s="88">
        <f t="shared" si="193"/>
        <v>0</v>
      </c>
      <c r="AT142" s="88">
        <f t="shared" si="193"/>
        <v>0</v>
      </c>
      <c r="AU142" s="88">
        <f t="shared" si="193"/>
        <v>0</v>
      </c>
      <c r="AV142" s="88">
        <f t="shared" si="193"/>
        <v>0</v>
      </c>
      <c r="AW142" s="88">
        <f t="shared" si="193"/>
        <v>0</v>
      </c>
      <c r="AX142" s="88">
        <f t="shared" si="193"/>
        <v>0</v>
      </c>
      <c r="AY142" s="88">
        <f t="shared" si="193"/>
        <v>0</v>
      </c>
      <c r="AZ142" s="88">
        <f t="shared" si="193"/>
        <v>0</v>
      </c>
      <c r="BA142" s="88">
        <f t="shared" si="193"/>
        <v>0</v>
      </c>
      <c r="BB142" s="10">
        <f t="shared" si="193"/>
        <v>0</v>
      </c>
      <c r="BC142" s="10">
        <f t="shared" si="193"/>
        <v>0</v>
      </c>
      <c r="BD142" s="10">
        <f t="shared" si="193"/>
        <v>0</v>
      </c>
      <c r="BE142" s="10">
        <f t="shared" si="193"/>
        <v>0</v>
      </c>
      <c r="BF142" s="10">
        <f t="shared" si="193"/>
        <v>0</v>
      </c>
      <c r="BG142" s="10">
        <f t="shared" si="193"/>
        <v>0</v>
      </c>
      <c r="BH142" s="10">
        <f t="shared" si="193"/>
        <v>0</v>
      </c>
      <c r="BI142" s="10">
        <f t="shared" si="193"/>
        <v>0</v>
      </c>
      <c r="BJ142" s="10">
        <f t="shared" si="193"/>
        <v>0</v>
      </c>
      <c r="BK142" s="10">
        <f t="shared" si="193"/>
        <v>0</v>
      </c>
      <c r="BL142" s="10">
        <f t="shared" si="193"/>
        <v>0</v>
      </c>
      <c r="BM142" s="10">
        <f t="shared" si="193"/>
        <v>0</v>
      </c>
    </row>
    <row r="143">
      <c r="A143" s="181" t="s">
        <v>235</v>
      </c>
      <c r="B143" s="88">
        <f t="shared" ref="B143:H143" si="194">0</f>
        <v>0</v>
      </c>
      <c r="C143" s="88">
        <f t="shared" si="194"/>
        <v>0</v>
      </c>
      <c r="D143" s="88">
        <f t="shared" si="194"/>
        <v>0</v>
      </c>
      <c r="E143" s="88">
        <f t="shared" si="194"/>
        <v>0</v>
      </c>
      <c r="F143" s="88">
        <f t="shared" si="194"/>
        <v>0</v>
      </c>
      <c r="G143" s="88">
        <f t="shared" si="194"/>
        <v>0</v>
      </c>
      <c r="H143" s="88">
        <f t="shared" si="194"/>
        <v>0</v>
      </c>
      <c r="I143" s="10">
        <f>60</f>
        <v>60</v>
      </c>
      <c r="J143" s="88">
        <f t="shared" ref="J143:BM143" si="195">0</f>
        <v>0</v>
      </c>
      <c r="K143" s="88">
        <f t="shared" si="195"/>
        <v>0</v>
      </c>
      <c r="L143" s="88">
        <f t="shared" si="195"/>
        <v>0</v>
      </c>
      <c r="M143" s="88">
        <f t="shared" si="195"/>
        <v>0</v>
      </c>
      <c r="N143" s="88">
        <f t="shared" si="195"/>
        <v>0</v>
      </c>
      <c r="O143" s="88">
        <f t="shared" si="195"/>
        <v>0</v>
      </c>
      <c r="P143" s="88">
        <f t="shared" si="195"/>
        <v>0</v>
      </c>
      <c r="Q143" s="88">
        <f t="shared" si="195"/>
        <v>0</v>
      </c>
      <c r="R143" s="88">
        <f t="shared" si="195"/>
        <v>0</v>
      </c>
      <c r="S143" s="88">
        <f t="shared" si="195"/>
        <v>0</v>
      </c>
      <c r="T143" s="88">
        <f t="shared" si="195"/>
        <v>0</v>
      </c>
      <c r="U143" s="88">
        <f t="shared" si="195"/>
        <v>0</v>
      </c>
      <c r="V143" s="88">
        <f t="shared" si="195"/>
        <v>0</v>
      </c>
      <c r="W143" s="88">
        <f t="shared" si="195"/>
        <v>0</v>
      </c>
      <c r="X143" s="88">
        <f t="shared" si="195"/>
        <v>0</v>
      </c>
      <c r="Y143" s="88">
        <f t="shared" si="195"/>
        <v>0</v>
      </c>
      <c r="Z143" s="88">
        <f t="shared" si="195"/>
        <v>0</v>
      </c>
      <c r="AA143" s="88">
        <f t="shared" si="195"/>
        <v>0</v>
      </c>
      <c r="AB143" s="88">
        <f t="shared" si="195"/>
        <v>0</v>
      </c>
      <c r="AC143" s="88">
        <f t="shared" si="195"/>
        <v>0</v>
      </c>
      <c r="AD143" s="88">
        <f t="shared" si="195"/>
        <v>0</v>
      </c>
      <c r="AE143" s="88">
        <f t="shared" si="195"/>
        <v>0</v>
      </c>
      <c r="AF143" s="88">
        <f t="shared" si="195"/>
        <v>0</v>
      </c>
      <c r="AG143" s="88">
        <f t="shared" si="195"/>
        <v>0</v>
      </c>
      <c r="AH143" s="88">
        <f t="shared" si="195"/>
        <v>0</v>
      </c>
      <c r="AI143" s="88">
        <f t="shared" si="195"/>
        <v>0</v>
      </c>
      <c r="AJ143" s="88">
        <f t="shared" si="195"/>
        <v>0</v>
      </c>
      <c r="AK143" s="88">
        <f t="shared" si="195"/>
        <v>0</v>
      </c>
      <c r="AL143" s="88">
        <f t="shared" si="195"/>
        <v>0</v>
      </c>
      <c r="AM143" s="88">
        <f t="shared" si="195"/>
        <v>0</v>
      </c>
      <c r="AN143" s="88">
        <f t="shared" si="195"/>
        <v>0</v>
      </c>
      <c r="AO143" s="88">
        <f t="shared" si="195"/>
        <v>0</v>
      </c>
      <c r="AP143" s="88">
        <f t="shared" si="195"/>
        <v>0</v>
      </c>
      <c r="AQ143" s="88">
        <f t="shared" si="195"/>
        <v>0</v>
      </c>
      <c r="AR143" s="88">
        <f t="shared" si="195"/>
        <v>0</v>
      </c>
      <c r="AS143" s="88">
        <f t="shared" si="195"/>
        <v>0</v>
      </c>
      <c r="AT143" s="88">
        <f t="shared" si="195"/>
        <v>0</v>
      </c>
      <c r="AU143" s="88">
        <f t="shared" si="195"/>
        <v>0</v>
      </c>
      <c r="AV143" s="88">
        <f t="shared" si="195"/>
        <v>0</v>
      </c>
      <c r="AW143" s="88">
        <f t="shared" si="195"/>
        <v>0</v>
      </c>
      <c r="AX143" s="88">
        <f t="shared" si="195"/>
        <v>0</v>
      </c>
      <c r="AY143" s="88">
        <f t="shared" si="195"/>
        <v>0</v>
      </c>
      <c r="AZ143" s="88">
        <f t="shared" si="195"/>
        <v>0</v>
      </c>
      <c r="BA143" s="88">
        <f t="shared" si="195"/>
        <v>0</v>
      </c>
      <c r="BB143" s="10">
        <f t="shared" si="195"/>
        <v>0</v>
      </c>
      <c r="BC143" s="10">
        <f t="shared" si="195"/>
        <v>0</v>
      </c>
      <c r="BD143" s="10">
        <f t="shared" si="195"/>
        <v>0</v>
      </c>
      <c r="BE143" s="10">
        <f t="shared" si="195"/>
        <v>0</v>
      </c>
      <c r="BF143" s="10">
        <f t="shared" si="195"/>
        <v>0</v>
      </c>
      <c r="BG143" s="10">
        <f t="shared" si="195"/>
        <v>0</v>
      </c>
      <c r="BH143" s="10">
        <f t="shared" si="195"/>
        <v>0</v>
      </c>
      <c r="BI143" s="10">
        <f t="shared" si="195"/>
        <v>0</v>
      </c>
      <c r="BJ143" s="10">
        <f t="shared" si="195"/>
        <v>0</v>
      </c>
      <c r="BK143" s="10">
        <f t="shared" si="195"/>
        <v>0</v>
      </c>
      <c r="BL143" s="10">
        <f t="shared" si="195"/>
        <v>0</v>
      </c>
      <c r="BM143" s="10">
        <f t="shared" si="195"/>
        <v>0</v>
      </c>
    </row>
    <row r="144">
      <c r="A144" s="181" t="s">
        <v>236</v>
      </c>
      <c r="B144" s="88">
        <f t="shared" ref="B144:L144" si="196">0</f>
        <v>0</v>
      </c>
      <c r="C144" s="88">
        <f t="shared" si="196"/>
        <v>0</v>
      </c>
      <c r="D144" s="88">
        <f t="shared" si="196"/>
        <v>0</v>
      </c>
      <c r="E144" s="88">
        <f t="shared" si="196"/>
        <v>0</v>
      </c>
      <c r="F144" s="88">
        <f t="shared" si="196"/>
        <v>0</v>
      </c>
      <c r="G144" s="88">
        <f t="shared" si="196"/>
        <v>0</v>
      </c>
      <c r="H144" s="88">
        <f t="shared" si="196"/>
        <v>0</v>
      </c>
      <c r="I144" s="88">
        <f t="shared" si="196"/>
        <v>0</v>
      </c>
      <c r="J144" s="88">
        <f t="shared" si="196"/>
        <v>0</v>
      </c>
      <c r="K144" s="88">
        <f t="shared" si="196"/>
        <v>0</v>
      </c>
      <c r="L144" s="88">
        <f t="shared" si="196"/>
        <v>0</v>
      </c>
      <c r="M144" s="10">
        <f t="shared" ref="M144:M146" si="199">40</f>
        <v>40</v>
      </c>
      <c r="N144" s="88">
        <f t="shared" ref="N144:N146" si="200">0</f>
        <v>0</v>
      </c>
      <c r="O144" s="10">
        <f>40</f>
        <v>40</v>
      </c>
      <c r="P144" s="88">
        <f t="shared" ref="P144:BM144" si="197">0</f>
        <v>0</v>
      </c>
      <c r="Q144" s="88">
        <f t="shared" si="197"/>
        <v>0</v>
      </c>
      <c r="R144" s="88">
        <f t="shared" si="197"/>
        <v>0</v>
      </c>
      <c r="S144" s="88">
        <f t="shared" si="197"/>
        <v>0</v>
      </c>
      <c r="T144" s="88">
        <f t="shared" si="197"/>
        <v>0</v>
      </c>
      <c r="U144" s="88">
        <f t="shared" si="197"/>
        <v>0</v>
      </c>
      <c r="V144" s="88">
        <f t="shared" si="197"/>
        <v>0</v>
      </c>
      <c r="W144" s="88">
        <f t="shared" si="197"/>
        <v>0</v>
      </c>
      <c r="X144" s="88">
        <f t="shared" si="197"/>
        <v>0</v>
      </c>
      <c r="Y144" s="88">
        <f t="shared" si="197"/>
        <v>0</v>
      </c>
      <c r="Z144" s="88">
        <f t="shared" si="197"/>
        <v>0</v>
      </c>
      <c r="AA144" s="88">
        <f t="shared" si="197"/>
        <v>0</v>
      </c>
      <c r="AB144" s="88">
        <f t="shared" si="197"/>
        <v>0</v>
      </c>
      <c r="AC144" s="88">
        <f t="shared" si="197"/>
        <v>0</v>
      </c>
      <c r="AD144" s="88">
        <f t="shared" si="197"/>
        <v>0</v>
      </c>
      <c r="AE144" s="88">
        <f t="shared" si="197"/>
        <v>0</v>
      </c>
      <c r="AF144" s="88">
        <f t="shared" si="197"/>
        <v>0</v>
      </c>
      <c r="AG144" s="88">
        <f t="shared" si="197"/>
        <v>0</v>
      </c>
      <c r="AH144" s="88">
        <f t="shared" si="197"/>
        <v>0</v>
      </c>
      <c r="AI144" s="88">
        <f t="shared" si="197"/>
        <v>0</v>
      </c>
      <c r="AJ144" s="88">
        <f t="shared" si="197"/>
        <v>0</v>
      </c>
      <c r="AK144" s="88">
        <f t="shared" si="197"/>
        <v>0</v>
      </c>
      <c r="AL144" s="88">
        <f t="shared" si="197"/>
        <v>0</v>
      </c>
      <c r="AM144" s="88">
        <f t="shared" si="197"/>
        <v>0</v>
      </c>
      <c r="AN144" s="88">
        <f t="shared" si="197"/>
        <v>0</v>
      </c>
      <c r="AO144" s="88">
        <f t="shared" si="197"/>
        <v>0</v>
      </c>
      <c r="AP144" s="88">
        <f t="shared" si="197"/>
        <v>0</v>
      </c>
      <c r="AQ144" s="88">
        <f t="shared" si="197"/>
        <v>0</v>
      </c>
      <c r="AR144" s="88">
        <f t="shared" si="197"/>
        <v>0</v>
      </c>
      <c r="AS144" s="88">
        <f t="shared" si="197"/>
        <v>0</v>
      </c>
      <c r="AT144" s="88">
        <f t="shared" si="197"/>
        <v>0</v>
      </c>
      <c r="AU144" s="88">
        <f t="shared" si="197"/>
        <v>0</v>
      </c>
      <c r="AV144" s="88">
        <f t="shared" si="197"/>
        <v>0</v>
      </c>
      <c r="AW144" s="88">
        <f t="shared" si="197"/>
        <v>0</v>
      </c>
      <c r="AX144" s="88">
        <f t="shared" si="197"/>
        <v>0</v>
      </c>
      <c r="AY144" s="88">
        <f t="shared" si="197"/>
        <v>0</v>
      </c>
      <c r="AZ144" s="88">
        <f t="shared" si="197"/>
        <v>0</v>
      </c>
      <c r="BA144" s="88">
        <f t="shared" si="197"/>
        <v>0</v>
      </c>
      <c r="BB144" s="10">
        <f t="shared" si="197"/>
        <v>0</v>
      </c>
      <c r="BC144" s="10">
        <f t="shared" si="197"/>
        <v>0</v>
      </c>
      <c r="BD144" s="10">
        <f t="shared" si="197"/>
        <v>0</v>
      </c>
      <c r="BE144" s="10">
        <f t="shared" si="197"/>
        <v>0</v>
      </c>
      <c r="BF144" s="10">
        <f t="shared" si="197"/>
        <v>0</v>
      </c>
      <c r="BG144" s="10">
        <f t="shared" si="197"/>
        <v>0</v>
      </c>
      <c r="BH144" s="10">
        <f t="shared" si="197"/>
        <v>0</v>
      </c>
      <c r="BI144" s="10">
        <f t="shared" si="197"/>
        <v>0</v>
      </c>
      <c r="BJ144" s="10">
        <f t="shared" si="197"/>
        <v>0</v>
      </c>
      <c r="BK144" s="10">
        <f t="shared" si="197"/>
        <v>0</v>
      </c>
      <c r="BL144" s="10">
        <f t="shared" si="197"/>
        <v>0</v>
      </c>
      <c r="BM144" s="10">
        <f t="shared" si="197"/>
        <v>0</v>
      </c>
    </row>
    <row r="145">
      <c r="A145" s="181" t="s">
        <v>237</v>
      </c>
      <c r="B145" s="88">
        <f t="shared" ref="B145:L145" si="198">0</f>
        <v>0</v>
      </c>
      <c r="C145" s="88">
        <f t="shared" si="198"/>
        <v>0</v>
      </c>
      <c r="D145" s="88">
        <f t="shared" si="198"/>
        <v>0</v>
      </c>
      <c r="E145" s="88">
        <f t="shared" si="198"/>
        <v>0</v>
      </c>
      <c r="F145" s="88">
        <f t="shared" si="198"/>
        <v>0</v>
      </c>
      <c r="G145" s="88">
        <f t="shared" si="198"/>
        <v>0</v>
      </c>
      <c r="H145" s="88">
        <f t="shared" si="198"/>
        <v>0</v>
      </c>
      <c r="I145" s="88">
        <f t="shared" si="198"/>
        <v>0</v>
      </c>
      <c r="J145" s="88">
        <f t="shared" si="198"/>
        <v>0</v>
      </c>
      <c r="K145" s="88">
        <f t="shared" si="198"/>
        <v>0</v>
      </c>
      <c r="L145" s="88">
        <f t="shared" si="198"/>
        <v>0</v>
      </c>
      <c r="M145" s="10">
        <f t="shared" si="199"/>
        <v>40</v>
      </c>
      <c r="N145" s="88">
        <f t="shared" si="200"/>
        <v>0</v>
      </c>
      <c r="O145" s="88">
        <f t="shared" ref="O145:BM145" si="201">0</f>
        <v>0</v>
      </c>
      <c r="P145" s="88">
        <f t="shared" si="201"/>
        <v>0</v>
      </c>
      <c r="Q145" s="88">
        <f t="shared" si="201"/>
        <v>0</v>
      </c>
      <c r="R145" s="88">
        <f t="shared" si="201"/>
        <v>0</v>
      </c>
      <c r="S145" s="88">
        <f t="shared" si="201"/>
        <v>0</v>
      </c>
      <c r="T145" s="88">
        <f t="shared" si="201"/>
        <v>0</v>
      </c>
      <c r="U145" s="88">
        <f t="shared" si="201"/>
        <v>0</v>
      </c>
      <c r="V145" s="88">
        <f t="shared" si="201"/>
        <v>0</v>
      </c>
      <c r="W145" s="88">
        <f t="shared" si="201"/>
        <v>0</v>
      </c>
      <c r="X145" s="88">
        <f t="shared" si="201"/>
        <v>0</v>
      </c>
      <c r="Y145" s="88">
        <f t="shared" si="201"/>
        <v>0</v>
      </c>
      <c r="Z145" s="88">
        <f t="shared" si="201"/>
        <v>0</v>
      </c>
      <c r="AA145" s="88">
        <f t="shared" si="201"/>
        <v>0</v>
      </c>
      <c r="AB145" s="88">
        <f t="shared" si="201"/>
        <v>0</v>
      </c>
      <c r="AC145" s="88">
        <f t="shared" si="201"/>
        <v>0</v>
      </c>
      <c r="AD145" s="88">
        <f t="shared" si="201"/>
        <v>0</v>
      </c>
      <c r="AE145" s="88">
        <f t="shared" si="201"/>
        <v>0</v>
      </c>
      <c r="AF145" s="88">
        <f t="shared" si="201"/>
        <v>0</v>
      </c>
      <c r="AG145" s="88">
        <f t="shared" si="201"/>
        <v>0</v>
      </c>
      <c r="AH145" s="88">
        <f t="shared" si="201"/>
        <v>0</v>
      </c>
      <c r="AI145" s="88">
        <f t="shared" si="201"/>
        <v>0</v>
      </c>
      <c r="AJ145" s="88">
        <f t="shared" si="201"/>
        <v>0</v>
      </c>
      <c r="AK145" s="88">
        <f t="shared" si="201"/>
        <v>0</v>
      </c>
      <c r="AL145" s="88">
        <f t="shared" si="201"/>
        <v>0</v>
      </c>
      <c r="AM145" s="88">
        <f t="shared" si="201"/>
        <v>0</v>
      </c>
      <c r="AN145" s="88">
        <f t="shared" si="201"/>
        <v>0</v>
      </c>
      <c r="AO145" s="88">
        <f t="shared" si="201"/>
        <v>0</v>
      </c>
      <c r="AP145" s="88">
        <f t="shared" si="201"/>
        <v>0</v>
      </c>
      <c r="AQ145" s="88">
        <f t="shared" si="201"/>
        <v>0</v>
      </c>
      <c r="AR145" s="88">
        <f t="shared" si="201"/>
        <v>0</v>
      </c>
      <c r="AS145" s="88">
        <f t="shared" si="201"/>
        <v>0</v>
      </c>
      <c r="AT145" s="88">
        <f t="shared" si="201"/>
        <v>0</v>
      </c>
      <c r="AU145" s="88">
        <f t="shared" si="201"/>
        <v>0</v>
      </c>
      <c r="AV145" s="88">
        <f t="shared" si="201"/>
        <v>0</v>
      </c>
      <c r="AW145" s="88">
        <f t="shared" si="201"/>
        <v>0</v>
      </c>
      <c r="AX145" s="88">
        <f t="shared" si="201"/>
        <v>0</v>
      </c>
      <c r="AY145" s="88">
        <f t="shared" si="201"/>
        <v>0</v>
      </c>
      <c r="AZ145" s="88">
        <f t="shared" si="201"/>
        <v>0</v>
      </c>
      <c r="BA145" s="88">
        <f t="shared" si="201"/>
        <v>0</v>
      </c>
      <c r="BB145" s="10">
        <f t="shared" si="201"/>
        <v>0</v>
      </c>
      <c r="BC145" s="10">
        <f t="shared" si="201"/>
        <v>0</v>
      </c>
      <c r="BD145" s="10">
        <f t="shared" si="201"/>
        <v>0</v>
      </c>
      <c r="BE145" s="10">
        <f t="shared" si="201"/>
        <v>0</v>
      </c>
      <c r="BF145" s="10">
        <f t="shared" si="201"/>
        <v>0</v>
      </c>
      <c r="BG145" s="10">
        <f t="shared" si="201"/>
        <v>0</v>
      </c>
      <c r="BH145" s="10">
        <f t="shared" si="201"/>
        <v>0</v>
      </c>
      <c r="BI145" s="10">
        <f t="shared" si="201"/>
        <v>0</v>
      </c>
      <c r="BJ145" s="10">
        <f t="shared" si="201"/>
        <v>0</v>
      </c>
      <c r="BK145" s="10">
        <f t="shared" si="201"/>
        <v>0</v>
      </c>
      <c r="BL145" s="10">
        <f t="shared" si="201"/>
        <v>0</v>
      </c>
      <c r="BM145" s="10">
        <f t="shared" si="201"/>
        <v>0</v>
      </c>
    </row>
    <row r="146">
      <c r="A146" s="181" t="s">
        <v>238</v>
      </c>
      <c r="B146" s="88">
        <f t="shared" ref="B146:L146" si="202">0</f>
        <v>0</v>
      </c>
      <c r="C146" s="88">
        <f t="shared" si="202"/>
        <v>0</v>
      </c>
      <c r="D146" s="88">
        <f t="shared" si="202"/>
        <v>0</v>
      </c>
      <c r="E146" s="88">
        <f t="shared" si="202"/>
        <v>0</v>
      </c>
      <c r="F146" s="88">
        <f t="shared" si="202"/>
        <v>0</v>
      </c>
      <c r="G146" s="88">
        <f t="shared" si="202"/>
        <v>0</v>
      </c>
      <c r="H146" s="88">
        <f t="shared" si="202"/>
        <v>0</v>
      </c>
      <c r="I146" s="88">
        <f t="shared" si="202"/>
        <v>0</v>
      </c>
      <c r="J146" s="88">
        <f t="shared" si="202"/>
        <v>0</v>
      </c>
      <c r="K146" s="88">
        <f t="shared" si="202"/>
        <v>0</v>
      </c>
      <c r="L146" s="88">
        <f t="shared" si="202"/>
        <v>0</v>
      </c>
      <c r="M146" s="10">
        <f t="shared" si="199"/>
        <v>40</v>
      </c>
      <c r="N146" s="88">
        <f t="shared" si="200"/>
        <v>0</v>
      </c>
      <c r="O146" s="88">
        <f t="shared" ref="O146:BM146" si="203">0</f>
        <v>0</v>
      </c>
      <c r="P146" s="88">
        <f t="shared" si="203"/>
        <v>0</v>
      </c>
      <c r="Q146" s="88">
        <f t="shared" si="203"/>
        <v>0</v>
      </c>
      <c r="R146" s="88">
        <f t="shared" si="203"/>
        <v>0</v>
      </c>
      <c r="S146" s="88">
        <f t="shared" si="203"/>
        <v>0</v>
      </c>
      <c r="T146" s="88">
        <f t="shared" si="203"/>
        <v>0</v>
      </c>
      <c r="U146" s="88">
        <f t="shared" si="203"/>
        <v>0</v>
      </c>
      <c r="V146" s="88">
        <f t="shared" si="203"/>
        <v>0</v>
      </c>
      <c r="W146" s="88">
        <f t="shared" si="203"/>
        <v>0</v>
      </c>
      <c r="X146" s="88">
        <f t="shared" si="203"/>
        <v>0</v>
      </c>
      <c r="Y146" s="88">
        <f t="shared" si="203"/>
        <v>0</v>
      </c>
      <c r="Z146" s="88">
        <f t="shared" si="203"/>
        <v>0</v>
      </c>
      <c r="AA146" s="88">
        <f t="shared" si="203"/>
        <v>0</v>
      </c>
      <c r="AB146" s="88">
        <f t="shared" si="203"/>
        <v>0</v>
      </c>
      <c r="AC146" s="88">
        <f t="shared" si="203"/>
        <v>0</v>
      </c>
      <c r="AD146" s="88">
        <f t="shared" si="203"/>
        <v>0</v>
      </c>
      <c r="AE146" s="88">
        <f t="shared" si="203"/>
        <v>0</v>
      </c>
      <c r="AF146" s="88">
        <f t="shared" si="203"/>
        <v>0</v>
      </c>
      <c r="AG146" s="88">
        <f t="shared" si="203"/>
        <v>0</v>
      </c>
      <c r="AH146" s="88">
        <f t="shared" si="203"/>
        <v>0</v>
      </c>
      <c r="AI146" s="88">
        <f t="shared" si="203"/>
        <v>0</v>
      </c>
      <c r="AJ146" s="88">
        <f t="shared" si="203"/>
        <v>0</v>
      </c>
      <c r="AK146" s="88">
        <f t="shared" si="203"/>
        <v>0</v>
      </c>
      <c r="AL146" s="88">
        <f t="shared" si="203"/>
        <v>0</v>
      </c>
      <c r="AM146" s="88">
        <f t="shared" si="203"/>
        <v>0</v>
      </c>
      <c r="AN146" s="88">
        <f t="shared" si="203"/>
        <v>0</v>
      </c>
      <c r="AO146" s="88">
        <f t="shared" si="203"/>
        <v>0</v>
      </c>
      <c r="AP146" s="88">
        <f t="shared" si="203"/>
        <v>0</v>
      </c>
      <c r="AQ146" s="88">
        <f t="shared" si="203"/>
        <v>0</v>
      </c>
      <c r="AR146" s="88">
        <f t="shared" si="203"/>
        <v>0</v>
      </c>
      <c r="AS146" s="88">
        <f t="shared" si="203"/>
        <v>0</v>
      </c>
      <c r="AT146" s="88">
        <f t="shared" si="203"/>
        <v>0</v>
      </c>
      <c r="AU146" s="88">
        <f t="shared" si="203"/>
        <v>0</v>
      </c>
      <c r="AV146" s="88">
        <f t="shared" si="203"/>
        <v>0</v>
      </c>
      <c r="AW146" s="88">
        <f t="shared" si="203"/>
        <v>0</v>
      </c>
      <c r="AX146" s="88">
        <f t="shared" si="203"/>
        <v>0</v>
      </c>
      <c r="AY146" s="88">
        <f t="shared" si="203"/>
        <v>0</v>
      </c>
      <c r="AZ146" s="88">
        <f t="shared" si="203"/>
        <v>0</v>
      </c>
      <c r="BA146" s="88">
        <f t="shared" si="203"/>
        <v>0</v>
      </c>
      <c r="BB146" s="10">
        <f t="shared" si="203"/>
        <v>0</v>
      </c>
      <c r="BC146" s="10">
        <f t="shared" si="203"/>
        <v>0</v>
      </c>
      <c r="BD146" s="10">
        <f t="shared" si="203"/>
        <v>0</v>
      </c>
      <c r="BE146" s="10">
        <f t="shared" si="203"/>
        <v>0</v>
      </c>
      <c r="BF146" s="10">
        <f t="shared" si="203"/>
        <v>0</v>
      </c>
      <c r="BG146" s="10">
        <f t="shared" si="203"/>
        <v>0</v>
      </c>
      <c r="BH146" s="10">
        <f t="shared" si="203"/>
        <v>0</v>
      </c>
      <c r="BI146" s="10">
        <f t="shared" si="203"/>
        <v>0</v>
      </c>
      <c r="BJ146" s="10">
        <f t="shared" si="203"/>
        <v>0</v>
      </c>
      <c r="BK146" s="10">
        <f t="shared" si="203"/>
        <v>0</v>
      </c>
      <c r="BL146" s="10">
        <f t="shared" si="203"/>
        <v>0</v>
      </c>
      <c r="BM146" s="10">
        <f t="shared" si="203"/>
        <v>0</v>
      </c>
    </row>
    <row r="147">
      <c r="A147" s="181" t="s">
        <v>239</v>
      </c>
      <c r="B147" s="88">
        <f t="shared" ref="B147:N147" si="204">0</f>
        <v>0</v>
      </c>
      <c r="C147" s="88">
        <f t="shared" si="204"/>
        <v>0</v>
      </c>
      <c r="D147" s="88">
        <f t="shared" si="204"/>
        <v>0</v>
      </c>
      <c r="E147" s="88">
        <f t="shared" si="204"/>
        <v>0</v>
      </c>
      <c r="F147" s="88">
        <f t="shared" si="204"/>
        <v>0</v>
      </c>
      <c r="G147" s="88">
        <f t="shared" si="204"/>
        <v>0</v>
      </c>
      <c r="H147" s="88">
        <f t="shared" si="204"/>
        <v>0</v>
      </c>
      <c r="I147" s="88">
        <f t="shared" si="204"/>
        <v>0</v>
      </c>
      <c r="J147" s="88">
        <f t="shared" si="204"/>
        <v>0</v>
      </c>
      <c r="K147" s="88">
        <f t="shared" si="204"/>
        <v>0</v>
      </c>
      <c r="L147" s="88">
        <f t="shared" si="204"/>
        <v>0</v>
      </c>
      <c r="M147" s="88">
        <f t="shared" si="204"/>
        <v>0</v>
      </c>
      <c r="N147" s="88">
        <f t="shared" si="204"/>
        <v>0</v>
      </c>
      <c r="O147" s="10">
        <f>40</f>
        <v>40</v>
      </c>
      <c r="P147" s="88">
        <f t="shared" ref="P147:BM147" si="205">0</f>
        <v>0</v>
      </c>
      <c r="Q147" s="88">
        <f t="shared" si="205"/>
        <v>0</v>
      </c>
      <c r="R147" s="88">
        <f t="shared" si="205"/>
        <v>0</v>
      </c>
      <c r="S147" s="88">
        <f t="shared" si="205"/>
        <v>0</v>
      </c>
      <c r="T147" s="88">
        <f t="shared" si="205"/>
        <v>0</v>
      </c>
      <c r="U147" s="88">
        <f t="shared" si="205"/>
        <v>0</v>
      </c>
      <c r="V147" s="88">
        <f t="shared" si="205"/>
        <v>0</v>
      </c>
      <c r="W147" s="88">
        <f t="shared" si="205"/>
        <v>0</v>
      </c>
      <c r="X147" s="88">
        <f t="shared" si="205"/>
        <v>0</v>
      </c>
      <c r="Y147" s="88">
        <f t="shared" si="205"/>
        <v>0</v>
      </c>
      <c r="Z147" s="88">
        <f t="shared" si="205"/>
        <v>0</v>
      </c>
      <c r="AA147" s="88">
        <f t="shared" si="205"/>
        <v>0</v>
      </c>
      <c r="AB147" s="88">
        <f t="shared" si="205"/>
        <v>0</v>
      </c>
      <c r="AC147" s="88">
        <f t="shared" si="205"/>
        <v>0</v>
      </c>
      <c r="AD147" s="88">
        <f t="shared" si="205"/>
        <v>0</v>
      </c>
      <c r="AE147" s="88">
        <f t="shared" si="205"/>
        <v>0</v>
      </c>
      <c r="AF147" s="88">
        <f t="shared" si="205"/>
        <v>0</v>
      </c>
      <c r="AG147" s="88">
        <f t="shared" si="205"/>
        <v>0</v>
      </c>
      <c r="AH147" s="88">
        <f t="shared" si="205"/>
        <v>0</v>
      </c>
      <c r="AI147" s="88">
        <f t="shared" si="205"/>
        <v>0</v>
      </c>
      <c r="AJ147" s="88">
        <f t="shared" si="205"/>
        <v>0</v>
      </c>
      <c r="AK147" s="88">
        <f t="shared" si="205"/>
        <v>0</v>
      </c>
      <c r="AL147" s="88">
        <f t="shared" si="205"/>
        <v>0</v>
      </c>
      <c r="AM147" s="88">
        <f t="shared" si="205"/>
        <v>0</v>
      </c>
      <c r="AN147" s="88">
        <f t="shared" si="205"/>
        <v>0</v>
      </c>
      <c r="AO147" s="88">
        <f t="shared" si="205"/>
        <v>0</v>
      </c>
      <c r="AP147" s="88">
        <f t="shared" si="205"/>
        <v>0</v>
      </c>
      <c r="AQ147" s="88">
        <f t="shared" si="205"/>
        <v>0</v>
      </c>
      <c r="AR147" s="88">
        <f t="shared" si="205"/>
        <v>0</v>
      </c>
      <c r="AS147" s="88">
        <f t="shared" si="205"/>
        <v>0</v>
      </c>
      <c r="AT147" s="88">
        <f t="shared" si="205"/>
        <v>0</v>
      </c>
      <c r="AU147" s="88">
        <f t="shared" si="205"/>
        <v>0</v>
      </c>
      <c r="AV147" s="88">
        <f t="shared" si="205"/>
        <v>0</v>
      </c>
      <c r="AW147" s="88">
        <f t="shared" si="205"/>
        <v>0</v>
      </c>
      <c r="AX147" s="88">
        <f t="shared" si="205"/>
        <v>0</v>
      </c>
      <c r="AY147" s="88">
        <f t="shared" si="205"/>
        <v>0</v>
      </c>
      <c r="AZ147" s="88">
        <f t="shared" si="205"/>
        <v>0</v>
      </c>
      <c r="BA147" s="88">
        <f t="shared" si="205"/>
        <v>0</v>
      </c>
      <c r="BB147" s="10">
        <f t="shared" si="205"/>
        <v>0</v>
      </c>
      <c r="BC147" s="10">
        <f t="shared" si="205"/>
        <v>0</v>
      </c>
      <c r="BD147" s="10">
        <f t="shared" si="205"/>
        <v>0</v>
      </c>
      <c r="BE147" s="10">
        <f t="shared" si="205"/>
        <v>0</v>
      </c>
      <c r="BF147" s="10">
        <f t="shared" si="205"/>
        <v>0</v>
      </c>
      <c r="BG147" s="10">
        <f t="shared" si="205"/>
        <v>0</v>
      </c>
      <c r="BH147" s="10">
        <f t="shared" si="205"/>
        <v>0</v>
      </c>
      <c r="BI147" s="10">
        <f t="shared" si="205"/>
        <v>0</v>
      </c>
      <c r="BJ147" s="10">
        <f t="shared" si="205"/>
        <v>0</v>
      </c>
      <c r="BK147" s="10">
        <f t="shared" si="205"/>
        <v>0</v>
      </c>
      <c r="BL147" s="10">
        <f t="shared" si="205"/>
        <v>0</v>
      </c>
      <c r="BM147" s="10">
        <f t="shared" si="205"/>
        <v>0</v>
      </c>
    </row>
    <row r="148">
      <c r="A148" s="181" t="s">
        <v>240</v>
      </c>
      <c r="B148" s="88">
        <f t="shared" ref="B148:BC148" si="206">0</f>
        <v>0</v>
      </c>
      <c r="C148" s="88">
        <f t="shared" si="206"/>
        <v>0</v>
      </c>
      <c r="D148" s="88">
        <f t="shared" si="206"/>
        <v>0</v>
      </c>
      <c r="E148" s="88">
        <f t="shared" si="206"/>
        <v>0</v>
      </c>
      <c r="F148" s="88">
        <f t="shared" si="206"/>
        <v>0</v>
      </c>
      <c r="G148" s="88">
        <f t="shared" si="206"/>
        <v>0</v>
      </c>
      <c r="H148" s="88">
        <f t="shared" si="206"/>
        <v>0</v>
      </c>
      <c r="I148" s="88">
        <f t="shared" si="206"/>
        <v>0</v>
      </c>
      <c r="J148" s="88">
        <f t="shared" si="206"/>
        <v>0</v>
      </c>
      <c r="K148" s="88">
        <f t="shared" si="206"/>
        <v>0</v>
      </c>
      <c r="L148" s="88">
        <f t="shared" si="206"/>
        <v>0</v>
      </c>
      <c r="M148" s="88">
        <f t="shared" si="206"/>
        <v>0</v>
      </c>
      <c r="N148" s="88">
        <f t="shared" si="206"/>
        <v>0</v>
      </c>
      <c r="O148" s="88">
        <f t="shared" si="206"/>
        <v>0</v>
      </c>
      <c r="P148" s="88">
        <f t="shared" si="206"/>
        <v>0</v>
      </c>
      <c r="Q148" s="88">
        <f t="shared" si="206"/>
        <v>0</v>
      </c>
      <c r="R148" s="88">
        <f t="shared" si="206"/>
        <v>0</v>
      </c>
      <c r="S148" s="88">
        <f t="shared" si="206"/>
        <v>0</v>
      </c>
      <c r="T148" s="88">
        <f t="shared" si="206"/>
        <v>0</v>
      </c>
      <c r="U148" s="88">
        <f t="shared" si="206"/>
        <v>0</v>
      </c>
      <c r="V148" s="88">
        <f t="shared" si="206"/>
        <v>0</v>
      </c>
      <c r="W148" s="88">
        <f t="shared" si="206"/>
        <v>0</v>
      </c>
      <c r="X148" s="88">
        <f t="shared" si="206"/>
        <v>0</v>
      </c>
      <c r="Y148" s="88">
        <f t="shared" si="206"/>
        <v>0</v>
      </c>
      <c r="Z148" s="88">
        <f t="shared" si="206"/>
        <v>0</v>
      </c>
      <c r="AA148" s="88">
        <f t="shared" si="206"/>
        <v>0</v>
      </c>
      <c r="AB148" s="88">
        <f t="shared" si="206"/>
        <v>0</v>
      </c>
      <c r="AC148" s="10">
        <f t="shared" si="206"/>
        <v>0</v>
      </c>
      <c r="AD148" s="10">
        <f t="shared" si="206"/>
        <v>0</v>
      </c>
      <c r="AE148" s="10">
        <f t="shared" si="206"/>
        <v>0</v>
      </c>
      <c r="AF148" s="10">
        <f t="shared" si="206"/>
        <v>0</v>
      </c>
      <c r="AG148" s="10">
        <f t="shared" si="206"/>
        <v>0</v>
      </c>
      <c r="AH148" s="10">
        <f t="shared" si="206"/>
        <v>0</v>
      </c>
      <c r="AI148" s="10">
        <f t="shared" si="206"/>
        <v>0</v>
      </c>
      <c r="AJ148" s="10">
        <f t="shared" si="206"/>
        <v>0</v>
      </c>
      <c r="AK148" s="10">
        <f t="shared" si="206"/>
        <v>0</v>
      </c>
      <c r="AL148" s="10">
        <f t="shared" si="206"/>
        <v>0</v>
      </c>
      <c r="AM148" s="10">
        <f t="shared" si="206"/>
        <v>0</v>
      </c>
      <c r="AN148" s="10">
        <f t="shared" si="206"/>
        <v>0</v>
      </c>
      <c r="AO148" s="10">
        <f t="shared" si="206"/>
        <v>0</v>
      </c>
      <c r="AP148" s="10">
        <f t="shared" si="206"/>
        <v>0</v>
      </c>
      <c r="AQ148" s="10">
        <f t="shared" si="206"/>
        <v>0</v>
      </c>
      <c r="AR148" s="10">
        <f t="shared" si="206"/>
        <v>0</v>
      </c>
      <c r="AS148" s="10">
        <f t="shared" si="206"/>
        <v>0</v>
      </c>
      <c r="AT148" s="10">
        <f t="shared" si="206"/>
        <v>0</v>
      </c>
      <c r="AU148" s="10">
        <f t="shared" si="206"/>
        <v>0</v>
      </c>
      <c r="AV148" s="10">
        <f t="shared" si="206"/>
        <v>0</v>
      </c>
      <c r="AW148" s="10">
        <f t="shared" si="206"/>
        <v>0</v>
      </c>
      <c r="AX148" s="10">
        <f t="shared" si="206"/>
        <v>0</v>
      </c>
      <c r="AY148" s="10">
        <f t="shared" si="206"/>
        <v>0</v>
      </c>
      <c r="AZ148" s="10">
        <f t="shared" si="206"/>
        <v>0</v>
      </c>
      <c r="BA148" s="10">
        <f t="shared" si="206"/>
        <v>0</v>
      </c>
      <c r="BB148" s="10">
        <f t="shared" si="206"/>
        <v>0</v>
      </c>
      <c r="BC148" s="10">
        <f t="shared" si="206"/>
        <v>0</v>
      </c>
      <c r="BD148" s="10">
        <f t="shared" ref="BD148:BD150" si="210">40</f>
        <v>40</v>
      </c>
      <c r="BE148" s="10">
        <f t="shared" ref="BE148:BM148" si="207">0</f>
        <v>0</v>
      </c>
      <c r="BF148" s="10">
        <f t="shared" si="207"/>
        <v>0</v>
      </c>
      <c r="BG148" s="10">
        <f t="shared" si="207"/>
        <v>0</v>
      </c>
      <c r="BH148" s="10">
        <f t="shared" si="207"/>
        <v>0</v>
      </c>
      <c r="BI148" s="10">
        <f t="shared" si="207"/>
        <v>0</v>
      </c>
      <c r="BJ148" s="10">
        <f t="shared" si="207"/>
        <v>0</v>
      </c>
      <c r="BK148" s="10">
        <f t="shared" si="207"/>
        <v>0</v>
      </c>
      <c r="BL148" s="10">
        <f t="shared" si="207"/>
        <v>0</v>
      </c>
      <c r="BM148" s="10">
        <f t="shared" si="207"/>
        <v>0</v>
      </c>
    </row>
    <row r="149">
      <c r="A149" s="181" t="s">
        <v>241</v>
      </c>
      <c r="B149" s="88">
        <f t="shared" ref="B149:N149" si="208">0</f>
        <v>0</v>
      </c>
      <c r="C149" s="88">
        <f t="shared" si="208"/>
        <v>0</v>
      </c>
      <c r="D149" s="88">
        <f t="shared" si="208"/>
        <v>0</v>
      </c>
      <c r="E149" s="88">
        <f t="shared" si="208"/>
        <v>0</v>
      </c>
      <c r="F149" s="88">
        <f t="shared" si="208"/>
        <v>0</v>
      </c>
      <c r="G149" s="88">
        <f t="shared" si="208"/>
        <v>0</v>
      </c>
      <c r="H149" s="88">
        <f t="shared" si="208"/>
        <v>0</v>
      </c>
      <c r="I149" s="88">
        <f t="shared" si="208"/>
        <v>0</v>
      </c>
      <c r="J149" s="88">
        <f t="shared" si="208"/>
        <v>0</v>
      </c>
      <c r="K149" s="88">
        <f t="shared" si="208"/>
        <v>0</v>
      </c>
      <c r="L149" s="88">
        <f t="shared" si="208"/>
        <v>0</v>
      </c>
      <c r="M149" s="88">
        <f t="shared" si="208"/>
        <v>0</v>
      </c>
      <c r="N149" s="88">
        <f t="shared" si="208"/>
        <v>0</v>
      </c>
      <c r="O149" s="10">
        <f>40</f>
        <v>40</v>
      </c>
      <c r="P149" s="88">
        <f t="shared" ref="P149:BC149" si="209">0</f>
        <v>0</v>
      </c>
      <c r="Q149" s="88">
        <f t="shared" si="209"/>
        <v>0</v>
      </c>
      <c r="R149" s="88">
        <f t="shared" si="209"/>
        <v>0</v>
      </c>
      <c r="S149" s="88">
        <f t="shared" si="209"/>
        <v>0</v>
      </c>
      <c r="T149" s="88">
        <f t="shared" si="209"/>
        <v>0</v>
      </c>
      <c r="U149" s="88">
        <f t="shared" si="209"/>
        <v>0</v>
      </c>
      <c r="V149" s="88">
        <f t="shared" si="209"/>
        <v>0</v>
      </c>
      <c r="W149" s="88">
        <f t="shared" si="209"/>
        <v>0</v>
      </c>
      <c r="X149" s="88">
        <f t="shared" si="209"/>
        <v>0</v>
      </c>
      <c r="Y149" s="88">
        <f t="shared" si="209"/>
        <v>0</v>
      </c>
      <c r="Z149" s="88">
        <f t="shared" si="209"/>
        <v>0</v>
      </c>
      <c r="AA149" s="88">
        <f t="shared" si="209"/>
        <v>0</v>
      </c>
      <c r="AB149" s="88">
        <f t="shared" si="209"/>
        <v>0</v>
      </c>
      <c r="AC149" s="88">
        <f t="shared" si="209"/>
        <v>0</v>
      </c>
      <c r="AD149" s="88">
        <f t="shared" si="209"/>
        <v>0</v>
      </c>
      <c r="AE149" s="88">
        <f t="shared" si="209"/>
        <v>0</v>
      </c>
      <c r="AF149" s="88">
        <f t="shared" si="209"/>
        <v>0</v>
      </c>
      <c r="AG149" s="88">
        <f t="shared" si="209"/>
        <v>0</v>
      </c>
      <c r="AH149" s="88">
        <f t="shared" si="209"/>
        <v>0</v>
      </c>
      <c r="AI149" s="88">
        <f t="shared" si="209"/>
        <v>0</v>
      </c>
      <c r="AJ149" s="88">
        <f t="shared" si="209"/>
        <v>0</v>
      </c>
      <c r="AK149" s="88">
        <f t="shared" si="209"/>
        <v>0</v>
      </c>
      <c r="AL149" s="88">
        <f t="shared" si="209"/>
        <v>0</v>
      </c>
      <c r="AM149" s="88">
        <f t="shared" si="209"/>
        <v>0</v>
      </c>
      <c r="AN149" s="88">
        <f t="shared" si="209"/>
        <v>0</v>
      </c>
      <c r="AO149" s="88">
        <f t="shared" si="209"/>
        <v>0</v>
      </c>
      <c r="AP149" s="88">
        <f t="shared" si="209"/>
        <v>0</v>
      </c>
      <c r="AQ149" s="88">
        <f t="shared" si="209"/>
        <v>0</v>
      </c>
      <c r="AR149" s="88">
        <f t="shared" si="209"/>
        <v>0</v>
      </c>
      <c r="AS149" s="88">
        <f t="shared" si="209"/>
        <v>0</v>
      </c>
      <c r="AT149" s="88">
        <f t="shared" si="209"/>
        <v>0</v>
      </c>
      <c r="AU149" s="88">
        <f t="shared" si="209"/>
        <v>0</v>
      </c>
      <c r="AV149" s="88">
        <f t="shared" si="209"/>
        <v>0</v>
      </c>
      <c r="AW149" s="88">
        <f t="shared" si="209"/>
        <v>0</v>
      </c>
      <c r="AX149" s="88">
        <f t="shared" si="209"/>
        <v>0</v>
      </c>
      <c r="AY149" s="88">
        <f t="shared" si="209"/>
        <v>0</v>
      </c>
      <c r="AZ149" s="88">
        <f t="shared" si="209"/>
        <v>0</v>
      </c>
      <c r="BA149" s="88">
        <f t="shared" si="209"/>
        <v>0</v>
      </c>
      <c r="BB149" s="10">
        <f t="shared" si="209"/>
        <v>0</v>
      </c>
      <c r="BC149" s="10">
        <f t="shared" si="209"/>
        <v>0</v>
      </c>
      <c r="BD149" s="10">
        <f t="shared" si="210"/>
        <v>40</v>
      </c>
      <c r="BE149" s="10">
        <f t="shared" ref="BE149:BM149" si="211">0</f>
        <v>0</v>
      </c>
      <c r="BF149" s="10">
        <f t="shared" si="211"/>
        <v>0</v>
      </c>
      <c r="BG149" s="10">
        <f t="shared" si="211"/>
        <v>0</v>
      </c>
      <c r="BH149" s="10">
        <f t="shared" si="211"/>
        <v>0</v>
      </c>
      <c r="BI149" s="10">
        <f t="shared" si="211"/>
        <v>0</v>
      </c>
      <c r="BJ149" s="10">
        <f t="shared" si="211"/>
        <v>0</v>
      </c>
      <c r="BK149" s="10">
        <f t="shared" si="211"/>
        <v>0</v>
      </c>
      <c r="BL149" s="10">
        <f t="shared" si="211"/>
        <v>0</v>
      </c>
      <c r="BM149" s="10">
        <f t="shared" si="211"/>
        <v>0</v>
      </c>
    </row>
    <row r="150">
      <c r="A150" s="181" t="s">
        <v>242</v>
      </c>
      <c r="B150" s="88">
        <f t="shared" ref="B150:L150" si="212">0</f>
        <v>0</v>
      </c>
      <c r="C150" s="88">
        <f t="shared" si="212"/>
        <v>0</v>
      </c>
      <c r="D150" s="88">
        <f t="shared" si="212"/>
        <v>0</v>
      </c>
      <c r="E150" s="88">
        <f t="shared" si="212"/>
        <v>0</v>
      </c>
      <c r="F150" s="88">
        <f t="shared" si="212"/>
        <v>0</v>
      </c>
      <c r="G150" s="88">
        <f t="shared" si="212"/>
        <v>0</v>
      </c>
      <c r="H150" s="88">
        <f t="shared" si="212"/>
        <v>0</v>
      </c>
      <c r="I150" s="88">
        <f t="shared" si="212"/>
        <v>0</v>
      </c>
      <c r="J150" s="88">
        <f t="shared" si="212"/>
        <v>0</v>
      </c>
      <c r="K150" s="88">
        <f t="shared" si="212"/>
        <v>0</v>
      </c>
      <c r="L150" s="88">
        <f t="shared" si="212"/>
        <v>0</v>
      </c>
      <c r="M150" s="10">
        <f>40</f>
        <v>40</v>
      </c>
      <c r="N150" s="88">
        <f t="shared" ref="N150:BC150" si="213">0</f>
        <v>0</v>
      </c>
      <c r="O150" s="88">
        <f t="shared" si="213"/>
        <v>0</v>
      </c>
      <c r="P150" s="88">
        <f t="shared" si="213"/>
        <v>0</v>
      </c>
      <c r="Q150" s="88">
        <f t="shared" si="213"/>
        <v>0</v>
      </c>
      <c r="R150" s="88">
        <f t="shared" si="213"/>
        <v>0</v>
      </c>
      <c r="S150" s="88">
        <f t="shared" si="213"/>
        <v>0</v>
      </c>
      <c r="T150" s="88">
        <f t="shared" si="213"/>
        <v>0</v>
      </c>
      <c r="U150" s="88">
        <f t="shared" si="213"/>
        <v>0</v>
      </c>
      <c r="V150" s="88">
        <f t="shared" si="213"/>
        <v>0</v>
      </c>
      <c r="W150" s="88">
        <f t="shared" si="213"/>
        <v>0</v>
      </c>
      <c r="X150" s="88">
        <f t="shared" si="213"/>
        <v>0</v>
      </c>
      <c r="Y150" s="88">
        <f t="shared" si="213"/>
        <v>0</v>
      </c>
      <c r="Z150" s="88">
        <f t="shared" si="213"/>
        <v>0</v>
      </c>
      <c r="AA150" s="88">
        <f t="shared" si="213"/>
        <v>0</v>
      </c>
      <c r="AB150" s="88">
        <f t="shared" si="213"/>
        <v>0</v>
      </c>
      <c r="AC150" s="88">
        <f t="shared" si="213"/>
        <v>0</v>
      </c>
      <c r="AD150" s="88">
        <f t="shared" si="213"/>
        <v>0</v>
      </c>
      <c r="AE150" s="88">
        <f t="shared" si="213"/>
        <v>0</v>
      </c>
      <c r="AF150" s="88">
        <f t="shared" si="213"/>
        <v>0</v>
      </c>
      <c r="AG150" s="88">
        <f t="shared" si="213"/>
        <v>0</v>
      </c>
      <c r="AH150" s="88">
        <f t="shared" si="213"/>
        <v>0</v>
      </c>
      <c r="AI150" s="88">
        <f t="shared" si="213"/>
        <v>0</v>
      </c>
      <c r="AJ150" s="88">
        <f t="shared" si="213"/>
        <v>0</v>
      </c>
      <c r="AK150" s="88">
        <f t="shared" si="213"/>
        <v>0</v>
      </c>
      <c r="AL150" s="88">
        <f t="shared" si="213"/>
        <v>0</v>
      </c>
      <c r="AM150" s="88">
        <f t="shared" si="213"/>
        <v>0</v>
      </c>
      <c r="AN150" s="88">
        <f t="shared" si="213"/>
        <v>0</v>
      </c>
      <c r="AO150" s="88">
        <f t="shared" si="213"/>
        <v>0</v>
      </c>
      <c r="AP150" s="88">
        <f t="shared" si="213"/>
        <v>0</v>
      </c>
      <c r="AQ150" s="88">
        <f t="shared" si="213"/>
        <v>0</v>
      </c>
      <c r="AR150" s="88">
        <f t="shared" si="213"/>
        <v>0</v>
      </c>
      <c r="AS150" s="88">
        <f t="shared" si="213"/>
        <v>0</v>
      </c>
      <c r="AT150" s="88">
        <f t="shared" si="213"/>
        <v>0</v>
      </c>
      <c r="AU150" s="88">
        <f t="shared" si="213"/>
        <v>0</v>
      </c>
      <c r="AV150" s="88">
        <f t="shared" si="213"/>
        <v>0</v>
      </c>
      <c r="AW150" s="88">
        <f t="shared" si="213"/>
        <v>0</v>
      </c>
      <c r="AX150" s="88">
        <f t="shared" si="213"/>
        <v>0</v>
      </c>
      <c r="AY150" s="88">
        <f t="shared" si="213"/>
        <v>0</v>
      </c>
      <c r="AZ150" s="88">
        <f t="shared" si="213"/>
        <v>0</v>
      </c>
      <c r="BA150" s="88">
        <f t="shared" si="213"/>
        <v>0</v>
      </c>
      <c r="BB150" s="10">
        <f t="shared" si="213"/>
        <v>0</v>
      </c>
      <c r="BC150" s="10">
        <f t="shared" si="213"/>
        <v>0</v>
      </c>
      <c r="BD150" s="10">
        <f t="shared" si="210"/>
        <v>40</v>
      </c>
      <c r="BE150" s="10">
        <f t="shared" ref="BE150:BM150" si="214">0</f>
        <v>0</v>
      </c>
      <c r="BF150" s="10">
        <f t="shared" si="214"/>
        <v>0</v>
      </c>
      <c r="BG150" s="10">
        <f t="shared" si="214"/>
        <v>0</v>
      </c>
      <c r="BH150" s="10">
        <f t="shared" si="214"/>
        <v>0</v>
      </c>
      <c r="BI150" s="10">
        <f t="shared" si="214"/>
        <v>0</v>
      </c>
      <c r="BJ150" s="10">
        <f t="shared" si="214"/>
        <v>0</v>
      </c>
      <c r="BK150" s="10">
        <f t="shared" si="214"/>
        <v>0</v>
      </c>
      <c r="BL150" s="10">
        <f t="shared" si="214"/>
        <v>0</v>
      </c>
      <c r="BM150" s="10">
        <f t="shared" si="214"/>
        <v>0</v>
      </c>
    </row>
    <row r="151">
      <c r="A151" s="181" t="s">
        <v>243</v>
      </c>
      <c r="B151" s="88">
        <f t="shared" ref="B151:N151" si="215">0</f>
        <v>0</v>
      </c>
      <c r="C151" s="88">
        <f t="shared" si="215"/>
        <v>0</v>
      </c>
      <c r="D151" s="88">
        <f t="shared" si="215"/>
        <v>0</v>
      </c>
      <c r="E151" s="88">
        <f t="shared" si="215"/>
        <v>0</v>
      </c>
      <c r="F151" s="88">
        <f t="shared" si="215"/>
        <v>0</v>
      </c>
      <c r="G151" s="88">
        <f t="shared" si="215"/>
        <v>0</v>
      </c>
      <c r="H151" s="88">
        <f t="shared" si="215"/>
        <v>0</v>
      </c>
      <c r="I151" s="88">
        <f t="shared" si="215"/>
        <v>0</v>
      </c>
      <c r="J151" s="88">
        <f t="shared" si="215"/>
        <v>0</v>
      </c>
      <c r="K151" s="88">
        <f t="shared" si="215"/>
        <v>0</v>
      </c>
      <c r="L151" s="88">
        <f t="shared" si="215"/>
        <v>0</v>
      </c>
      <c r="M151" s="88">
        <f t="shared" si="215"/>
        <v>0</v>
      </c>
      <c r="N151" s="88">
        <f t="shared" si="215"/>
        <v>0</v>
      </c>
      <c r="O151" s="10">
        <f t="shared" ref="O151:O152" si="218">15</f>
        <v>15</v>
      </c>
      <c r="P151" s="88">
        <f t="shared" ref="P151:BM151" si="216">0</f>
        <v>0</v>
      </c>
      <c r="Q151" s="88">
        <f t="shared" si="216"/>
        <v>0</v>
      </c>
      <c r="R151" s="88">
        <f t="shared" si="216"/>
        <v>0</v>
      </c>
      <c r="S151" s="88">
        <f t="shared" si="216"/>
        <v>0</v>
      </c>
      <c r="T151" s="88">
        <f t="shared" si="216"/>
        <v>0</v>
      </c>
      <c r="U151" s="88">
        <f t="shared" si="216"/>
        <v>0</v>
      </c>
      <c r="V151" s="88">
        <f t="shared" si="216"/>
        <v>0</v>
      </c>
      <c r="W151" s="88">
        <f t="shared" si="216"/>
        <v>0</v>
      </c>
      <c r="X151" s="88">
        <f t="shared" si="216"/>
        <v>0</v>
      </c>
      <c r="Y151" s="88">
        <f t="shared" si="216"/>
        <v>0</v>
      </c>
      <c r="Z151" s="88">
        <f t="shared" si="216"/>
        <v>0</v>
      </c>
      <c r="AA151" s="88">
        <f t="shared" si="216"/>
        <v>0</v>
      </c>
      <c r="AB151" s="88">
        <f t="shared" si="216"/>
        <v>0</v>
      </c>
      <c r="AC151" s="88">
        <f t="shared" si="216"/>
        <v>0</v>
      </c>
      <c r="AD151" s="88">
        <f t="shared" si="216"/>
        <v>0</v>
      </c>
      <c r="AE151" s="88">
        <f t="shared" si="216"/>
        <v>0</v>
      </c>
      <c r="AF151" s="88">
        <f t="shared" si="216"/>
        <v>0</v>
      </c>
      <c r="AG151" s="88">
        <f t="shared" si="216"/>
        <v>0</v>
      </c>
      <c r="AH151" s="88">
        <f t="shared" si="216"/>
        <v>0</v>
      </c>
      <c r="AI151" s="88">
        <f t="shared" si="216"/>
        <v>0</v>
      </c>
      <c r="AJ151" s="88">
        <f t="shared" si="216"/>
        <v>0</v>
      </c>
      <c r="AK151" s="88">
        <f t="shared" si="216"/>
        <v>0</v>
      </c>
      <c r="AL151" s="88">
        <f t="shared" si="216"/>
        <v>0</v>
      </c>
      <c r="AM151" s="88">
        <f t="shared" si="216"/>
        <v>0</v>
      </c>
      <c r="AN151" s="88">
        <f t="shared" si="216"/>
        <v>0</v>
      </c>
      <c r="AO151" s="88">
        <f t="shared" si="216"/>
        <v>0</v>
      </c>
      <c r="AP151" s="88">
        <f t="shared" si="216"/>
        <v>0</v>
      </c>
      <c r="AQ151" s="88">
        <f t="shared" si="216"/>
        <v>0</v>
      </c>
      <c r="AR151" s="88">
        <f t="shared" si="216"/>
        <v>0</v>
      </c>
      <c r="AS151" s="88">
        <f t="shared" si="216"/>
        <v>0</v>
      </c>
      <c r="AT151" s="88">
        <f t="shared" si="216"/>
        <v>0</v>
      </c>
      <c r="AU151" s="88">
        <f t="shared" si="216"/>
        <v>0</v>
      </c>
      <c r="AV151" s="88">
        <f t="shared" si="216"/>
        <v>0</v>
      </c>
      <c r="AW151" s="88">
        <f t="shared" si="216"/>
        <v>0</v>
      </c>
      <c r="AX151" s="88">
        <f t="shared" si="216"/>
        <v>0</v>
      </c>
      <c r="AY151" s="88">
        <f t="shared" si="216"/>
        <v>0</v>
      </c>
      <c r="AZ151" s="88">
        <f t="shared" si="216"/>
        <v>0</v>
      </c>
      <c r="BA151" s="88">
        <f t="shared" si="216"/>
        <v>0</v>
      </c>
      <c r="BB151" s="10">
        <f t="shared" si="216"/>
        <v>0</v>
      </c>
      <c r="BC151" s="10">
        <f t="shared" si="216"/>
        <v>0</v>
      </c>
      <c r="BD151" s="10">
        <f t="shared" si="216"/>
        <v>0</v>
      </c>
      <c r="BE151" s="10">
        <f t="shared" si="216"/>
        <v>0</v>
      </c>
      <c r="BF151" s="10">
        <f t="shared" si="216"/>
        <v>0</v>
      </c>
      <c r="BG151" s="10">
        <f t="shared" si="216"/>
        <v>0</v>
      </c>
      <c r="BH151" s="10">
        <f t="shared" si="216"/>
        <v>0</v>
      </c>
      <c r="BI151" s="10">
        <f t="shared" si="216"/>
        <v>0</v>
      </c>
      <c r="BJ151" s="10">
        <f t="shared" si="216"/>
        <v>0</v>
      </c>
      <c r="BK151" s="10">
        <f t="shared" si="216"/>
        <v>0</v>
      </c>
      <c r="BL151" s="10">
        <f t="shared" si="216"/>
        <v>0</v>
      </c>
      <c r="BM151" s="10">
        <f t="shared" si="216"/>
        <v>0</v>
      </c>
    </row>
    <row r="152">
      <c r="A152" s="181" t="s">
        <v>244</v>
      </c>
      <c r="B152" s="88">
        <f t="shared" ref="B152:N152" si="217">0</f>
        <v>0</v>
      </c>
      <c r="C152" s="88">
        <f t="shared" si="217"/>
        <v>0</v>
      </c>
      <c r="D152" s="88">
        <f t="shared" si="217"/>
        <v>0</v>
      </c>
      <c r="E152" s="88">
        <f t="shared" si="217"/>
        <v>0</v>
      </c>
      <c r="F152" s="88">
        <f t="shared" si="217"/>
        <v>0</v>
      </c>
      <c r="G152" s="88">
        <f t="shared" si="217"/>
        <v>0</v>
      </c>
      <c r="H152" s="88">
        <f t="shared" si="217"/>
        <v>0</v>
      </c>
      <c r="I152" s="88">
        <f t="shared" si="217"/>
        <v>0</v>
      </c>
      <c r="J152" s="88">
        <f t="shared" si="217"/>
        <v>0</v>
      </c>
      <c r="K152" s="88">
        <f t="shared" si="217"/>
        <v>0</v>
      </c>
      <c r="L152" s="88">
        <f t="shared" si="217"/>
        <v>0</v>
      </c>
      <c r="M152" s="88">
        <f t="shared" si="217"/>
        <v>0</v>
      </c>
      <c r="N152" s="88">
        <f t="shared" si="217"/>
        <v>0</v>
      </c>
      <c r="O152" s="10">
        <f t="shared" si="218"/>
        <v>15</v>
      </c>
      <c r="P152" s="88">
        <f t="shared" ref="P152:BM152" si="219">0</f>
        <v>0</v>
      </c>
      <c r="Q152" s="88">
        <f t="shared" si="219"/>
        <v>0</v>
      </c>
      <c r="R152" s="88">
        <f t="shared" si="219"/>
        <v>0</v>
      </c>
      <c r="S152" s="88">
        <f t="shared" si="219"/>
        <v>0</v>
      </c>
      <c r="T152" s="88">
        <f t="shared" si="219"/>
        <v>0</v>
      </c>
      <c r="U152" s="88">
        <f t="shared" si="219"/>
        <v>0</v>
      </c>
      <c r="V152" s="88">
        <f t="shared" si="219"/>
        <v>0</v>
      </c>
      <c r="W152" s="88">
        <f t="shared" si="219"/>
        <v>0</v>
      </c>
      <c r="X152" s="88">
        <f t="shared" si="219"/>
        <v>0</v>
      </c>
      <c r="Y152" s="88">
        <f t="shared" si="219"/>
        <v>0</v>
      </c>
      <c r="Z152" s="88">
        <f t="shared" si="219"/>
        <v>0</v>
      </c>
      <c r="AA152" s="88">
        <f t="shared" si="219"/>
        <v>0</v>
      </c>
      <c r="AB152" s="88">
        <f t="shared" si="219"/>
        <v>0</v>
      </c>
      <c r="AC152" s="88">
        <f t="shared" si="219"/>
        <v>0</v>
      </c>
      <c r="AD152" s="88">
        <f t="shared" si="219"/>
        <v>0</v>
      </c>
      <c r="AE152" s="88">
        <f t="shared" si="219"/>
        <v>0</v>
      </c>
      <c r="AF152" s="88">
        <f t="shared" si="219"/>
        <v>0</v>
      </c>
      <c r="AG152" s="88">
        <f t="shared" si="219"/>
        <v>0</v>
      </c>
      <c r="AH152" s="88">
        <f t="shared" si="219"/>
        <v>0</v>
      </c>
      <c r="AI152" s="88">
        <f t="shared" si="219"/>
        <v>0</v>
      </c>
      <c r="AJ152" s="88">
        <f t="shared" si="219"/>
        <v>0</v>
      </c>
      <c r="AK152" s="88">
        <f t="shared" si="219"/>
        <v>0</v>
      </c>
      <c r="AL152" s="88">
        <f t="shared" si="219"/>
        <v>0</v>
      </c>
      <c r="AM152" s="88">
        <f t="shared" si="219"/>
        <v>0</v>
      </c>
      <c r="AN152" s="88">
        <f t="shared" si="219"/>
        <v>0</v>
      </c>
      <c r="AO152" s="88">
        <f t="shared" si="219"/>
        <v>0</v>
      </c>
      <c r="AP152" s="88">
        <f t="shared" si="219"/>
        <v>0</v>
      </c>
      <c r="AQ152" s="88">
        <f t="shared" si="219"/>
        <v>0</v>
      </c>
      <c r="AR152" s="88">
        <f t="shared" si="219"/>
        <v>0</v>
      </c>
      <c r="AS152" s="88">
        <f t="shared" si="219"/>
        <v>0</v>
      </c>
      <c r="AT152" s="88">
        <f t="shared" si="219"/>
        <v>0</v>
      </c>
      <c r="AU152" s="88">
        <f t="shared" si="219"/>
        <v>0</v>
      </c>
      <c r="AV152" s="88">
        <f t="shared" si="219"/>
        <v>0</v>
      </c>
      <c r="AW152" s="88">
        <f t="shared" si="219"/>
        <v>0</v>
      </c>
      <c r="AX152" s="88">
        <f t="shared" si="219"/>
        <v>0</v>
      </c>
      <c r="AY152" s="88">
        <f t="shared" si="219"/>
        <v>0</v>
      </c>
      <c r="AZ152" s="88">
        <f t="shared" si="219"/>
        <v>0</v>
      </c>
      <c r="BA152" s="88">
        <f t="shared" si="219"/>
        <v>0</v>
      </c>
      <c r="BB152" s="10">
        <f t="shared" si="219"/>
        <v>0</v>
      </c>
      <c r="BC152" s="10">
        <f t="shared" si="219"/>
        <v>0</v>
      </c>
      <c r="BD152" s="10">
        <f t="shared" si="219"/>
        <v>0</v>
      </c>
      <c r="BE152" s="10">
        <f t="shared" si="219"/>
        <v>0</v>
      </c>
      <c r="BF152" s="10">
        <f t="shared" si="219"/>
        <v>0</v>
      </c>
      <c r="BG152" s="10">
        <f t="shared" si="219"/>
        <v>0</v>
      </c>
      <c r="BH152" s="10">
        <f t="shared" si="219"/>
        <v>0</v>
      </c>
      <c r="BI152" s="10">
        <f t="shared" si="219"/>
        <v>0</v>
      </c>
      <c r="BJ152" s="10">
        <f t="shared" si="219"/>
        <v>0</v>
      </c>
      <c r="BK152" s="10">
        <f t="shared" si="219"/>
        <v>0</v>
      </c>
      <c r="BL152" s="10">
        <f t="shared" si="219"/>
        <v>0</v>
      </c>
      <c r="BM152" s="10">
        <f t="shared" si="219"/>
        <v>0</v>
      </c>
    </row>
    <row r="153">
      <c r="A153" s="181" t="s">
        <v>408</v>
      </c>
      <c r="B153" s="88">
        <f t="shared" ref="B153:L153" si="220">0</f>
        <v>0</v>
      </c>
      <c r="C153" s="88">
        <f t="shared" si="220"/>
        <v>0</v>
      </c>
      <c r="D153" s="88">
        <f t="shared" si="220"/>
        <v>0</v>
      </c>
      <c r="E153" s="88">
        <f t="shared" si="220"/>
        <v>0</v>
      </c>
      <c r="F153" s="88">
        <f t="shared" si="220"/>
        <v>0</v>
      </c>
      <c r="G153" s="88">
        <f t="shared" si="220"/>
        <v>0</v>
      </c>
      <c r="H153" s="88">
        <f t="shared" si="220"/>
        <v>0</v>
      </c>
      <c r="I153" s="88">
        <f t="shared" si="220"/>
        <v>0</v>
      </c>
      <c r="J153" s="88">
        <f t="shared" si="220"/>
        <v>0</v>
      </c>
      <c r="K153" s="88">
        <f t="shared" si="220"/>
        <v>0</v>
      </c>
      <c r="L153" s="88">
        <f t="shared" si="220"/>
        <v>0</v>
      </c>
      <c r="M153" s="10">
        <f>20</f>
        <v>20</v>
      </c>
      <c r="N153" s="88">
        <f t="shared" ref="N153:BM153" si="221">0</f>
        <v>0</v>
      </c>
      <c r="O153" s="88">
        <f t="shared" si="221"/>
        <v>0</v>
      </c>
      <c r="P153" s="88">
        <f t="shared" si="221"/>
        <v>0</v>
      </c>
      <c r="Q153" s="88">
        <f t="shared" si="221"/>
        <v>0</v>
      </c>
      <c r="R153" s="88">
        <f t="shared" si="221"/>
        <v>0</v>
      </c>
      <c r="S153" s="88">
        <f t="shared" si="221"/>
        <v>0</v>
      </c>
      <c r="T153" s="88">
        <f t="shared" si="221"/>
        <v>0</v>
      </c>
      <c r="U153" s="88">
        <f t="shared" si="221"/>
        <v>0</v>
      </c>
      <c r="V153" s="88">
        <f t="shared" si="221"/>
        <v>0</v>
      </c>
      <c r="W153" s="88">
        <f t="shared" si="221"/>
        <v>0</v>
      </c>
      <c r="X153" s="88">
        <f t="shared" si="221"/>
        <v>0</v>
      </c>
      <c r="Y153" s="88">
        <f t="shared" si="221"/>
        <v>0</v>
      </c>
      <c r="Z153" s="88">
        <f t="shared" si="221"/>
        <v>0</v>
      </c>
      <c r="AA153" s="88">
        <f t="shared" si="221"/>
        <v>0</v>
      </c>
      <c r="AB153" s="88">
        <f t="shared" si="221"/>
        <v>0</v>
      </c>
      <c r="AC153" s="88">
        <f t="shared" si="221"/>
        <v>0</v>
      </c>
      <c r="AD153" s="88">
        <f t="shared" si="221"/>
        <v>0</v>
      </c>
      <c r="AE153" s="88">
        <f t="shared" si="221"/>
        <v>0</v>
      </c>
      <c r="AF153" s="88">
        <f t="shared" si="221"/>
        <v>0</v>
      </c>
      <c r="AG153" s="88">
        <f t="shared" si="221"/>
        <v>0</v>
      </c>
      <c r="AH153" s="88">
        <f t="shared" si="221"/>
        <v>0</v>
      </c>
      <c r="AI153" s="88">
        <f t="shared" si="221"/>
        <v>0</v>
      </c>
      <c r="AJ153" s="88">
        <f t="shared" si="221"/>
        <v>0</v>
      </c>
      <c r="AK153" s="88">
        <f t="shared" si="221"/>
        <v>0</v>
      </c>
      <c r="AL153" s="88">
        <f t="shared" si="221"/>
        <v>0</v>
      </c>
      <c r="AM153" s="88">
        <f t="shared" si="221"/>
        <v>0</v>
      </c>
      <c r="AN153" s="88">
        <f t="shared" si="221"/>
        <v>0</v>
      </c>
      <c r="AO153" s="88">
        <f t="shared" si="221"/>
        <v>0</v>
      </c>
      <c r="AP153" s="88">
        <f t="shared" si="221"/>
        <v>0</v>
      </c>
      <c r="AQ153" s="88">
        <f t="shared" si="221"/>
        <v>0</v>
      </c>
      <c r="AR153" s="88">
        <f t="shared" si="221"/>
        <v>0</v>
      </c>
      <c r="AS153" s="88">
        <f t="shared" si="221"/>
        <v>0</v>
      </c>
      <c r="AT153" s="88">
        <f t="shared" si="221"/>
        <v>0</v>
      </c>
      <c r="AU153" s="88">
        <f t="shared" si="221"/>
        <v>0</v>
      </c>
      <c r="AV153" s="88">
        <f t="shared" si="221"/>
        <v>0</v>
      </c>
      <c r="AW153" s="88">
        <f t="shared" si="221"/>
        <v>0</v>
      </c>
      <c r="AX153" s="88">
        <f t="shared" si="221"/>
        <v>0</v>
      </c>
      <c r="AY153" s="88">
        <f t="shared" si="221"/>
        <v>0</v>
      </c>
      <c r="AZ153" s="88">
        <f t="shared" si="221"/>
        <v>0</v>
      </c>
      <c r="BA153" s="88">
        <f t="shared" si="221"/>
        <v>0</v>
      </c>
      <c r="BB153" s="10">
        <f t="shared" si="221"/>
        <v>0</v>
      </c>
      <c r="BC153" s="10">
        <f t="shared" si="221"/>
        <v>0</v>
      </c>
      <c r="BD153" s="10">
        <f t="shared" si="221"/>
        <v>0</v>
      </c>
      <c r="BE153" s="10">
        <f t="shared" si="221"/>
        <v>0</v>
      </c>
      <c r="BF153" s="10">
        <f t="shared" si="221"/>
        <v>0</v>
      </c>
      <c r="BG153" s="10">
        <f t="shared" si="221"/>
        <v>0</v>
      </c>
      <c r="BH153" s="10">
        <f t="shared" si="221"/>
        <v>0</v>
      </c>
      <c r="BI153" s="10">
        <f t="shared" si="221"/>
        <v>0</v>
      </c>
      <c r="BJ153" s="10">
        <f t="shared" si="221"/>
        <v>0</v>
      </c>
      <c r="BK153" s="10">
        <f t="shared" si="221"/>
        <v>0</v>
      </c>
      <c r="BL153" s="10">
        <f t="shared" si="221"/>
        <v>0</v>
      </c>
      <c r="BM153" s="10">
        <f t="shared" si="221"/>
        <v>0</v>
      </c>
    </row>
    <row r="154">
      <c r="A154" s="181" t="s">
        <v>409</v>
      </c>
      <c r="B154" s="88">
        <f t="shared" ref="B154:BM154" si="222">0</f>
        <v>0</v>
      </c>
      <c r="C154" s="88">
        <f t="shared" si="222"/>
        <v>0</v>
      </c>
      <c r="D154" s="88">
        <f t="shared" si="222"/>
        <v>0</v>
      </c>
      <c r="E154" s="88">
        <f t="shared" si="222"/>
        <v>0</v>
      </c>
      <c r="F154" s="88">
        <f t="shared" si="222"/>
        <v>0</v>
      </c>
      <c r="G154" s="88">
        <f t="shared" si="222"/>
        <v>0</v>
      </c>
      <c r="H154" s="88">
        <f t="shared" si="222"/>
        <v>0</v>
      </c>
      <c r="I154" s="88">
        <f t="shared" si="222"/>
        <v>0</v>
      </c>
      <c r="J154" s="88">
        <f t="shared" si="222"/>
        <v>0</v>
      </c>
      <c r="K154" s="88">
        <f t="shared" si="222"/>
        <v>0</v>
      </c>
      <c r="L154" s="88">
        <f t="shared" si="222"/>
        <v>0</v>
      </c>
      <c r="M154" s="88">
        <f t="shared" si="222"/>
        <v>0</v>
      </c>
      <c r="N154" s="88">
        <f t="shared" si="222"/>
        <v>0</v>
      </c>
      <c r="O154" s="88">
        <f t="shared" si="222"/>
        <v>0</v>
      </c>
      <c r="P154" s="88">
        <f t="shared" si="222"/>
        <v>0</v>
      </c>
      <c r="Q154" s="88">
        <f t="shared" si="222"/>
        <v>0</v>
      </c>
      <c r="R154" s="88">
        <f t="shared" si="222"/>
        <v>0</v>
      </c>
      <c r="S154" s="88">
        <f t="shared" si="222"/>
        <v>0</v>
      </c>
      <c r="T154" s="88">
        <f t="shared" si="222"/>
        <v>0</v>
      </c>
      <c r="U154" s="88">
        <f t="shared" si="222"/>
        <v>0</v>
      </c>
      <c r="V154" s="88">
        <f t="shared" si="222"/>
        <v>0</v>
      </c>
      <c r="W154" s="88">
        <f t="shared" si="222"/>
        <v>0</v>
      </c>
      <c r="X154" s="88">
        <f t="shared" si="222"/>
        <v>0</v>
      </c>
      <c r="Y154" s="88">
        <f t="shared" si="222"/>
        <v>0</v>
      </c>
      <c r="Z154" s="88">
        <f t="shared" si="222"/>
        <v>0</v>
      </c>
      <c r="AA154" s="88">
        <f t="shared" si="222"/>
        <v>0</v>
      </c>
      <c r="AB154" s="88">
        <f t="shared" si="222"/>
        <v>0</v>
      </c>
      <c r="AC154" s="88">
        <f t="shared" si="222"/>
        <v>0</v>
      </c>
      <c r="AD154" s="88">
        <f t="shared" si="222"/>
        <v>0</v>
      </c>
      <c r="AE154" s="88">
        <f t="shared" si="222"/>
        <v>0</v>
      </c>
      <c r="AF154" s="88">
        <f t="shared" si="222"/>
        <v>0</v>
      </c>
      <c r="AG154" s="88">
        <f t="shared" si="222"/>
        <v>0</v>
      </c>
      <c r="AH154" s="88">
        <f t="shared" si="222"/>
        <v>0</v>
      </c>
      <c r="AI154" s="88">
        <f t="shared" si="222"/>
        <v>0</v>
      </c>
      <c r="AJ154" s="88">
        <f t="shared" si="222"/>
        <v>0</v>
      </c>
      <c r="AK154" s="88">
        <f t="shared" si="222"/>
        <v>0</v>
      </c>
      <c r="AL154" s="88">
        <f t="shared" si="222"/>
        <v>0</v>
      </c>
      <c r="AM154" s="88">
        <f t="shared" si="222"/>
        <v>0</v>
      </c>
      <c r="AN154" s="88">
        <f t="shared" si="222"/>
        <v>0</v>
      </c>
      <c r="AO154" s="88">
        <f t="shared" si="222"/>
        <v>0</v>
      </c>
      <c r="AP154" s="88">
        <f t="shared" si="222"/>
        <v>0</v>
      </c>
      <c r="AQ154" s="88">
        <f t="shared" si="222"/>
        <v>0</v>
      </c>
      <c r="AR154" s="88">
        <f t="shared" si="222"/>
        <v>0</v>
      </c>
      <c r="AS154" s="88">
        <f t="shared" si="222"/>
        <v>0</v>
      </c>
      <c r="AT154" s="88">
        <f t="shared" si="222"/>
        <v>0</v>
      </c>
      <c r="AU154" s="88">
        <f t="shared" si="222"/>
        <v>0</v>
      </c>
      <c r="AV154" s="88">
        <f t="shared" si="222"/>
        <v>0</v>
      </c>
      <c r="AW154" s="88">
        <f t="shared" si="222"/>
        <v>0</v>
      </c>
      <c r="AX154" s="88">
        <f t="shared" si="222"/>
        <v>0</v>
      </c>
      <c r="AY154" s="88">
        <f t="shared" si="222"/>
        <v>0</v>
      </c>
      <c r="AZ154" s="88">
        <f t="shared" si="222"/>
        <v>0</v>
      </c>
      <c r="BA154" s="88">
        <f t="shared" si="222"/>
        <v>0</v>
      </c>
      <c r="BB154" s="10">
        <f t="shared" si="222"/>
        <v>0</v>
      </c>
      <c r="BC154" s="10">
        <f t="shared" si="222"/>
        <v>0</v>
      </c>
      <c r="BD154" s="10">
        <f t="shared" si="222"/>
        <v>0</v>
      </c>
      <c r="BE154" s="10">
        <f t="shared" si="222"/>
        <v>0</v>
      </c>
      <c r="BF154" s="10">
        <f t="shared" si="222"/>
        <v>0</v>
      </c>
      <c r="BG154" s="10">
        <f t="shared" si="222"/>
        <v>0</v>
      </c>
      <c r="BH154" s="10">
        <f t="shared" si="222"/>
        <v>0</v>
      </c>
      <c r="BI154" s="10">
        <f t="shared" si="222"/>
        <v>0</v>
      </c>
      <c r="BJ154" s="10">
        <f t="shared" si="222"/>
        <v>0</v>
      </c>
      <c r="BK154" s="10">
        <f t="shared" si="222"/>
        <v>0</v>
      </c>
      <c r="BL154" s="10">
        <f t="shared" si="222"/>
        <v>0</v>
      </c>
      <c r="BM154" s="10">
        <f t="shared" si="222"/>
        <v>0</v>
      </c>
    </row>
    <row r="155">
      <c r="A155" s="181" t="s">
        <v>410</v>
      </c>
      <c r="B155" s="88">
        <f t="shared" ref="B155:BM155" si="223">0</f>
        <v>0</v>
      </c>
      <c r="C155" s="88">
        <f t="shared" si="223"/>
        <v>0</v>
      </c>
      <c r="D155" s="88">
        <f t="shared" si="223"/>
        <v>0</v>
      </c>
      <c r="E155" s="88">
        <f t="shared" si="223"/>
        <v>0</v>
      </c>
      <c r="F155" s="88">
        <f t="shared" si="223"/>
        <v>0</v>
      </c>
      <c r="G155" s="88">
        <f t="shared" si="223"/>
        <v>0</v>
      </c>
      <c r="H155" s="88">
        <f t="shared" si="223"/>
        <v>0</v>
      </c>
      <c r="I155" s="88">
        <f t="shared" si="223"/>
        <v>0</v>
      </c>
      <c r="J155" s="88">
        <f t="shared" si="223"/>
        <v>0</v>
      </c>
      <c r="K155" s="88">
        <f t="shared" si="223"/>
        <v>0</v>
      </c>
      <c r="L155" s="88">
        <f t="shared" si="223"/>
        <v>0</v>
      </c>
      <c r="M155" s="88">
        <f t="shared" si="223"/>
        <v>0</v>
      </c>
      <c r="N155" s="88">
        <f t="shared" si="223"/>
        <v>0</v>
      </c>
      <c r="O155" s="88">
        <f t="shared" si="223"/>
        <v>0</v>
      </c>
      <c r="P155" s="88">
        <f t="shared" si="223"/>
        <v>0</v>
      </c>
      <c r="Q155" s="88">
        <f t="shared" si="223"/>
        <v>0</v>
      </c>
      <c r="R155" s="88">
        <f t="shared" si="223"/>
        <v>0</v>
      </c>
      <c r="S155" s="88">
        <f t="shared" si="223"/>
        <v>0</v>
      </c>
      <c r="T155" s="88">
        <f t="shared" si="223"/>
        <v>0</v>
      </c>
      <c r="U155" s="88">
        <f t="shared" si="223"/>
        <v>0</v>
      </c>
      <c r="V155" s="88">
        <f t="shared" si="223"/>
        <v>0</v>
      </c>
      <c r="W155" s="88">
        <f t="shared" si="223"/>
        <v>0</v>
      </c>
      <c r="X155" s="88">
        <f t="shared" si="223"/>
        <v>0</v>
      </c>
      <c r="Y155" s="88">
        <f t="shared" si="223"/>
        <v>0</v>
      </c>
      <c r="Z155" s="88">
        <f t="shared" si="223"/>
        <v>0</v>
      </c>
      <c r="AA155" s="88">
        <f t="shared" si="223"/>
        <v>0</v>
      </c>
      <c r="AB155" s="88">
        <f t="shared" si="223"/>
        <v>0</v>
      </c>
      <c r="AC155" s="88">
        <f t="shared" si="223"/>
        <v>0</v>
      </c>
      <c r="AD155" s="88">
        <f t="shared" si="223"/>
        <v>0</v>
      </c>
      <c r="AE155" s="88">
        <f t="shared" si="223"/>
        <v>0</v>
      </c>
      <c r="AF155" s="88">
        <f t="shared" si="223"/>
        <v>0</v>
      </c>
      <c r="AG155" s="88">
        <f t="shared" si="223"/>
        <v>0</v>
      </c>
      <c r="AH155" s="88">
        <f t="shared" si="223"/>
        <v>0</v>
      </c>
      <c r="AI155" s="88">
        <f t="shared" si="223"/>
        <v>0</v>
      </c>
      <c r="AJ155" s="88">
        <f t="shared" si="223"/>
        <v>0</v>
      </c>
      <c r="AK155" s="88">
        <f t="shared" si="223"/>
        <v>0</v>
      </c>
      <c r="AL155" s="88">
        <f t="shared" si="223"/>
        <v>0</v>
      </c>
      <c r="AM155" s="88">
        <f t="shared" si="223"/>
        <v>0</v>
      </c>
      <c r="AN155" s="88">
        <f t="shared" si="223"/>
        <v>0</v>
      </c>
      <c r="AO155" s="88">
        <f t="shared" si="223"/>
        <v>0</v>
      </c>
      <c r="AP155" s="88">
        <f t="shared" si="223"/>
        <v>0</v>
      </c>
      <c r="AQ155" s="88">
        <f t="shared" si="223"/>
        <v>0</v>
      </c>
      <c r="AR155" s="88">
        <f t="shared" si="223"/>
        <v>0</v>
      </c>
      <c r="AS155" s="88">
        <f t="shared" si="223"/>
        <v>0</v>
      </c>
      <c r="AT155" s="88">
        <f t="shared" si="223"/>
        <v>0</v>
      </c>
      <c r="AU155" s="88">
        <f t="shared" si="223"/>
        <v>0</v>
      </c>
      <c r="AV155" s="88">
        <f t="shared" si="223"/>
        <v>0</v>
      </c>
      <c r="AW155" s="88">
        <f t="shared" si="223"/>
        <v>0</v>
      </c>
      <c r="AX155" s="88">
        <f t="shared" si="223"/>
        <v>0</v>
      </c>
      <c r="AY155" s="88">
        <f t="shared" si="223"/>
        <v>0</v>
      </c>
      <c r="AZ155" s="88">
        <f t="shared" si="223"/>
        <v>0</v>
      </c>
      <c r="BA155" s="88">
        <f t="shared" si="223"/>
        <v>0</v>
      </c>
      <c r="BB155" s="10">
        <f t="shared" si="223"/>
        <v>0</v>
      </c>
      <c r="BC155" s="10">
        <f t="shared" si="223"/>
        <v>0</v>
      </c>
      <c r="BD155" s="10">
        <f t="shared" si="223"/>
        <v>0</v>
      </c>
      <c r="BE155" s="10">
        <f t="shared" si="223"/>
        <v>0</v>
      </c>
      <c r="BF155" s="10">
        <f t="shared" si="223"/>
        <v>0</v>
      </c>
      <c r="BG155" s="10">
        <f t="shared" si="223"/>
        <v>0</v>
      </c>
      <c r="BH155" s="10">
        <f t="shared" si="223"/>
        <v>0</v>
      </c>
      <c r="BI155" s="10">
        <f t="shared" si="223"/>
        <v>0</v>
      </c>
      <c r="BJ155" s="10">
        <f t="shared" si="223"/>
        <v>0</v>
      </c>
      <c r="BK155" s="10">
        <f t="shared" si="223"/>
        <v>0</v>
      </c>
      <c r="BL155" s="10">
        <f t="shared" si="223"/>
        <v>0</v>
      </c>
      <c r="BM155" s="10">
        <f t="shared" si="223"/>
        <v>0</v>
      </c>
    </row>
    <row r="156">
      <c r="A156" s="181" t="s">
        <v>248</v>
      </c>
      <c r="B156" s="88">
        <f t="shared" ref="B156:BM156" si="224">0</f>
        <v>0</v>
      </c>
      <c r="C156" s="88">
        <f t="shared" si="224"/>
        <v>0</v>
      </c>
      <c r="D156" s="88">
        <f t="shared" si="224"/>
        <v>0</v>
      </c>
      <c r="E156" s="88">
        <f t="shared" si="224"/>
        <v>0</v>
      </c>
      <c r="F156" s="88">
        <f t="shared" si="224"/>
        <v>0</v>
      </c>
      <c r="G156" s="88">
        <f t="shared" si="224"/>
        <v>0</v>
      </c>
      <c r="H156" s="88">
        <f t="shared" si="224"/>
        <v>0</v>
      </c>
      <c r="I156" s="88">
        <f t="shared" si="224"/>
        <v>0</v>
      </c>
      <c r="J156" s="88">
        <f t="shared" si="224"/>
        <v>0</v>
      </c>
      <c r="K156" s="88">
        <f t="shared" si="224"/>
        <v>0</v>
      </c>
      <c r="L156" s="88">
        <f t="shared" si="224"/>
        <v>0</v>
      </c>
      <c r="M156" s="88">
        <f t="shared" si="224"/>
        <v>0</v>
      </c>
      <c r="N156" s="88">
        <f t="shared" si="224"/>
        <v>0</v>
      </c>
      <c r="O156" s="88">
        <f t="shared" si="224"/>
        <v>0</v>
      </c>
      <c r="P156" s="88">
        <f t="shared" si="224"/>
        <v>0</v>
      </c>
      <c r="Q156" s="88">
        <f t="shared" si="224"/>
        <v>0</v>
      </c>
      <c r="R156" s="88">
        <f t="shared" si="224"/>
        <v>0</v>
      </c>
      <c r="S156" s="88">
        <f t="shared" si="224"/>
        <v>0</v>
      </c>
      <c r="T156" s="88">
        <f t="shared" si="224"/>
        <v>0</v>
      </c>
      <c r="U156" s="88">
        <f t="shared" si="224"/>
        <v>0</v>
      </c>
      <c r="V156" s="88">
        <f t="shared" si="224"/>
        <v>0</v>
      </c>
      <c r="W156" s="88">
        <f t="shared" si="224"/>
        <v>0</v>
      </c>
      <c r="X156" s="88">
        <f t="shared" si="224"/>
        <v>0</v>
      </c>
      <c r="Y156" s="88">
        <f t="shared" si="224"/>
        <v>0</v>
      </c>
      <c r="Z156" s="88">
        <f t="shared" si="224"/>
        <v>0</v>
      </c>
      <c r="AA156" s="88">
        <f t="shared" si="224"/>
        <v>0</v>
      </c>
      <c r="AB156" s="88">
        <f t="shared" si="224"/>
        <v>0</v>
      </c>
      <c r="AC156" s="88">
        <f t="shared" si="224"/>
        <v>0</v>
      </c>
      <c r="AD156" s="88">
        <f t="shared" si="224"/>
        <v>0</v>
      </c>
      <c r="AE156" s="88">
        <f t="shared" si="224"/>
        <v>0</v>
      </c>
      <c r="AF156" s="88">
        <f t="shared" si="224"/>
        <v>0</v>
      </c>
      <c r="AG156" s="88">
        <f t="shared" si="224"/>
        <v>0</v>
      </c>
      <c r="AH156" s="88">
        <f t="shared" si="224"/>
        <v>0</v>
      </c>
      <c r="AI156" s="88">
        <f t="shared" si="224"/>
        <v>0</v>
      </c>
      <c r="AJ156" s="88">
        <f t="shared" si="224"/>
        <v>0</v>
      </c>
      <c r="AK156" s="88">
        <f t="shared" si="224"/>
        <v>0</v>
      </c>
      <c r="AL156" s="88">
        <f t="shared" si="224"/>
        <v>0</v>
      </c>
      <c r="AM156" s="88">
        <f t="shared" si="224"/>
        <v>0</v>
      </c>
      <c r="AN156" s="88">
        <f t="shared" si="224"/>
        <v>0</v>
      </c>
      <c r="AO156" s="88">
        <f t="shared" si="224"/>
        <v>0</v>
      </c>
      <c r="AP156" s="88">
        <f t="shared" si="224"/>
        <v>0</v>
      </c>
      <c r="AQ156" s="88">
        <f t="shared" si="224"/>
        <v>0</v>
      </c>
      <c r="AR156" s="88">
        <f t="shared" si="224"/>
        <v>0</v>
      </c>
      <c r="AS156" s="88">
        <f t="shared" si="224"/>
        <v>0</v>
      </c>
      <c r="AT156" s="88">
        <f t="shared" si="224"/>
        <v>0</v>
      </c>
      <c r="AU156" s="88">
        <f t="shared" si="224"/>
        <v>0</v>
      </c>
      <c r="AV156" s="88">
        <f t="shared" si="224"/>
        <v>0</v>
      </c>
      <c r="AW156" s="88">
        <f t="shared" si="224"/>
        <v>0</v>
      </c>
      <c r="AX156" s="88">
        <f t="shared" si="224"/>
        <v>0</v>
      </c>
      <c r="AY156" s="88">
        <f t="shared" si="224"/>
        <v>0</v>
      </c>
      <c r="AZ156" s="88">
        <f t="shared" si="224"/>
        <v>0</v>
      </c>
      <c r="BA156" s="88">
        <f t="shared" si="224"/>
        <v>0</v>
      </c>
      <c r="BB156" s="10">
        <f t="shared" si="224"/>
        <v>0</v>
      </c>
      <c r="BC156" s="10">
        <f t="shared" si="224"/>
        <v>0</v>
      </c>
      <c r="BD156" s="10">
        <f t="shared" si="224"/>
        <v>0</v>
      </c>
      <c r="BE156" s="10">
        <f t="shared" si="224"/>
        <v>0</v>
      </c>
      <c r="BF156" s="10">
        <f t="shared" si="224"/>
        <v>0</v>
      </c>
      <c r="BG156" s="10">
        <f t="shared" si="224"/>
        <v>0</v>
      </c>
      <c r="BH156" s="10">
        <f t="shared" si="224"/>
        <v>0</v>
      </c>
      <c r="BI156" s="10">
        <f t="shared" si="224"/>
        <v>0</v>
      </c>
      <c r="BJ156" s="10">
        <f t="shared" si="224"/>
        <v>0</v>
      </c>
      <c r="BK156" s="10">
        <f t="shared" si="224"/>
        <v>0</v>
      </c>
      <c r="BL156" s="10">
        <f t="shared" si="224"/>
        <v>0</v>
      </c>
      <c r="BM156" s="10">
        <f t="shared" si="224"/>
        <v>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8.67"/>
    <col customWidth="1" min="2" max="2" width="18.11"/>
    <col customWidth="1" min="3" max="3" width="18.44"/>
  </cols>
  <sheetData>
    <row r="2">
      <c r="A2" s="4" t="s">
        <v>172</v>
      </c>
      <c r="B2" s="4" t="s">
        <v>846</v>
      </c>
      <c r="C2" s="4"/>
    </row>
    <row r="3">
      <c r="A3" s="4" t="s">
        <v>411</v>
      </c>
      <c r="B3" s="4" t="s">
        <v>846</v>
      </c>
      <c r="C3" s="4"/>
    </row>
    <row r="4">
      <c r="A4" s="4" t="s">
        <v>422</v>
      </c>
    </row>
    <row r="5">
      <c r="A5" s="4" t="s">
        <v>160</v>
      </c>
    </row>
    <row r="6">
      <c r="A6" s="181" t="s">
        <v>423</v>
      </c>
    </row>
    <row r="7">
      <c r="A7" s="181" t="s">
        <v>424</v>
      </c>
    </row>
    <row r="8">
      <c r="A8" s="181" t="s">
        <v>425</v>
      </c>
    </row>
    <row r="9">
      <c r="A9" s="181" t="s">
        <v>161</v>
      </c>
    </row>
    <row r="10">
      <c r="A10" s="181" t="s">
        <v>164</v>
      </c>
    </row>
    <row r="11">
      <c r="A11" s="181" t="s">
        <v>165</v>
      </c>
    </row>
    <row r="12">
      <c r="A12" s="181" t="s">
        <v>426</v>
      </c>
    </row>
    <row r="13">
      <c r="A13" s="181" t="s">
        <v>154</v>
      </c>
    </row>
    <row r="14">
      <c r="A14" s="181" t="s">
        <v>189</v>
      </c>
    </row>
    <row r="15">
      <c r="A15" s="181" t="s">
        <v>190</v>
      </c>
    </row>
    <row r="16">
      <c r="A16" s="181" t="s">
        <v>191</v>
      </c>
    </row>
    <row r="17">
      <c r="A17" s="181" t="s">
        <v>192</v>
      </c>
    </row>
    <row r="18">
      <c r="A18" s="181" t="s">
        <v>193</v>
      </c>
    </row>
    <row r="19">
      <c r="A19" s="181" t="s">
        <v>194</v>
      </c>
    </row>
    <row r="20">
      <c r="A20" s="181" t="s">
        <v>195</v>
      </c>
    </row>
    <row r="21">
      <c r="A21" s="181" t="s">
        <v>196</v>
      </c>
    </row>
    <row r="22">
      <c r="A22" s="181" t="s">
        <v>197</v>
      </c>
    </row>
    <row r="23">
      <c r="A23" s="181" t="s">
        <v>198</v>
      </c>
    </row>
    <row r="24">
      <c r="A24" s="181" t="s">
        <v>199</v>
      </c>
    </row>
    <row r="25">
      <c r="A25" s="181" t="s">
        <v>200</v>
      </c>
    </row>
    <row r="26">
      <c r="A26" s="181" t="s">
        <v>201</v>
      </c>
      <c r="B26" s="88">
        <f>MIN(25% * INDIRECT(ADDRESS(ROW() - 16, COLUMN() + 1)), 75)</f>
        <v>0</v>
      </c>
    </row>
    <row r="27">
      <c r="A27" s="181" t="s">
        <v>202</v>
      </c>
    </row>
    <row r="28">
      <c r="A28" s="181" t="s">
        <v>203</v>
      </c>
    </row>
    <row r="29">
      <c r="A29" s="181" t="s">
        <v>204</v>
      </c>
    </row>
    <row r="30">
      <c r="A30" s="181" t="s">
        <v>205</v>
      </c>
    </row>
    <row r="31">
      <c r="A31" s="181" t="s">
        <v>206</v>
      </c>
    </row>
    <row r="32">
      <c r="A32" s="181" t="s">
        <v>207</v>
      </c>
    </row>
    <row r="33">
      <c r="A33" s="181" t="s">
        <v>208</v>
      </c>
    </row>
    <row r="34">
      <c r="A34" s="181" t="s">
        <v>209</v>
      </c>
    </row>
    <row r="35">
      <c r="A35" s="181" t="s">
        <v>210</v>
      </c>
    </row>
    <row r="36">
      <c r="A36" s="181" t="s">
        <v>211</v>
      </c>
    </row>
    <row r="37">
      <c r="A37" s="181" t="s">
        <v>212</v>
      </c>
    </row>
    <row r="38">
      <c r="A38" s="181" t="s">
        <v>213</v>
      </c>
    </row>
    <row r="39">
      <c r="A39" s="181" t="s">
        <v>214</v>
      </c>
    </row>
    <row r="40">
      <c r="A40" s="181" t="s">
        <v>215</v>
      </c>
    </row>
    <row r="41">
      <c r="A41" s="181" t="s">
        <v>216</v>
      </c>
    </row>
    <row r="42">
      <c r="A42" s="181" t="s">
        <v>217</v>
      </c>
    </row>
    <row r="43">
      <c r="A43" s="181" t="s">
        <v>218</v>
      </c>
    </row>
    <row r="44">
      <c r="A44" s="181" t="s">
        <v>219</v>
      </c>
    </row>
    <row r="45">
      <c r="A45" s="181" t="s">
        <v>220</v>
      </c>
    </row>
    <row r="46">
      <c r="A46" s="181" t="s">
        <v>221</v>
      </c>
    </row>
    <row r="47">
      <c r="A47" s="181" t="s">
        <v>222</v>
      </c>
    </row>
    <row r="48">
      <c r="A48" s="181" t="s">
        <v>223</v>
      </c>
    </row>
    <row r="49">
      <c r="A49" s="181" t="s">
        <v>224</v>
      </c>
    </row>
    <row r="50">
      <c r="A50" s="181" t="s">
        <v>225</v>
      </c>
    </row>
    <row r="51">
      <c r="A51" s="181" t="s">
        <v>226</v>
      </c>
    </row>
    <row r="52">
      <c r="A52" s="181" t="s">
        <v>227</v>
      </c>
    </row>
    <row r="53">
      <c r="A53" s="181" t="s">
        <v>228</v>
      </c>
    </row>
    <row r="54">
      <c r="A54" s="181" t="s">
        <v>229</v>
      </c>
    </row>
    <row r="55">
      <c r="A55" s="181" t="s">
        <v>230</v>
      </c>
    </row>
    <row r="56">
      <c r="A56" s="181" t="s">
        <v>231</v>
      </c>
    </row>
    <row r="57">
      <c r="A57" s="181" t="s">
        <v>232</v>
      </c>
    </row>
    <row r="58">
      <c r="A58" s="181" t="s">
        <v>233</v>
      </c>
    </row>
    <row r="59">
      <c r="A59" s="181" t="s">
        <v>234</v>
      </c>
    </row>
    <row r="60">
      <c r="A60" s="181" t="s">
        <v>235</v>
      </c>
    </row>
    <row r="61">
      <c r="A61" s="181" t="s">
        <v>236</v>
      </c>
    </row>
    <row r="62">
      <c r="A62" s="181" t="s">
        <v>237</v>
      </c>
    </row>
    <row r="63">
      <c r="A63" s="181" t="s">
        <v>238</v>
      </c>
    </row>
    <row r="64">
      <c r="A64" s="181" t="s">
        <v>239</v>
      </c>
    </row>
    <row r="65">
      <c r="A65" s="181" t="s">
        <v>240</v>
      </c>
    </row>
    <row r="66">
      <c r="A66" s="181" t="s">
        <v>241</v>
      </c>
    </row>
    <row r="67">
      <c r="A67" s="181" t="s">
        <v>242</v>
      </c>
    </row>
    <row r="68">
      <c r="A68" s="181" t="s">
        <v>243</v>
      </c>
    </row>
    <row r="69">
      <c r="A69" s="181" t="s">
        <v>244</v>
      </c>
    </row>
    <row r="70">
      <c r="A70" s="181" t="s">
        <v>408</v>
      </c>
    </row>
    <row r="71">
      <c r="A71" s="181" t="s">
        <v>409</v>
      </c>
    </row>
    <row r="72">
      <c r="A72" s="181" t="s">
        <v>410</v>
      </c>
    </row>
    <row r="73">
      <c r="A73" s="181" t="s">
        <v>248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12.89"/>
    <col customWidth="1" min="2" max="2" width="20.33"/>
    <col customWidth="1" min="3" max="3" width="17.11"/>
    <col customWidth="1" min="4" max="4" width="25.44"/>
    <col customWidth="1" min="5" max="5" width="15.89"/>
    <col customWidth="1" min="6" max="6" width="13.89"/>
    <col customWidth="1" min="11" max="11" width="8.67"/>
    <col customWidth="1" min="12" max="12" width="14.56"/>
    <col customWidth="1" min="14" max="14" width="23.89"/>
  </cols>
  <sheetData>
    <row r="1">
      <c r="D1" s="10"/>
      <c r="E1" s="10"/>
      <c r="F1" s="10"/>
      <c r="G1" s="10"/>
      <c r="H1" s="10"/>
      <c r="I1" s="10"/>
      <c r="J1" s="10"/>
      <c r="K1" s="10"/>
      <c r="L1" s="10"/>
      <c r="M1" s="10"/>
      <c r="N1" s="10"/>
      <c r="O1" s="10"/>
      <c r="P1" s="10"/>
      <c r="Q1" s="10"/>
      <c r="R1" s="10"/>
      <c r="S1" s="10"/>
      <c r="T1" s="10"/>
      <c r="U1" s="10"/>
      <c r="V1" s="10"/>
      <c r="W1" s="10"/>
      <c r="X1" s="10"/>
      <c r="Y1" s="10"/>
      <c r="Z1" s="10"/>
    </row>
    <row r="3">
      <c r="B3" s="5" t="s">
        <v>33</v>
      </c>
      <c r="C3" s="2"/>
      <c r="D3" s="3"/>
      <c r="F3" s="1" t="s">
        <v>34</v>
      </c>
      <c r="G3" s="2"/>
      <c r="H3" s="2"/>
      <c r="I3" s="2"/>
      <c r="J3" s="3"/>
      <c r="L3" s="1" t="s">
        <v>35</v>
      </c>
      <c r="M3" s="2"/>
      <c r="N3" s="3"/>
    </row>
    <row r="4">
      <c r="B4" s="12" t="s">
        <v>36</v>
      </c>
      <c r="C4" s="13"/>
      <c r="D4" s="14"/>
      <c r="F4" s="15" t="s">
        <v>37</v>
      </c>
      <c r="G4" s="16"/>
      <c r="H4" s="16"/>
      <c r="I4" s="16"/>
      <c r="J4" s="17"/>
      <c r="L4" s="4" t="s">
        <v>38</v>
      </c>
      <c r="M4" s="5" t="s">
        <v>39</v>
      </c>
      <c r="N4" s="3"/>
    </row>
    <row r="5">
      <c r="B5" s="18" t="s">
        <v>40</v>
      </c>
      <c r="C5" s="13"/>
      <c r="D5" s="14"/>
      <c r="F5" s="19"/>
      <c r="J5" s="20"/>
      <c r="L5" s="21"/>
      <c r="M5" s="22"/>
      <c r="N5" s="3"/>
    </row>
    <row r="6">
      <c r="B6" s="4" t="s">
        <v>41</v>
      </c>
      <c r="C6" s="4" t="s">
        <v>42</v>
      </c>
      <c r="D6" s="23" t="s">
        <v>43</v>
      </c>
      <c r="F6" s="19"/>
      <c r="J6" s="20"/>
      <c r="L6" s="4"/>
      <c r="M6" s="24"/>
      <c r="N6" s="3"/>
    </row>
    <row r="7">
      <c r="B7" s="4" t="s">
        <v>44</v>
      </c>
      <c r="C7" s="4" t="s">
        <v>45</v>
      </c>
      <c r="D7" s="23" t="s">
        <v>46</v>
      </c>
      <c r="F7" s="19"/>
      <c r="J7" s="20"/>
      <c r="L7" s="21"/>
      <c r="M7" s="25"/>
      <c r="N7" s="3"/>
    </row>
    <row r="8">
      <c r="B8" s="4" t="s">
        <v>47</v>
      </c>
      <c r="C8" s="4" t="s">
        <v>48</v>
      </c>
      <c r="D8" s="26" t="s">
        <v>49</v>
      </c>
      <c r="F8" s="19"/>
      <c r="J8" s="20"/>
      <c r="L8" s="21"/>
      <c r="M8" s="25"/>
      <c r="N8" s="3"/>
    </row>
    <row r="9">
      <c r="F9" s="19"/>
      <c r="J9" s="20"/>
      <c r="L9" s="21"/>
      <c r="M9" s="25"/>
      <c r="N9" s="3"/>
    </row>
    <row r="10">
      <c r="B10" s="27" t="s">
        <v>50</v>
      </c>
      <c r="C10" s="16"/>
      <c r="D10" s="17"/>
      <c r="F10" s="19"/>
      <c r="J10" s="20"/>
      <c r="L10" s="21"/>
      <c r="M10" s="25"/>
      <c r="N10" s="3"/>
    </row>
    <row r="11">
      <c r="B11" s="28"/>
      <c r="C11" s="13"/>
      <c r="D11" s="14"/>
      <c r="E11" s="29"/>
      <c r="F11" s="19"/>
      <c r="J11" s="20"/>
      <c r="L11" s="21"/>
      <c r="M11" s="25"/>
      <c r="N11" s="3"/>
    </row>
    <row r="12">
      <c r="B12" s="30" t="s">
        <v>51</v>
      </c>
      <c r="C12" s="2"/>
      <c r="D12" s="3"/>
      <c r="E12" s="29"/>
      <c r="F12" s="19"/>
      <c r="J12" s="20"/>
      <c r="L12" s="21"/>
      <c r="M12" s="25"/>
      <c r="N12" s="3"/>
    </row>
    <row r="13">
      <c r="B13" s="4" t="s">
        <v>52</v>
      </c>
      <c r="C13" s="5"/>
      <c r="D13" s="3"/>
      <c r="E13" s="31"/>
      <c r="F13" s="19"/>
      <c r="J13" s="20"/>
      <c r="L13" s="21"/>
      <c r="M13" s="25"/>
      <c r="N13" s="3"/>
    </row>
    <row r="14">
      <c r="B14" s="4" t="s">
        <v>53</v>
      </c>
      <c r="C14" s="22"/>
      <c r="D14" s="3"/>
      <c r="E14" s="10"/>
      <c r="F14" s="19"/>
      <c r="J14" s="20"/>
      <c r="L14" s="21"/>
      <c r="M14" s="22"/>
      <c r="N14" s="3"/>
    </row>
    <row r="15">
      <c r="B15" s="4" t="s">
        <v>54</v>
      </c>
      <c r="C15" s="22"/>
      <c r="D15" s="3"/>
      <c r="F15" s="19"/>
      <c r="J15" s="20"/>
      <c r="L15" s="21"/>
      <c r="M15" s="22"/>
      <c r="N15" s="3"/>
    </row>
    <row r="16">
      <c r="B16" s="4" t="s">
        <v>55</v>
      </c>
      <c r="C16" s="22"/>
      <c r="D16" s="3"/>
      <c r="F16" s="28"/>
      <c r="G16" s="13"/>
      <c r="H16" s="13"/>
      <c r="I16" s="13"/>
      <c r="J16" s="14"/>
      <c r="L16" s="21"/>
      <c r="M16" s="22"/>
      <c r="N16" s="3"/>
    </row>
    <row r="18">
      <c r="B18" s="1" t="s">
        <v>56</v>
      </c>
      <c r="C18" s="2"/>
      <c r="D18" s="2"/>
      <c r="E18" s="2"/>
      <c r="F18" s="2"/>
      <c r="G18" s="2"/>
      <c r="H18" s="2"/>
      <c r="I18" s="2"/>
      <c r="J18" s="2"/>
      <c r="K18" s="2"/>
      <c r="L18" s="2"/>
      <c r="M18" s="2"/>
      <c r="N18" s="3"/>
    </row>
    <row r="20">
      <c r="C20" s="4" t="s">
        <v>57</v>
      </c>
      <c r="D20" s="4" t="s">
        <v>58</v>
      </c>
      <c r="E20" s="4" t="str">
        <f>CONCATENATE("% of ", C21)</f>
        <v>% of TeamDPS</v>
      </c>
      <c r="I20" s="1" t="s">
        <v>59</v>
      </c>
      <c r="J20" s="2"/>
      <c r="K20" s="2"/>
      <c r="L20" s="2"/>
      <c r="M20" s="3"/>
    </row>
    <row r="21">
      <c r="C21" s="4" t="s">
        <v>60</v>
      </c>
      <c r="D21" s="32" t="str">
        <f t="shared" ref="D21:D23" si="1">INDIRECT(CONCATENATE("'", INDIRECT(ADDRESS(ROW(), 3)), "'!C$57"))</f>
        <v>#DIV/0!</v>
      </c>
      <c r="E21" s="33" t="str">
        <f t="shared" ref="E21:E23" si="2">D21/D$21</f>
        <v>#DIV/0!</v>
      </c>
      <c r="I21" s="15" t="s">
        <v>61</v>
      </c>
      <c r="J21" s="16"/>
      <c r="K21" s="16"/>
      <c r="L21" s="16"/>
      <c r="M21" s="17"/>
    </row>
    <row r="22">
      <c r="C22" s="4" t="s">
        <v>62</v>
      </c>
      <c r="D22" s="21" t="str">
        <f t="shared" si="1"/>
        <v>#REF!</v>
      </c>
      <c r="E22" s="33" t="str">
        <f t="shared" si="2"/>
        <v>#REF!</v>
      </c>
      <c r="I22" s="28"/>
      <c r="J22" s="13"/>
      <c r="K22" s="13"/>
      <c r="L22" s="13"/>
      <c r="M22" s="14"/>
    </row>
    <row r="23">
      <c r="C23" s="4" t="s">
        <v>63</v>
      </c>
      <c r="D23" s="21" t="str">
        <f t="shared" si="1"/>
        <v>#REF!</v>
      </c>
      <c r="E23" s="33" t="str">
        <f t="shared" si="2"/>
        <v>#REF!</v>
      </c>
      <c r="I23" s="15" t="s">
        <v>64</v>
      </c>
      <c r="J23" s="16"/>
      <c r="K23" s="16"/>
      <c r="L23" s="16"/>
      <c r="M23" s="17"/>
    </row>
    <row r="24">
      <c r="I24" s="28"/>
      <c r="J24" s="13"/>
      <c r="K24" s="13"/>
      <c r="L24" s="13"/>
      <c r="M24" s="14"/>
    </row>
    <row r="25">
      <c r="I25" s="15" t="s">
        <v>65</v>
      </c>
      <c r="J25" s="16"/>
      <c r="K25" s="16"/>
      <c r="L25" s="16"/>
      <c r="M25" s="17"/>
    </row>
    <row r="26">
      <c r="I26" s="28"/>
      <c r="J26" s="13"/>
      <c r="K26" s="13"/>
      <c r="L26" s="13"/>
      <c r="M26" s="14"/>
    </row>
    <row r="27">
      <c r="I27" s="15" t="s">
        <v>66</v>
      </c>
      <c r="J27" s="16"/>
      <c r="K27" s="16"/>
      <c r="L27" s="16"/>
      <c r="M27" s="17"/>
    </row>
    <row r="28">
      <c r="I28" s="28"/>
      <c r="J28" s="13"/>
      <c r="K28" s="13"/>
      <c r="L28" s="13"/>
      <c r="M28" s="14"/>
    </row>
    <row r="35">
      <c r="B35" s="34" t="s">
        <v>60</v>
      </c>
      <c r="C35" s="2"/>
      <c r="D35" s="2"/>
      <c r="E35" s="2"/>
      <c r="F35" s="2"/>
      <c r="G35" s="2"/>
      <c r="H35" s="2"/>
      <c r="I35" s="2"/>
      <c r="J35" s="2"/>
      <c r="K35" s="2"/>
      <c r="L35" s="2"/>
      <c r="M35" s="2"/>
      <c r="N35" s="3"/>
    </row>
    <row r="37">
      <c r="B37" s="35" t="s">
        <v>67</v>
      </c>
      <c r="C37" s="36" t="str">
        <f>TEXTJOIN(" -&gt; ", TRUE, INDIRECT(CONCATENATE("'", INDIRECT(ADDRESS(ROW() - 2, 2)), "'!D21:Z21")))</f>
        <v/>
      </c>
      <c r="D37" s="16"/>
      <c r="E37" s="16"/>
      <c r="F37" s="16"/>
      <c r="G37" s="17"/>
    </row>
    <row r="38">
      <c r="B38" s="37"/>
      <c r="C38" s="28"/>
      <c r="D38" s="13"/>
      <c r="E38" s="13"/>
      <c r="F38" s="13"/>
      <c r="G38" s="14"/>
    </row>
    <row r="40">
      <c r="B40" s="4" t="s">
        <v>68</v>
      </c>
      <c r="C40" s="4" t="s">
        <v>69</v>
      </c>
      <c r="D40" s="4" t="s">
        <v>70</v>
      </c>
      <c r="E40" s="4" t="s">
        <v>71</v>
      </c>
      <c r="F40" s="4" t="s">
        <v>58</v>
      </c>
      <c r="G40" s="4" t="s">
        <v>72</v>
      </c>
    </row>
    <row r="41">
      <c r="B41" s="4" t="str">
        <f>INDIRECT(CONCATENATE("'", INDIRECT(ADDRESS(ROW() - 6, 2)), "'!B3"))</f>
        <v> C0</v>
      </c>
      <c r="C41" s="4" t="str">
        <f>INDIRECT(CONCATENATE("'", INDIRECT(ADDRESS(ROW() - 6, 2)), "'!C3"))</f>
        <v> R1</v>
      </c>
      <c r="D41" s="4" t="str">
        <f>INDIRECT(CONCATENATE("'", INDIRECT(ADDRESS(ROW() - 6, 2)), "'!D3"))</f>
        <v>  HP%/HP%/HP%</v>
      </c>
      <c r="E41" s="38">
        <f>INDIRECT(CONCATENATE("'", INDIRECT(ADDRESS(ROW() - 6, 2)), "'!C28"))</f>
        <v>0</v>
      </c>
      <c r="F41" s="38">
        <f>INDIRECT(CONCATENATE("'", INDIRECT(ADDRESS(ROW() - 6, 2)), "'!C29"))</f>
        <v>0</v>
      </c>
      <c r="G41" s="39" t="str">
        <f>E41/E45</f>
        <v>#DIV/0!</v>
      </c>
    </row>
    <row r="42">
      <c r="B42" s="4" t="str">
        <f>INDIRECT(CONCATENATE("'", INDIRECT(ADDRESS(ROW() - 7, 2)), "'!B4"))</f>
        <v> C0</v>
      </c>
      <c r="C42" s="4" t="str">
        <f>INDIRECT(CONCATENATE("'", INDIRECT(ADDRESS(ROW() - 7, 2)), "'!C4"))</f>
        <v> R1</v>
      </c>
      <c r="D42" s="4" t="str">
        <f>INDIRECT(CONCATENATE("'", INDIRECT(ADDRESS(ROW() - 7, 2)), "'!D4"))</f>
        <v>  HP%/HP%/HP%</v>
      </c>
      <c r="E42" s="38">
        <f>INDIRECT(CONCATENATE("'", INDIRECT(ADDRESS(ROW() - 7, 2)), "'!C36"))</f>
        <v>0</v>
      </c>
      <c r="F42" s="38">
        <f>INDIRECT(CONCATENATE("'", INDIRECT(ADDRESS(ROW() - 7, 2)), "'!C37"))</f>
        <v>0</v>
      </c>
      <c r="G42" s="39" t="str">
        <f>E42/E45</f>
        <v>#DIV/0!</v>
      </c>
    </row>
    <row r="43">
      <c r="B43" s="4" t="str">
        <f>INDIRECT(CONCATENATE("'", INDIRECT(ADDRESS(ROW() - 8, 2)), "'!B5"))</f>
        <v> C0</v>
      </c>
      <c r="C43" s="4" t="str">
        <f>INDIRECT(CONCATENATE("'", INDIRECT(ADDRESS(ROW() - 8, 2)), "'!C5"))</f>
        <v> R1</v>
      </c>
      <c r="D43" s="4" t="str">
        <f>INDIRECT(CONCATENATE("'", INDIRECT(ADDRESS(ROW() - 8, 2)), "'!D5"))</f>
        <v>  HP%/HP%/HP%</v>
      </c>
      <c r="E43" s="38">
        <f>INDIRECT(CONCATENATE("'", INDIRECT(ADDRESS(ROW() - 8, 2)), "'!C44"))</f>
        <v>0</v>
      </c>
      <c r="F43" s="38">
        <f>INDIRECT(CONCATENATE("'", INDIRECT(ADDRESS(ROW() - 8, 2)), "'!C45"))</f>
        <v>0</v>
      </c>
      <c r="G43" s="39" t="str">
        <f>E43/E45</f>
        <v>#DIV/0!</v>
      </c>
    </row>
    <row r="44">
      <c r="B44" s="4" t="str">
        <f>INDIRECT(CONCATENATE("'", INDIRECT(ADDRESS(ROW() - 9, 2)), "'!B6"))</f>
        <v> C0</v>
      </c>
      <c r="C44" s="4" t="str">
        <f>INDIRECT(CONCATENATE("'", INDIRECT(ADDRESS(ROW() - 9, 2)), "'!C6"))</f>
        <v> R1</v>
      </c>
      <c r="D44" s="4" t="str">
        <f>INDIRECT(CONCATENATE("'", INDIRECT(ADDRESS(ROW() - 9, 2)), "'!D6"))</f>
        <v>  HP%/HP%/HP%</v>
      </c>
      <c r="E44" s="38">
        <f>INDIRECT(CONCATENATE("'", INDIRECT(ADDRESS(ROW() - 9, 2)), "'!C52"))</f>
        <v>0</v>
      </c>
      <c r="F44" s="38">
        <f>INDIRECT(CONCATENATE("'", INDIRECT(ADDRESS(ROW() - 9, 2)), "'!C53"))</f>
        <v>0</v>
      </c>
      <c r="G44" s="39" t="str">
        <f>E44/E45</f>
        <v>#DIV/0!</v>
      </c>
    </row>
    <row r="45">
      <c r="B45" s="40" t="s">
        <v>73</v>
      </c>
      <c r="C45" s="2"/>
      <c r="D45" s="3"/>
      <c r="E45" s="38">
        <f t="shared" ref="E45:G45" si="3">SUM(E41:E44)</f>
        <v>0</v>
      </c>
      <c r="F45" s="38">
        <f t="shared" si="3"/>
        <v>0</v>
      </c>
      <c r="G45" s="41" t="str">
        <f t="shared" si="3"/>
        <v>#DIV/0!</v>
      </c>
    </row>
    <row r="47">
      <c r="B47" s="42" t="str">
        <f>CONCAT(B35, " Discussion")</f>
        <v>TeamDPS Discussion</v>
      </c>
      <c r="C47" s="2"/>
      <c r="D47" s="2"/>
      <c r="E47" s="2"/>
      <c r="F47" s="2"/>
      <c r="G47" s="3"/>
    </row>
    <row r="48">
      <c r="B48" s="15" t="s">
        <v>74</v>
      </c>
      <c r="C48" s="16"/>
      <c r="D48" s="16"/>
      <c r="E48" s="16"/>
      <c r="F48" s="16"/>
      <c r="G48" s="17"/>
    </row>
    <row r="49">
      <c r="B49" s="19"/>
      <c r="G49" s="20"/>
    </row>
    <row r="50">
      <c r="B50" s="19"/>
      <c r="G50" s="20"/>
    </row>
    <row r="51">
      <c r="B51" s="19"/>
      <c r="G51" s="20"/>
    </row>
    <row r="52">
      <c r="B52" s="19"/>
      <c r="G52" s="20"/>
    </row>
    <row r="53">
      <c r="B53" s="28"/>
      <c r="C53" s="13"/>
      <c r="D53" s="13"/>
      <c r="E53" s="13"/>
      <c r="F53" s="13"/>
      <c r="G53" s="14"/>
    </row>
    <row r="54">
      <c r="C54" s="9"/>
      <c r="D54" s="9"/>
    </row>
    <row r="56">
      <c r="B56" s="1" t="s">
        <v>75</v>
      </c>
      <c r="C56" s="2"/>
      <c r="D56" s="2"/>
      <c r="E56" s="2"/>
      <c r="F56" s="2"/>
      <c r="G56" s="2"/>
      <c r="H56" s="2"/>
      <c r="I56" s="2"/>
      <c r="J56" s="2"/>
      <c r="K56" s="2"/>
      <c r="L56" s="2"/>
      <c r="M56" s="2"/>
      <c r="N56" s="3"/>
    </row>
  </sheetData>
  <mergeCells count="38">
    <mergeCell ref="B5:D5"/>
    <mergeCell ref="B10:D11"/>
    <mergeCell ref="C16:D16"/>
    <mergeCell ref="M16:N16"/>
    <mergeCell ref="B3:D3"/>
    <mergeCell ref="F3:J3"/>
    <mergeCell ref="L3:N3"/>
    <mergeCell ref="B4:D4"/>
    <mergeCell ref="F4:J16"/>
    <mergeCell ref="M4:N4"/>
    <mergeCell ref="B12:D12"/>
    <mergeCell ref="B37:B38"/>
    <mergeCell ref="C37:G38"/>
    <mergeCell ref="B45:D45"/>
    <mergeCell ref="B47:G47"/>
    <mergeCell ref="B48:G53"/>
    <mergeCell ref="B56:N56"/>
    <mergeCell ref="B18:N18"/>
    <mergeCell ref="I20:M20"/>
    <mergeCell ref="I21:M22"/>
    <mergeCell ref="I23:M24"/>
    <mergeCell ref="I25:M26"/>
    <mergeCell ref="I27:M28"/>
    <mergeCell ref="B35:N35"/>
    <mergeCell ref="M5:N5"/>
    <mergeCell ref="M6:N6"/>
    <mergeCell ref="M7:N7"/>
    <mergeCell ref="M8:N8"/>
    <mergeCell ref="M10:N10"/>
    <mergeCell ref="M11:N11"/>
    <mergeCell ref="M9:N9"/>
    <mergeCell ref="M12:N12"/>
    <mergeCell ref="C13:D13"/>
    <mergeCell ref="M13:N13"/>
    <mergeCell ref="C14:D14"/>
    <mergeCell ref="M14:N14"/>
    <mergeCell ref="C15:D15"/>
    <mergeCell ref="M15:N15"/>
  </mergeCells>
  <hyperlinks>
    <hyperlink r:id="rId1" ref="D6"/>
    <hyperlink r:id="rId2" ref="D7"/>
    <hyperlink r:id="rId3" ref="D8"/>
    <hyperlink display="TeamDPS" location="TeamDPS!A1" ref="B35"/>
  </hyperlinks>
  <drawing r:id="rId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sheetData>
    <row r="2">
      <c r="A2" s="4" t="s">
        <v>105</v>
      </c>
      <c r="B2" s="1" t="s">
        <v>850</v>
      </c>
      <c r="C2" s="2"/>
      <c r="D2" s="2"/>
      <c r="E2" s="3"/>
    </row>
    <row r="3">
      <c r="A3" s="4" t="s">
        <v>427</v>
      </c>
      <c r="B3" s="4" t="s">
        <v>152</v>
      </c>
      <c r="C3" s="4" t="s">
        <v>120</v>
      </c>
      <c r="D3" s="4" t="s">
        <v>153</v>
      </c>
      <c r="E3" s="4" t="s">
        <v>165</v>
      </c>
    </row>
    <row r="4">
      <c r="A4" s="4" t="s">
        <v>180</v>
      </c>
      <c r="B4" s="10">
        <f>30</f>
        <v>30</v>
      </c>
      <c r="C4" s="88">
        <f t="shared" ref="C4:E4" si="1">0</f>
        <v>0</v>
      </c>
      <c r="D4" s="88">
        <f t="shared" si="1"/>
        <v>0</v>
      </c>
      <c r="E4" s="88">
        <f t="shared" si="1"/>
        <v>0</v>
      </c>
    </row>
    <row r="5">
      <c r="A5" s="4" t="s">
        <v>183</v>
      </c>
      <c r="B5" s="88">
        <f t="shared" ref="B5:E5" si="2">0</f>
        <v>0</v>
      </c>
      <c r="C5" s="88">
        <f t="shared" si="2"/>
        <v>0</v>
      </c>
      <c r="D5" s="88">
        <f t="shared" si="2"/>
        <v>0</v>
      </c>
      <c r="E5" s="88">
        <f t="shared" si="2"/>
        <v>0</v>
      </c>
    </row>
    <row r="6">
      <c r="A6" s="4" t="s">
        <v>184</v>
      </c>
      <c r="B6" s="88">
        <f t="shared" ref="B6:E6" si="3">0</f>
        <v>0</v>
      </c>
      <c r="C6" s="88">
        <f t="shared" si="3"/>
        <v>0</v>
      </c>
      <c r="D6" s="88">
        <f t="shared" si="3"/>
        <v>0</v>
      </c>
      <c r="E6" s="88">
        <f t="shared" si="3"/>
        <v>0</v>
      </c>
    </row>
    <row r="7">
      <c r="A7" s="4" t="s">
        <v>185</v>
      </c>
      <c r="B7" s="88">
        <f t="shared" ref="B7:E7" si="4">0</f>
        <v>0</v>
      </c>
      <c r="C7" s="88">
        <f t="shared" si="4"/>
        <v>0</v>
      </c>
      <c r="D7" s="88">
        <f t="shared" si="4"/>
        <v>0</v>
      </c>
      <c r="E7" s="88">
        <f t="shared" si="4"/>
        <v>0</v>
      </c>
    </row>
    <row r="8">
      <c r="A8" s="4" t="s">
        <v>186</v>
      </c>
      <c r="B8" s="88">
        <f t="shared" ref="B8:E8" si="5">0</f>
        <v>0</v>
      </c>
      <c r="C8" s="88">
        <f t="shared" si="5"/>
        <v>0</v>
      </c>
      <c r="D8" s="88">
        <f t="shared" si="5"/>
        <v>0</v>
      </c>
      <c r="E8" s="88">
        <f t="shared" si="5"/>
        <v>0</v>
      </c>
    </row>
  </sheetData>
  <mergeCells count="1">
    <mergeCell ref="B2:E2"/>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2" max="2" width="17.67"/>
    <col customWidth="1" min="5" max="5" width="13.11"/>
    <col customWidth="1" min="8" max="8" width="17.22"/>
    <col customWidth="1" min="9" max="9" width="15.67"/>
    <col customWidth="1" min="10" max="10" width="16.78"/>
    <col customWidth="1" min="12" max="12" width="13.56"/>
    <col customWidth="1" min="14" max="14" width="20.44"/>
    <col customWidth="1" min="15" max="15" width="22.56"/>
    <col customWidth="1" min="16" max="16" width="17.0"/>
    <col customWidth="1" min="17" max="17" width="24.78"/>
    <col customWidth="1" min="18" max="18" width="20.33"/>
    <col customWidth="1" min="19" max="19" width="13.56"/>
    <col customWidth="1" min="21" max="21" width="17.22"/>
  </cols>
  <sheetData>
    <row r="2">
      <c r="A2" s="4" t="s">
        <v>105</v>
      </c>
      <c r="B2" s="4" t="s">
        <v>840</v>
      </c>
      <c r="C2" s="4" t="s">
        <v>833</v>
      </c>
      <c r="D2" s="4" t="s">
        <v>834</v>
      </c>
      <c r="E2" s="4" t="s">
        <v>831</v>
      </c>
      <c r="F2" s="4" t="s">
        <v>832</v>
      </c>
      <c r="G2" s="4" t="s">
        <v>835</v>
      </c>
      <c r="H2" s="4" t="s">
        <v>836</v>
      </c>
      <c r="I2" s="4" t="s">
        <v>842</v>
      </c>
      <c r="J2" s="4" t="s">
        <v>843</v>
      </c>
      <c r="K2" s="4" t="s">
        <v>843</v>
      </c>
      <c r="L2" s="4" t="s">
        <v>844</v>
      </c>
      <c r="M2" s="4" t="s">
        <v>844</v>
      </c>
      <c r="N2" s="4" t="s">
        <v>845</v>
      </c>
      <c r="O2" s="4" t="s">
        <v>847</v>
      </c>
      <c r="P2" s="4" t="s">
        <v>849</v>
      </c>
      <c r="Q2" s="4" t="s">
        <v>849</v>
      </c>
      <c r="R2" s="4" t="s">
        <v>851</v>
      </c>
      <c r="S2" s="4" t="s">
        <v>852</v>
      </c>
      <c r="T2" s="4" t="s">
        <v>852</v>
      </c>
      <c r="U2" s="4" t="s">
        <v>828</v>
      </c>
      <c r="V2" s="4" t="s">
        <v>853</v>
      </c>
      <c r="W2" s="4" t="s">
        <v>854</v>
      </c>
      <c r="X2" s="4" t="s">
        <v>855</v>
      </c>
      <c r="Y2" s="4" t="s">
        <v>855</v>
      </c>
      <c r="Z2" s="4" t="s">
        <v>855</v>
      </c>
      <c r="AA2" s="4" t="s">
        <v>855</v>
      </c>
      <c r="AB2" s="4" t="s">
        <v>855</v>
      </c>
      <c r="AC2" s="4" t="s">
        <v>855</v>
      </c>
      <c r="AD2" s="4" t="s">
        <v>856</v>
      </c>
      <c r="AE2" s="10" t="s">
        <v>857</v>
      </c>
      <c r="AF2" s="10" t="s">
        <v>858</v>
      </c>
    </row>
    <row r="3">
      <c r="A3" s="4" t="s">
        <v>428</v>
      </c>
      <c r="B3" s="10" t="s">
        <v>859</v>
      </c>
      <c r="C3" s="10" t="s">
        <v>860</v>
      </c>
      <c r="D3" s="10" t="s">
        <v>861</v>
      </c>
      <c r="E3" s="10" t="s">
        <v>862</v>
      </c>
      <c r="F3" s="10" t="s">
        <v>863</v>
      </c>
      <c r="G3" s="10" t="s">
        <v>864</v>
      </c>
      <c r="H3" s="10" t="s">
        <v>865</v>
      </c>
      <c r="I3" s="10" t="s">
        <v>866</v>
      </c>
      <c r="J3" s="10" t="s">
        <v>867</v>
      </c>
      <c r="K3" s="10" t="s">
        <v>868</v>
      </c>
      <c r="L3" s="10" t="s">
        <v>869</v>
      </c>
      <c r="M3" s="10" t="s">
        <v>870</v>
      </c>
      <c r="N3" s="10" t="s">
        <v>871</v>
      </c>
      <c r="O3" s="10" t="s">
        <v>872</v>
      </c>
      <c r="P3" s="10" t="s">
        <v>873</v>
      </c>
      <c r="Q3" s="10" t="s">
        <v>874</v>
      </c>
      <c r="R3" s="10" t="s">
        <v>875</v>
      </c>
      <c r="S3" s="10" t="s">
        <v>876</v>
      </c>
      <c r="T3" s="10" t="s">
        <v>877</v>
      </c>
      <c r="U3" s="10" t="s">
        <v>878</v>
      </c>
      <c r="V3" s="10" t="s">
        <v>879</v>
      </c>
      <c r="W3" s="10" t="s">
        <v>880</v>
      </c>
      <c r="X3" s="10" t="s">
        <v>881</v>
      </c>
      <c r="Y3" s="10" t="s">
        <v>882</v>
      </c>
      <c r="Z3" s="10" t="s">
        <v>883</v>
      </c>
      <c r="AA3" s="10" t="s">
        <v>884</v>
      </c>
      <c r="AB3" s="10" t="s">
        <v>885</v>
      </c>
      <c r="AC3" s="10" t="s">
        <v>886</v>
      </c>
      <c r="AD3" s="10" t="s">
        <v>887</v>
      </c>
      <c r="AE3" s="10" t="s">
        <v>888</v>
      </c>
      <c r="AF3" s="10" t="s">
        <v>889</v>
      </c>
    </row>
    <row r="4">
      <c r="A4" s="4" t="s">
        <v>108</v>
      </c>
      <c r="B4" s="10">
        <f>7.5</f>
        <v>7.5</v>
      </c>
      <c r="C4" s="10">
        <f>20</f>
        <v>20</v>
      </c>
      <c r="D4" s="10">
        <f>40</f>
        <v>40</v>
      </c>
      <c r="E4" s="10">
        <f>20</f>
        <v>20</v>
      </c>
      <c r="F4" s="10">
        <f>50</f>
        <v>50</v>
      </c>
      <c r="G4" s="10">
        <f>35</f>
        <v>35</v>
      </c>
      <c r="H4" s="10">
        <f>40</f>
        <v>40</v>
      </c>
      <c r="I4" s="10">
        <f t="shared" ref="I4:J4" si="1">30</f>
        <v>30</v>
      </c>
      <c r="J4" s="10">
        <f t="shared" si="1"/>
        <v>30</v>
      </c>
      <c r="K4" s="10">
        <f>20</f>
        <v>20</v>
      </c>
      <c r="L4" s="10">
        <f>9</f>
        <v>9</v>
      </c>
      <c r="M4" s="10">
        <f>25</f>
        <v>25</v>
      </c>
      <c r="N4" s="10">
        <f>50</f>
        <v>50</v>
      </c>
      <c r="O4" s="10">
        <f>6</f>
        <v>6</v>
      </c>
      <c r="P4" s="10">
        <f>8</f>
        <v>8</v>
      </c>
      <c r="Q4" s="10">
        <f>10</f>
        <v>10</v>
      </c>
      <c r="R4" s="10">
        <f>30</f>
        <v>30</v>
      </c>
      <c r="S4" s="10">
        <f>14</f>
        <v>14</v>
      </c>
      <c r="T4" s="10">
        <f>50</f>
        <v>50</v>
      </c>
      <c r="U4" s="10">
        <f>120</f>
        <v>120</v>
      </c>
      <c r="V4" s="10">
        <f>10</f>
        <v>10</v>
      </c>
      <c r="W4" s="88">
        <f>40</f>
        <v>40</v>
      </c>
      <c r="X4" s="88">
        <f>7</f>
        <v>7</v>
      </c>
      <c r="Y4" s="88">
        <f>4</f>
        <v>4</v>
      </c>
      <c r="Z4" s="88">
        <f>16</f>
        <v>16</v>
      </c>
      <c r="AA4" s="88">
        <f>9</f>
        <v>9</v>
      </c>
      <c r="AB4" s="88">
        <f>25</f>
        <v>25</v>
      </c>
      <c r="AC4" s="88">
        <f>15</f>
        <v>15</v>
      </c>
      <c r="AD4" s="88">
        <f>8</f>
        <v>8</v>
      </c>
      <c r="AE4" s="88">
        <f>12</f>
        <v>12</v>
      </c>
      <c r="AF4" s="88">
        <f>25</f>
        <v>25</v>
      </c>
    </row>
    <row r="6">
      <c r="T6" s="10" t="s">
        <v>513</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0.56"/>
    <col customWidth="1" min="5" max="5" width="11.78"/>
  </cols>
  <sheetData>
    <row r="1">
      <c r="A1" s="88" t="str">
        <f>INDIRECT(ADDRESS(5, 3))</f>
        <v/>
      </c>
    </row>
    <row r="2">
      <c r="A2" s="4" t="s">
        <v>105</v>
      </c>
      <c r="B2" s="4"/>
      <c r="C2" s="4"/>
      <c r="D2" s="4"/>
      <c r="E2" s="4"/>
      <c r="F2" s="4"/>
      <c r="G2" s="4"/>
    </row>
    <row r="3">
      <c r="A3" s="4" t="s">
        <v>428</v>
      </c>
      <c r="B3" s="4"/>
      <c r="C3" s="4"/>
      <c r="D3" s="4"/>
      <c r="E3" s="4"/>
      <c r="F3" s="4"/>
      <c r="G3" s="4"/>
    </row>
    <row r="4">
      <c r="A4" s="4" t="s">
        <v>250</v>
      </c>
    </row>
    <row r="5">
      <c r="A5" s="4" t="s">
        <v>251</v>
      </c>
    </row>
    <row r="6">
      <c r="A6" s="4" t="s">
        <v>252</v>
      </c>
    </row>
    <row r="7">
      <c r="A7" s="4" t="s">
        <v>253</v>
      </c>
    </row>
    <row r="8">
      <c r="A8" s="4" t="s">
        <v>254</v>
      </c>
    </row>
    <row r="9">
      <c r="A9" s="4" t="s">
        <v>255</v>
      </c>
    </row>
    <row r="10">
      <c r="A10" s="4" t="s">
        <v>262</v>
      </c>
    </row>
    <row r="11">
      <c r="A11" s="4" t="s">
        <v>263</v>
      </c>
    </row>
    <row r="15">
      <c r="A15" s="31"/>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sheetData>
    <row r="2">
      <c r="A2" s="4" t="s">
        <v>105</v>
      </c>
    </row>
    <row r="3">
      <c r="A3" s="4" t="s">
        <v>428</v>
      </c>
    </row>
    <row r="4">
      <c r="A4" s="4" t="s">
        <v>251</v>
      </c>
    </row>
    <row r="5">
      <c r="A5" s="4" t="s">
        <v>301</v>
      </c>
    </row>
    <row r="6">
      <c r="A6" s="4" t="s">
        <v>152</v>
      </c>
    </row>
    <row r="7">
      <c r="A7" s="4" t="s">
        <v>120</v>
      </c>
    </row>
    <row r="8">
      <c r="A8" s="4" t="s">
        <v>153</v>
      </c>
    </row>
    <row r="9">
      <c r="A9" s="4" t="s">
        <v>165</v>
      </c>
    </row>
    <row r="10">
      <c r="A10" s="4" t="s">
        <v>115</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2" max="2" width="17.67"/>
    <col customWidth="1" min="4" max="4" width="15.44"/>
    <col customWidth="1" min="5" max="5" width="13.33"/>
    <col customWidth="1" min="6" max="6" width="14.0"/>
    <col customWidth="1" min="7" max="7" width="15.89"/>
    <col customWidth="1" min="8" max="8" width="14.0"/>
    <col customWidth="1" min="9" max="9" width="17.22"/>
    <col customWidth="1" min="10" max="10" width="15.67"/>
    <col customWidth="1" min="11" max="12" width="13.56"/>
    <col customWidth="1" min="14" max="14" width="20.44"/>
    <col customWidth="1" min="15" max="15" width="22.56"/>
    <col customWidth="1" min="16" max="16" width="17.0"/>
    <col customWidth="1" min="17" max="18" width="24.78"/>
    <col customWidth="1" min="19" max="19" width="20.33"/>
    <col customWidth="1" min="20" max="20" width="15.0"/>
    <col customWidth="1" min="22" max="22" width="17.22"/>
    <col customWidth="1" min="24" max="24" width="13.67"/>
    <col customWidth="1" min="25" max="25" width="13.11"/>
    <col customWidth="1" min="26" max="26" width="13.67"/>
    <col customWidth="1" min="27" max="27" width="12.56"/>
    <col customWidth="1" min="28" max="28" width="12.89"/>
    <col customWidth="1" min="29" max="29" width="13.44"/>
    <col customWidth="1" min="30" max="30" width="15.78"/>
    <col customWidth="1" min="33" max="33" width="24.78"/>
    <col customWidth="1" min="35" max="35" width="16.56"/>
    <col customWidth="1" min="37" max="37" width="19.0"/>
    <col customWidth="1" min="39" max="39" width="15.44"/>
    <col customWidth="1" min="40" max="40" width="12.22"/>
    <col customWidth="1" min="41" max="41" width="14.22"/>
    <col customWidth="1" min="42" max="42" width="16.0"/>
    <col customWidth="1" min="43" max="43" width="12.33"/>
    <col customWidth="1" min="44" max="44" width="14.22"/>
    <col customWidth="1" min="46" max="46" width="13.33"/>
    <col customWidth="1" min="47" max="47" width="12.44"/>
    <col customWidth="1" min="48" max="48" width="18.56"/>
    <col customWidth="1" min="49" max="49" width="16.0"/>
    <col customWidth="1" min="50" max="50" width="13.89"/>
    <col customWidth="1" min="52" max="52" width="16.33"/>
    <col customWidth="1" min="53" max="53" width="17.11"/>
    <col customWidth="1" min="55" max="55" width="13.56"/>
    <col customWidth="1" min="56" max="56" width="14.56"/>
    <col customWidth="1" min="57" max="57" width="16.0"/>
    <col customWidth="1" min="58" max="58" width="16.22"/>
    <col customWidth="1" min="59" max="59" width="15.78"/>
    <col customWidth="1" min="61" max="61" width="13.11"/>
    <col customWidth="1" min="62" max="62" width="16.44"/>
    <col customWidth="1" min="63" max="63" width="15.67"/>
    <col customWidth="1" min="64" max="64" width="14.11"/>
    <col customWidth="1" min="65" max="65" width="15.33"/>
    <col customWidth="1" min="66" max="66" width="12.0"/>
    <col customWidth="1" min="67" max="67" width="14.22"/>
    <col customWidth="1" min="68" max="68" width="17.11"/>
    <col customWidth="1" min="69" max="69" width="13.33"/>
    <col customWidth="1" min="72" max="72" width="16.89"/>
    <col customWidth="1" min="73" max="73" width="14.22"/>
    <col customWidth="1" min="75" max="75" width="14.56"/>
    <col customWidth="1" min="76" max="76" width="14.11"/>
    <col customWidth="1" min="77" max="77" width="18.44"/>
    <col customWidth="1" min="78" max="79" width="13.89"/>
    <col customWidth="1" min="80" max="80" width="14.22"/>
    <col customWidth="1" min="81" max="81" width="14.0"/>
    <col customWidth="1" min="83" max="83" width="13.11"/>
    <col customWidth="1" min="84" max="84" width="13.67"/>
    <col customWidth="1" min="85" max="85" width="14.22"/>
  </cols>
  <sheetData>
    <row r="1">
      <c r="A1" s="4" t="s">
        <v>68</v>
      </c>
      <c r="B1" s="4" t="s">
        <v>319</v>
      </c>
      <c r="C1" s="4" t="s">
        <v>319</v>
      </c>
      <c r="D1" s="4" t="s">
        <v>320</v>
      </c>
      <c r="E1" s="4" t="s">
        <v>320</v>
      </c>
      <c r="F1" s="4" t="s">
        <v>321</v>
      </c>
      <c r="G1" s="4" t="s">
        <v>322</v>
      </c>
      <c r="H1" s="4" t="s">
        <v>323</v>
      </c>
      <c r="I1" s="4" t="s">
        <v>324</v>
      </c>
      <c r="J1" s="4" t="s">
        <v>327</v>
      </c>
      <c r="K1" s="4" t="s">
        <v>329</v>
      </c>
      <c r="L1" s="4" t="s">
        <v>329</v>
      </c>
      <c r="M1" s="4" t="s">
        <v>329</v>
      </c>
      <c r="N1" s="4" t="s">
        <v>330</v>
      </c>
      <c r="O1" s="4" t="s">
        <v>330</v>
      </c>
      <c r="P1" s="4" t="s">
        <v>330</v>
      </c>
      <c r="Q1" s="4" t="s">
        <v>331</v>
      </c>
      <c r="R1" s="4" t="s">
        <v>331</v>
      </c>
      <c r="S1" s="4" t="s">
        <v>332</v>
      </c>
      <c r="T1" s="4" t="s">
        <v>332</v>
      </c>
      <c r="U1" s="4" t="s">
        <v>332</v>
      </c>
      <c r="V1" s="4" t="s">
        <v>333</v>
      </c>
      <c r="W1" s="4" t="s">
        <v>333</v>
      </c>
      <c r="X1" s="4" t="s">
        <v>334</v>
      </c>
      <c r="Y1" s="4" t="s">
        <v>335</v>
      </c>
      <c r="Z1" s="4" t="s">
        <v>338</v>
      </c>
      <c r="AA1" s="4" t="s">
        <v>338</v>
      </c>
      <c r="AB1" s="4" t="s">
        <v>370</v>
      </c>
      <c r="AC1" s="4" t="s">
        <v>363</v>
      </c>
      <c r="AD1" s="4" t="s">
        <v>364</v>
      </c>
      <c r="AE1" s="4" t="s">
        <v>364</v>
      </c>
      <c r="AF1" s="4" t="s">
        <v>368</v>
      </c>
      <c r="AG1" s="4" t="s">
        <v>374</v>
      </c>
      <c r="AH1" s="4" t="s">
        <v>374</v>
      </c>
      <c r="AI1" s="4" t="s">
        <v>374</v>
      </c>
      <c r="AJ1" s="4" t="s">
        <v>375</v>
      </c>
      <c r="AK1" s="4" t="s">
        <v>375</v>
      </c>
      <c r="AL1" s="4" t="s">
        <v>376</v>
      </c>
      <c r="AM1" s="4" t="s">
        <v>366</v>
      </c>
      <c r="AN1" s="4" t="s">
        <v>366</v>
      </c>
      <c r="AO1" s="4" t="s">
        <v>366</v>
      </c>
      <c r="AP1" s="4" t="s">
        <v>361</v>
      </c>
      <c r="AQ1" s="4" t="s">
        <v>361</v>
      </c>
      <c r="AR1" s="4" t="s">
        <v>362</v>
      </c>
      <c r="AS1" s="4" t="s">
        <v>362</v>
      </c>
      <c r="AT1" s="4" t="s">
        <v>358</v>
      </c>
      <c r="AU1" s="4" t="s">
        <v>358</v>
      </c>
      <c r="AV1" s="4" t="s">
        <v>360</v>
      </c>
      <c r="AW1" s="4" t="s">
        <v>356</v>
      </c>
      <c r="AX1" s="4" t="s">
        <v>356</v>
      </c>
      <c r="AY1" s="4" t="s">
        <v>351</v>
      </c>
      <c r="AZ1" s="4" t="s">
        <v>359</v>
      </c>
      <c r="BA1" s="4" t="s">
        <v>359</v>
      </c>
      <c r="BB1" s="4" t="s">
        <v>353</v>
      </c>
      <c r="BC1" s="4" t="s">
        <v>357</v>
      </c>
      <c r="BD1" s="4" t="s">
        <v>352</v>
      </c>
      <c r="BE1" s="4" t="s">
        <v>349</v>
      </c>
      <c r="BF1" s="4" t="s">
        <v>349</v>
      </c>
      <c r="BG1" s="4" t="s">
        <v>349</v>
      </c>
      <c r="BH1" s="4" t="s">
        <v>354</v>
      </c>
      <c r="BI1" s="4" t="s">
        <v>350</v>
      </c>
      <c r="BJ1" s="4" t="s">
        <v>350</v>
      </c>
      <c r="BK1" s="4" t="s">
        <v>346</v>
      </c>
      <c r="BL1" s="4" t="s">
        <v>342</v>
      </c>
      <c r="BM1" s="4" t="s">
        <v>342</v>
      </c>
      <c r="BN1" s="4" t="s">
        <v>344</v>
      </c>
      <c r="BO1" s="4" t="s">
        <v>347</v>
      </c>
      <c r="BP1" s="4" t="s">
        <v>347</v>
      </c>
      <c r="BQ1" s="4" t="s">
        <v>348</v>
      </c>
      <c r="BR1" s="4" t="s">
        <v>348</v>
      </c>
      <c r="BS1" s="4" t="s">
        <v>343</v>
      </c>
      <c r="BT1" s="4" t="s">
        <v>345</v>
      </c>
      <c r="BU1" s="4" t="s">
        <v>345</v>
      </c>
      <c r="BV1" s="4" t="s">
        <v>340</v>
      </c>
      <c r="BW1" s="4" t="s">
        <v>341</v>
      </c>
      <c r="BX1" s="4" t="s">
        <v>341</v>
      </c>
      <c r="BY1" s="4" t="s">
        <v>378</v>
      </c>
      <c r="BZ1" s="4" t="s">
        <v>378</v>
      </c>
      <c r="CA1" s="4" t="s">
        <v>378</v>
      </c>
      <c r="CB1" s="4" t="s">
        <v>377</v>
      </c>
      <c r="CC1" s="4" t="s">
        <v>379</v>
      </c>
      <c r="CD1" s="4" t="s">
        <v>380</v>
      </c>
      <c r="CE1" s="4" t="s">
        <v>380</v>
      </c>
      <c r="CF1" s="4" t="s">
        <v>381</v>
      </c>
      <c r="CG1" s="4" t="s">
        <v>381</v>
      </c>
      <c r="CH1" s="4" t="s">
        <v>381</v>
      </c>
      <c r="CI1" s="4" t="s">
        <v>383</v>
      </c>
      <c r="CJ1" s="4" t="s">
        <v>382</v>
      </c>
      <c r="CK1" s="4" t="s">
        <v>384</v>
      </c>
      <c r="CL1" s="4" t="s">
        <v>384</v>
      </c>
      <c r="CM1" s="4" t="s">
        <v>385</v>
      </c>
      <c r="CN1" s="4" t="s">
        <v>385</v>
      </c>
      <c r="CO1" s="4" t="s">
        <v>385</v>
      </c>
      <c r="CP1" s="4" t="s">
        <v>385</v>
      </c>
      <c r="CQ1" s="4" t="s">
        <v>385</v>
      </c>
      <c r="CR1" s="4" t="s">
        <v>386</v>
      </c>
      <c r="CS1" s="4" t="s">
        <v>387</v>
      </c>
      <c r="CT1" s="4" t="s">
        <v>387</v>
      </c>
      <c r="CU1" s="4" t="s">
        <v>389</v>
      </c>
      <c r="CV1" s="4" t="s">
        <v>388</v>
      </c>
      <c r="CW1" s="4" t="s">
        <v>388</v>
      </c>
      <c r="CX1" s="4" t="s">
        <v>390</v>
      </c>
      <c r="CY1" s="4" t="s">
        <v>393</v>
      </c>
      <c r="CZ1" s="4" t="s">
        <v>392</v>
      </c>
      <c r="DA1" s="4" t="s">
        <v>392</v>
      </c>
      <c r="DB1" s="4" t="s">
        <v>391</v>
      </c>
      <c r="DC1" s="4" t="s">
        <v>391</v>
      </c>
      <c r="DD1" s="4" t="s">
        <v>391</v>
      </c>
      <c r="DE1" s="4" t="s">
        <v>394</v>
      </c>
      <c r="DF1" s="4" t="s">
        <v>395</v>
      </c>
      <c r="DG1" s="4" t="s">
        <v>397</v>
      </c>
      <c r="DH1" s="4" t="s">
        <v>397</v>
      </c>
      <c r="DI1" s="4" t="s">
        <v>396</v>
      </c>
      <c r="DJ1" s="4" t="s">
        <v>396</v>
      </c>
      <c r="DK1" s="10"/>
    </row>
    <row r="2">
      <c r="A2" s="4" t="s">
        <v>890</v>
      </c>
      <c r="B2" s="4" t="s">
        <v>891</v>
      </c>
      <c r="C2" s="4" t="s">
        <v>892</v>
      </c>
      <c r="D2" s="4" t="s">
        <v>893</v>
      </c>
      <c r="E2" s="4" t="s">
        <v>891</v>
      </c>
      <c r="F2" s="4" t="s">
        <v>892</v>
      </c>
      <c r="G2" s="4" t="s">
        <v>893</v>
      </c>
      <c r="H2" s="4" t="s">
        <v>894</v>
      </c>
      <c r="I2" s="4" t="s">
        <v>892</v>
      </c>
      <c r="J2" s="4" t="s">
        <v>894</v>
      </c>
      <c r="K2" s="4" t="s">
        <v>894</v>
      </c>
      <c r="L2" s="4" t="s">
        <v>891</v>
      </c>
      <c r="M2" s="4" t="s">
        <v>892</v>
      </c>
      <c r="N2" s="4" t="s">
        <v>893</v>
      </c>
      <c r="O2" s="4" t="s">
        <v>894</v>
      </c>
      <c r="P2" s="4" t="s">
        <v>891</v>
      </c>
      <c r="Q2" s="4" t="s">
        <v>894</v>
      </c>
      <c r="R2" s="4" t="s">
        <v>892</v>
      </c>
      <c r="S2" s="4" t="s">
        <v>894</v>
      </c>
      <c r="T2" s="4" t="s">
        <v>891</v>
      </c>
      <c r="U2" s="4" t="s">
        <v>892</v>
      </c>
      <c r="V2" s="4" t="s">
        <v>893</v>
      </c>
      <c r="W2" s="4" t="s">
        <v>892</v>
      </c>
      <c r="X2" s="4" t="s">
        <v>892</v>
      </c>
      <c r="Y2" s="4" t="s">
        <v>894</v>
      </c>
      <c r="Z2" s="4" t="s">
        <v>894</v>
      </c>
      <c r="AA2" s="4" t="s">
        <v>892</v>
      </c>
      <c r="AB2" s="4" t="s">
        <v>892</v>
      </c>
      <c r="AC2" s="4" t="s">
        <v>891</v>
      </c>
      <c r="AD2" s="4" t="s">
        <v>891</v>
      </c>
      <c r="AE2" s="4" t="s">
        <v>892</v>
      </c>
      <c r="AF2" s="4" t="s">
        <v>892</v>
      </c>
      <c r="AG2" s="4" t="s">
        <v>893</v>
      </c>
      <c r="AH2" s="4" t="s">
        <v>891</v>
      </c>
      <c r="AI2" s="4" t="s">
        <v>892</v>
      </c>
      <c r="AJ2" s="4" t="s">
        <v>891</v>
      </c>
      <c r="AK2" s="4" t="s">
        <v>892</v>
      </c>
      <c r="AL2" s="4" t="s">
        <v>892</v>
      </c>
      <c r="AM2" s="4" t="s">
        <v>894</v>
      </c>
      <c r="AN2" s="4" t="s">
        <v>891</v>
      </c>
      <c r="AO2" s="4" t="s">
        <v>892</v>
      </c>
      <c r="AP2" s="4" t="s">
        <v>893</v>
      </c>
      <c r="AQ2" s="4" t="s">
        <v>892</v>
      </c>
      <c r="AR2" s="4" t="s">
        <v>891</v>
      </c>
      <c r="AS2" s="4" t="s">
        <v>892</v>
      </c>
      <c r="AT2" s="4" t="s">
        <v>894</v>
      </c>
      <c r="AU2" s="4" t="s">
        <v>892</v>
      </c>
      <c r="AV2" s="4" t="s">
        <v>891</v>
      </c>
      <c r="AW2" s="4" t="s">
        <v>893</v>
      </c>
      <c r="AX2" s="4" t="s">
        <v>894</v>
      </c>
      <c r="AY2" s="4" t="s">
        <v>892</v>
      </c>
      <c r="AZ2" s="4" t="s">
        <v>893</v>
      </c>
      <c r="BA2" s="4" t="s">
        <v>891</v>
      </c>
      <c r="BB2" s="4" t="s">
        <v>891</v>
      </c>
      <c r="BC2" s="4" t="s">
        <v>894</v>
      </c>
      <c r="BD2" s="4" t="s">
        <v>892</v>
      </c>
      <c r="BE2" s="4" t="s">
        <v>892</v>
      </c>
      <c r="BF2" s="4" t="s">
        <v>892</v>
      </c>
      <c r="BG2" s="4" t="s">
        <v>892</v>
      </c>
      <c r="BH2" s="4" t="s">
        <v>892</v>
      </c>
      <c r="BI2" s="4" t="s">
        <v>891</v>
      </c>
      <c r="BJ2" s="4" t="s">
        <v>892</v>
      </c>
      <c r="BK2" s="4" t="s">
        <v>891</v>
      </c>
      <c r="BL2" s="4" t="s">
        <v>892</v>
      </c>
      <c r="BM2" s="4" t="s">
        <v>892</v>
      </c>
      <c r="BN2" s="4" t="s">
        <v>891</v>
      </c>
      <c r="BO2" s="4" t="s">
        <v>894</v>
      </c>
      <c r="BP2" s="4" t="s">
        <v>891</v>
      </c>
      <c r="BQ2" s="4" t="s">
        <v>894</v>
      </c>
      <c r="BR2" s="4" t="s">
        <v>891</v>
      </c>
      <c r="BS2" s="4" t="s">
        <v>892</v>
      </c>
      <c r="BT2" s="4" t="s">
        <v>893</v>
      </c>
      <c r="BU2" s="4" t="s">
        <v>894</v>
      </c>
      <c r="BV2" s="4" t="s">
        <v>891</v>
      </c>
      <c r="BW2" s="4" t="s">
        <v>894</v>
      </c>
      <c r="BX2" s="4" t="s">
        <v>891</v>
      </c>
      <c r="BY2" s="4" t="s">
        <v>893</v>
      </c>
      <c r="BZ2" s="4" t="s">
        <v>894</v>
      </c>
      <c r="CA2" s="4" t="s">
        <v>891</v>
      </c>
      <c r="CB2" s="4" t="s">
        <v>894</v>
      </c>
      <c r="CC2" s="4" t="s">
        <v>894</v>
      </c>
      <c r="CD2" s="4" t="s">
        <v>891</v>
      </c>
      <c r="CE2" s="4" t="s">
        <v>892</v>
      </c>
      <c r="CF2" s="4" t="s">
        <v>894</v>
      </c>
      <c r="CG2" s="4" t="s">
        <v>891</v>
      </c>
      <c r="CH2" s="4" t="s">
        <v>891</v>
      </c>
      <c r="CI2" s="4" t="s">
        <v>892</v>
      </c>
      <c r="CJ2" s="4" t="s">
        <v>894</v>
      </c>
      <c r="CK2" s="4" t="s">
        <v>893</v>
      </c>
      <c r="CL2" s="4" t="s">
        <v>891</v>
      </c>
      <c r="CM2" s="4" t="s">
        <v>894</v>
      </c>
      <c r="CN2" s="4" t="s">
        <v>891</v>
      </c>
      <c r="CO2" s="4" t="s">
        <v>891</v>
      </c>
      <c r="CP2" s="4" t="s">
        <v>892</v>
      </c>
      <c r="CQ2" s="4" t="s">
        <v>892</v>
      </c>
      <c r="CR2" s="4" t="s">
        <v>892</v>
      </c>
      <c r="CS2" s="4" t="s">
        <v>894</v>
      </c>
      <c r="CT2" s="4" t="s">
        <v>892</v>
      </c>
      <c r="CU2" s="4" t="s">
        <v>891</v>
      </c>
      <c r="CV2" s="4" t="s">
        <v>893</v>
      </c>
      <c r="CW2" s="4" t="s">
        <v>891</v>
      </c>
      <c r="CX2" s="4" t="s">
        <v>892</v>
      </c>
      <c r="CY2" s="4" t="s">
        <v>892</v>
      </c>
      <c r="CZ2" s="4" t="s">
        <v>894</v>
      </c>
      <c r="DA2" s="4" t="s">
        <v>891</v>
      </c>
      <c r="DB2" s="4" t="s">
        <v>893</v>
      </c>
      <c r="DC2" s="4" t="s">
        <v>891</v>
      </c>
      <c r="DD2" s="4" t="s">
        <v>892</v>
      </c>
      <c r="DE2" s="4" t="s">
        <v>894</v>
      </c>
      <c r="DF2" s="4" t="s">
        <v>894</v>
      </c>
      <c r="DG2" s="4" t="s">
        <v>894</v>
      </c>
      <c r="DH2" s="4" t="s">
        <v>891</v>
      </c>
      <c r="DI2" s="4" t="s">
        <v>892</v>
      </c>
      <c r="DJ2" s="4" t="s">
        <v>892</v>
      </c>
      <c r="DK2" s="10"/>
    </row>
    <row r="3">
      <c r="A3" s="4" t="s">
        <v>428</v>
      </c>
      <c r="B3" s="10" t="s">
        <v>895</v>
      </c>
      <c r="C3" s="10" t="s">
        <v>896</v>
      </c>
      <c r="D3" s="10" t="s">
        <v>897</v>
      </c>
      <c r="E3" s="10" t="s">
        <v>898</v>
      </c>
      <c r="F3" s="10" t="s">
        <v>899</v>
      </c>
      <c r="G3" s="10" t="s">
        <v>900</v>
      </c>
      <c r="H3" s="10" t="s">
        <v>901</v>
      </c>
      <c r="I3" s="10" t="s">
        <v>902</v>
      </c>
      <c r="J3" s="10" t="s">
        <v>903</v>
      </c>
      <c r="K3" s="10" t="s">
        <v>904</v>
      </c>
      <c r="L3" s="10" t="s">
        <v>905</v>
      </c>
      <c r="M3" s="10" t="s">
        <v>906</v>
      </c>
      <c r="N3" s="10" t="s">
        <v>907</v>
      </c>
      <c r="O3" s="10" t="s">
        <v>908</v>
      </c>
      <c r="P3" s="10" t="s">
        <v>895</v>
      </c>
      <c r="Q3" s="10" t="s">
        <v>909</v>
      </c>
      <c r="R3" s="10" t="s">
        <v>910</v>
      </c>
      <c r="S3" s="10" t="s">
        <v>911</v>
      </c>
      <c r="T3" s="10" t="s">
        <v>912</v>
      </c>
      <c r="U3" s="10" t="s">
        <v>899</v>
      </c>
      <c r="V3" s="10" t="s">
        <v>913</v>
      </c>
      <c r="W3" s="10" t="s">
        <v>914</v>
      </c>
      <c r="X3" s="10" t="s">
        <v>915</v>
      </c>
      <c r="Y3" s="10" t="s">
        <v>916</v>
      </c>
      <c r="Z3" s="10" t="s">
        <v>917</v>
      </c>
      <c r="AA3" s="10" t="s">
        <v>918</v>
      </c>
      <c r="AB3" s="10" t="s">
        <v>918</v>
      </c>
      <c r="AC3" s="10" t="s">
        <v>919</v>
      </c>
      <c r="AD3" s="10" t="s">
        <v>920</v>
      </c>
      <c r="AE3" s="10" t="s">
        <v>902</v>
      </c>
      <c r="AF3" s="10" t="s">
        <v>921</v>
      </c>
      <c r="AG3" s="10" t="s">
        <v>922</v>
      </c>
      <c r="AH3" s="10" t="s">
        <v>923</v>
      </c>
      <c r="AI3" s="10" t="s">
        <v>924</v>
      </c>
      <c r="AJ3" s="10" t="s">
        <v>925</v>
      </c>
      <c r="AK3" s="10" t="s">
        <v>926</v>
      </c>
      <c r="AL3" s="10" t="s">
        <v>902</v>
      </c>
      <c r="AM3" s="10" t="s">
        <v>927</v>
      </c>
      <c r="AN3" s="10" t="s">
        <v>928</v>
      </c>
      <c r="AO3" s="10" t="s">
        <v>929</v>
      </c>
      <c r="AP3" s="10" t="s">
        <v>930</v>
      </c>
      <c r="AQ3" s="10" t="s">
        <v>931</v>
      </c>
      <c r="AR3" s="10" t="s">
        <v>932</v>
      </c>
      <c r="AS3" s="10" t="s">
        <v>933</v>
      </c>
      <c r="AT3" s="10" t="s">
        <v>934</v>
      </c>
      <c r="AU3" s="10" t="s">
        <v>935</v>
      </c>
      <c r="AV3" s="10" t="s">
        <v>936</v>
      </c>
      <c r="AW3" s="10" t="s">
        <v>937</v>
      </c>
      <c r="AX3" s="10" t="s">
        <v>938</v>
      </c>
      <c r="AY3" s="10" t="s">
        <v>902</v>
      </c>
      <c r="AZ3" s="10" t="s">
        <v>939</v>
      </c>
      <c r="BA3" s="10" t="s">
        <v>940</v>
      </c>
      <c r="BB3" s="10" t="s">
        <v>925</v>
      </c>
      <c r="BC3" s="10" t="s">
        <v>941</v>
      </c>
      <c r="BD3" s="10" t="s">
        <v>942</v>
      </c>
      <c r="BE3" s="10" t="s">
        <v>943</v>
      </c>
      <c r="BF3" s="10" t="s">
        <v>944</v>
      </c>
      <c r="BG3" s="10" t="s">
        <v>945</v>
      </c>
      <c r="BH3" s="10" t="s">
        <v>946</v>
      </c>
      <c r="BI3" s="10" t="s">
        <v>947</v>
      </c>
      <c r="BJ3" s="10" t="s">
        <v>948</v>
      </c>
      <c r="BK3" s="10" t="s">
        <v>949</v>
      </c>
      <c r="BL3" s="10" t="s">
        <v>950</v>
      </c>
      <c r="BM3" s="10" t="s">
        <v>951</v>
      </c>
      <c r="BN3" s="10" t="s">
        <v>952</v>
      </c>
      <c r="BO3" s="10" t="s">
        <v>953</v>
      </c>
      <c r="BP3" s="10" t="s">
        <v>954</v>
      </c>
      <c r="BQ3" s="10" t="s">
        <v>955</v>
      </c>
      <c r="BR3" s="10" t="s">
        <v>956</v>
      </c>
      <c r="BS3" s="10" t="s">
        <v>921</v>
      </c>
      <c r="BT3" s="10" t="s">
        <v>957</v>
      </c>
      <c r="BU3" s="10" t="s">
        <v>958</v>
      </c>
      <c r="BV3" s="10" t="s">
        <v>959</v>
      </c>
      <c r="BW3" s="10" t="s">
        <v>960</v>
      </c>
      <c r="BX3" s="10" t="s">
        <v>961</v>
      </c>
      <c r="BY3" s="10" t="s">
        <v>962</v>
      </c>
      <c r="BZ3" s="10" t="s">
        <v>916</v>
      </c>
      <c r="CA3" s="10" t="s">
        <v>963</v>
      </c>
      <c r="CB3" s="10" t="s">
        <v>941</v>
      </c>
      <c r="CC3" s="10" t="s">
        <v>958</v>
      </c>
      <c r="CD3" s="10" t="s">
        <v>964</v>
      </c>
      <c r="CE3" s="10" t="s">
        <v>965</v>
      </c>
      <c r="CF3" s="10" t="s">
        <v>966</v>
      </c>
      <c r="CG3" s="10" t="s">
        <v>967</v>
      </c>
      <c r="CH3" s="10" t="s">
        <v>968</v>
      </c>
      <c r="CI3" s="10" t="s">
        <v>969</v>
      </c>
      <c r="CJ3" s="10" t="s">
        <v>970</v>
      </c>
      <c r="CK3" s="10" t="s">
        <v>971</v>
      </c>
      <c r="CL3" s="10" t="s">
        <v>972</v>
      </c>
      <c r="CM3" s="10" t="s">
        <v>973</v>
      </c>
      <c r="CN3" s="10" t="s">
        <v>974</v>
      </c>
      <c r="CO3" s="10" t="s">
        <v>975</v>
      </c>
      <c r="CP3" s="10" t="s">
        <v>933</v>
      </c>
      <c r="CQ3" s="10" t="s">
        <v>976</v>
      </c>
      <c r="CR3" s="10" t="s">
        <v>977</v>
      </c>
      <c r="CS3" s="10" t="s">
        <v>978</v>
      </c>
      <c r="CT3" s="10" t="s">
        <v>979</v>
      </c>
      <c r="CU3" s="10" t="s">
        <v>980</v>
      </c>
      <c r="CV3" s="10" t="s">
        <v>981</v>
      </c>
      <c r="CW3" s="10" t="s">
        <v>982</v>
      </c>
      <c r="CX3" s="10" t="s">
        <v>983</v>
      </c>
      <c r="CY3" s="10" t="s">
        <v>984</v>
      </c>
      <c r="CZ3" s="10" t="s">
        <v>985</v>
      </c>
      <c r="DA3" s="10" t="s">
        <v>986</v>
      </c>
      <c r="DB3" s="10" t="s">
        <v>987</v>
      </c>
      <c r="DC3" s="10" t="s">
        <v>988</v>
      </c>
      <c r="DD3" s="10" t="s">
        <v>989</v>
      </c>
      <c r="DE3" s="88" t="str">
        <f>"C2 Burst DMG% Stack"</f>
        <v>C2 Burst DMG% Stack</v>
      </c>
      <c r="DF3" s="88" t="str">
        <f>"C2 CA CDMG% Stack"</f>
        <v>C2 CA CDMG% Stack</v>
      </c>
      <c r="DG3" s="88" t="str">
        <f>"C2 ATK% Stack"</f>
        <v>C2 ATK% Stack</v>
      </c>
      <c r="DH3" s="88" t="str">
        <f>"C4 DMG% Bonus"</f>
        <v>C4 DMG% Bonus</v>
      </c>
      <c r="DI3" s="88" t="str">
        <f>"C6 HP% Stack"</f>
        <v>C6 HP% Stack</v>
      </c>
      <c r="DJ3" s="88" t="str">
        <f>"C6 Maximum HP%"</f>
        <v>C6 Maximum HP%</v>
      </c>
    </row>
    <row r="4">
      <c r="A4" s="4" t="s">
        <v>108</v>
      </c>
      <c r="B4" s="10">
        <f>30</f>
        <v>30</v>
      </c>
      <c r="C4" s="10">
        <f>298</f>
        <v>298</v>
      </c>
      <c r="D4" s="10">
        <f>40</f>
        <v>40</v>
      </c>
      <c r="E4" s="10">
        <f>40</f>
        <v>40</v>
      </c>
      <c r="F4" s="10">
        <f>20</f>
        <v>20</v>
      </c>
      <c r="G4" s="10">
        <f>10</f>
        <v>10</v>
      </c>
      <c r="H4" s="10">
        <f>15</f>
        <v>15</v>
      </c>
      <c r="I4" s="10">
        <f>12</f>
        <v>12</v>
      </c>
      <c r="J4" s="10">
        <f>15</f>
        <v>15</v>
      </c>
      <c r="K4" s="10">
        <f>10</f>
        <v>10</v>
      </c>
      <c r="L4" s="10">
        <f>40</f>
        <v>40</v>
      </c>
      <c r="M4" s="10">
        <f>30</f>
        <v>30</v>
      </c>
      <c r="N4" s="10">
        <f t="shared" ref="N4:O4" si="1">10</f>
        <v>10</v>
      </c>
      <c r="O4" s="10">
        <f t="shared" si="1"/>
        <v>10</v>
      </c>
      <c r="P4" s="10">
        <f>15</f>
        <v>15</v>
      </c>
      <c r="Q4" s="10">
        <f>200</f>
        <v>200</v>
      </c>
      <c r="R4" s="10">
        <f>15</f>
        <v>15</v>
      </c>
      <c r="S4" s="10">
        <f>12</f>
        <v>12</v>
      </c>
      <c r="T4" s="10">
        <f>25</f>
        <v>25</v>
      </c>
      <c r="U4" s="10">
        <f>20</f>
        <v>20</v>
      </c>
      <c r="V4" s="10">
        <f t="shared" ref="V4:Y4" si="2">15</f>
        <v>15</v>
      </c>
      <c r="W4" s="10">
        <f t="shared" si="2"/>
        <v>15</v>
      </c>
      <c r="X4" s="10">
        <f t="shared" si="2"/>
        <v>15</v>
      </c>
      <c r="Y4" s="10">
        <f t="shared" si="2"/>
        <v>15</v>
      </c>
      <c r="Z4" s="10">
        <f>23</f>
        <v>23</v>
      </c>
      <c r="AA4" s="10">
        <f>10</f>
        <v>10</v>
      </c>
      <c r="AB4" s="10">
        <f>15</f>
        <v>15</v>
      </c>
      <c r="AC4" s="10">
        <f>5</f>
        <v>5</v>
      </c>
      <c r="AD4" s="10">
        <f>30</f>
        <v>30</v>
      </c>
      <c r="AE4" s="10">
        <f>17</f>
        <v>17</v>
      </c>
      <c r="AF4" s="10">
        <f>200</f>
        <v>200</v>
      </c>
      <c r="AG4" s="10">
        <f t="shared" ref="AG4:AH4" si="3">15</f>
        <v>15</v>
      </c>
      <c r="AH4" s="10">
        <f t="shared" si="3"/>
        <v>15</v>
      </c>
      <c r="AI4" s="10">
        <f>60</f>
        <v>60</v>
      </c>
      <c r="AJ4" s="10">
        <f>25</f>
        <v>25</v>
      </c>
      <c r="AK4" s="10">
        <f>6</f>
        <v>6</v>
      </c>
      <c r="AL4" s="10">
        <f>20</f>
        <v>20</v>
      </c>
      <c r="AM4" s="10">
        <f>100</f>
        <v>100</v>
      </c>
      <c r="AN4" s="10">
        <f>15</f>
        <v>15</v>
      </c>
      <c r="AO4" s="88" t="str">
        <f>ROUND(50% * INDIRECT(ADDRESS(ROW() - 1, 10)),0)</f>
        <v>#VALUE!</v>
      </c>
      <c r="AP4" s="10">
        <f>10</f>
        <v>10</v>
      </c>
      <c r="AQ4" s="10">
        <f>20</f>
        <v>20</v>
      </c>
      <c r="AR4" s="10">
        <f>12</f>
        <v>12</v>
      </c>
      <c r="AS4" s="10">
        <f>100</f>
        <v>100</v>
      </c>
      <c r="AT4" s="10">
        <f>200</f>
        <v>200</v>
      </c>
      <c r="AU4" s="88">
        <f>ROUND(0.2 * INDIRECT(ADDRESS(ROW() + 2, 10)),0)</f>
        <v>0</v>
      </c>
      <c r="AV4" s="10">
        <f t="shared" ref="AV4:AW4" si="4">20</f>
        <v>20</v>
      </c>
      <c r="AW4" s="10">
        <f t="shared" si="4"/>
        <v>20</v>
      </c>
      <c r="AX4" s="10">
        <f>25</f>
        <v>25</v>
      </c>
      <c r="AY4" s="10">
        <f>15</f>
        <v>15</v>
      </c>
      <c r="AZ4" s="10">
        <f>30</f>
        <v>30</v>
      </c>
      <c r="BA4" s="10">
        <f>25</f>
        <v>25</v>
      </c>
      <c r="BB4" s="10">
        <f>30</f>
        <v>30</v>
      </c>
      <c r="BC4" s="10">
        <f>3.3</f>
        <v>3.3</v>
      </c>
      <c r="BD4" s="10">
        <f>40</f>
        <v>40</v>
      </c>
      <c r="BE4" s="10">
        <f>10</f>
        <v>10</v>
      </c>
      <c r="BF4" s="10">
        <f>20</f>
        <v>20</v>
      </c>
      <c r="BG4" s="10">
        <f>40</f>
        <v>40</v>
      </c>
      <c r="BH4" s="10">
        <f>60</f>
        <v>60</v>
      </c>
      <c r="BI4" s="10">
        <f>20</f>
        <v>20</v>
      </c>
      <c r="BJ4" s="10">
        <f>70</f>
        <v>70</v>
      </c>
      <c r="BK4" s="10">
        <f>20</f>
        <v>20</v>
      </c>
      <c r="BL4" s="10">
        <f>4</f>
        <v>4</v>
      </c>
      <c r="BM4" s="10">
        <f>32</f>
        <v>32</v>
      </c>
      <c r="BN4" s="10">
        <f>10</f>
        <v>10</v>
      </c>
      <c r="BO4" s="10">
        <f>15</f>
        <v>15</v>
      </c>
      <c r="BP4" s="10">
        <f>5</f>
        <v>5</v>
      </c>
      <c r="BQ4" s="10">
        <f>15</f>
        <v>15</v>
      </c>
      <c r="BR4" s="10">
        <f>20</f>
        <v>20</v>
      </c>
      <c r="BS4" s="10">
        <f>150</f>
        <v>150</v>
      </c>
      <c r="BT4" s="10">
        <f>40</f>
        <v>40</v>
      </c>
      <c r="BU4" s="10">
        <f>50</f>
        <v>50</v>
      </c>
      <c r="BV4" s="10">
        <f>60</f>
        <v>60</v>
      </c>
      <c r="BW4" s="10">
        <f>20</f>
        <v>20</v>
      </c>
      <c r="BX4" s="10">
        <f>60</f>
        <v>60</v>
      </c>
      <c r="BY4" s="10">
        <f>65</f>
        <v>65</v>
      </c>
      <c r="BZ4" s="10">
        <f>35</f>
        <v>35</v>
      </c>
      <c r="CA4" s="10">
        <f>50</f>
        <v>50</v>
      </c>
      <c r="CB4" s="10">
        <f>10</f>
        <v>10</v>
      </c>
      <c r="CC4" s="10">
        <f>20</f>
        <v>20</v>
      </c>
      <c r="CD4" s="88">
        <f>ROUND(5% * INDIRECT(ADDRESS(ROW() + 3, 10)),0)</f>
        <v>0</v>
      </c>
      <c r="CE4" s="88">
        <f>40</f>
        <v>40</v>
      </c>
      <c r="CF4" s="88">
        <f>30</f>
        <v>30</v>
      </c>
      <c r="CG4" s="88">
        <f>100</f>
        <v>100</v>
      </c>
      <c r="CH4" s="88">
        <f>20</f>
        <v>20</v>
      </c>
      <c r="CI4" s="88">
        <f>40</f>
        <v>40</v>
      </c>
      <c r="CJ4" s="88">
        <f>4</f>
        <v>4</v>
      </c>
      <c r="CK4" s="88">
        <f>15</f>
        <v>15</v>
      </c>
      <c r="CL4" s="88">
        <f>ROUND(MIN(120, (INDIRECT(ADDRESS(ROW() + 3, 10)) * 0.3%)),0)</f>
        <v>0</v>
      </c>
      <c r="CM4" s="88">
        <f>50</f>
        <v>50</v>
      </c>
      <c r="CN4" s="88">
        <f>30</f>
        <v>30</v>
      </c>
      <c r="CO4" s="88">
        <f t="shared" ref="CO4:CP4" si="5">10</f>
        <v>10</v>
      </c>
      <c r="CP4" s="88">
        <f t="shared" si="5"/>
        <v>10</v>
      </c>
      <c r="CQ4" s="88">
        <f>70</f>
        <v>70</v>
      </c>
      <c r="CR4" s="88">
        <f>60</f>
        <v>60</v>
      </c>
      <c r="CS4" s="88">
        <f>50</f>
        <v>50</v>
      </c>
      <c r="CT4" s="88">
        <f>15</f>
        <v>15</v>
      </c>
      <c r="CU4" s="88">
        <f>80</f>
        <v>80</v>
      </c>
      <c r="CV4" s="88">
        <f>25</f>
        <v>25</v>
      </c>
      <c r="CW4" s="88">
        <f>60</f>
        <v>60</v>
      </c>
      <c r="CX4" s="88">
        <f>12</f>
        <v>12</v>
      </c>
      <c r="CY4" s="88">
        <f t="shared" ref="CY4:DA4" si="6">20</f>
        <v>20</v>
      </c>
      <c r="CZ4" s="88">
        <f t="shared" si="6"/>
        <v>20</v>
      </c>
      <c r="DA4" s="88">
        <f t="shared" si="6"/>
        <v>20</v>
      </c>
      <c r="DB4" s="88">
        <f>15</f>
        <v>15</v>
      </c>
      <c r="DC4" s="88">
        <f>9</f>
        <v>9</v>
      </c>
      <c r="DD4" s="88">
        <f>12</f>
        <v>12</v>
      </c>
      <c r="DE4" s="88">
        <f>40</f>
        <v>40</v>
      </c>
      <c r="DF4" s="88" t="str">
        <f>"14"</f>
        <v>14</v>
      </c>
      <c r="DG4" s="88">
        <f t="shared" ref="DG4:DH4" si="7">10</f>
        <v>10</v>
      </c>
      <c r="DH4" s="88">
        <f t="shared" si="7"/>
        <v>10</v>
      </c>
      <c r="DI4" s="88">
        <f>0.4</f>
        <v>0.4</v>
      </c>
      <c r="DJ4" s="88">
        <f>140</f>
        <v>140</v>
      </c>
    </row>
    <row r="6">
      <c r="U6" s="10" t="s">
        <v>513</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75"/>
  <cols>
    <col customWidth="1" min="1" max="1" width="20.56"/>
    <col customWidth="1" min="2" max="2" width="15.0"/>
    <col customWidth="1" min="3" max="3" width="15.11"/>
    <col customWidth="1" min="4" max="4" width="14.22"/>
    <col customWidth="1" min="6" max="6" width="15.56"/>
    <col customWidth="1" min="7" max="7" width="13.56"/>
    <col customWidth="1" min="8" max="8" width="15.0"/>
    <col customWidth="1" min="9" max="9" width="15.56"/>
    <col customWidth="1" min="15" max="15" width="15.78"/>
    <col customWidth="1" min="21" max="22" width="13.33"/>
    <col customWidth="1" min="23" max="23" width="13.89"/>
    <col customWidth="1" min="27" max="27" width="13.11"/>
    <col customWidth="1" min="30" max="30" width="13.22"/>
    <col customWidth="1" min="31" max="31" width="16.56"/>
    <col customWidth="1" min="32" max="32" width="16.44"/>
    <col customWidth="1" min="33" max="33" width="20.33"/>
    <col customWidth="1" min="34" max="203" width="16.11"/>
  </cols>
  <sheetData>
    <row r="1">
      <c r="A1" s="4" t="s">
        <v>68</v>
      </c>
      <c r="B1" s="4" t="s">
        <v>323</v>
      </c>
      <c r="C1" s="4" t="s">
        <v>319</v>
      </c>
      <c r="D1" s="4" t="s">
        <v>319</v>
      </c>
      <c r="E1" s="4" t="s">
        <v>330</v>
      </c>
      <c r="F1" s="4" t="s">
        <v>331</v>
      </c>
      <c r="G1" s="4" t="s">
        <v>333</v>
      </c>
      <c r="H1" s="4" t="s">
        <v>334</v>
      </c>
      <c r="I1" s="4" t="s">
        <v>338</v>
      </c>
      <c r="J1" s="4" t="s">
        <v>338</v>
      </c>
      <c r="K1" s="4" t="s">
        <v>369</v>
      </c>
      <c r="L1" s="4" t="s">
        <v>369</v>
      </c>
      <c r="M1" s="4" t="s">
        <v>369</v>
      </c>
      <c r="N1" s="4" t="s">
        <v>370</v>
      </c>
      <c r="O1" s="4" t="s">
        <v>371</v>
      </c>
      <c r="P1" s="4" t="s">
        <v>375</v>
      </c>
      <c r="Q1" s="4" t="s">
        <v>356</v>
      </c>
      <c r="R1" s="4" t="s">
        <v>356</v>
      </c>
      <c r="S1" s="4" t="s">
        <v>356</v>
      </c>
      <c r="T1" s="4" t="s">
        <v>356</v>
      </c>
      <c r="U1" s="4" t="s">
        <v>356</v>
      </c>
      <c r="V1" s="4" t="s">
        <v>354</v>
      </c>
      <c r="W1" s="4" t="s">
        <v>344</v>
      </c>
      <c r="X1" s="4" t="s">
        <v>344</v>
      </c>
      <c r="Y1" s="4" t="s">
        <v>343</v>
      </c>
      <c r="Z1" s="4" t="s">
        <v>345</v>
      </c>
      <c r="AA1" s="4" t="s">
        <v>340</v>
      </c>
      <c r="AB1" s="4" t="s">
        <v>339</v>
      </c>
      <c r="AC1" s="4" t="s">
        <v>341</v>
      </c>
      <c r="AD1" s="4" t="s">
        <v>379</v>
      </c>
      <c r="AE1" s="4" t="s">
        <v>346</v>
      </c>
      <c r="AF1" s="4" t="s">
        <v>332</v>
      </c>
      <c r="AG1" s="4" t="s">
        <v>373</v>
      </c>
      <c r="AH1" s="4" t="s">
        <v>360</v>
      </c>
      <c r="AI1" s="4" t="s">
        <v>352</v>
      </c>
      <c r="AJ1" s="4" t="s">
        <v>381</v>
      </c>
      <c r="AK1" s="4" t="s">
        <v>382</v>
      </c>
      <c r="AL1" s="4" t="s">
        <v>382</v>
      </c>
      <c r="AM1" s="4" t="s">
        <v>382</v>
      </c>
      <c r="AN1" s="4" t="s">
        <v>384</v>
      </c>
      <c r="AO1" s="4" t="s">
        <v>389</v>
      </c>
      <c r="AP1" s="4" t="s">
        <v>388</v>
      </c>
      <c r="AQ1" s="4" t="s">
        <v>390</v>
      </c>
      <c r="AR1" s="4" t="s">
        <v>392</v>
      </c>
      <c r="AS1" s="4" t="s">
        <v>394</v>
      </c>
      <c r="AT1" s="4" t="s">
        <v>395</v>
      </c>
      <c r="AU1" s="4" t="s">
        <v>395</v>
      </c>
      <c r="AV1" s="4" t="s">
        <v>395</v>
      </c>
      <c r="AW1" s="4" t="s">
        <v>397</v>
      </c>
      <c r="AX1" s="4" t="s">
        <v>396</v>
      </c>
      <c r="AY1" s="4" t="s">
        <v>396</v>
      </c>
      <c r="AZ1" s="4" t="s">
        <v>396</v>
      </c>
      <c r="BA1" s="4" t="s">
        <v>396</v>
      </c>
      <c r="BB1" s="4" t="s">
        <v>396</v>
      </c>
      <c r="BC1" s="4" t="s">
        <v>396</v>
      </c>
      <c r="BD1" s="4" t="s">
        <v>396</v>
      </c>
      <c r="BE1" s="4" t="s">
        <v>396</v>
      </c>
      <c r="BF1" s="4" t="s">
        <v>396</v>
      </c>
      <c r="BG1" s="4" t="s">
        <v>396</v>
      </c>
      <c r="BH1" s="4" t="s">
        <v>396</v>
      </c>
      <c r="BI1" s="4" t="s">
        <v>396</v>
      </c>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row>
    <row r="2">
      <c r="A2" s="4" t="s">
        <v>890</v>
      </c>
      <c r="B2" s="4" t="s">
        <v>892</v>
      </c>
      <c r="C2" s="4" t="s">
        <v>894</v>
      </c>
      <c r="D2" s="4" t="s">
        <v>894</v>
      </c>
      <c r="E2" s="4" t="s">
        <v>892</v>
      </c>
      <c r="F2" s="4" t="s">
        <v>893</v>
      </c>
      <c r="G2" s="4" t="s">
        <v>894</v>
      </c>
      <c r="H2" s="4" t="s">
        <v>891</v>
      </c>
      <c r="I2" s="4" t="s">
        <v>893</v>
      </c>
      <c r="J2" s="4" t="s">
        <v>891</v>
      </c>
      <c r="K2" s="4" t="s">
        <v>893</v>
      </c>
      <c r="L2" s="4" t="s">
        <v>891</v>
      </c>
      <c r="M2" s="4" t="s">
        <v>892</v>
      </c>
      <c r="N2" s="4" t="s">
        <v>891</v>
      </c>
      <c r="O2" s="4" t="s">
        <v>891</v>
      </c>
      <c r="P2" s="4" t="s">
        <v>893</v>
      </c>
      <c r="Q2" s="4" t="s">
        <v>892</v>
      </c>
      <c r="R2" s="4" t="s">
        <v>892</v>
      </c>
      <c r="S2" s="4" t="s">
        <v>892</v>
      </c>
      <c r="T2" s="4" t="s">
        <v>892</v>
      </c>
      <c r="U2" s="4" t="s">
        <v>892</v>
      </c>
      <c r="V2" s="4" t="s">
        <v>894</v>
      </c>
      <c r="W2" s="4" t="s">
        <v>894</v>
      </c>
      <c r="X2" s="4" t="s">
        <v>892</v>
      </c>
      <c r="Y2" s="4" t="s">
        <v>891</v>
      </c>
      <c r="Z2" s="4" t="s">
        <v>892</v>
      </c>
      <c r="AA2" s="4" t="s">
        <v>892</v>
      </c>
      <c r="AB2" s="4" t="s">
        <v>894</v>
      </c>
      <c r="AC2" s="4" t="s">
        <v>892</v>
      </c>
      <c r="AD2" s="4" t="s">
        <v>892</v>
      </c>
      <c r="AE2" s="4" t="s">
        <v>894</v>
      </c>
      <c r="AF2" s="4" t="s">
        <v>893</v>
      </c>
      <c r="AG2" s="4" t="s">
        <v>893</v>
      </c>
      <c r="AH2" s="4" t="s">
        <v>892</v>
      </c>
      <c r="AI2" s="4" t="s">
        <v>893</v>
      </c>
      <c r="AJ2" s="4" t="s">
        <v>892</v>
      </c>
      <c r="AK2" s="4" t="s">
        <v>892</v>
      </c>
      <c r="AL2" s="4" t="s">
        <v>892</v>
      </c>
      <c r="AM2" s="4" t="s">
        <v>892</v>
      </c>
      <c r="AN2" s="4" t="s">
        <v>892</v>
      </c>
      <c r="AO2" s="4" t="s">
        <v>894</v>
      </c>
      <c r="AP2" s="4" t="s">
        <v>892</v>
      </c>
      <c r="AQ2" s="4" t="s">
        <v>891</v>
      </c>
      <c r="AR2" s="4" t="s">
        <v>892</v>
      </c>
      <c r="AS2" s="4" t="s">
        <v>892</v>
      </c>
      <c r="AT2" s="4" t="s">
        <v>892</v>
      </c>
      <c r="AU2" s="4" t="s">
        <v>892</v>
      </c>
      <c r="AV2" s="4" t="s">
        <v>892</v>
      </c>
      <c r="AW2" s="4" t="s">
        <v>892</v>
      </c>
      <c r="AX2" s="4" t="s">
        <v>892</v>
      </c>
      <c r="AY2" s="4" t="s">
        <v>892</v>
      </c>
      <c r="AZ2" s="4" t="s">
        <v>892</v>
      </c>
      <c r="BA2" s="4" t="s">
        <v>892</v>
      </c>
      <c r="BB2" s="4" t="s">
        <v>892</v>
      </c>
      <c r="BC2" s="4" t="s">
        <v>892</v>
      </c>
      <c r="BD2" s="4" t="s">
        <v>892</v>
      </c>
      <c r="BE2" s="4" t="s">
        <v>892</v>
      </c>
      <c r="BF2" s="4" t="s">
        <v>892</v>
      </c>
      <c r="BG2" s="4" t="s">
        <v>892</v>
      </c>
      <c r="BH2" s="4" t="s">
        <v>892</v>
      </c>
      <c r="BI2" s="4" t="s">
        <v>892</v>
      </c>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row>
    <row r="3">
      <c r="A3" s="4" t="s">
        <v>428</v>
      </c>
      <c r="B3" s="4" t="str">
        <f>"C6 Burst"</f>
        <v>C6 Burst</v>
      </c>
      <c r="C3" s="4" t="str">
        <f>"C2 Burst Cutting"</f>
        <v>C2 Burst Cutting</v>
      </c>
      <c r="D3" s="4" t="str">
        <f>"C2 Burst Bloom"</f>
        <v>C2 Burst Bloom</v>
      </c>
      <c r="E3" s="4" t="str">
        <f>"C6 Attack"</f>
        <v>C6 Attack</v>
      </c>
      <c r="F3" s="4" t="str">
        <f>"C1 Extra Shot"</f>
        <v>C1 Extra Shot</v>
      </c>
      <c r="G3" s="4" t="str">
        <f>"C2 Explosion"</f>
        <v>C2 Explosion</v>
      </c>
      <c r="H3" s="4" t="str">
        <f>"C4 Bonus Damage"</f>
        <v>C4 Bonus Damage</v>
      </c>
      <c r="I3" s="4" t="str">
        <f>"C1 Proc"</f>
        <v>C1 Proc</v>
      </c>
      <c r="J3" s="4" t="str">
        <f>"C4 Boom"</f>
        <v>C4 Boom</v>
      </c>
      <c r="K3" s="4" t="s">
        <v>990</v>
      </c>
      <c r="L3" s="4" t="str">
        <f>"C4 On Burst"</f>
        <v>C4 On Burst</v>
      </c>
      <c r="M3" s="4" t="str">
        <f>"C6"</f>
        <v>C6</v>
      </c>
      <c r="N3" s="4" t="str">
        <f>"C4 Extra Hit"</f>
        <v>C4 Extra Hit</v>
      </c>
      <c r="O3" s="4" t="str">
        <f>"C4 Shield Pop"</f>
        <v>C4 Shield Pop</v>
      </c>
      <c r="P3" s="4" t="str">
        <f>"C1 on cast"</f>
        <v>C1 on cast</v>
      </c>
      <c r="Q3" s="4" t="str">
        <f>"N1 C6"</f>
        <v>N1 C6</v>
      </c>
      <c r="R3" s="4" t="str">
        <f>"N2 C6"</f>
        <v>N2 C6</v>
      </c>
      <c r="S3" s="4" t="str">
        <f>"N3 C6"</f>
        <v>N3 C6</v>
      </c>
      <c r="T3" s="4" t="str">
        <f>"N4 C6"</f>
        <v>N4 C6</v>
      </c>
      <c r="U3" s="4" t="str">
        <f>"N5 C6"</f>
        <v>N5 C6</v>
      </c>
      <c r="V3" s="4" t="str">
        <f t="shared" ref="V3:W3" si="1">"C2"</f>
        <v>C2</v>
      </c>
      <c r="W3" s="4" t="str">
        <f t="shared" si="1"/>
        <v>C2</v>
      </c>
      <c r="X3" s="4" t="str">
        <f>"Winner Takes All"</f>
        <v>Winner Takes All</v>
      </c>
      <c r="Y3" s="4" t="str">
        <f>"C4"</f>
        <v>C4</v>
      </c>
      <c r="Z3" s="4" t="str">
        <f t="shared" ref="Z3:AA3" si="2">"C6"</f>
        <v>C6</v>
      </c>
      <c r="AA3" s="4" t="str">
        <f t="shared" si="2"/>
        <v>C6</v>
      </c>
      <c r="AB3" s="4" t="str">
        <f>"C2 Shot"</f>
        <v>C2 Shot</v>
      </c>
      <c r="AC3" s="4" t="str">
        <f>"C6 Arrow"</f>
        <v>C6 Arrow</v>
      </c>
      <c r="AD3" s="4" t="str">
        <f>"C6 Wave"</f>
        <v>C6 Wave</v>
      </c>
      <c r="AE3" s="4" t="str">
        <f>"Sakura Level 4"</f>
        <v>Sakura Level 4</v>
      </c>
      <c r="AF3" s="4" t="str">
        <f>"C1 Extra Arrows"</f>
        <v>C1 Extra Arrows</v>
      </c>
      <c r="AG3" s="4" t="str">
        <f>"C1 Ice Blades"</f>
        <v>C1 Ice Blades</v>
      </c>
      <c r="AH3" s="190" t="str">
        <f>"Charged Attack DMG (4 sigil)"</f>
        <v>Charged Attack DMG (4 sigil)</v>
      </c>
      <c r="AI3" s="4" t="str">
        <f>"C1"</f>
        <v>C1</v>
      </c>
      <c r="AJ3" s="4" t="str">
        <f>"Karmic Oblivion"</f>
        <v>Karmic Oblivion</v>
      </c>
      <c r="AK3" s="4" t="str">
        <f>"C6 N1"</f>
        <v>C6 N1</v>
      </c>
      <c r="AL3" s="4" t="str">
        <f>"C6 N2"</f>
        <v>C6 N2</v>
      </c>
      <c r="AM3" s="4" t="str">
        <f>"C6 N3"</f>
        <v>C6 N3</v>
      </c>
      <c r="AN3" s="4" t="str">
        <f>"Mega Radish"</f>
        <v>Mega Radish</v>
      </c>
      <c r="AO3" s="4" t="str">
        <f>"Gossamer Sprite: Splice"</f>
        <v>Gossamer Sprite: Splice</v>
      </c>
      <c r="AP3" s="4" t="str">
        <f>"Light of the Firmament"</f>
        <v>Light of the Firmament</v>
      </c>
      <c r="AQ3" s="4" t="str">
        <f>"Steed of Skanda"</f>
        <v>Steed of Skanda</v>
      </c>
      <c r="AR3" s="4" t="str">
        <f>"Pyrotechnic Strike: Reprised"</f>
        <v>Pyrotechnic Strike: Reprised</v>
      </c>
      <c r="AS3" s="4" t="str">
        <f>"C6 Icicle"</f>
        <v>C6 Icicle</v>
      </c>
      <c r="AT3" s="4" t="str">
        <f>"Wrathful Recompense (1 Stack)"</f>
        <v>Wrathful Recompense (1 Stack)</v>
      </c>
      <c r="AU3" s="4" t="str">
        <f>"Wrathful Recompense (2 Stacks)"</f>
        <v>Wrathful Recompense (2 Stacks)</v>
      </c>
      <c r="AV3" s="4" t="str">
        <f>"Wrathful Recompense (3 Stacks)"</f>
        <v>Wrathful Recompense (3 Stacks)</v>
      </c>
      <c r="AW3" s="4" t="str">
        <f>"A Summation of Interest"</f>
        <v>A Summation of Interest</v>
      </c>
      <c r="AX3" s="4" t="str">
        <f>"N1 C6: Ousia"</f>
        <v>N1 C6: Ousia</v>
      </c>
      <c r="AY3" s="4" t="str">
        <f>"N2 C6: Ousia"</f>
        <v>N2 C6: Ousia</v>
      </c>
      <c r="AZ3" s="4" t="str">
        <f>"N3 C6: Ousia"</f>
        <v>N3 C6: Ousia</v>
      </c>
      <c r="BA3" s="4" t="str">
        <f>"N4 C6: Ousia"</f>
        <v>N4 C6: Ousia</v>
      </c>
      <c r="BB3" s="4" t="str">
        <f>"CA C6: Ousia"</f>
        <v>CA C6: Ousia</v>
      </c>
      <c r="BC3" s="4" t="str">
        <f>"Arkhe C6: Ousia"</f>
        <v>Arkhe C6: Ousia</v>
      </c>
      <c r="BD3" s="4" t="str">
        <f>"N1 C6: Pneuma"</f>
        <v>N1 C6: Pneuma</v>
      </c>
      <c r="BE3" s="4" t="str">
        <f>"N2 C6: Pneuma"</f>
        <v>N2 C6: Pneuma</v>
      </c>
      <c r="BF3" s="4" t="str">
        <f>"N3 C6: Pneuma"</f>
        <v>N3 C6: Pneuma</v>
      </c>
      <c r="BG3" s="4" t="str">
        <f>"N4 C6: Pneuma"</f>
        <v>N4 C6: Pneuma</v>
      </c>
      <c r="BH3" s="4" t="str">
        <f>"CA C6: Pneuma"</f>
        <v>CA C6: Pneuma</v>
      </c>
      <c r="BI3" s="4" t="str">
        <f>"Arkhe C6: Pneuma"</f>
        <v>Arkhe C6: Pneuma</v>
      </c>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row>
    <row r="4">
      <c r="A4" s="4" t="s">
        <v>250</v>
      </c>
      <c r="B4" s="10" t="str">
        <f t="shared" ref="B4:D4" si="3">"burst"</f>
        <v>burst</v>
      </c>
      <c r="C4" s="10" t="str">
        <f t="shared" si="3"/>
        <v>burst</v>
      </c>
      <c r="D4" s="10" t="str">
        <f t="shared" si="3"/>
        <v>burst</v>
      </c>
      <c r="E4" s="10" t="str">
        <f>"none"</f>
        <v>none</v>
      </c>
      <c r="F4" s="10" t="str">
        <f>"charged"</f>
        <v>charged</v>
      </c>
      <c r="G4" s="10" t="str">
        <f t="shared" ref="G4:H4" si="4">"none"</f>
        <v>none</v>
      </c>
      <c r="H4" s="10" t="str">
        <f t="shared" si="4"/>
        <v>none</v>
      </c>
      <c r="I4" s="10" t="str">
        <f>"burst"</f>
        <v>burst</v>
      </c>
      <c r="J4" s="10" t="str">
        <f>"none"</f>
        <v>none</v>
      </c>
      <c r="K4" s="10" t="str">
        <f>"normal"</f>
        <v>normal</v>
      </c>
      <c r="L4" s="10" t="str">
        <f>"burst"</f>
        <v>burst</v>
      </c>
      <c r="M4" s="10" t="str">
        <f t="shared" ref="M4:O4" si="5">"skill"</f>
        <v>skill</v>
      </c>
      <c r="N4" s="10" t="str">
        <f t="shared" si="5"/>
        <v>skill</v>
      </c>
      <c r="O4" s="10" t="str">
        <f t="shared" si="5"/>
        <v>skill</v>
      </c>
      <c r="P4" s="10" t="str">
        <f>"none"</f>
        <v>none</v>
      </c>
      <c r="Q4" s="10" t="str">
        <f t="shared" ref="Q4:U4" si="6">"normal"</f>
        <v>normal</v>
      </c>
      <c r="R4" s="10" t="str">
        <f t="shared" si="6"/>
        <v>normal</v>
      </c>
      <c r="S4" s="10" t="str">
        <f t="shared" si="6"/>
        <v>normal</v>
      </c>
      <c r="T4" s="10" t="str">
        <f t="shared" si="6"/>
        <v>normal</v>
      </c>
      <c r="U4" s="10" t="str">
        <f t="shared" si="6"/>
        <v>normal</v>
      </c>
      <c r="V4" s="10" t="str">
        <f>"skill"</f>
        <v>skill</v>
      </c>
      <c r="W4" s="10" t="str">
        <f>"burst"</f>
        <v>burst</v>
      </c>
      <c r="X4" s="10" t="str">
        <f>"charged"</f>
        <v>charged</v>
      </c>
      <c r="Y4" s="10" t="str">
        <f>"skill"</f>
        <v>skill</v>
      </c>
      <c r="Z4" s="10" t="str">
        <f>"normal"</f>
        <v>normal</v>
      </c>
      <c r="AA4" s="10" t="str">
        <f>"skill"</f>
        <v>skill</v>
      </c>
      <c r="AB4" s="10" t="str">
        <f>"none"</f>
        <v>none</v>
      </c>
      <c r="AC4" s="10" t="str">
        <f>"charged"</f>
        <v>charged</v>
      </c>
      <c r="AD4" s="10" t="str">
        <f>"burst"</f>
        <v>burst</v>
      </c>
      <c r="AE4" s="10" t="str">
        <f>"skill"</f>
        <v>skill</v>
      </c>
      <c r="AF4" s="10" t="str">
        <f>"charged"</f>
        <v>charged</v>
      </c>
      <c r="AG4" s="10" t="str">
        <f>"none"</f>
        <v>none</v>
      </c>
      <c r="AH4" s="10" t="str">
        <f>"charged"</f>
        <v>charged</v>
      </c>
      <c r="AI4" s="10" t="str">
        <f>"none"</f>
        <v>none</v>
      </c>
      <c r="AJ4" s="10" t="str">
        <f>"skill"</f>
        <v>skill</v>
      </c>
      <c r="AK4" s="88" t="str">
        <f t="shared" ref="AK4:AM4" si="7">"normal"</f>
        <v>normal</v>
      </c>
      <c r="AL4" s="88" t="str">
        <f t="shared" si="7"/>
        <v>normal</v>
      </c>
      <c r="AM4" s="88" t="str">
        <f t="shared" si="7"/>
        <v>normal</v>
      </c>
      <c r="AN4" s="10" t="str">
        <f t="shared" ref="AN4:AO4" si="8">"skill"</f>
        <v>skill</v>
      </c>
      <c r="AO4" s="10" t="str">
        <f t="shared" si="8"/>
        <v>skill</v>
      </c>
      <c r="AP4" s="10" t="str">
        <f>"none"</f>
        <v>none</v>
      </c>
      <c r="AQ4" s="10" t="str">
        <f>"burst"</f>
        <v>burst</v>
      </c>
      <c r="AR4" s="88" t="str">
        <f t="shared" ref="AR4:AV4" si="9">"charged"</f>
        <v>charged</v>
      </c>
      <c r="AS4" s="179" t="str">
        <f t="shared" si="9"/>
        <v>charged</v>
      </c>
      <c r="AT4" s="10" t="str">
        <f t="shared" si="9"/>
        <v>charged</v>
      </c>
      <c r="AU4" s="10" t="str">
        <f t="shared" si="9"/>
        <v>charged</v>
      </c>
      <c r="AV4" s="10" t="str">
        <f t="shared" si="9"/>
        <v>charged</v>
      </c>
      <c r="AW4" s="10" t="str">
        <f>"burst"</f>
        <v>burst</v>
      </c>
      <c r="AX4" s="10" t="str">
        <f t="shared" ref="AX4:BI4" si="10">"normal"</f>
        <v>normal</v>
      </c>
      <c r="AY4" s="10" t="str">
        <f t="shared" si="10"/>
        <v>normal</v>
      </c>
      <c r="AZ4" s="10" t="str">
        <f t="shared" si="10"/>
        <v>normal</v>
      </c>
      <c r="BA4" s="10" t="str">
        <f t="shared" si="10"/>
        <v>normal</v>
      </c>
      <c r="BB4" s="10" t="str">
        <f t="shared" si="10"/>
        <v>normal</v>
      </c>
      <c r="BC4" s="88" t="str">
        <f t="shared" si="10"/>
        <v>normal</v>
      </c>
      <c r="BD4" s="10" t="str">
        <f t="shared" si="10"/>
        <v>normal</v>
      </c>
      <c r="BE4" s="10" t="str">
        <f t="shared" si="10"/>
        <v>normal</v>
      </c>
      <c r="BF4" s="10" t="str">
        <f t="shared" si="10"/>
        <v>normal</v>
      </c>
      <c r="BG4" s="10" t="str">
        <f t="shared" si="10"/>
        <v>normal</v>
      </c>
      <c r="BH4" s="10" t="str">
        <f t="shared" si="10"/>
        <v>normal</v>
      </c>
      <c r="BI4" s="88" t="str">
        <f t="shared" si="10"/>
        <v>normal</v>
      </c>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row>
    <row r="5">
      <c r="A5" s="4" t="s">
        <v>251</v>
      </c>
      <c r="B5" s="88" t="str">
        <f>INDIRECT(ADDRESS(ROW() - (TemplateStats!$B2 + 16), 6))</f>
        <v>#VALUE!</v>
      </c>
      <c r="C5" s="10" t="str">
        <f>INDIRECT(ADDRESS(ROW() - (TemplateStats!$B2 + 16), 6))</f>
        <v>#VALUE!</v>
      </c>
      <c r="D5" s="10" t="str">
        <f>INDIRECT(ADDRESS(ROW() - (TemplateStats!$B2 + 16), 6))</f>
        <v>#VALUE!</v>
      </c>
      <c r="E5" s="10" t="str">
        <f>"-"</f>
        <v>-</v>
      </c>
      <c r="F5" s="88" t="str">
        <f>INDIRECT(ADDRESS(ROW() - (TemplateStats!$B2 + 18), 6))</f>
        <v>#VALUE!</v>
      </c>
      <c r="G5" s="10" t="str">
        <f t="shared" ref="G5:H5" si="11">"-"</f>
        <v>-</v>
      </c>
      <c r="H5" s="10" t="str">
        <f t="shared" si="11"/>
        <v>-</v>
      </c>
      <c r="I5" s="88" t="str">
        <f>INDIRECT(ADDRESS(ROW() - (TemplateStats!$B2 + 16), 6))</f>
        <v>#VALUE!</v>
      </c>
      <c r="J5" s="10" t="str">
        <f t="shared" ref="J5:M5" si="12">"-"</f>
        <v>-</v>
      </c>
      <c r="K5" s="10" t="str">
        <f t="shared" si="12"/>
        <v>-</v>
      </c>
      <c r="L5" s="10" t="str">
        <f t="shared" si="12"/>
        <v>-</v>
      </c>
      <c r="M5" s="10" t="str">
        <f t="shared" si="12"/>
        <v>-</v>
      </c>
      <c r="N5" s="88" t="str">
        <f>INDIRECT(ADDRESS(ROW() - (TemplateStats!$B2 + 17), 6))</f>
        <v>#VALUE!</v>
      </c>
      <c r="O5" s="10" t="str">
        <f t="shared" ref="O5:P5" si="13">"-"</f>
        <v>-</v>
      </c>
      <c r="P5" s="10" t="str">
        <f t="shared" si="13"/>
        <v>-</v>
      </c>
      <c r="Q5" s="88" t="str">
        <f>INDIRECT(ADDRESS(ROW() - (TemplateStats!$B2 + 18), 6))</f>
        <v>#VALUE!</v>
      </c>
      <c r="R5" s="88" t="str">
        <f>INDIRECT(ADDRESS(ROW() - (TemplateStats!$B2 + 18), 6))</f>
        <v>#VALUE!</v>
      </c>
      <c r="S5" s="88" t="str">
        <f>INDIRECT(ADDRESS(ROW() - (TemplateStats!$B2 + 18), 6))</f>
        <v>#VALUE!</v>
      </c>
      <c r="T5" s="88" t="str">
        <f>INDIRECT(ADDRESS(ROW() - (TemplateStats!$B2 + 18), 6))</f>
        <v>#VALUE!</v>
      </c>
      <c r="U5" s="88" t="str">
        <f>INDIRECT(ADDRESS(ROW() - (TemplateStats!$B2 + 18), 6))</f>
        <v>#VALUE!</v>
      </c>
      <c r="V5" s="88" t="str">
        <f>INDIRECT(ADDRESS(ROW() - (TemplateStats!$B2 + 17), 6))</f>
        <v>#VALUE!</v>
      </c>
      <c r="W5" s="10" t="str">
        <f>"-"</f>
        <v>-</v>
      </c>
      <c r="X5" s="88" t="str">
        <f>INDIRECT(ADDRESS(ROW() - (TemplateStats!$B2 + 18), 6))</f>
        <v>#VALUE!</v>
      </c>
      <c r="Y5" s="10" t="str">
        <f t="shared" ref="Y5:AD5" si="14">"-"</f>
        <v>-</v>
      </c>
      <c r="Z5" s="10" t="str">
        <f t="shared" si="14"/>
        <v>-</v>
      </c>
      <c r="AA5" s="10" t="str">
        <f t="shared" si="14"/>
        <v>-</v>
      </c>
      <c r="AB5" s="10" t="str">
        <f t="shared" si="14"/>
        <v>-</v>
      </c>
      <c r="AC5" s="10" t="str">
        <f t="shared" si="14"/>
        <v>-</v>
      </c>
      <c r="AD5" s="10" t="str">
        <f t="shared" si="14"/>
        <v>-</v>
      </c>
      <c r="AE5" s="88" t="str">
        <f>INDIRECT(ADDRESS(ROW() - (TemplateStats!$B2 + 17), 6))</f>
        <v>#VALUE!</v>
      </c>
      <c r="AF5" s="88" t="str">
        <f>INDIRECT(ADDRESS(ROW() - (TemplateStats!$B22 + 18), 6))</f>
        <v>#VALUE!</v>
      </c>
      <c r="AG5" s="10" t="str">
        <f>"-"</f>
        <v>-</v>
      </c>
      <c r="AH5" s="88" t="str">
        <f>INDIRECT(ADDRESS(ROW() - (TemplateStats!$B2 + 18), 6))</f>
        <v>#VALUE!</v>
      </c>
      <c r="AI5" s="10" t="str">
        <f t="shared" ref="AI5:AJ5" si="15">"-"</f>
        <v>-</v>
      </c>
      <c r="AJ5" s="10" t="str">
        <f t="shared" si="15"/>
        <v>-</v>
      </c>
      <c r="AK5" s="88" t="str">
        <f>INDIRECT(ADDRESS(ROW() - (TemplateStats!$B2 + 18), 6))</f>
        <v>#VALUE!</v>
      </c>
      <c r="AL5" s="88" t="str">
        <f>INDIRECT(ADDRESS(ROW() - (TemplateStats!$B2 + 18), 6))</f>
        <v>#VALUE!</v>
      </c>
      <c r="AM5" s="88" t="str">
        <f>INDIRECT(ADDRESS(ROW() - (TemplateStats!$B2 + 18), 6))</f>
        <v>#VALUE!</v>
      </c>
      <c r="AN5" s="10" t="str">
        <f t="shared" ref="AN5:AQ5" si="16">"-"</f>
        <v>-</v>
      </c>
      <c r="AO5" s="10" t="str">
        <f t="shared" si="16"/>
        <v>-</v>
      </c>
      <c r="AP5" s="10" t="str">
        <f t="shared" si="16"/>
        <v>-</v>
      </c>
      <c r="AQ5" s="10" t="str">
        <f t="shared" si="16"/>
        <v>-</v>
      </c>
      <c r="AR5" s="88" t="str">
        <f>INDIRECT(ADDRESS(ROW() - (TemplateStats!$B2 + 18), 6))</f>
        <v>#VALUE!</v>
      </c>
      <c r="AS5" s="206" t="str">
        <f>INDIRECT(ADDRESS(ROW() - (TemplateStats!$B2 + 18), 6))</f>
        <v>#VALUE!</v>
      </c>
      <c r="AT5" s="10" t="str">
        <f t="shared" ref="AT5:AW5" si="17">"-"</f>
        <v>-</v>
      </c>
      <c r="AU5" s="10" t="str">
        <f t="shared" si="17"/>
        <v>-</v>
      </c>
      <c r="AV5" s="10" t="str">
        <f t="shared" si="17"/>
        <v>-</v>
      </c>
      <c r="AW5" s="10" t="str">
        <f t="shared" si="17"/>
        <v>-</v>
      </c>
      <c r="AX5" s="197" t="str">
        <f>INDIRECT(ADDRESS(ROW() - (TemplateStats!$B2 + 18), 6))</f>
        <v>#VALUE!</v>
      </c>
      <c r="AY5" s="197" t="str">
        <f>INDIRECT(ADDRESS(ROW() - (TemplateStats!$B2 + 18), 6))</f>
        <v>#VALUE!</v>
      </c>
      <c r="AZ5" s="197" t="str">
        <f>INDIRECT(ADDRESS(ROW() - (TemplateStats!$B2 + 18), 6))</f>
        <v>#VALUE!</v>
      </c>
      <c r="BA5" s="197" t="str">
        <f>INDIRECT(ADDRESS(ROW() - (TemplateStats!$B2 + 18), 6))</f>
        <v>#VALUE!</v>
      </c>
      <c r="BB5" s="197" t="str">
        <f>INDIRECT(ADDRESS(ROW() - (TemplateStats!$B2 + 18), 6))</f>
        <v>#VALUE!</v>
      </c>
      <c r="BC5" s="88" t="str">
        <f>INDIRECT(ADDRESS(ROW() - (TemplateStats!$B2 + 18), 6))</f>
        <v>#VALUE!</v>
      </c>
      <c r="BD5" s="197" t="str">
        <f>INDIRECT(ADDRESS(ROW() - (TemplateStats!$B2 + 18), 6))</f>
        <v>#VALUE!</v>
      </c>
      <c r="BE5" s="197" t="str">
        <f>INDIRECT(ADDRESS(ROW() - (TemplateStats!$B2 + 18), 6))</f>
        <v>#VALUE!</v>
      </c>
      <c r="BF5" s="197" t="str">
        <f>INDIRECT(ADDRESS(ROW() - (TemplateStats!$B2 + 18), 6))</f>
        <v>#VALUE!</v>
      </c>
      <c r="BG5" s="197" t="str">
        <f>INDIRECT(ADDRESS(ROW() - (TemplateStats!$B2 + 18), 6))</f>
        <v>#VALUE!</v>
      </c>
      <c r="BH5" s="197" t="str">
        <f>INDIRECT(ADDRESS(ROW() - (TemplateStats!$B2 + 18), 6))</f>
        <v>#VALUE!</v>
      </c>
      <c r="BI5" s="88" t="str">
        <f>INDIRECT(ADDRESS(ROW() - (TemplateStats!$B2 + 18), 6))</f>
        <v>#VALUE!</v>
      </c>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row>
    <row r="6">
      <c r="A6" s="4" t="s">
        <v>252</v>
      </c>
      <c r="B6" s="10" t="str">
        <f>"Electro"</f>
        <v>Electro</v>
      </c>
      <c r="C6" s="10" t="str">
        <f t="shared" ref="C6:D6" si="18">"Cryo"</f>
        <v>Cryo</v>
      </c>
      <c r="D6" s="10" t="str">
        <f t="shared" si="18"/>
        <v>Cryo</v>
      </c>
      <c r="E6" s="10" t="str">
        <f>"Electro"</f>
        <v>Electro</v>
      </c>
      <c r="F6" s="10" t="str">
        <f t="shared" ref="F6:G6" si="19">"Pyro"</f>
        <v>Pyro</v>
      </c>
      <c r="G6" s="10" t="str">
        <f t="shared" si="19"/>
        <v>Pyro</v>
      </c>
      <c r="H6" s="10" t="str">
        <f>"Electro"</f>
        <v>Electro</v>
      </c>
      <c r="I6" s="10" t="str">
        <f t="shared" ref="I6:J6" si="20">"Pyro"</f>
        <v>Pyro</v>
      </c>
      <c r="J6" s="10" t="str">
        <f t="shared" si="20"/>
        <v>Pyro</v>
      </c>
      <c r="K6" s="10" t="str">
        <f>"Physical"</f>
        <v>Physical</v>
      </c>
      <c r="L6" s="10" t="str">
        <f t="shared" ref="L6:M6" si="21">"Electro"</f>
        <v>Electro</v>
      </c>
      <c r="M6" s="10" t="str">
        <f t="shared" si="21"/>
        <v>Electro</v>
      </c>
      <c r="N6" s="10" t="str">
        <f>"Pyro"</f>
        <v>Pyro</v>
      </c>
      <c r="O6" s="10" t="str">
        <f>"Geo"</f>
        <v>Geo</v>
      </c>
      <c r="P6" s="10" t="str">
        <f>"Electro"</f>
        <v>Electro</v>
      </c>
      <c r="Q6" s="10" t="str">
        <f t="shared" ref="Q6:U6" si="22">"Pyro"</f>
        <v>Pyro</v>
      </c>
      <c r="R6" s="10" t="str">
        <f t="shared" si="22"/>
        <v>Pyro</v>
      </c>
      <c r="S6" s="10" t="str">
        <f t="shared" si="22"/>
        <v>Pyro</v>
      </c>
      <c r="T6" s="10" t="str">
        <f t="shared" si="22"/>
        <v>Pyro</v>
      </c>
      <c r="U6" s="10" t="str">
        <f t="shared" si="22"/>
        <v>Pyro</v>
      </c>
      <c r="V6" s="10" t="str">
        <f>"Electro"</f>
        <v>Electro</v>
      </c>
      <c r="W6" s="10" t="str">
        <f t="shared" ref="W6:X6" si="23">"Hydro"</f>
        <v>Hydro</v>
      </c>
      <c r="X6" s="10" t="str">
        <f t="shared" si="23"/>
        <v>Hydro</v>
      </c>
      <c r="Y6" s="10" t="str">
        <f>"Electro"</f>
        <v>Electro</v>
      </c>
      <c r="Z6" s="10" t="str">
        <f>"Hydro"</f>
        <v>Hydro</v>
      </c>
      <c r="AA6" s="10" t="str">
        <f>"Dendro"</f>
        <v>Dendro</v>
      </c>
      <c r="AB6" s="10" t="str">
        <f>"Electro"</f>
        <v>Electro</v>
      </c>
      <c r="AC6" s="10" t="str">
        <f>"Dendro"</f>
        <v>Dendro</v>
      </c>
      <c r="AD6" s="10" t="str">
        <f>"Hydro"</f>
        <v>Hydro</v>
      </c>
      <c r="AE6" s="10" t="str">
        <f>"Electro"</f>
        <v>Electro</v>
      </c>
      <c r="AF6" s="10" t="str">
        <f>"Anemo"</f>
        <v>Anemo</v>
      </c>
      <c r="AG6" s="10" t="str">
        <f>"Cryo"</f>
        <v>Cryo</v>
      </c>
      <c r="AH6" s="10" t="str">
        <f>"Pyro"</f>
        <v>Pyro</v>
      </c>
      <c r="AI6" s="88" t="str">
        <f>"Hydro"</f>
        <v>Hydro</v>
      </c>
      <c r="AJ6" s="88" t="str">
        <f>"Dendro"</f>
        <v>Dendro</v>
      </c>
      <c r="AK6" s="88" t="str">
        <f t="shared" ref="AK6:AM6" si="24">"Anemo"</f>
        <v>Anemo</v>
      </c>
      <c r="AL6" s="88" t="str">
        <f t="shared" si="24"/>
        <v>Anemo</v>
      </c>
      <c r="AM6" s="88" t="str">
        <f t="shared" si="24"/>
        <v>Anemo</v>
      </c>
      <c r="AN6" s="88" t="str">
        <f t="shared" ref="AN6:AQ6" si="25">"Dendro"</f>
        <v>Dendro</v>
      </c>
      <c r="AO6" s="88" t="str">
        <f t="shared" si="25"/>
        <v>Dendro</v>
      </c>
      <c r="AP6" s="88" t="str">
        <f t="shared" si="25"/>
        <v>Dendro</v>
      </c>
      <c r="AQ6" s="88" t="str">
        <f t="shared" si="25"/>
        <v>Dendro</v>
      </c>
      <c r="AR6" s="88" t="str">
        <f>"Pyro"</f>
        <v>Pyro</v>
      </c>
      <c r="AS6" s="195" t="str">
        <f>"Cryo"</f>
        <v>Cryo</v>
      </c>
      <c r="AT6" s="88" t="str">
        <f t="shared" ref="AT6:AV6" si="26">"Hydro"</f>
        <v>Hydro</v>
      </c>
      <c r="AU6" s="88" t="str">
        <f t="shared" si="26"/>
        <v>Hydro</v>
      </c>
      <c r="AV6" s="88" t="str">
        <f t="shared" si="26"/>
        <v>Hydro</v>
      </c>
      <c r="AW6" s="88" t="str">
        <f>"Cryo"</f>
        <v>Cryo</v>
      </c>
      <c r="AX6" s="88" t="str">
        <f t="shared" ref="AX6:BI6" si="27">"Hydro"</f>
        <v>Hydro</v>
      </c>
      <c r="AY6" s="88" t="str">
        <f t="shared" si="27"/>
        <v>Hydro</v>
      </c>
      <c r="AZ6" s="88" t="str">
        <f t="shared" si="27"/>
        <v>Hydro</v>
      </c>
      <c r="BA6" s="88" t="str">
        <f t="shared" si="27"/>
        <v>Hydro</v>
      </c>
      <c r="BB6" s="88" t="str">
        <f t="shared" si="27"/>
        <v>Hydro</v>
      </c>
      <c r="BC6" s="88" t="str">
        <f t="shared" si="27"/>
        <v>Hydro</v>
      </c>
      <c r="BD6" s="88" t="str">
        <f t="shared" si="27"/>
        <v>Hydro</v>
      </c>
      <c r="BE6" s="88" t="str">
        <f t="shared" si="27"/>
        <v>Hydro</v>
      </c>
      <c r="BF6" s="88" t="str">
        <f t="shared" si="27"/>
        <v>Hydro</v>
      </c>
      <c r="BG6" s="88" t="str">
        <f t="shared" si="27"/>
        <v>Hydro</v>
      </c>
      <c r="BH6" s="88" t="str">
        <f t="shared" si="27"/>
        <v>Hydro</v>
      </c>
      <c r="BI6" s="88" t="str">
        <f t="shared" si="27"/>
        <v>Hydro</v>
      </c>
    </row>
    <row r="7">
      <c r="A7" s="4" t="s">
        <v>253</v>
      </c>
      <c r="B7" s="88" t="str">
        <f> IF(INDIRECT(ADDRESS(ROW() - 2, COLUMN())) = 1, 32.8, IF(INDIRECT(ADDRESS(ROW() - 2, COLUMN())) = 2, 35.26, IF(INDIRECT(ADDRESS(ROW() - 2, COLUMN())) = 3, 37.72, IF(INDIRECT(ADDRESS(ROW() - 2, COLUMN())) = 4, 41, IF(INDIRECT(ADDRESS(ROW() - 2, COLUMN())) = 5, 43.46, IF(INDIRECT(ADDRESS(ROW() - 2, COLUMN())) = 6, 45.92, IF(INDIRECT(ADDRESS(ROW() - 2, COLUMN())) = 7, 49.2, IF(INDIRECT(ADDRESS(ROW() - 2, COLUMN())) = 8, 52.48, IF(INDIRECT(ADDRESS(ROW() - 2, COLUMN())) = 9, 55.76, IF(INDIRECT(ADDRESS(ROW() - 2, COLUMN())) = 10, 59.04, IF(INDIRECT(ADDRESS(ROW() - 2, COLUMN())) = 11, 62.32, IF(INDIRECT(ADDRESS(ROW() - 2, COLUMN())) = 12, 65.6, IF(INDIRECT(ADDRESS(ROW() - 2, COLUMN())) = 13, 69.6999999999999,0)))))))))))))</f>
        <v>#VALUE!</v>
      </c>
      <c r="C7" s="88" t="str">
        <f> IF(INDIRECT(ADDRESS(ROW() - 2, COLUMN())) = 1, 112.3, IF(INDIRECT(ADDRESS(ROW() - 2, COLUMN())) = 2, 120.7225, IF(INDIRECT(ADDRESS(ROW() - 2, COLUMN())) = 3, 129.145, IF(INDIRECT(ADDRESS(ROW() - 2, COLUMN())) = 4, 140.375, IF(INDIRECT(ADDRESS(ROW() - 2, COLUMN())) = 5, 148.7975, IF(INDIRECT(ADDRESS(ROW() - 2, COLUMN())) = 6, 157.22, IF(INDIRECT(ADDRESS(ROW() - 2, COLUMN())) = 7, 168.45, IF(INDIRECT(ADDRESS(ROW() - 2, COLUMN())) = 8, 179.68, IF(INDIRECT(ADDRESS(ROW() - 2, COLUMN())) = 9, 190.91, IF(INDIRECT(ADDRESS(ROW() - 2, COLUMN())) = 10, 202.14, IF(INDIRECT(ADDRESS(ROW() - 2, COLUMN())) = 11, 213.37, IF(INDIRECT(ADDRESS(ROW() - 2, COLUMN())) = 12, 224.6, IF(INDIRECT(ADDRESS(ROW() - 2, COLUMN())) = 13, 238.6375,0)))))))))))))</f>
        <v>#VALUE!</v>
      </c>
      <c r="D7" s="88" t="str">
        <f> IF(INDIRECT(ADDRESS(ROW() - 2, COLUMN())) = 1, 168.45, IF(INDIRECT(ADDRESS(ROW() - 2, COLUMN())) = 2, 181.0837, IF(INDIRECT(ADDRESS(ROW() - 2, COLUMN())) = 3, 193.7175, IF(INDIRECT(ADDRESS(ROW() - 2, COLUMN())) = 4, 210.5625, IF(INDIRECT(ADDRESS(ROW() - 2, COLUMN())) = 5, 223.196199999999, IF(INDIRECT(ADDRESS(ROW() - 2, COLUMN())) = 6, 235.829999999999, IF(INDIRECT(ADDRESS(ROW() - 2, COLUMN())) = 7, 252.674999999999, IF(INDIRECT(ADDRESS(ROW() - 2, COLUMN())) = 8, 269.52, IF(INDIRECT(ADDRESS(ROW() - 2, COLUMN())) = 9, 286.365, IF(INDIRECT(ADDRESS(ROW() - 2, COLUMN())) = 10, 303.21, IF(INDIRECT(ADDRESS(ROW() - 2, COLUMN())) = 11, 320.054999999999, IF(INDIRECT(ADDRESS(ROW() - 2, COLUMN())) = 12, 336.9, IF(INDIRECT(ADDRESS(ROW() - 2, COLUMN())) = 13, 357.9562,0)))))))))))))</f>
        <v>#VALUE!</v>
      </c>
      <c r="E7" s="88">
        <f>100</f>
        <v>100</v>
      </c>
      <c r="F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G7" s="88">
        <f>75</f>
        <v>75</v>
      </c>
      <c r="H7" s="88">
        <f>20</f>
        <v>20</v>
      </c>
      <c r="I7" s="88" t="str">
        <f> IF(INDIRECT(ADDRESS(ROW() - 2, COLUMN())) = 1, 42.64, IF(INDIRECT(ADDRESS(ROW() - 2, COLUMN())) = 2, 45.838, IF(INDIRECT(ADDRESS(ROW() - 2, COLUMN())) = 3, 49.036, IF(INDIRECT(ADDRESS(ROW() - 2, COLUMN())) = 4, 53.3, IF(INDIRECT(ADDRESS(ROW() - 2, COLUMN())) = 5, 56.498, IF(INDIRECT(ADDRESS(ROW() - 2, COLUMN())) = 6, 59.696, IF(INDIRECT(ADDRESS(ROW() - 2, COLUMN())) = 7, 63.9599999999999, IF(INDIRECT(ADDRESS(ROW() - 2, COLUMN())) = 8, 68.2239999999999, IF(INDIRECT(ADDRESS(ROW() - 2, COLUMN())) = 9, 72.488, IF(INDIRECT(ADDRESS(ROW() - 2, COLUMN())) = 10, 76.752, IF(INDIRECT(ADDRESS(ROW() - 2, COLUMN())) = 11, 81.016, IF(INDIRECT(ADDRESS(ROW() - 2, COLUMN())) = 12, 85.28, IF(INDIRECT(ADDRESS(ROW() - 2, COLUMN())) = 13, 90.61,0)))))))))))))</f>
        <v>#VALUE!</v>
      </c>
      <c r="J7" s="88">
        <f>555</f>
        <v>555</v>
      </c>
      <c r="K7" s="88">
        <f>22</f>
        <v>22</v>
      </c>
      <c r="L7" s="88">
        <f>222</f>
        <v>222</v>
      </c>
      <c r="M7" s="88">
        <f>30</f>
        <v>30</v>
      </c>
      <c r="N7" s="88" t="str">
        <f> IF(INDIRECT(ADDRESS(ROW() - 2, COLUMN())) = 1, 92, IF(INDIRECT(ADDRESS(ROW() - 2, COLUMN())) = 2, 98.9, IF(INDIRECT(ADDRESS(ROW() - 2, COLUMN())) = 3, 105.8, IF(INDIRECT(ADDRESS(ROW() - 2, COLUMN())) = 4, 114.999999999999, IF(INDIRECT(ADDRESS(ROW() - 2, COLUMN())) = 5, 121.9, IF(INDIRECT(ADDRESS(ROW() - 2, COLUMN())) = 6, 128.8, IF(INDIRECT(ADDRESS(ROW() - 2, COLUMN())) = 7, 138, IF(INDIRECT(ADDRESS(ROW() - 2, COLUMN())) = 8, 147.2, IF(INDIRECT(ADDRESS(ROW() - 2, COLUMN())) = 9, 156.4, IF(INDIRECT(ADDRESS(ROW() - 2, COLUMN())) = 10, 165.6, IF(INDIRECT(ADDRESS(ROW() - 2, COLUMN())) = 11, 174.8, IF(INDIRECT(ADDRESS(ROW() - 2, COLUMN())) = 12, 184, IF(INDIRECT(ADDRESS(ROW() - 2, COLUMN())) = 13, 195.5,0)))))))))))))</f>
        <v>#VALUE!</v>
      </c>
      <c r="O7" s="88">
        <f>400</f>
        <v>400</v>
      </c>
      <c r="P7" s="88">
        <f>50</f>
        <v>50</v>
      </c>
      <c r="Q7" s="88" t="str">
        <f> IF(INDIRECT(ADDRESS(ROW() - 2, COLUMN())) = 1, 35.64, IF(INDIRECT(ADDRESS(ROW() - 2, COLUMN())) = 2, 38.07, IF(INDIRECT(ADDRESS(ROW() - 2, COLUMN())) = 3, 40.5, IF(INDIRECT(ADDRESS(ROW() - 2, COLUMN())) = 4, 43.74, IF(INDIRECT(ADDRESS(ROW() - 2, COLUMN())) = 5, 46.17, IF(INDIRECT(ADDRESS(ROW() - 2, COLUMN())) = 6, 49.0049999999999, IF(INDIRECT(ADDRESS(ROW() - 2, COLUMN())) = 7, 52.65, IF(INDIRECT(ADDRESS(ROW() - 2, COLUMN())) = 8, 56.2949999999999, IF(INDIRECT(ADDRESS(ROW() - 2, COLUMN())) = 9, 59.94, IF(INDIRECT(ADDRESS(ROW() - 2, COLUMN())) = 10, 63.585, IF(INDIRECT(ADDRESS(ROW() - 2, COLUMN())) = 11, 67.23,0)))))))))))</f>
        <v>#VALUE!</v>
      </c>
      <c r="R7" s="88" t="str">
        <f> IF(INDIRECT(ADDRESS(ROW() - 2, COLUMN())) = 1, 68.376, IF(INDIRECT(ADDRESS(ROW() - 2, COLUMN())) = 2, 73.038, IF(INDIRECT(ADDRESS(ROW() - 2, COLUMN())) = 3, 77.7, IF(INDIRECT(ADDRESS(ROW() - 2, COLUMN())) = 4, 83.916, IF(INDIRECT(ADDRESS(ROW() - 2, COLUMN())) = 5, 88.578, IF(INDIRECT(ADDRESS(ROW() - 2, COLUMN())) = 6, 94.017, IF(INDIRECT(ADDRESS(ROW() - 2, COLUMN())) = 7, 101.01, IF(INDIRECT(ADDRESS(ROW() - 2, COLUMN())) = 8, 108.003, IF(INDIRECT(ADDRESS(ROW() - 2, COLUMN())) = 9, 114.996, IF(INDIRECT(ADDRESS(ROW() - 2, COLUMN())) = 10, 121.988999999999, IF(INDIRECT(ADDRESS(ROW() - 2, COLUMN())) = 11, 128.982,0)))))))))))</f>
        <v>#VALUE!</v>
      </c>
      <c r="S7" s="88" t="str">
        <f> IF(INDIRECT(ADDRESS(ROW() - 2, COLUMN())) = 1, 88.8888, IF(INDIRECT(ADDRESS(ROW() - 2, COLUMN())) = 2, 94.9494, IF(INDIRECT(ADDRESS(ROW() - 2, COLUMN())) = 3, 101.01, IF(INDIRECT(ADDRESS(ROW() - 2, COLUMN())) = 4, 109.0908, IF(INDIRECT(ADDRESS(ROW() - 2, COLUMN())) = 5, 115.1514, IF(INDIRECT(ADDRESS(ROW() - 2, COLUMN())) = 6, 122.2221, IF(INDIRECT(ADDRESS(ROW() - 2, COLUMN())) = 7, 131.313, IF(INDIRECT(ADDRESS(ROW() - 2, COLUMN())) = 8, 140.4039, IF(INDIRECT(ADDRESS(ROW() - 2, COLUMN())) = 9, 149.4948, IF(INDIRECT(ADDRESS(ROW() - 2, COLUMN())) = 10, 158.5857, IF(INDIRECT(ADDRESS(ROW() - 2, COLUMN())) = 11, 167.6766,0)))))))))))</f>
        <v>#VALUE!</v>
      </c>
      <c r="T7" s="88" t="str">
        <f> IF(INDIRECT(ADDRESS(ROW() - 2, COLUMN())) = 1, 46.42, IF(INDIRECT(ADDRESS(ROW() - 2, COLUMN())) = 2, 49.585, IF(INDIRECT(ADDRESS(ROW() - 2, COLUMN())) = 3, 52.75, IF(INDIRECT(ADDRESS(ROW() - 2, COLUMN())) = 4, 56.97, IF(INDIRECT(ADDRESS(ROW() - 2, COLUMN())) = 5, 60.135, IF(INDIRECT(ADDRESS(ROW() - 2, COLUMN())) = 6, 63.8275, IF(INDIRECT(ADDRESS(ROW() - 2, COLUMN())) = 7, 68.575, IF(INDIRECT(ADDRESS(ROW() - 2, COLUMN())) = 8, 73.3225, IF(INDIRECT(ADDRESS(ROW() - 2, COLUMN())) = 9, 78.07, IF(INDIRECT(ADDRESS(ROW() - 2, COLUMN())) = 10, 82.8175, IF(INDIRECT(ADDRESS(ROW() - 2, COLUMN())) = 11, 87.565,0)))))))))))</f>
        <v>#VALUE!</v>
      </c>
      <c r="U7" s="88" t="str">
        <f> IF(INDIRECT(ADDRESS(ROW() - 2, COLUMN())) = 1, 105.864, IF(INDIRECT(ADDRESS(ROW() - 2, COLUMN())) = 2, 113.082, IF(INDIRECT(ADDRESS(ROW() - 2, COLUMN())) = 3, 120.3, IF(INDIRECT(ADDRESS(ROW() - 2, COLUMN())) = 4, 129.924, IF(INDIRECT(ADDRESS(ROW() - 2, COLUMN())) = 5, 137.142, IF(INDIRECT(ADDRESS(ROW() - 2, COLUMN())) = 6, 145.563, IF(INDIRECT(ADDRESS(ROW() - 2, COLUMN())) = 7, 156.39, IF(INDIRECT(ADDRESS(ROW() - 2, COLUMN())) = 8, 167.216999999999, IF(INDIRECT(ADDRESS(ROW() - 2, COLUMN())) = 9, 178.044, IF(INDIRECT(ADDRESS(ROW() - 2, COLUMN())) = 10, 188.871, IF(INDIRECT(ADDRESS(ROW() - 2, COLUMN())) = 11, 199.698,0)))))))))))</f>
        <v>#VALUE!</v>
      </c>
      <c r="V7" s="88" t="str">
        <f> IF(INDIRECT(ADDRESS(ROW() - 2, COLUMN())) = 1, 125.76, IF(INDIRECT(ADDRESS(ROW() - 2, COLUMN())) = 2, 135.192, IF(INDIRECT(ADDRESS(ROW() - 2, COLUMN())) = 3, 144.624, IF(INDIRECT(ADDRESS(ROW() - 2, COLUMN())) = 4, 157.2, IF(INDIRECT(ADDRESS(ROW() - 2, COLUMN())) = 5, 166.632, IF(INDIRECT(ADDRESS(ROW() - 2, COLUMN())) = 6, 176.064, IF(INDIRECT(ADDRESS(ROW() - 2, COLUMN())) = 7, 188.64, IF(INDIRECT(ADDRESS(ROW() - 2, COLUMN())) = 8, 201.216, IF(INDIRECT(ADDRESS(ROW() - 2, COLUMN())) = 9, 213.791999999999, IF(INDIRECT(ADDRESS(ROW() - 2, COLUMN())) = 10, 226.368, IF(INDIRECT(ADDRESS(ROW() - 2, COLUMN())) = 11, 238.944, IF(INDIRECT(ADDRESS(ROW() - 2, COLUMN())) = 12, 251.52, IF(INDIRECT(ADDRESS(ROW() - 2, COLUMN())) = 13, 267.24,0)))))))))))))</f>
        <v>#VALUE!</v>
      </c>
      <c r="Z7" s="10">
        <f>450</f>
        <v>450</v>
      </c>
      <c r="AA7" s="10">
        <f>200</f>
        <v>200</v>
      </c>
      <c r="AB7" s="10">
        <f>50</f>
        <v>50</v>
      </c>
      <c r="AC7" s="10">
        <f>150</f>
        <v>150</v>
      </c>
      <c r="AE7" s="88" t="str">
        <f> IF(INDIRECT(ADDRESS(ROW() - 2, COLUMN())) = 1, 118.5, IF(INDIRECT(ADDRESS(ROW() - 2, COLUMN())) = 2, 127.3875, IF(INDIRECT(ADDRESS(ROW() - 2, COLUMN())) = 3, 136.274999999999, IF(INDIRECT(ADDRESS(ROW() - 2, COLUMN())) = 4, 148.125, IF(INDIRECT(ADDRESS(ROW() - 2, COLUMN())) = 5, 157.0125, IF(INDIRECT(ADDRESS(ROW() - 2, COLUMN())) = 6, 165.9, IF(INDIRECT(ADDRESS(ROW() - 2, COLUMN())) = 7, 177.75, IF(INDIRECT(ADDRESS(ROW() - 2, COLUMN())) = 8, 189.6, IF(INDIRECT(ADDRESS(ROW() - 2, COLUMN())) = 9, 201.45, IF(INDIRECT(ADDRESS(ROW() - 2, COLUMN())) = 10, 213.3, IF(INDIRECT(ADDRESS(ROW() - 2, COLUMN())) = 11, 225.15, IF(INDIRECT(ADDRESS(ROW() - 2, COLUMN())) = 12, 237, IF(INDIRECT(ADDRESS(ROW() - 2, COLUMN())) = 13, 251.8125,0)))))))))))))</f>
        <v>#VALUE!</v>
      </c>
      <c r="AF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236.096,0)))))))))))</f>
        <v>#VALUE!</v>
      </c>
      <c r="AG7" s="88">
        <f>50</f>
        <v>50</v>
      </c>
      <c r="AH7" s="88" t="str">
        <f> IF(INDIRECT(ADDRESS(ROW() - 2, COLUMN())) = 1, 167.5678, IF(INDIRECT(ADDRESS(ROW() - 2, COLUMN())) = 2, 177.6018, IF(INDIRECT(ADDRESS(ROW() - 2, COLUMN())) = 3, 187.6358, IF(INDIRECT(ADDRESS(ROW() - 2, COLUMN())) = 4, 200.68, IF(INDIRECT(ADDRESS(ROW() - 2, COLUMN())) = 5, 210.713999999999, IF(INDIRECT(ADDRESS(ROW() - 2, COLUMN())) = 6, 220.748, IF(INDIRECT(ADDRESS(ROW() - 2, COLUMN())) = 7, 233.792199999999, IF(INDIRECT(ADDRESS(ROW() - 2, COLUMN())) = 8, 246.836399999999, IF(INDIRECT(ADDRESS(ROW() - 2, COLUMN())) = 9, 259.8806, IF(INDIRECT(ADDRESS(ROW() - 2, COLUMN())) = 10, 272.9248, IF(INDIRECT(ADDRESS(ROW() - 2, COLUMN())) = 11, 285.969,0)))))))))))</f>
        <v>#VALUE!</v>
      </c>
      <c r="AJ7" s="88">
        <f>200</f>
        <v>200</v>
      </c>
      <c r="AK7" s="88" t="str">
        <f> IF(INDIRECT(ADDRESS(ROW() - 2, COLUMN())) = 1, 68.714, IF(INDIRECT(ADDRESS(ROW() - 2, COLUMN())) = 2, 74.307, IF(INDIRECT(ADDRESS(ROW() - 2, COLUMN())) = 3, 79.9, IF(INDIRECT(ADDRESS(ROW() - 2, COLUMN())) = 4, 87.89, IF(INDIRECT(ADDRESS(ROW() - 2, COLUMN())) = 5, 93.483, IF(INDIRECT(ADDRESS(ROW() - 2, COLUMN())) = 6, 99.875, IF(INDIRECT(ADDRESS(ROW() - 2, COLUMN())) = 7, 108.664, IF(INDIRECT(ADDRESS(ROW() - 2, COLUMN())) = 8, 117.453, IF(INDIRECT(ADDRESS(ROW() - 2, COLUMN())) = 9, 126.242, IF(INDIRECT(ADDRESS(ROW() - 2, COLUMN())) = 10, 135.83, IF(INDIRECT(ADDRESS(ROW() - 2, COLUMN())) = 11, 145.418,0)))))))))))</f>
        <v>#VALUE!</v>
      </c>
      <c r="AL7" s="88" t="str">
        <f> IF(INDIRECT(ADDRESS(ROW() - 2, COLUMN())) = 1, 65.0159999999999, IF(INDIRECT(ADDRESS(ROW() - 2, COLUMN())) = 2, 70.308, IF(INDIRECT(ADDRESS(ROW() - 2, COLUMN())) = 3, 75.6, IF(INDIRECT(ADDRESS(ROW() - 2, COLUMN())) = 4, 83.16, IF(INDIRECT(ADDRESS(ROW() - 2, COLUMN())) = 5, 88.452, IF(INDIRECT(ADDRESS(ROW() - 2, COLUMN())) = 6, 94.5, IF(INDIRECT(ADDRESS(ROW() - 2, COLUMN())) = 7, 102.816, IF(INDIRECT(ADDRESS(ROW() - 2, COLUMN())) = 8, 111.132, IF(INDIRECT(ADDRESS(ROW() - 2, COLUMN())) = 9, 119.448, IF(INDIRECT(ADDRESS(ROW() - 2, COLUMN())) = 10, 128.519999999999, IF(INDIRECT(ADDRESS(ROW() - 2, COLUMN())) = 11, 137.592,0)))))))))))</f>
        <v>#VALUE!</v>
      </c>
      <c r="AM7" s="88" t="str">
        <f> IF(INDIRECT(ADDRESS(ROW() - 2, COLUMN())) = 1, 47.644, IF(INDIRECT(ADDRESS(ROW() - 2, COLUMN())) = 2, 51.522, IF(INDIRECT(ADDRESS(ROW() - 2, COLUMN())) = 3, 55.4, IF(INDIRECT(ADDRESS(ROW() - 2, COLUMN())) = 4, 60.94, IF(INDIRECT(ADDRESS(ROW() - 2, COLUMN())) = 5, 64.818, IF(INDIRECT(ADDRESS(ROW() - 2, COLUMN())) = 6, 69.25, IF(INDIRECT(ADDRESS(ROW() - 2, COLUMN())) = 7, 75.344, IF(INDIRECT(ADDRESS(ROW() - 2, COLUMN())) = 8, 81.438, IF(INDIRECT(ADDRESS(ROW() - 2, COLUMN())) = 9, 87.532, IF(INDIRECT(ADDRESS(ROW() - 2, COLUMN())) = 10, 94.1799999999999, IF(INDIRECT(ADDRESS(ROW() - 2, COLUMN())) = 11, 100.828,0)))))))))))</f>
        <v>#VALUE!</v>
      </c>
      <c r="AN7" s="88">
        <f>75</f>
        <v>75</v>
      </c>
      <c r="AO7" s="88">
        <f>250</f>
        <v>250</v>
      </c>
      <c r="AP7" s="88">
        <f>61.8</f>
        <v>61.8</v>
      </c>
      <c r="AQ7" s="88">
        <f>200</f>
        <v>200</v>
      </c>
      <c r="AR7" s="88" t="str">
        <f> IF(INDIRECT(ADDRESS(ROW() - 2, COLUMN())) = 1, 212, IF(INDIRECT(ADDRESS(ROW() - 2, COLUMN())) = 2, 227.899999999999, IF(INDIRECT(ADDRESS(ROW() - 2, COLUMN())) = 3, 243.8, IF(INDIRECT(ADDRESS(ROW() - 2, COLUMN())) = 4, 265, IF(INDIRECT(ADDRESS(ROW() - 2, COLUMN())) = 5, 280.9, IF(INDIRECT(ADDRESS(ROW() - 2, COLUMN())) = 6, 296.8, IF(INDIRECT(ADDRESS(ROW() - 2, COLUMN())) = 7, 318, IF(INDIRECT(ADDRESS(ROW() - 2, COLUMN())) = 8, 339.2, IF(INDIRECT(ADDRESS(ROW() - 2, COLUMN())) = 9, 360.4, IF(INDIRECT(ADDRESS(ROW() - 2, COLUMN())) = 10, 381.599999999999, IF(INDIRECT(ADDRESS(ROW() - 2, COLUMN())) = 11, 402.799999999999, IF(INDIRECT(ADDRESS(ROW() - 2, COLUMN())) = 12, 424, IF(INDIRECT(ADDRESS(ROW() - 2, COLUMN())) = 13, 450.5, IF(INDIRECT(ADDRESS(ROW() - 2, COLUMN())) = 14, 476.999999999999,0))))))))))))))</f>
        <v>#VALUE!</v>
      </c>
      <c r="AS7" s="196" t="str">
        <f> IF(INDIRECT(ADDRESS(ROW() - 2, COLUMN())) = 1, 131.2, IF(INDIRECT(ADDRESS(ROW() - 2, COLUMN())) = 2, 141.04, IF(INDIRECT(ADDRESS(ROW() - 2, COLUMN())) = 3, 150.88, IF(INDIRECT(ADDRESS(ROW() - 2, COLUMN())) = 4, 164, IF(INDIRECT(ADDRESS(ROW() - 2, COLUMN())) = 5, 173.84, IF(INDIRECT(ADDRESS(ROW() - 2, COLUMN())) = 6, 183.68, IF(INDIRECT(ADDRESS(ROW() - 2, COLUMN())) = 7, 196.8, IF(INDIRECT(ADDRESS(ROW() - 2, COLUMN())) = 8, 209.92, IF(INDIRECT(ADDRESS(ROW() - 2, COLUMN())) = 9, 223.04, IF(INDIRECT(ADDRESS(ROW() - 2, COLUMN())) = 10, 236.16, IF(INDIRECT(ADDRESS(ROW() - 2, COLUMN())) = 11, 249.28, IF(INDIRECT(ADDRESS(ROW() - 2, COLUMN())) = 12, 262.4, IF(INDIRECT(ADDRESS(ROW() - 2, COLUMN())) = 13, 278.799999999999, IF(INDIRECT(ADDRESS(ROW() - 2, COLUMN())) = 14, 295.2,0))))))))))))))</f>
        <v>#VALUE!</v>
      </c>
      <c r="AX7" s="88" t="str">
        <f> IF(INDIRECT(ADDRESS(ROW() - 2, COLUMN())) = 1, 48.386, IF(INDIRECT(ADDRESS(ROW() - 2, COLUMN())) = 2, 52.325, IF(INDIRECT(ADDRESS(ROW() - 2, COLUMN())) = 3, 56.263, IF(INDIRECT(ADDRESS(ROW() - 2, COLUMN())) = 4, 61.889, IF(INDIRECT(ADDRESS(ROW() - 2, COLUMN())) = 5, 65.828, IF(INDIRECT(ADDRESS(ROW() - 2, COLUMN())) = 6, 70.329, IF(INDIRECT(ADDRESS(ROW() - 2, COLUMN())) = 7, 76.518, IF(INDIRECT(ADDRESS(ROW() - 2, COLUMN())) = 8, 82.707, IF(INDIRECT(ADDRESS(ROW() - 2, COLUMN())) = 9, 88.895, IF(INDIRECT(ADDRESS(ROW() - 2, COLUMN())) = 10, 95.647, IF(INDIRECT(ADDRESS(ROW() - 2, COLUMN())) = 11, 102.399, IF(INDIRECT(ADDRESS(ROW() - 2, COLUMN())) = 12, 109.149999999999, IF(INDIRECT(ADDRESS(ROW() - 2, COLUMN())) = 13, 115.901999999999, IF(INDIRECT(ADDRESS(ROW() - 2, COLUMN())) = 14, 122.652999999999,0))))))))))))))</f>
        <v>#VALUE!</v>
      </c>
      <c r="AY7" s="88" t="str">
        <f> IF(INDIRECT(ADDRESS(ROW() - 2, COLUMN())) = 1, 43.729, IF(INDIRECT(ADDRESS(ROW() - 2, COLUMN())) = 2, 47.2889999999999, IF(INDIRECT(ADDRESS(ROW() - 2, COLUMN())) = 3, 50.848, IF(INDIRECT(ADDRESS(ROW() - 2, COLUMN())) = 4, 55.933, IF(INDIRECT(ADDRESS(ROW() - 2, COLUMN())) = 5, 59.492, IF(INDIRECT(ADDRESS(ROW() - 2, COLUMN())) = 6, 63.56, IF(INDIRECT(ADDRESS(ROW() - 2, COLUMN())) = 7, 69.1529999999999, IF(INDIRECT(ADDRESS(ROW() - 2, COLUMN())) = 8, 74.747, IF(INDIRECT(ADDRESS(ROW() - 2, COLUMN())) = 9, 80.34, IF(INDIRECT(ADDRESS(ROW() - 2, COLUMN())) = 10, 86.442, IF(INDIRECT(ADDRESS(ROW() - 2, COLUMN())) = 11, 92.5429999999999, IF(INDIRECT(ADDRESS(ROW() - 2, COLUMN())) = 12, 98.645, IF(INDIRECT(ADDRESS(ROW() - 2, COLUMN())) = 13, 104.746999999999, IF(INDIRECT(ADDRESS(ROW() - 2, COLUMN())) = 14, 110.849,0))))))))))))))</f>
        <v>#VALUE!</v>
      </c>
      <c r="AZ7" s="88" t="str">
        <f> IF(INDIRECT(ADDRESS(ROW() - 2, COLUMN())) = 1, 55.12, IF(INDIRECT(ADDRESS(ROW() - 2, COLUMN())) = 2, 59.606, IF(INDIRECT(ADDRESS(ROW() - 2, COLUMN())) = 3, 64.093, IF(INDIRECT(ADDRESS(ROW() - 2, COLUMN())) = 4, 70.502, IF(INDIRECT(ADDRESS(ROW() - 2, COLUMN())) = 5, 74.9889999999999, IF(INDIRECT(ADDRESS(ROW() - 2, COLUMN())) = 6, 80.116, IF(INDIRECT(ADDRESS(ROW() - 2, COLUMN())) = 7, 87.167, IF(INDIRECT(ADDRESS(ROW() - 2, COLUMN())) = 8, 94.217, IF(INDIRECT(ADDRESS(ROW() - 2, COLUMN())) = 9, 101.267, IF(INDIRECT(ADDRESS(ROW() - 2, COLUMN())) = 10, 108.958, IF(INDIRECT(ADDRESS(ROW() - 2, COLUMN())) = 11, 116.649, IF(INDIRECT(ADDRESS(ROW() - 2, COLUMN())) = 12, 124.34, IF(INDIRECT(ADDRESS(ROW() - 2, COLUMN())) = 13, 132.031999999999, IF(INDIRECT(ADDRESS(ROW() - 2, COLUMN())) = 14, 139.722999999999,0))))))))))))))</f>
        <v>#VALUE!</v>
      </c>
      <c r="BA7" s="88" t="str">
        <f> IF(INDIRECT(ADDRESS(ROW() - 2, COLUMN())) = 1, 73.298, IF(INDIRECT(ADDRESS(ROW() - 2, COLUMN())) = 2, 79.264, IF(INDIRECT(ADDRESS(ROW() - 2, COLUMN())) = 3, 85.2299999999999, IF(INDIRECT(ADDRESS(ROW() - 2, COLUMN())) = 4, 93.753, IF(INDIRECT(ADDRESS(ROW() - 2, COLUMN())) = 5, 99.719, IF(INDIRECT(ADDRESS(ROW() - 2, COLUMN())) = 6, 106.536999999999, IF(INDIRECT(ADDRESS(ROW() - 2, COLUMN())) = 7, 115.913, IF(INDIRECT(ADDRESS(ROW() - 2, COLUMN())) = 8, 125.288, IF(INDIRECT(ADDRESS(ROW() - 2, COLUMN())) = 9, 134.663, IF(INDIRECT(ADDRESS(ROW() - 2, COLUMN())) = 10, 144.891, IF(INDIRECT(ADDRESS(ROW() - 2, COLUMN())) = 11, 155.119, IF(INDIRECT(ADDRESS(ROW() - 2, COLUMN())) = 12, 165.346, IF(INDIRECT(ADDRESS(ROW() - 2, COLUMN())) = 13, 175.574, IF(INDIRECT(ADDRESS(ROW() - 2, COLUMN())) = 14, 185.801,0))))))))))))))</f>
        <v>#VALUE!</v>
      </c>
      <c r="BB7" s="88" t="str">
        <f> IF(INDIRECT(ADDRESS(ROW() - 2, COLUMN())) = 1, 74.2179999999999, IF(INDIRECT(ADDRESS(ROW() - 2, COLUMN())) = 2, 80.259, IF(INDIRECT(ADDRESS(ROW() - 2, COLUMN())) = 3, 86.3, IF(INDIRECT(ADDRESS(ROW() - 2, COLUMN())) = 4, 94.93, IF(INDIRECT(ADDRESS(ROW() - 2, COLUMN())) = 5, 100.971, IF(INDIRECT(ADDRESS(ROW() - 2, COLUMN())) = 6, 107.875, IF(INDIRECT(ADDRESS(ROW() - 2, COLUMN())) = 7, 117.368, IF(INDIRECT(ADDRESS(ROW() - 2, COLUMN())) = 8, 126.861, IF(INDIRECT(ADDRESS(ROW() - 2, COLUMN())) = 9, 136.353999999999, IF(INDIRECT(ADDRESS(ROW() - 2, COLUMN())) = 10, 146.71, IF(INDIRECT(ADDRESS(ROW() - 2, COLUMN())) = 11, 157.066, IF(INDIRECT(ADDRESS(ROW() - 2, COLUMN())) = 12, 167.422, IF(INDIRECT(ADDRESS(ROW() - 2, COLUMN())) = 13, 177.778, IF(INDIRECT(ADDRESS(ROW() - 2, COLUMN())) = 14, 188.134,0))))))))))))))</f>
        <v>#VALUE!</v>
      </c>
      <c r="BC7" s="88" t="str">
        <f> IF(INDIRECT(ADDRESS(ROW() - 2, COLUMN())) = 1, 9.46, IF(INDIRECT(ADDRESS(ROW() - 2, COLUMN())) = 2, 10.23, IF(INDIRECT(ADDRESS(ROW() - 2, COLUMN())) = 3, 11, IF(INDIRECT(ADDRESS(ROW() - 2, COLUMN())) = 4, 12.1, IF(INDIRECT(ADDRESS(ROW() - 2, COLUMN())) = 5, 12.87, IF(INDIRECT(ADDRESS(ROW() - 2, COLUMN())) = 6, 13.75, IF(INDIRECT(ADDRESS(ROW() - 2, COLUMN())) = 7, 14.96, IF(INDIRECT(ADDRESS(ROW() - 2, COLUMN())) = 8, 16.17, IF(INDIRECT(ADDRESS(ROW() - 2, COLUMN())) = 9, 17.38, IF(INDIRECT(ADDRESS(ROW() - 2, COLUMN())) = 10, 18.7, IF(INDIRECT(ADDRESS(ROW() - 2, COLUMN())) = 11, 20.02, IF(INDIRECT(ADDRESS(ROW() - 2, COLUMN())) = 12, 21.34, IF(INDIRECT(ADDRESS(ROW() - 2, COLUMN())) = 13, 22.66, IF(INDIRECT(ADDRESS(ROW() - 2, COLUMN())) = 14, 23.98,0))))))))))))))</f>
        <v>#VALUE!</v>
      </c>
      <c r="BD7" s="88" t="str">
        <f> IF(INDIRECT(ADDRESS(ROW() - 2, COLUMN())) = 1, 48.386, IF(INDIRECT(ADDRESS(ROW() - 2, COLUMN())) = 2, 52.325, IF(INDIRECT(ADDRESS(ROW() - 2, COLUMN())) = 3, 56.263, IF(INDIRECT(ADDRESS(ROW() - 2, COLUMN())) = 4, 61.889, IF(INDIRECT(ADDRESS(ROW() - 2, COLUMN())) = 5, 65.828, IF(INDIRECT(ADDRESS(ROW() - 2, COLUMN())) = 6, 70.329, IF(INDIRECT(ADDRESS(ROW() - 2, COLUMN())) = 7, 76.518, IF(INDIRECT(ADDRESS(ROW() - 2, COLUMN())) = 8, 82.707, IF(INDIRECT(ADDRESS(ROW() - 2, COLUMN())) = 9, 88.895, IF(INDIRECT(ADDRESS(ROW() - 2, COLUMN())) = 10, 95.647, IF(INDIRECT(ADDRESS(ROW() - 2, COLUMN())) = 11, 102.399, IF(INDIRECT(ADDRESS(ROW() - 2, COLUMN())) = 12, 109.149999999999, IF(INDIRECT(ADDRESS(ROW() - 2, COLUMN())) = 13, 115.901999999999, IF(INDIRECT(ADDRESS(ROW() - 2, COLUMN())) = 14, 122.652999999999,0))))))))))))))</f>
        <v>#VALUE!</v>
      </c>
      <c r="BE7" s="88" t="str">
        <f> IF(INDIRECT(ADDRESS(ROW() - 2, COLUMN())) = 1, 43.729, IF(INDIRECT(ADDRESS(ROW() - 2, COLUMN())) = 2, 47.2889999999999, IF(INDIRECT(ADDRESS(ROW() - 2, COLUMN())) = 3, 50.848, IF(INDIRECT(ADDRESS(ROW() - 2, COLUMN())) = 4, 55.933, IF(INDIRECT(ADDRESS(ROW() - 2, COLUMN())) = 5, 59.492, IF(INDIRECT(ADDRESS(ROW() - 2, COLUMN())) = 6, 63.56, IF(INDIRECT(ADDRESS(ROW() - 2, COLUMN())) = 7, 69.1529999999999, IF(INDIRECT(ADDRESS(ROW() - 2, COLUMN())) = 8, 74.747, IF(INDIRECT(ADDRESS(ROW() - 2, COLUMN())) = 9, 80.34, IF(INDIRECT(ADDRESS(ROW() - 2, COLUMN())) = 10, 86.442, IF(INDIRECT(ADDRESS(ROW() - 2, COLUMN())) = 11, 92.5429999999999, IF(INDIRECT(ADDRESS(ROW() - 2, COLUMN())) = 12, 98.645, IF(INDIRECT(ADDRESS(ROW() - 2, COLUMN())) = 13, 104.746999999999, IF(INDIRECT(ADDRESS(ROW() - 2, COLUMN())) = 14, 110.849,0))))))))))))))</f>
        <v>#VALUE!</v>
      </c>
      <c r="BF7" s="88" t="str">
        <f> IF(INDIRECT(ADDRESS(ROW() - 2, COLUMN())) = 1, 55.12, IF(INDIRECT(ADDRESS(ROW() - 2, COLUMN())) = 2, 59.606, IF(INDIRECT(ADDRESS(ROW() - 2, COLUMN())) = 3, 64.093, IF(INDIRECT(ADDRESS(ROW() - 2, COLUMN())) = 4, 70.502, IF(INDIRECT(ADDRESS(ROW() - 2, COLUMN())) = 5, 74.9889999999999, IF(INDIRECT(ADDRESS(ROW() - 2, COLUMN())) = 6, 80.116, IF(INDIRECT(ADDRESS(ROW() - 2, COLUMN())) = 7, 87.167, IF(INDIRECT(ADDRESS(ROW() - 2, COLUMN())) = 8, 94.217, IF(INDIRECT(ADDRESS(ROW() - 2, COLUMN())) = 9, 101.267, IF(INDIRECT(ADDRESS(ROW() - 2, COLUMN())) = 10, 108.958, IF(INDIRECT(ADDRESS(ROW() - 2, COLUMN())) = 11, 116.649, IF(INDIRECT(ADDRESS(ROW() - 2, COLUMN())) = 12, 124.34, IF(INDIRECT(ADDRESS(ROW() - 2, COLUMN())) = 13, 132.031999999999, IF(INDIRECT(ADDRESS(ROW() - 2, COLUMN())) = 14, 139.722999999999,0))))))))))))))</f>
        <v>#VALUE!</v>
      </c>
      <c r="BG7" s="88" t="str">
        <f> IF(INDIRECT(ADDRESS(ROW() - 2, COLUMN())) = 1, 73.298, IF(INDIRECT(ADDRESS(ROW() - 2, COLUMN())) = 2, 79.264, IF(INDIRECT(ADDRESS(ROW() - 2, COLUMN())) = 3, 85.2299999999999, IF(INDIRECT(ADDRESS(ROW() - 2, COLUMN())) = 4, 93.753, IF(INDIRECT(ADDRESS(ROW() - 2, COLUMN())) = 5, 99.719, IF(INDIRECT(ADDRESS(ROW() - 2, COLUMN())) = 6, 106.536999999999, IF(INDIRECT(ADDRESS(ROW() - 2, COLUMN())) = 7, 115.913, IF(INDIRECT(ADDRESS(ROW() - 2, COLUMN())) = 8, 125.288, IF(INDIRECT(ADDRESS(ROW() - 2, COLUMN())) = 9, 134.663, IF(INDIRECT(ADDRESS(ROW() - 2, COLUMN())) = 10, 144.891, IF(INDIRECT(ADDRESS(ROW() - 2, COLUMN())) = 11, 155.119, IF(INDIRECT(ADDRESS(ROW() - 2, COLUMN())) = 12, 165.346, IF(INDIRECT(ADDRESS(ROW() - 2, COLUMN())) = 13, 175.574, IF(INDIRECT(ADDRESS(ROW() - 2, COLUMN())) = 14, 185.801,0))))))))))))))</f>
        <v>#VALUE!</v>
      </c>
      <c r="BH7" s="88" t="str">
        <f> IF(INDIRECT(ADDRESS(ROW() - 2, COLUMN())) = 1, 74.2179999999999, IF(INDIRECT(ADDRESS(ROW() - 2, COLUMN())) = 2, 80.259, IF(INDIRECT(ADDRESS(ROW() - 2, COLUMN())) = 3, 86.3, IF(INDIRECT(ADDRESS(ROW() - 2, COLUMN())) = 4, 94.93, IF(INDIRECT(ADDRESS(ROW() - 2, COLUMN())) = 5, 100.971, IF(INDIRECT(ADDRESS(ROW() - 2, COLUMN())) = 6, 107.875, IF(INDIRECT(ADDRESS(ROW() - 2, COLUMN())) = 7, 117.368, IF(INDIRECT(ADDRESS(ROW() - 2, COLUMN())) = 8, 126.861, IF(INDIRECT(ADDRESS(ROW() - 2, COLUMN())) = 9, 136.353999999999, IF(INDIRECT(ADDRESS(ROW() - 2, COLUMN())) = 10, 146.71, IF(INDIRECT(ADDRESS(ROW() - 2, COLUMN())) = 11, 157.066, IF(INDIRECT(ADDRESS(ROW() - 2, COLUMN())) = 12, 167.422, IF(INDIRECT(ADDRESS(ROW() - 2, COLUMN())) = 13, 177.778, IF(INDIRECT(ADDRESS(ROW() - 2, COLUMN())) = 14, 188.134,0))))))))))))))</f>
        <v>#VALUE!</v>
      </c>
      <c r="BI7" s="88" t="str">
        <f> IF(INDIRECT(ADDRESS(ROW() - 2, COLUMN())) = 1, 9.46, IF(INDIRECT(ADDRESS(ROW() - 2, COLUMN())) = 2, 10.23, IF(INDIRECT(ADDRESS(ROW() - 2, COLUMN())) = 3, 11, IF(INDIRECT(ADDRESS(ROW() - 2, COLUMN())) = 4, 12.1, IF(INDIRECT(ADDRESS(ROW() - 2, COLUMN())) = 5, 12.87, IF(INDIRECT(ADDRESS(ROW() - 2, COLUMN())) = 6, 13.75, IF(INDIRECT(ADDRESS(ROW() - 2, COLUMN())) = 7, 14.96, IF(INDIRECT(ADDRESS(ROW() - 2, COLUMN())) = 8, 16.17, IF(INDIRECT(ADDRESS(ROW() - 2, COLUMN())) = 9, 17.38, IF(INDIRECT(ADDRESS(ROW() - 2, COLUMN())) = 10, 18.7, IF(INDIRECT(ADDRESS(ROW() - 2, COLUMN())) = 11, 20.02, IF(INDIRECT(ADDRESS(ROW() - 2, COLUMN())) = 12, 21.34, IF(INDIRECT(ADDRESS(ROW() - 2, COLUMN())) = 13, 22.66, IF(INDIRECT(ADDRESS(ROW() - 2, COLUMN())) = 14, 23.98,0))))))))))))))</f>
        <v>#VALUE!</v>
      </c>
    </row>
    <row r="8">
      <c r="A8" s="4" t="s">
        <v>254</v>
      </c>
      <c r="AS8" s="195"/>
    </row>
    <row r="9">
      <c r="A9" s="4" t="s">
        <v>255</v>
      </c>
      <c r="W9" s="10">
        <f>14</f>
        <v>14</v>
      </c>
      <c r="X9" s="88" t="str">
        <f> IF(INDIRECT(ADDRESS(ROW() - 4, COLUMN())) = 1, 11.576, IF(INDIRECT(ADDRESS(ROW() - 4, COLUMN())) = 2, 12.4442, IF(INDIRECT(ADDRESS(ROW() - 4, COLUMN())) = 3, 13.3123999999999, IF(INDIRECT(ADDRESS(ROW() - 4, COLUMN())) = 4, 14.4699999999999, IF(INDIRECT(ADDRESS(ROW() - 4, COLUMN())) = 5, 15.3381999999999, IF(INDIRECT(ADDRESS(ROW() - 4, COLUMN())) = 6, 16.2064, IF(INDIRECT(ADDRESS(ROW() - 4, COLUMN())) = 7, 17.3639999999999, IF(INDIRECT(ADDRESS(ROW() - 4, COLUMN())) = 8, 18.5216, IF(INDIRECT(ADDRESS(ROW() - 4, COLUMN())) = 9, 19.6791999999999, IF(INDIRECT(ADDRESS(ROW() - 4, COLUMN())) = 10, 20.8368, IF(INDIRECT(ADDRESS(ROW() - 4, COLUMN())) = 11, 21.9944,0)))))))))))</f>
        <v>#VALUE!</v>
      </c>
      <c r="Y9" s="10">
        <f>9.7</f>
        <v>9.7</v>
      </c>
      <c r="AD9" s="10">
        <f>15</f>
        <v>15</v>
      </c>
      <c r="AI9" s="88">
        <f>30</f>
        <v>30</v>
      </c>
      <c r="AS9" s="195"/>
      <c r="AT9" s="88">
        <f t="shared" ref="AT9:AV9" si="28">10</f>
        <v>10</v>
      </c>
      <c r="AU9" s="88">
        <f t="shared" si="28"/>
        <v>10</v>
      </c>
      <c r="AV9" s="88">
        <f t="shared" si="28"/>
        <v>10</v>
      </c>
      <c r="AW9" s="88">
        <f>180</f>
        <v>180</v>
      </c>
    </row>
    <row r="10">
      <c r="A10" s="4" t="s">
        <v>256</v>
      </c>
      <c r="B10" s="59"/>
      <c r="C10" s="59"/>
      <c r="D10" s="59"/>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88">
        <f>400</f>
        <v>400</v>
      </c>
      <c r="AK10" s="59"/>
      <c r="AL10" s="59"/>
      <c r="AM10" s="59"/>
      <c r="AN10" s="59"/>
      <c r="AO10" s="59"/>
      <c r="AP10" s="59"/>
      <c r="AQ10" s="59"/>
      <c r="AR10" s="59"/>
      <c r="AS10" s="195"/>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c r="BW10" s="59"/>
      <c r="BX10" s="59"/>
      <c r="BY10" s="59"/>
      <c r="BZ10" s="59"/>
      <c r="CA10" s="59"/>
      <c r="CB10" s="59"/>
      <c r="CC10" s="59"/>
      <c r="CD10" s="59"/>
      <c r="CE10" s="59"/>
      <c r="CF10" s="59"/>
      <c r="CG10" s="59"/>
      <c r="CH10" s="59"/>
      <c r="CI10" s="59"/>
      <c r="CJ10" s="59"/>
      <c r="CK10" s="59"/>
      <c r="CL10" s="59"/>
      <c r="CM10" s="59"/>
      <c r="CN10" s="59"/>
      <c r="CO10" s="59"/>
      <c r="CP10" s="59"/>
      <c r="CQ10" s="59"/>
      <c r="CR10" s="59"/>
      <c r="CS10" s="59"/>
      <c r="CT10" s="59"/>
      <c r="CU10" s="59"/>
      <c r="CV10" s="59"/>
      <c r="CW10" s="59"/>
      <c r="CX10" s="59"/>
      <c r="CY10" s="59"/>
      <c r="CZ10" s="59"/>
      <c r="DA10" s="59"/>
      <c r="DB10" s="59"/>
      <c r="DC10" s="59"/>
      <c r="DD10" s="59"/>
      <c r="DE10" s="59"/>
      <c r="DF10" s="59"/>
      <c r="DG10" s="59"/>
      <c r="DH10" s="59"/>
      <c r="DI10" s="59"/>
      <c r="DJ10" s="59"/>
      <c r="DK10" s="59"/>
      <c r="DL10" s="59"/>
      <c r="DM10" s="59"/>
      <c r="DN10" s="59"/>
      <c r="DO10" s="59"/>
      <c r="DP10" s="59"/>
      <c r="DQ10" s="59"/>
      <c r="DR10" s="59"/>
      <c r="DS10" s="59"/>
      <c r="DT10" s="59"/>
      <c r="DU10" s="59"/>
      <c r="DV10" s="59"/>
      <c r="DW10" s="59"/>
      <c r="DX10" s="59"/>
      <c r="DY10" s="59"/>
      <c r="DZ10" s="59"/>
      <c r="EA10" s="59"/>
      <c r="EB10" s="59"/>
      <c r="EC10" s="59"/>
      <c r="ED10" s="59"/>
      <c r="EE10" s="59"/>
      <c r="EF10" s="59"/>
      <c r="EG10" s="59"/>
      <c r="EH10" s="59"/>
      <c r="EI10" s="59"/>
      <c r="EJ10" s="59"/>
      <c r="EK10" s="59"/>
      <c r="EL10" s="59"/>
      <c r="EM10" s="59"/>
      <c r="EN10" s="59"/>
      <c r="EO10" s="59"/>
      <c r="EP10" s="59"/>
      <c r="EQ10" s="59"/>
      <c r="ER10" s="59"/>
      <c r="ES10" s="59"/>
      <c r="ET10" s="59"/>
      <c r="EU10" s="59"/>
      <c r="EV10" s="59"/>
      <c r="EW10" s="59"/>
      <c r="EX10" s="59"/>
      <c r="EY10" s="59"/>
      <c r="EZ10" s="59"/>
      <c r="FA10" s="59"/>
      <c r="FB10" s="59"/>
      <c r="FC10" s="59"/>
      <c r="FD10" s="59"/>
      <c r="FE10" s="59"/>
      <c r="FF10" s="59"/>
      <c r="FG10" s="59"/>
      <c r="FH10" s="59"/>
      <c r="FI10" s="59"/>
      <c r="FJ10" s="59"/>
      <c r="FK10" s="59"/>
      <c r="FL10" s="59"/>
      <c r="FM10" s="59"/>
      <c r="FN10" s="59"/>
      <c r="FO10" s="59"/>
      <c r="FP10" s="59"/>
      <c r="FQ10" s="59"/>
      <c r="FR10" s="59"/>
      <c r="FS10" s="59"/>
      <c r="FT10" s="59"/>
      <c r="FU10" s="59"/>
      <c r="FV10" s="59"/>
      <c r="FW10" s="59"/>
      <c r="FX10" s="59"/>
      <c r="FY10" s="59"/>
      <c r="FZ10" s="59"/>
      <c r="GA10" s="59"/>
      <c r="GB10" s="59"/>
      <c r="GC10" s="59"/>
      <c r="GD10" s="59"/>
      <c r="GE10" s="59"/>
      <c r="GF10" s="59"/>
      <c r="GG10" s="59"/>
      <c r="GH10" s="59"/>
      <c r="GI10" s="59"/>
      <c r="GJ10" s="59"/>
      <c r="GK10" s="59"/>
      <c r="GL10" s="59"/>
      <c r="GM10" s="59"/>
      <c r="GN10" s="59"/>
      <c r="GO10" s="59"/>
      <c r="GP10" s="59"/>
      <c r="GQ10" s="59"/>
      <c r="GR10" s="59"/>
      <c r="GS10" s="59"/>
      <c r="GT10" s="59"/>
      <c r="GU10" s="59"/>
    </row>
    <row r="11">
      <c r="A11" s="4" t="s">
        <v>257</v>
      </c>
      <c r="B11" s="59" t="str">
        <f t="shared" ref="B11:AQ11" si="29">IFERROR(VLOOKUP(INDIRECT(ADDRESS(ROW() - 7, COLUMN())), INDIRECT(ADDRESS(ROW() - 81, 12)):INDIRECT(ADDRESS(ROW() - 77, 16)), 2, FALSE))</f>
        <v/>
      </c>
      <c r="C11" s="59" t="str">
        <f t="shared" si="29"/>
        <v/>
      </c>
      <c r="D11" s="59" t="str">
        <f t="shared" si="29"/>
        <v/>
      </c>
      <c r="E11" s="59" t="str">
        <f t="shared" si="29"/>
        <v/>
      </c>
      <c r="F11" s="59" t="str">
        <f t="shared" si="29"/>
        <v/>
      </c>
      <c r="G11" s="59" t="str">
        <f t="shared" si="29"/>
        <v/>
      </c>
      <c r="H11" s="59" t="str">
        <f t="shared" si="29"/>
        <v/>
      </c>
      <c r="I11" s="59" t="str">
        <f t="shared" si="29"/>
        <v/>
      </c>
      <c r="J11" s="59" t="str">
        <f t="shared" si="29"/>
        <v/>
      </c>
      <c r="K11" s="59" t="str">
        <f t="shared" si="29"/>
        <v/>
      </c>
      <c r="L11" s="59" t="str">
        <f t="shared" si="29"/>
        <v/>
      </c>
      <c r="M11" s="59" t="str">
        <f t="shared" si="29"/>
        <v/>
      </c>
      <c r="N11" s="59" t="str">
        <f t="shared" si="29"/>
        <v/>
      </c>
      <c r="O11" s="59" t="str">
        <f t="shared" si="29"/>
        <v/>
      </c>
      <c r="P11" s="59" t="str">
        <f t="shared" si="29"/>
        <v/>
      </c>
      <c r="Q11" s="59" t="str">
        <f t="shared" si="29"/>
        <v/>
      </c>
      <c r="R11" s="59" t="str">
        <f t="shared" si="29"/>
        <v/>
      </c>
      <c r="S11" s="59" t="str">
        <f t="shared" si="29"/>
        <v/>
      </c>
      <c r="T11" s="59" t="str">
        <f t="shared" si="29"/>
        <v/>
      </c>
      <c r="U11" s="59" t="str">
        <f t="shared" si="29"/>
        <v/>
      </c>
      <c r="V11" s="59" t="str">
        <f t="shared" si="29"/>
        <v/>
      </c>
      <c r="W11" s="59" t="str">
        <f t="shared" si="29"/>
        <v/>
      </c>
      <c r="X11" s="59" t="str">
        <f t="shared" si="29"/>
        <v/>
      </c>
      <c r="Y11" s="59" t="str">
        <f t="shared" si="29"/>
        <v/>
      </c>
      <c r="Z11" s="59" t="str">
        <f t="shared" si="29"/>
        <v/>
      </c>
      <c r="AA11" s="59" t="str">
        <f t="shared" si="29"/>
        <v/>
      </c>
      <c r="AB11" s="59" t="str">
        <f t="shared" si="29"/>
        <v/>
      </c>
      <c r="AC11" s="59" t="str">
        <f t="shared" si="29"/>
        <v/>
      </c>
      <c r="AD11" s="59" t="str">
        <f t="shared" si="29"/>
        <v/>
      </c>
      <c r="AE11" s="59" t="str">
        <f t="shared" si="29"/>
        <v/>
      </c>
      <c r="AF11" s="59" t="str">
        <f t="shared" si="29"/>
        <v/>
      </c>
      <c r="AG11" s="59" t="str">
        <f t="shared" si="29"/>
        <v/>
      </c>
      <c r="AH11" s="59" t="str">
        <f t="shared" si="29"/>
        <v/>
      </c>
      <c r="AI11" s="59" t="str">
        <f t="shared" si="29"/>
        <v/>
      </c>
      <c r="AJ11" s="59" t="str">
        <f t="shared" si="29"/>
        <v/>
      </c>
      <c r="AK11" s="59" t="str">
        <f t="shared" si="29"/>
        <v/>
      </c>
      <c r="AL11" s="59" t="str">
        <f t="shared" si="29"/>
        <v/>
      </c>
      <c r="AM11" s="59" t="str">
        <f t="shared" si="29"/>
        <v/>
      </c>
      <c r="AN11" s="59" t="str">
        <f t="shared" si="29"/>
        <v/>
      </c>
      <c r="AO11" s="59" t="str">
        <f t="shared" si="29"/>
        <v/>
      </c>
      <c r="AP11" s="59" t="str">
        <f t="shared" si="29"/>
        <v/>
      </c>
      <c r="AQ11" s="59" t="str">
        <f t="shared" si="29"/>
        <v/>
      </c>
      <c r="AR11" s="59">
        <f>80</f>
        <v>80</v>
      </c>
      <c r="AS11" s="195" t="str">
        <f t="shared" ref="AS11:BI11" si="30">IFERROR(VLOOKUP(INDIRECT(ADDRESS(ROW() - 7, COLUMN())), INDIRECT(ADDRESS(ROW() - 81, 12)):INDIRECT(ADDRESS(ROW() - 77, 16)), 2, FALSE))</f>
        <v/>
      </c>
      <c r="AT11" s="195" t="str">
        <f t="shared" si="30"/>
        <v/>
      </c>
      <c r="AU11" s="195" t="str">
        <f t="shared" si="30"/>
        <v/>
      </c>
      <c r="AV11" s="195" t="str">
        <f t="shared" si="30"/>
        <v/>
      </c>
      <c r="AW11" s="195" t="str">
        <f t="shared" si="30"/>
        <v/>
      </c>
      <c r="AX11" s="195" t="str">
        <f t="shared" si="30"/>
        <v/>
      </c>
      <c r="AY11" s="195" t="str">
        <f t="shared" si="30"/>
        <v/>
      </c>
      <c r="AZ11" s="195" t="str">
        <f t="shared" si="30"/>
        <v/>
      </c>
      <c r="BA11" s="195" t="str">
        <f t="shared" si="30"/>
        <v/>
      </c>
      <c r="BB11" s="195" t="str">
        <f t="shared" si="30"/>
        <v/>
      </c>
      <c r="BC11" s="59" t="str">
        <f t="shared" si="30"/>
        <v/>
      </c>
      <c r="BD11" s="195" t="str">
        <f t="shared" si="30"/>
        <v/>
      </c>
      <c r="BE11" s="195" t="str">
        <f t="shared" si="30"/>
        <v/>
      </c>
      <c r="BF11" s="195" t="str">
        <f t="shared" si="30"/>
        <v/>
      </c>
      <c r="BG11" s="195" t="str">
        <f t="shared" si="30"/>
        <v/>
      </c>
      <c r="BH11" s="195" t="str">
        <f t="shared" si="30"/>
        <v/>
      </c>
      <c r="BI11" s="59" t="str">
        <f t="shared" si="30"/>
        <v/>
      </c>
      <c r="BJ11" s="59"/>
      <c r="BK11" s="59"/>
      <c r="BL11" s="59"/>
      <c r="BM11" s="59"/>
      <c r="BN11" s="59"/>
      <c r="BO11" s="59"/>
      <c r="BP11" s="59"/>
      <c r="BQ11" s="59"/>
      <c r="BR11" s="59"/>
      <c r="BS11" s="59"/>
      <c r="BT11" s="59"/>
      <c r="BU11" s="59"/>
      <c r="BV11" s="59"/>
      <c r="BW11" s="59"/>
      <c r="BX11" s="59"/>
      <c r="BY11" s="59"/>
      <c r="BZ11" s="59"/>
      <c r="CA11" s="59"/>
      <c r="CB11" s="59"/>
      <c r="CC11" s="59"/>
      <c r="CD11" s="59"/>
      <c r="CE11" s="59"/>
      <c r="CF11" s="59"/>
      <c r="CG11" s="59"/>
      <c r="CH11" s="59"/>
      <c r="CI11" s="59"/>
      <c r="CJ11" s="59"/>
      <c r="CK11" s="59"/>
      <c r="CL11" s="59"/>
      <c r="CM11" s="59"/>
      <c r="CN11" s="59"/>
      <c r="CO11" s="59"/>
      <c r="CP11" s="59"/>
      <c r="CQ11" s="59"/>
      <c r="CR11" s="59"/>
      <c r="CS11" s="59"/>
      <c r="CT11" s="59"/>
      <c r="CU11" s="59"/>
      <c r="CV11" s="59"/>
      <c r="CW11" s="59"/>
      <c r="CX11" s="59"/>
      <c r="CY11" s="59"/>
      <c r="CZ11" s="59"/>
      <c r="DA11" s="59"/>
      <c r="DB11" s="59"/>
      <c r="DC11" s="59"/>
      <c r="DD11" s="59"/>
      <c r="DE11" s="59"/>
      <c r="DF11" s="59"/>
      <c r="DG11" s="59"/>
      <c r="DH11" s="59"/>
      <c r="DI11" s="59"/>
      <c r="DJ11" s="59"/>
      <c r="DK11" s="59"/>
      <c r="DL11" s="59"/>
      <c r="DM11" s="59"/>
      <c r="DN11" s="59"/>
      <c r="DO11" s="59"/>
      <c r="DP11" s="59"/>
      <c r="DQ11" s="59"/>
      <c r="DR11" s="59"/>
      <c r="DS11" s="59"/>
      <c r="DT11" s="59"/>
      <c r="DU11" s="59"/>
      <c r="DV11" s="59"/>
      <c r="DW11" s="59"/>
      <c r="DX11" s="59"/>
      <c r="DY11" s="59"/>
      <c r="DZ11" s="59"/>
      <c r="EA11" s="59"/>
      <c r="EB11" s="59"/>
      <c r="EC11" s="59"/>
      <c r="ED11" s="59"/>
      <c r="EE11" s="59"/>
      <c r="EF11" s="59"/>
      <c r="EG11" s="59"/>
      <c r="EH11" s="59"/>
      <c r="EI11" s="59"/>
      <c r="EJ11" s="59"/>
      <c r="EK11" s="59"/>
      <c r="EL11" s="59"/>
      <c r="EM11" s="59"/>
      <c r="EN11" s="59"/>
      <c r="EO11" s="59"/>
      <c r="EP11" s="59"/>
      <c r="EQ11" s="59"/>
      <c r="ER11" s="59"/>
      <c r="ES11" s="59"/>
      <c r="ET11" s="59"/>
      <c r="EU11" s="59"/>
      <c r="EV11" s="59"/>
      <c r="EW11" s="59"/>
      <c r="EX11" s="59"/>
      <c r="EY11" s="59"/>
      <c r="EZ11" s="59"/>
      <c r="FA11" s="59"/>
      <c r="FB11" s="59"/>
      <c r="FC11" s="59"/>
      <c r="FD11" s="59"/>
      <c r="FE11" s="59"/>
      <c r="FF11" s="59"/>
      <c r="FG11" s="59"/>
      <c r="FH11" s="59"/>
      <c r="FI11" s="59"/>
      <c r="FJ11" s="59"/>
      <c r="FK11" s="59"/>
      <c r="FL11" s="59"/>
      <c r="FM11" s="59"/>
      <c r="FN11" s="59"/>
      <c r="FO11" s="59"/>
      <c r="FP11" s="59"/>
      <c r="FQ11" s="59"/>
      <c r="FR11" s="59"/>
      <c r="FS11" s="59"/>
      <c r="FT11" s="59"/>
      <c r="FU11" s="59"/>
      <c r="FV11" s="59"/>
      <c r="FW11" s="59"/>
      <c r="FX11" s="59"/>
      <c r="FY11" s="59"/>
      <c r="FZ11" s="59"/>
      <c r="GA11" s="59"/>
      <c r="GB11" s="59"/>
      <c r="GC11" s="59"/>
      <c r="GD11" s="59"/>
      <c r="GE11" s="59"/>
      <c r="GF11" s="59"/>
      <c r="GG11" s="59"/>
      <c r="GH11" s="59"/>
      <c r="GI11" s="59"/>
      <c r="GJ11" s="59"/>
      <c r="GK11" s="59"/>
      <c r="GL11" s="59"/>
      <c r="GM11" s="59"/>
      <c r="GN11" s="59"/>
      <c r="GO11" s="59"/>
      <c r="GP11" s="59"/>
      <c r="GQ11" s="59"/>
      <c r="GR11" s="59"/>
      <c r="GS11" s="59"/>
      <c r="GT11" s="59"/>
      <c r="GU11" s="59"/>
    </row>
    <row r="12">
      <c r="A12" s="4" t="s">
        <v>258</v>
      </c>
      <c r="B12" s="59" t="str">
        <f t="shared" ref="B12:BI12" si="31">IFERROR(VLOOKUP(INDIRECT(ADDRESS(ROW() - 8, COLUMN())), INDIRECT(ADDRESS(ROW() - 82, 12)):INDIRECT(ADDRESS(ROW() - 78, 16)), 3, FALSE))</f>
        <v/>
      </c>
      <c r="C12" s="59" t="str">
        <f t="shared" si="31"/>
        <v/>
      </c>
      <c r="D12" s="59" t="str">
        <f t="shared" si="31"/>
        <v/>
      </c>
      <c r="E12" s="59" t="str">
        <f t="shared" si="31"/>
        <v/>
      </c>
      <c r="F12" s="59" t="str">
        <f t="shared" si="31"/>
        <v/>
      </c>
      <c r="G12" s="59" t="str">
        <f t="shared" si="31"/>
        <v/>
      </c>
      <c r="H12" s="59" t="str">
        <f t="shared" si="31"/>
        <v/>
      </c>
      <c r="I12" s="59" t="str">
        <f t="shared" si="31"/>
        <v/>
      </c>
      <c r="J12" s="59" t="str">
        <f t="shared" si="31"/>
        <v/>
      </c>
      <c r="K12" s="59" t="str">
        <f t="shared" si="31"/>
        <v/>
      </c>
      <c r="L12" s="59" t="str">
        <f t="shared" si="31"/>
        <v/>
      </c>
      <c r="M12" s="59" t="str">
        <f t="shared" si="31"/>
        <v/>
      </c>
      <c r="N12" s="59" t="str">
        <f t="shared" si="31"/>
        <v/>
      </c>
      <c r="O12" s="59" t="str">
        <f t="shared" si="31"/>
        <v/>
      </c>
      <c r="P12" s="59" t="str">
        <f t="shared" si="31"/>
        <v/>
      </c>
      <c r="Q12" s="59" t="str">
        <f t="shared" si="31"/>
        <v/>
      </c>
      <c r="R12" s="59" t="str">
        <f t="shared" si="31"/>
        <v/>
      </c>
      <c r="S12" s="59" t="str">
        <f t="shared" si="31"/>
        <v/>
      </c>
      <c r="T12" s="59" t="str">
        <f t="shared" si="31"/>
        <v/>
      </c>
      <c r="U12" s="59" t="str">
        <f t="shared" si="31"/>
        <v/>
      </c>
      <c r="V12" s="59" t="str">
        <f t="shared" si="31"/>
        <v/>
      </c>
      <c r="W12" s="59" t="str">
        <f t="shared" si="31"/>
        <v/>
      </c>
      <c r="X12" s="59" t="str">
        <f t="shared" si="31"/>
        <v/>
      </c>
      <c r="Y12" s="59" t="str">
        <f t="shared" si="31"/>
        <v/>
      </c>
      <c r="Z12" s="59" t="str">
        <f t="shared" si="31"/>
        <v/>
      </c>
      <c r="AA12" s="59" t="str">
        <f t="shared" si="31"/>
        <v/>
      </c>
      <c r="AB12" s="59" t="str">
        <f t="shared" si="31"/>
        <v/>
      </c>
      <c r="AC12" s="59" t="str">
        <f t="shared" si="31"/>
        <v/>
      </c>
      <c r="AD12" s="59" t="str">
        <f t="shared" si="31"/>
        <v/>
      </c>
      <c r="AE12" s="59" t="str">
        <f t="shared" si="31"/>
        <v/>
      </c>
      <c r="AF12" s="59" t="str">
        <f t="shared" si="31"/>
        <v/>
      </c>
      <c r="AG12" s="59" t="str">
        <f t="shared" si="31"/>
        <v/>
      </c>
      <c r="AH12" s="59" t="str">
        <f t="shared" si="31"/>
        <v/>
      </c>
      <c r="AI12" s="59" t="str">
        <f t="shared" si="31"/>
        <v/>
      </c>
      <c r="AJ12" s="59" t="str">
        <f t="shared" si="31"/>
        <v/>
      </c>
      <c r="AK12" s="59" t="str">
        <f t="shared" si="31"/>
        <v/>
      </c>
      <c r="AL12" s="59" t="str">
        <f t="shared" si="31"/>
        <v/>
      </c>
      <c r="AM12" s="59" t="str">
        <f t="shared" si="31"/>
        <v/>
      </c>
      <c r="AN12" s="59" t="str">
        <f t="shared" si="31"/>
        <v/>
      </c>
      <c r="AO12" s="59" t="str">
        <f t="shared" si="31"/>
        <v/>
      </c>
      <c r="AP12" s="59" t="str">
        <f t="shared" si="31"/>
        <v/>
      </c>
      <c r="AQ12" s="59" t="str">
        <f t="shared" si="31"/>
        <v/>
      </c>
      <c r="AR12" s="59" t="str">
        <f t="shared" si="31"/>
        <v/>
      </c>
      <c r="AS12" s="195" t="str">
        <f t="shared" si="31"/>
        <v/>
      </c>
      <c r="AT12" s="195" t="str">
        <f t="shared" si="31"/>
        <v/>
      </c>
      <c r="AU12" s="195" t="str">
        <f t="shared" si="31"/>
        <v/>
      </c>
      <c r="AV12" s="195" t="str">
        <f t="shared" si="31"/>
        <v/>
      </c>
      <c r="AW12" s="195" t="str">
        <f t="shared" si="31"/>
        <v/>
      </c>
      <c r="AX12" s="195" t="str">
        <f t="shared" si="31"/>
        <v/>
      </c>
      <c r="AY12" s="195" t="str">
        <f t="shared" si="31"/>
        <v/>
      </c>
      <c r="AZ12" s="195" t="str">
        <f t="shared" si="31"/>
        <v/>
      </c>
      <c r="BA12" s="195" t="str">
        <f t="shared" si="31"/>
        <v/>
      </c>
      <c r="BB12" s="195" t="str">
        <f t="shared" si="31"/>
        <v/>
      </c>
      <c r="BC12" s="59" t="str">
        <f t="shared" si="31"/>
        <v/>
      </c>
      <c r="BD12" s="195" t="str">
        <f t="shared" si="31"/>
        <v/>
      </c>
      <c r="BE12" s="195" t="str">
        <f t="shared" si="31"/>
        <v/>
      </c>
      <c r="BF12" s="195" t="str">
        <f t="shared" si="31"/>
        <v/>
      </c>
      <c r="BG12" s="195" t="str">
        <f t="shared" si="31"/>
        <v/>
      </c>
      <c r="BH12" s="195" t="str">
        <f t="shared" si="31"/>
        <v/>
      </c>
      <c r="BI12" s="59" t="str">
        <f t="shared" si="31"/>
        <v/>
      </c>
      <c r="BJ12" s="59"/>
      <c r="BK12" s="59"/>
      <c r="BL12" s="59"/>
      <c r="BM12" s="59"/>
      <c r="BN12" s="59"/>
      <c r="BO12" s="59"/>
      <c r="BP12" s="59"/>
      <c r="BQ12" s="59"/>
      <c r="BR12" s="59"/>
      <c r="BS12" s="59"/>
      <c r="BT12" s="59"/>
      <c r="BU12" s="59"/>
      <c r="BV12" s="59"/>
      <c r="BW12" s="59"/>
      <c r="BX12" s="59"/>
      <c r="BY12" s="59"/>
      <c r="BZ12" s="59"/>
      <c r="CA12" s="59"/>
      <c r="CB12" s="59"/>
      <c r="CC12" s="59"/>
      <c r="CD12" s="59"/>
      <c r="CE12" s="59"/>
      <c r="CF12" s="59"/>
      <c r="CG12" s="59"/>
      <c r="CH12" s="59"/>
      <c r="CI12" s="59"/>
      <c r="CJ12" s="59"/>
      <c r="CK12" s="59"/>
      <c r="CL12" s="59"/>
      <c r="CM12" s="59"/>
      <c r="CN12" s="59"/>
      <c r="CO12" s="59"/>
      <c r="CP12" s="59"/>
      <c r="CQ12" s="59"/>
      <c r="CR12" s="59"/>
      <c r="CS12" s="59"/>
      <c r="CT12" s="59"/>
      <c r="CU12" s="59"/>
      <c r="CV12" s="59"/>
      <c r="CW12" s="59"/>
      <c r="CX12" s="59"/>
      <c r="CY12" s="59"/>
      <c r="CZ12" s="59"/>
      <c r="DA12" s="59"/>
      <c r="DB12" s="59"/>
      <c r="DC12" s="59"/>
      <c r="DD12" s="59"/>
      <c r="DE12" s="59"/>
      <c r="DF12" s="59"/>
      <c r="DG12" s="59"/>
      <c r="DH12" s="59"/>
      <c r="DI12" s="59"/>
      <c r="DJ12" s="59"/>
      <c r="DK12" s="59"/>
      <c r="DL12" s="59"/>
      <c r="DM12" s="59"/>
      <c r="DN12" s="59"/>
      <c r="DO12" s="59"/>
      <c r="DP12" s="59"/>
      <c r="DQ12" s="59"/>
      <c r="DR12" s="59"/>
      <c r="DS12" s="59"/>
      <c r="DT12" s="59"/>
      <c r="DU12" s="59"/>
      <c r="DV12" s="59"/>
      <c r="DW12" s="59"/>
      <c r="DX12" s="59"/>
      <c r="DY12" s="59"/>
      <c r="DZ12" s="59"/>
      <c r="EA12" s="59"/>
      <c r="EB12" s="59"/>
      <c r="EC12" s="59"/>
      <c r="ED12" s="59"/>
      <c r="EE12" s="59"/>
      <c r="EF12" s="59"/>
      <c r="EG12" s="59"/>
      <c r="EH12" s="59"/>
      <c r="EI12" s="59"/>
      <c r="EJ12" s="59"/>
      <c r="EK12" s="59"/>
      <c r="EL12" s="59"/>
      <c r="EM12" s="59"/>
      <c r="EN12" s="59"/>
      <c r="EO12" s="59"/>
      <c r="EP12" s="59"/>
      <c r="EQ12" s="59"/>
      <c r="ER12" s="59"/>
      <c r="ES12" s="59"/>
      <c r="ET12" s="59"/>
      <c r="EU12" s="59"/>
      <c r="EV12" s="59"/>
      <c r="EW12" s="59"/>
      <c r="EX12" s="59"/>
      <c r="EY12" s="59"/>
      <c r="EZ12" s="59"/>
      <c r="FA12" s="59"/>
      <c r="FB12" s="59"/>
      <c r="FC12" s="59"/>
      <c r="FD12" s="59"/>
      <c r="FE12" s="59"/>
      <c r="FF12" s="59"/>
      <c r="FG12" s="59"/>
      <c r="FH12" s="59"/>
      <c r="FI12" s="59"/>
      <c r="FJ12" s="59"/>
      <c r="FK12" s="59"/>
      <c r="FL12" s="59"/>
      <c r="FM12" s="59"/>
      <c r="FN12" s="59"/>
      <c r="FO12" s="59"/>
      <c r="FP12" s="59"/>
      <c r="FQ12" s="59"/>
      <c r="FR12" s="59"/>
      <c r="FS12" s="59"/>
      <c r="FT12" s="59"/>
      <c r="FU12" s="59"/>
      <c r="FV12" s="59"/>
      <c r="FW12" s="59"/>
      <c r="FX12" s="59"/>
      <c r="FY12" s="59"/>
      <c r="FZ12" s="59"/>
      <c r="GA12" s="59"/>
      <c r="GB12" s="59"/>
      <c r="GC12" s="59"/>
      <c r="GD12" s="59"/>
      <c r="GE12" s="59"/>
      <c r="GF12" s="59"/>
      <c r="GG12" s="59"/>
      <c r="GH12" s="59"/>
      <c r="GI12" s="59"/>
      <c r="GJ12" s="59"/>
      <c r="GK12" s="59"/>
      <c r="GL12" s="59"/>
      <c r="GM12" s="59"/>
      <c r="GN12" s="59"/>
      <c r="GO12" s="59"/>
      <c r="GP12" s="59"/>
      <c r="GQ12" s="59"/>
      <c r="GR12" s="59"/>
      <c r="GS12" s="59"/>
      <c r="GT12" s="59"/>
      <c r="GU12" s="59"/>
    </row>
    <row r="13">
      <c r="A13" s="4" t="s">
        <v>259</v>
      </c>
      <c r="B13" s="59" t="str">
        <f t="shared" ref="B13:AX13" si="32">IFERROR(VLOOKUP(INDIRECT(ADDRESS(ROW() - 9, COLUMN())), INDIRECT(ADDRESS(ROW() - 83, 12)):INDIRECT(ADDRESS(ROW() - 79, 16)), 4, FALSE))</f>
        <v/>
      </c>
      <c r="C13" s="59" t="str">
        <f t="shared" si="32"/>
        <v/>
      </c>
      <c r="D13" s="59" t="str">
        <f t="shared" si="32"/>
        <v/>
      </c>
      <c r="E13" s="59" t="str">
        <f t="shared" si="32"/>
        <v/>
      </c>
      <c r="F13" s="59" t="str">
        <f t="shared" si="32"/>
        <v/>
      </c>
      <c r="G13" s="59" t="str">
        <f t="shared" si="32"/>
        <v/>
      </c>
      <c r="H13" s="59" t="str">
        <f t="shared" si="32"/>
        <v/>
      </c>
      <c r="I13" s="59" t="str">
        <f t="shared" si="32"/>
        <v/>
      </c>
      <c r="J13" s="59" t="str">
        <f t="shared" si="32"/>
        <v/>
      </c>
      <c r="K13" s="59" t="str">
        <f t="shared" si="32"/>
        <v/>
      </c>
      <c r="L13" s="59" t="str">
        <f t="shared" si="32"/>
        <v/>
      </c>
      <c r="M13" s="59" t="str">
        <f t="shared" si="32"/>
        <v/>
      </c>
      <c r="N13" s="59" t="str">
        <f t="shared" si="32"/>
        <v/>
      </c>
      <c r="O13" s="59" t="str">
        <f t="shared" si="32"/>
        <v/>
      </c>
      <c r="P13" s="59" t="str">
        <f t="shared" si="32"/>
        <v/>
      </c>
      <c r="Q13" s="59" t="str">
        <f t="shared" si="32"/>
        <v/>
      </c>
      <c r="R13" s="59" t="str">
        <f t="shared" si="32"/>
        <v/>
      </c>
      <c r="S13" s="59" t="str">
        <f t="shared" si="32"/>
        <v/>
      </c>
      <c r="T13" s="59" t="str">
        <f t="shared" si="32"/>
        <v/>
      </c>
      <c r="U13" s="59" t="str">
        <f t="shared" si="32"/>
        <v/>
      </c>
      <c r="V13" s="59" t="str">
        <f t="shared" si="32"/>
        <v/>
      </c>
      <c r="W13" s="59" t="str">
        <f t="shared" si="32"/>
        <v/>
      </c>
      <c r="X13" s="59" t="str">
        <f t="shared" si="32"/>
        <v/>
      </c>
      <c r="Y13" s="59" t="str">
        <f t="shared" si="32"/>
        <v/>
      </c>
      <c r="Z13" s="59" t="str">
        <f t="shared" si="32"/>
        <v/>
      </c>
      <c r="AA13" s="59" t="str">
        <f t="shared" si="32"/>
        <v/>
      </c>
      <c r="AB13" s="59" t="str">
        <f t="shared" si="32"/>
        <v/>
      </c>
      <c r="AC13" s="59" t="str">
        <f t="shared" si="32"/>
        <v/>
      </c>
      <c r="AD13" s="59" t="str">
        <f t="shared" si="32"/>
        <v/>
      </c>
      <c r="AE13" s="59" t="str">
        <f t="shared" si="32"/>
        <v/>
      </c>
      <c r="AF13" s="59" t="str">
        <f t="shared" si="32"/>
        <v/>
      </c>
      <c r="AG13" s="59" t="str">
        <f t="shared" si="32"/>
        <v/>
      </c>
      <c r="AH13" s="59" t="str">
        <f t="shared" si="32"/>
        <v/>
      </c>
      <c r="AI13" s="59" t="str">
        <f t="shared" si="32"/>
        <v/>
      </c>
      <c r="AJ13" s="59" t="str">
        <f t="shared" si="32"/>
        <v/>
      </c>
      <c r="AK13" s="59" t="str">
        <f t="shared" si="32"/>
        <v/>
      </c>
      <c r="AL13" s="59" t="str">
        <f t="shared" si="32"/>
        <v/>
      </c>
      <c r="AM13" s="59" t="str">
        <f t="shared" si="32"/>
        <v/>
      </c>
      <c r="AN13" s="59" t="str">
        <f t="shared" si="32"/>
        <v/>
      </c>
      <c r="AO13" s="59" t="str">
        <f t="shared" si="32"/>
        <v/>
      </c>
      <c r="AP13" s="59" t="str">
        <f t="shared" si="32"/>
        <v/>
      </c>
      <c r="AQ13" s="59" t="str">
        <f t="shared" si="32"/>
        <v/>
      </c>
      <c r="AR13" s="59" t="str">
        <f t="shared" si="32"/>
        <v/>
      </c>
      <c r="AS13" s="195" t="str">
        <f t="shared" si="32"/>
        <v/>
      </c>
      <c r="AT13" s="195" t="str">
        <f t="shared" si="32"/>
        <v/>
      </c>
      <c r="AU13" s="195" t="str">
        <f t="shared" si="32"/>
        <v/>
      </c>
      <c r="AV13" s="195" t="str">
        <f t="shared" si="32"/>
        <v/>
      </c>
      <c r="AW13" s="195" t="str">
        <f t="shared" si="32"/>
        <v/>
      </c>
      <c r="AX13" s="195" t="str">
        <f t="shared" si="32"/>
        <v/>
      </c>
      <c r="AY13" s="195">
        <f t="shared" ref="AY13:BC13" si="33">15 + IFERROR(VLOOKUP(INDIRECT(ADDRESS(ROW() - 9, COLUMN())), INDIRECT(ADDRESS(ROW() - 83, 12)):INDIRECT(ADDRESS(ROW() - 79, 16)), 4, FALSE))</f>
        <v>15</v>
      </c>
      <c r="AZ13" s="195">
        <f t="shared" si="33"/>
        <v>15</v>
      </c>
      <c r="BA13" s="195">
        <f t="shared" si="33"/>
        <v>15</v>
      </c>
      <c r="BB13" s="195">
        <f t="shared" si="33"/>
        <v>15</v>
      </c>
      <c r="BC13" s="195">
        <f t="shared" si="33"/>
        <v>15</v>
      </c>
      <c r="BD13" s="195">
        <f t="shared" ref="BD13:BI13" si="34">30 + IFERROR(VLOOKUP(INDIRECT(ADDRESS(ROW() - 9, COLUMN())), INDIRECT(ADDRESS(ROW() - 83, 12)):INDIRECT(ADDRESS(ROW() - 79, 16)), 4, FALSE))</f>
        <v>30</v>
      </c>
      <c r="BE13" s="195">
        <f t="shared" si="34"/>
        <v>30</v>
      </c>
      <c r="BF13" s="195">
        <f t="shared" si="34"/>
        <v>30</v>
      </c>
      <c r="BG13" s="195">
        <f t="shared" si="34"/>
        <v>30</v>
      </c>
      <c r="BH13" s="195">
        <f t="shared" si="34"/>
        <v>30</v>
      </c>
      <c r="BI13" s="195">
        <f t="shared" si="34"/>
        <v>30</v>
      </c>
      <c r="BJ13" s="59"/>
      <c r="BK13" s="59"/>
      <c r="BL13" s="59"/>
      <c r="BM13" s="59"/>
      <c r="BN13" s="59"/>
      <c r="BO13" s="59"/>
      <c r="BP13" s="59"/>
      <c r="BQ13" s="59"/>
      <c r="BR13" s="59"/>
      <c r="BS13" s="59"/>
      <c r="BT13" s="59"/>
      <c r="BU13" s="59"/>
      <c r="BV13" s="59"/>
      <c r="BW13" s="59"/>
      <c r="BX13" s="59"/>
      <c r="BY13" s="59"/>
      <c r="BZ13" s="59"/>
      <c r="CA13" s="59"/>
      <c r="CB13" s="59"/>
      <c r="CC13" s="59"/>
      <c r="CD13" s="59"/>
      <c r="CE13" s="59"/>
      <c r="CF13" s="59"/>
      <c r="CG13" s="59"/>
      <c r="CH13" s="59"/>
      <c r="CI13" s="59"/>
      <c r="CJ13" s="59"/>
      <c r="CK13" s="59"/>
      <c r="CL13" s="59"/>
      <c r="CM13" s="59"/>
      <c r="CN13" s="59"/>
      <c r="CO13" s="59"/>
      <c r="CP13" s="59"/>
      <c r="CQ13" s="59"/>
      <c r="CR13" s="59"/>
      <c r="CS13" s="59"/>
      <c r="CT13" s="59"/>
      <c r="CU13" s="59"/>
      <c r="CV13" s="59"/>
      <c r="CW13" s="59"/>
      <c r="CX13" s="59"/>
      <c r="CY13" s="59"/>
      <c r="CZ13" s="59"/>
      <c r="DA13" s="59"/>
      <c r="DB13" s="59"/>
      <c r="DC13" s="59"/>
      <c r="DD13" s="59"/>
      <c r="DE13" s="59"/>
      <c r="DF13" s="59"/>
      <c r="DG13" s="59"/>
      <c r="DH13" s="59"/>
      <c r="DI13" s="59"/>
      <c r="DJ13" s="59"/>
      <c r="DK13" s="59"/>
      <c r="DL13" s="59"/>
      <c r="DM13" s="59"/>
      <c r="DN13" s="59"/>
      <c r="DO13" s="59"/>
      <c r="DP13" s="59"/>
      <c r="DQ13" s="59"/>
      <c r="DR13" s="59"/>
      <c r="DS13" s="59"/>
      <c r="DT13" s="59"/>
      <c r="DU13" s="59"/>
      <c r="DV13" s="59"/>
      <c r="DW13" s="59"/>
      <c r="DX13" s="59"/>
      <c r="DY13" s="59"/>
      <c r="DZ13" s="59"/>
      <c r="EA13" s="59"/>
      <c r="EB13" s="59"/>
      <c r="EC13" s="59"/>
      <c r="ED13" s="59"/>
      <c r="EE13" s="59"/>
      <c r="EF13" s="59"/>
      <c r="EG13" s="59"/>
      <c r="EH13" s="59"/>
      <c r="EI13" s="59"/>
      <c r="EJ13" s="59"/>
      <c r="EK13" s="59"/>
      <c r="EL13" s="59"/>
      <c r="EM13" s="59"/>
      <c r="EN13" s="59"/>
      <c r="EO13" s="59"/>
      <c r="EP13" s="59"/>
      <c r="EQ13" s="59"/>
      <c r="ER13" s="59"/>
      <c r="ES13" s="59"/>
      <c r="ET13" s="59"/>
      <c r="EU13" s="59"/>
      <c r="EV13" s="59"/>
      <c r="EW13" s="59"/>
      <c r="EX13" s="59"/>
      <c r="EY13" s="59"/>
      <c r="EZ13" s="59"/>
      <c r="FA13" s="59"/>
      <c r="FB13" s="59"/>
      <c r="FC13" s="59"/>
      <c r="FD13" s="59"/>
      <c r="FE13" s="59"/>
      <c r="FF13" s="59"/>
      <c r="FG13" s="59"/>
      <c r="FH13" s="59"/>
      <c r="FI13" s="59"/>
      <c r="FJ13" s="59"/>
      <c r="FK13" s="59"/>
      <c r="FL13" s="59"/>
      <c r="FM13" s="59"/>
      <c r="FN13" s="59"/>
      <c r="FO13" s="59"/>
      <c r="FP13" s="59"/>
      <c r="FQ13" s="59"/>
      <c r="FR13" s="59"/>
      <c r="FS13" s="59"/>
      <c r="FT13" s="59"/>
      <c r="FU13" s="59"/>
      <c r="FV13" s="59"/>
      <c r="FW13" s="59"/>
      <c r="FX13" s="59"/>
      <c r="FY13" s="59"/>
      <c r="FZ13" s="59"/>
      <c r="GA13" s="59"/>
      <c r="GB13" s="59"/>
      <c r="GC13" s="59"/>
      <c r="GD13" s="59"/>
      <c r="GE13" s="59"/>
      <c r="GF13" s="59"/>
      <c r="GG13" s="59"/>
      <c r="GH13" s="59"/>
      <c r="GI13" s="59"/>
      <c r="GJ13" s="59"/>
      <c r="GK13" s="59"/>
      <c r="GL13" s="59"/>
      <c r="GM13" s="59"/>
      <c r="GN13" s="59"/>
      <c r="GO13" s="59"/>
      <c r="GP13" s="59"/>
      <c r="GQ13" s="59"/>
      <c r="GR13" s="59"/>
      <c r="GS13" s="59"/>
      <c r="GT13" s="59"/>
      <c r="GU13" s="59"/>
    </row>
    <row r="14">
      <c r="A14" s="4" t="s">
        <v>260</v>
      </c>
      <c r="B14" s="59" t="str">
        <f t="shared" ref="B14:BI14" si="35">IFERROR(VLOOKUP(INDIRECT(ADDRESS(ROW() - 10, COLUMN())), INDIRECT(ADDRESS(ROW() - 84, 12)):INDIRECT(ADDRESS(ROW() - 80, 16)), 5, FALSE))</f>
        <v/>
      </c>
      <c r="C14" s="59" t="str">
        <f t="shared" si="35"/>
        <v/>
      </c>
      <c r="D14" s="59" t="str">
        <f t="shared" si="35"/>
        <v/>
      </c>
      <c r="E14" s="59" t="str">
        <f t="shared" si="35"/>
        <v/>
      </c>
      <c r="F14" s="59" t="str">
        <f t="shared" si="35"/>
        <v/>
      </c>
      <c r="G14" s="59" t="str">
        <f t="shared" si="35"/>
        <v/>
      </c>
      <c r="H14" s="59" t="str">
        <f t="shared" si="35"/>
        <v/>
      </c>
      <c r="I14" s="59" t="str">
        <f t="shared" si="35"/>
        <v/>
      </c>
      <c r="J14" s="59" t="str">
        <f t="shared" si="35"/>
        <v/>
      </c>
      <c r="K14" s="59" t="str">
        <f t="shared" si="35"/>
        <v/>
      </c>
      <c r="L14" s="59" t="str">
        <f t="shared" si="35"/>
        <v/>
      </c>
      <c r="M14" s="59" t="str">
        <f t="shared" si="35"/>
        <v/>
      </c>
      <c r="N14" s="59" t="str">
        <f t="shared" si="35"/>
        <v/>
      </c>
      <c r="O14" s="59" t="str">
        <f t="shared" si="35"/>
        <v/>
      </c>
      <c r="P14" s="59" t="str">
        <f t="shared" si="35"/>
        <v/>
      </c>
      <c r="Q14" s="59" t="str">
        <f t="shared" si="35"/>
        <v/>
      </c>
      <c r="R14" s="59" t="str">
        <f t="shared" si="35"/>
        <v/>
      </c>
      <c r="S14" s="59" t="str">
        <f t="shared" si="35"/>
        <v/>
      </c>
      <c r="T14" s="59" t="str">
        <f t="shared" si="35"/>
        <v/>
      </c>
      <c r="U14" s="59" t="str">
        <f t="shared" si="35"/>
        <v/>
      </c>
      <c r="V14" s="59" t="str">
        <f t="shared" si="35"/>
        <v/>
      </c>
      <c r="W14" s="59" t="str">
        <f t="shared" si="35"/>
        <v/>
      </c>
      <c r="X14" s="59" t="str">
        <f t="shared" si="35"/>
        <v/>
      </c>
      <c r="Y14" s="59" t="str">
        <f t="shared" si="35"/>
        <v/>
      </c>
      <c r="Z14" s="59" t="str">
        <f t="shared" si="35"/>
        <v/>
      </c>
      <c r="AA14" s="59" t="str">
        <f t="shared" si="35"/>
        <v/>
      </c>
      <c r="AB14" s="59" t="str">
        <f t="shared" si="35"/>
        <v/>
      </c>
      <c r="AC14" s="59" t="str">
        <f t="shared" si="35"/>
        <v/>
      </c>
      <c r="AD14" s="59" t="str">
        <f t="shared" si="35"/>
        <v/>
      </c>
      <c r="AE14" s="59" t="str">
        <f t="shared" si="35"/>
        <v/>
      </c>
      <c r="AF14" s="59" t="str">
        <f t="shared" si="35"/>
        <v/>
      </c>
      <c r="AG14" s="59" t="str">
        <f t="shared" si="35"/>
        <v/>
      </c>
      <c r="AH14" s="59" t="str">
        <f t="shared" si="35"/>
        <v/>
      </c>
      <c r="AI14" s="59" t="str">
        <f t="shared" si="35"/>
        <v/>
      </c>
      <c r="AJ14" s="59" t="str">
        <f t="shared" si="35"/>
        <v/>
      </c>
      <c r="AK14" s="59" t="str">
        <f t="shared" si="35"/>
        <v/>
      </c>
      <c r="AL14" s="59" t="str">
        <f t="shared" si="35"/>
        <v/>
      </c>
      <c r="AM14" s="59" t="str">
        <f t="shared" si="35"/>
        <v/>
      </c>
      <c r="AN14" s="59" t="str">
        <f t="shared" si="35"/>
        <v/>
      </c>
      <c r="AO14" s="59" t="str">
        <f t="shared" si="35"/>
        <v/>
      </c>
      <c r="AP14" s="59" t="str">
        <f t="shared" si="35"/>
        <v/>
      </c>
      <c r="AQ14" s="59" t="str">
        <f t="shared" si="35"/>
        <v/>
      </c>
      <c r="AR14" s="59" t="str">
        <f t="shared" si="35"/>
        <v/>
      </c>
      <c r="AS14" s="195" t="str">
        <f t="shared" si="35"/>
        <v/>
      </c>
      <c r="AT14" s="195" t="str">
        <f t="shared" si="35"/>
        <v/>
      </c>
      <c r="AU14" s="195" t="str">
        <f t="shared" si="35"/>
        <v/>
      </c>
      <c r="AV14" s="195" t="str">
        <f t="shared" si="35"/>
        <v/>
      </c>
      <c r="AW14" s="195" t="str">
        <f t="shared" si="35"/>
        <v/>
      </c>
      <c r="AX14" s="195" t="str">
        <f t="shared" si="35"/>
        <v/>
      </c>
      <c r="AY14" s="195" t="str">
        <f t="shared" si="35"/>
        <v/>
      </c>
      <c r="AZ14" s="195" t="str">
        <f t="shared" si="35"/>
        <v/>
      </c>
      <c r="BA14" s="195" t="str">
        <f t="shared" si="35"/>
        <v/>
      </c>
      <c r="BB14" s="195" t="str">
        <f t="shared" si="35"/>
        <v/>
      </c>
      <c r="BC14" s="59" t="str">
        <f t="shared" si="35"/>
        <v/>
      </c>
      <c r="BD14" s="195" t="str">
        <f t="shared" si="35"/>
        <v/>
      </c>
      <c r="BE14" s="195" t="str">
        <f t="shared" si="35"/>
        <v/>
      </c>
      <c r="BF14" s="195" t="str">
        <f t="shared" si="35"/>
        <v/>
      </c>
      <c r="BG14" s="195" t="str">
        <f t="shared" si="35"/>
        <v/>
      </c>
      <c r="BH14" s="195" t="str">
        <f t="shared" si="35"/>
        <v/>
      </c>
      <c r="BI14" s="59" t="str">
        <f t="shared" si="35"/>
        <v/>
      </c>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row>
    <row r="15">
      <c r="A15" s="4" t="s">
        <v>261</v>
      </c>
      <c r="AF15" s="197"/>
      <c r="AH15" s="197"/>
      <c r="AK15" s="197"/>
      <c r="AL15" s="197"/>
      <c r="AM15" s="197"/>
      <c r="AR15" s="10"/>
      <c r="AS15" s="195"/>
      <c r="AT15" s="195"/>
      <c r="AU15" s="195"/>
      <c r="AV15" s="195"/>
      <c r="AW15" s="195"/>
      <c r="AX15" s="195"/>
      <c r="AY15" s="195"/>
      <c r="AZ15" s="195"/>
      <c r="BA15" s="195"/>
      <c r="BB15" s="195"/>
      <c r="BC15" s="10"/>
      <c r="BD15" s="195"/>
      <c r="BE15" s="195"/>
      <c r="BF15" s="195"/>
      <c r="BG15" s="195"/>
      <c r="BH15" s="195"/>
      <c r="BI15" s="10"/>
    </row>
    <row r="16">
      <c r="A16" s="4" t="s">
        <v>262</v>
      </c>
      <c r="B16" s="10">
        <f>2</f>
        <v>2</v>
      </c>
      <c r="C16" s="10">
        <f t="shared" ref="C16:D16" si="36">0.2</f>
        <v>0.2</v>
      </c>
      <c r="D16" s="10">
        <f t="shared" si="36"/>
        <v>0.2</v>
      </c>
      <c r="E16" s="10">
        <f>1</f>
        <v>1</v>
      </c>
      <c r="F16" s="10">
        <f>0.2</f>
        <v>0.2</v>
      </c>
      <c r="G16" s="10">
        <f t="shared" ref="G16:H16" si="37">1</f>
        <v>1</v>
      </c>
      <c r="H16" s="10">
        <f t="shared" si="37"/>
        <v>1</v>
      </c>
      <c r="I16" s="10">
        <f>1.2</f>
        <v>1.2</v>
      </c>
      <c r="J16" s="10">
        <f>1</f>
        <v>1</v>
      </c>
      <c r="K16" s="10">
        <f>1</f>
        <v>1</v>
      </c>
      <c r="L16" s="10">
        <f t="shared" ref="L16:M16" si="38">1</f>
        <v>1</v>
      </c>
      <c r="M16" s="10">
        <f t="shared" si="38"/>
        <v>1</v>
      </c>
      <c r="N16" s="10">
        <f>1.35</f>
        <v>1.35</v>
      </c>
      <c r="O16" s="10">
        <f t="shared" ref="O16:P16" si="39">1</f>
        <v>1</v>
      </c>
      <c r="P16" s="10">
        <f t="shared" si="39"/>
        <v>1</v>
      </c>
      <c r="Q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 * 0.6</f>
        <v>#VALUE!</v>
      </c>
      <c r="R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 * 0.6</f>
        <v>#VALUE!</v>
      </c>
      <c r="S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 * 0.6</f>
        <v>#VALUE!</v>
      </c>
      <c r="T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 * 0.6</f>
        <v>#VALUE!</v>
      </c>
      <c r="U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 * 0.6</f>
        <v>#VALUE!</v>
      </c>
      <c r="V16" s="10">
        <f>0.3</f>
        <v>0.3</v>
      </c>
      <c r="W16" s="10">
        <f>1</f>
        <v>1</v>
      </c>
      <c r="X16" s="10">
        <f>1.56</f>
        <v>1.56</v>
      </c>
      <c r="Y16" s="10">
        <f t="shared" ref="Y16:AE16" si="40">1</f>
        <v>1</v>
      </c>
      <c r="Z16" s="10">
        <f t="shared" si="40"/>
        <v>1</v>
      </c>
      <c r="AA16" s="10">
        <f t="shared" si="40"/>
        <v>1</v>
      </c>
      <c r="AB16" s="10">
        <f t="shared" si="40"/>
        <v>1</v>
      </c>
      <c r="AC16" s="10">
        <f t="shared" si="40"/>
        <v>1</v>
      </c>
      <c r="AD16" s="10">
        <f t="shared" si="40"/>
        <v>1</v>
      </c>
      <c r="AE16" s="10">
        <f t="shared" si="40"/>
        <v>1</v>
      </c>
      <c r="AF16" s="10">
        <f>0.2</f>
        <v>0.2</v>
      </c>
      <c r="AG16" s="10">
        <f t="shared" ref="AG16:AI16" si="41">1</f>
        <v>1</v>
      </c>
      <c r="AH16" s="10">
        <f t="shared" si="41"/>
        <v>1</v>
      </c>
      <c r="AI16" s="10">
        <f t="shared" si="41"/>
        <v>1</v>
      </c>
      <c r="AJ16" s="10">
        <v>1.0</v>
      </c>
      <c r="AK16" s="10" t="str">
        <f> IF(INDIRECT(ADDRESS(ROW() - (28 + TemplateStats!$B2), 6)) = 1, 1.32983, IF(INDIRECT(ADDRESS(ROW() - (28 + TemplateStats!$B2), 6)) = 2, 1.34958, IF(INDIRECT(ADDRESS(ROW() - (28 + TemplateStats!$B2), 6)) = 3, 1.36933, IF(INDIRECT(ADDRESS(ROW() - (28 + TemplateStats!$B2), 6)) = 4, 1.395, IF(INDIRECT(ADDRESS(ROW() - (28 + TemplateStats!$B2), 6)) = 5, 1.41475, IF(INDIRECT(ADDRESS(ROW() - (28 + TemplateStats!$B2), 6)) = 6, 1.4345, IF(INDIRECT(ADDRESS(ROW() - (28 + TemplateStats!$B2), 6)) = 7, 1.46018, IF(INDIRECT(ADDRESS(ROW() - (28 + TemplateStats!$B2), 6)) = 8, 1.48584999999999, IF(INDIRECT(ADDRESS(ROW() - (28 + TemplateStats!$B2), 6)) = 9, 1.51153, IF(INDIRECT(ADDRESS(ROW() - (28 + TemplateStats!$B2), 6)) = 10, 1.5372, IF(INDIRECT(ADDRESS(ROW() - (28 + TemplateStats!$B2), 6)) = 11, 1.56288, IF(INDIRECT(ADDRESS(ROW() - (28 + TemplateStats!$B2), 6)) = 12, 1.58855, IF(INDIRECT(ADDRESS(ROW() - (28 + TemplateStats!$B2), 6)) = 13, 1.61423,0))))))))))))) * 0.4</f>
        <v>#VALUE!</v>
      </c>
      <c r="AL16" s="10" t="str">
        <f> IF(INDIRECT(ADDRESS(ROW() - (28 + TemplateStats!$B2), 6)) = 1, 1.32983, IF(INDIRECT(ADDRESS(ROW() - (28 + TemplateStats!$B2), 6)) = 2, 1.34958, IF(INDIRECT(ADDRESS(ROW() - (28 + TemplateStats!$B2), 6)) = 3, 1.36933, IF(INDIRECT(ADDRESS(ROW() - (28 + TemplateStats!$B2), 6)) = 4, 1.395, IF(INDIRECT(ADDRESS(ROW() - (28 + TemplateStats!$B2), 6)) = 5, 1.41475, IF(INDIRECT(ADDRESS(ROW() - (28 + TemplateStats!$B2), 6)) = 6, 1.4345, IF(INDIRECT(ADDRESS(ROW() - (28 + TemplateStats!$B2), 6)) = 7, 1.46018, IF(INDIRECT(ADDRESS(ROW() - (28 + TemplateStats!$B2), 6)) = 8, 1.48584999999999, IF(INDIRECT(ADDRESS(ROW() - (28 + TemplateStats!$B2), 6)) = 9, 1.51153, IF(INDIRECT(ADDRESS(ROW() - (28 + TemplateStats!$B2), 6)) = 10, 1.5372, IF(INDIRECT(ADDRESS(ROW() - (28 + TemplateStats!$B2), 6)) = 11, 1.56288, IF(INDIRECT(ADDRESS(ROW() - (28 + TemplateStats!$B2), 6)) = 12, 1.58855, IF(INDIRECT(ADDRESS(ROW() - (28 + TemplateStats!$B2), 6)) = 13, 1.61423,0))))))))))))) * 0.4</f>
        <v>#VALUE!</v>
      </c>
      <c r="AM16" s="10" t="str">
        <f> IF(INDIRECT(ADDRESS(ROW() - (28 + TemplateStats!$B2), 6)) = 1, 1.32983, IF(INDIRECT(ADDRESS(ROW() - (28 + TemplateStats!$B2), 6)) = 2, 1.34958, IF(INDIRECT(ADDRESS(ROW() - (28 + TemplateStats!$B2), 6)) = 3, 1.36933, IF(INDIRECT(ADDRESS(ROW() - (28 + TemplateStats!$B2), 6)) = 4, 1.395, IF(INDIRECT(ADDRESS(ROW() - (28 + TemplateStats!$B2), 6)) = 5, 1.41475, IF(INDIRECT(ADDRESS(ROW() - (28 + TemplateStats!$B2), 6)) = 6, 1.4345, IF(INDIRECT(ADDRESS(ROW() - (28 + TemplateStats!$B2), 6)) = 7, 1.46018, IF(INDIRECT(ADDRESS(ROW() - (28 + TemplateStats!$B2), 6)) = 8, 1.48584999999999, IF(INDIRECT(ADDRESS(ROW() - (28 + TemplateStats!$B2), 6)) = 9, 1.51153, IF(INDIRECT(ADDRESS(ROW() - (28 + TemplateStats!$B2), 6)) = 10, 1.5372, IF(INDIRECT(ADDRESS(ROW() - (28 + TemplateStats!$B2), 6)) = 11, 1.56288, IF(INDIRECT(ADDRESS(ROW() - (28 + TemplateStats!$B2), 6)) = 12, 1.58855, IF(INDIRECT(ADDRESS(ROW() - (28 + TemplateStats!$B2), 6)) = 13, 1.61423,0))))))))))))) * 0.4</f>
        <v>#VALUE!</v>
      </c>
      <c r="AN16" s="10">
        <f t="shared" ref="AN16:AQ16" si="42">1</f>
        <v>1</v>
      </c>
      <c r="AO16" s="10">
        <f t="shared" si="42"/>
        <v>1</v>
      </c>
      <c r="AP16" s="10">
        <f t="shared" si="42"/>
        <v>1</v>
      </c>
      <c r="AQ16" s="10">
        <f t="shared" si="42"/>
        <v>1</v>
      </c>
      <c r="AR16" s="10">
        <f>0.8</f>
        <v>0.8</v>
      </c>
      <c r="AS16" s="199">
        <f>1</f>
        <v>1</v>
      </c>
      <c r="AT16" s="199">
        <f>1.1</f>
        <v>1.1</v>
      </c>
      <c r="AU16" s="199">
        <f>1.25</f>
        <v>1.25</v>
      </c>
      <c r="AV16" s="199">
        <f>1.6</f>
        <v>1.6</v>
      </c>
      <c r="AW16" s="199">
        <f t="shared" ref="AW16:BI16" si="43">1</f>
        <v>1</v>
      </c>
      <c r="AX16" s="199">
        <f t="shared" si="43"/>
        <v>1</v>
      </c>
      <c r="AY16" s="199">
        <f t="shared" si="43"/>
        <v>1</v>
      </c>
      <c r="AZ16" s="199">
        <f t="shared" si="43"/>
        <v>1</v>
      </c>
      <c r="BA16" s="199">
        <f t="shared" si="43"/>
        <v>1</v>
      </c>
      <c r="BB16" s="199">
        <f t="shared" si="43"/>
        <v>1</v>
      </c>
      <c r="BC16" s="10">
        <f t="shared" si="43"/>
        <v>1</v>
      </c>
      <c r="BD16" s="199">
        <f t="shared" si="43"/>
        <v>1</v>
      </c>
      <c r="BE16" s="199">
        <f t="shared" si="43"/>
        <v>1</v>
      </c>
      <c r="BF16" s="199">
        <f t="shared" si="43"/>
        <v>1</v>
      </c>
      <c r="BG16" s="199">
        <f t="shared" si="43"/>
        <v>1</v>
      </c>
      <c r="BH16" s="199">
        <f t="shared" si="43"/>
        <v>1</v>
      </c>
      <c r="BI16" s="10">
        <f t="shared" si="43"/>
        <v>1</v>
      </c>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row>
    <row r="17">
      <c r="A17" s="4" t="s">
        <v>263</v>
      </c>
      <c r="B17" s="10">
        <f t="shared" ref="B17:AD17" si="44">0</f>
        <v>0</v>
      </c>
      <c r="C17" s="10">
        <f t="shared" si="44"/>
        <v>0</v>
      </c>
      <c r="D17" s="10">
        <f t="shared" si="44"/>
        <v>0</v>
      </c>
      <c r="E17" s="10">
        <f t="shared" si="44"/>
        <v>0</v>
      </c>
      <c r="F17" s="10">
        <f t="shared" si="44"/>
        <v>0</v>
      </c>
      <c r="G17" s="10">
        <f t="shared" si="44"/>
        <v>0</v>
      </c>
      <c r="H17" s="10">
        <f t="shared" si="44"/>
        <v>0</v>
      </c>
      <c r="I17" s="10">
        <f t="shared" si="44"/>
        <v>0</v>
      </c>
      <c r="J17" s="10">
        <f t="shared" si="44"/>
        <v>0</v>
      </c>
      <c r="K17" s="10">
        <f t="shared" si="44"/>
        <v>0</v>
      </c>
      <c r="L17" s="10">
        <f t="shared" si="44"/>
        <v>0</v>
      </c>
      <c r="M17" s="10">
        <f t="shared" si="44"/>
        <v>0</v>
      </c>
      <c r="N17" s="10">
        <f t="shared" si="44"/>
        <v>0</v>
      </c>
      <c r="O17" s="10">
        <f t="shared" si="44"/>
        <v>0</v>
      </c>
      <c r="P17" s="10">
        <f t="shared" si="44"/>
        <v>0</v>
      </c>
      <c r="Q17" s="10">
        <f t="shared" si="44"/>
        <v>0</v>
      </c>
      <c r="R17" s="10">
        <f t="shared" si="44"/>
        <v>0</v>
      </c>
      <c r="S17" s="10">
        <f t="shared" si="44"/>
        <v>0</v>
      </c>
      <c r="T17" s="10">
        <f t="shared" si="44"/>
        <v>0</v>
      </c>
      <c r="U17" s="10">
        <f t="shared" si="44"/>
        <v>0</v>
      </c>
      <c r="V17" s="10">
        <f t="shared" si="44"/>
        <v>0</v>
      </c>
      <c r="W17" s="10">
        <f t="shared" si="44"/>
        <v>0</v>
      </c>
      <c r="X17" s="10">
        <f t="shared" si="44"/>
        <v>0</v>
      </c>
      <c r="Y17" s="10">
        <f t="shared" si="44"/>
        <v>0</v>
      </c>
      <c r="Z17" s="10">
        <f t="shared" si="44"/>
        <v>0</v>
      </c>
      <c r="AA17" s="10">
        <f t="shared" si="44"/>
        <v>0</v>
      </c>
      <c r="AB17" s="10">
        <f t="shared" si="44"/>
        <v>0</v>
      </c>
      <c r="AC17" s="10">
        <f t="shared" si="44"/>
        <v>0</v>
      </c>
      <c r="AD17" s="10">
        <f t="shared" si="44"/>
        <v>0</v>
      </c>
      <c r="AE17" s="10" t="str">
        <f>IF(INDIRECT(ADDRESS(ROW() - (TemplateStats!$B$2 + 16), 3)) = "C6", 60, 0)</f>
        <v>#VALUE!</v>
      </c>
      <c r="AF17" s="10">
        <f>0</f>
        <v>0</v>
      </c>
      <c r="AG17" s="10">
        <f>0</f>
        <v>0</v>
      </c>
      <c r="AH17" s="10">
        <f>0</f>
        <v>0</v>
      </c>
      <c r="AI17" s="10">
        <f>0</f>
        <v>0</v>
      </c>
      <c r="AJ17" s="10">
        <v>0.0</v>
      </c>
      <c r="AK17" s="10">
        <f t="shared" ref="AK17:BI17" si="45">0</f>
        <v>0</v>
      </c>
      <c r="AL17" s="10">
        <f t="shared" si="45"/>
        <v>0</v>
      </c>
      <c r="AM17" s="10">
        <f t="shared" si="45"/>
        <v>0</v>
      </c>
      <c r="AN17" s="10">
        <f t="shared" si="45"/>
        <v>0</v>
      </c>
      <c r="AO17" s="10">
        <f t="shared" si="45"/>
        <v>0</v>
      </c>
      <c r="AP17" s="10">
        <f t="shared" si="45"/>
        <v>0</v>
      </c>
      <c r="AQ17" s="10">
        <f t="shared" si="45"/>
        <v>0</v>
      </c>
      <c r="AR17" s="10">
        <f t="shared" si="45"/>
        <v>0</v>
      </c>
      <c r="AS17" s="199">
        <f t="shared" si="45"/>
        <v>0</v>
      </c>
      <c r="AT17" s="199">
        <f t="shared" si="45"/>
        <v>0</v>
      </c>
      <c r="AU17" s="199">
        <f t="shared" si="45"/>
        <v>0</v>
      </c>
      <c r="AV17" s="199">
        <f t="shared" si="45"/>
        <v>0</v>
      </c>
      <c r="AW17" s="199">
        <f t="shared" si="45"/>
        <v>0</v>
      </c>
      <c r="AX17" s="199">
        <f t="shared" si="45"/>
        <v>0</v>
      </c>
      <c r="AY17" s="199">
        <f t="shared" si="45"/>
        <v>0</v>
      </c>
      <c r="AZ17" s="199">
        <f t="shared" si="45"/>
        <v>0</v>
      </c>
      <c r="BA17" s="199">
        <f t="shared" si="45"/>
        <v>0</v>
      </c>
      <c r="BB17" s="199">
        <f t="shared" si="45"/>
        <v>0</v>
      </c>
      <c r="BC17" s="10">
        <f t="shared" si="45"/>
        <v>0</v>
      </c>
      <c r="BD17" s="199">
        <f t="shared" si="45"/>
        <v>0</v>
      </c>
      <c r="BE17" s="199">
        <f t="shared" si="45"/>
        <v>0</v>
      </c>
      <c r="BF17" s="199">
        <f t="shared" si="45"/>
        <v>0</v>
      </c>
      <c r="BG17" s="199">
        <f t="shared" si="45"/>
        <v>0</v>
      </c>
      <c r="BH17" s="199">
        <f t="shared" si="45"/>
        <v>0</v>
      </c>
      <c r="BI17" s="10">
        <f t="shared" si="45"/>
        <v>0</v>
      </c>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row>
    <row r="24">
      <c r="AD24" s="207"/>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3" max="3" width="15.89"/>
    <col customWidth="1" min="4" max="4" width="24.56"/>
    <col customWidth="1" min="5" max="5" width="13.56"/>
    <col customWidth="1" min="6" max="6" width="15.22"/>
    <col customWidth="1" min="7" max="7" width="12.89"/>
    <col customWidth="1" min="8" max="8" width="14.89"/>
    <col customWidth="1" min="9" max="9" width="16.67"/>
    <col customWidth="1" min="12" max="12" width="14.0"/>
    <col customWidth="1" min="13" max="13" width="18.11"/>
  </cols>
  <sheetData>
    <row r="1">
      <c r="A1" s="4" t="s">
        <v>68</v>
      </c>
      <c r="B1" s="4" t="s">
        <v>328</v>
      </c>
      <c r="C1" s="4" t="s">
        <v>334</v>
      </c>
      <c r="D1" s="4" t="s">
        <v>365</v>
      </c>
      <c r="E1" s="4" t="s">
        <v>369</v>
      </c>
      <c r="F1" s="4" t="s">
        <v>360</v>
      </c>
      <c r="G1" s="4" t="s">
        <v>349</v>
      </c>
      <c r="H1" s="4" t="s">
        <v>339</v>
      </c>
      <c r="I1" s="4" t="s">
        <v>380</v>
      </c>
      <c r="J1" s="4" t="s">
        <v>384</v>
      </c>
      <c r="K1" s="4" t="s">
        <v>387</v>
      </c>
      <c r="L1" s="4" t="s">
        <v>389</v>
      </c>
      <c r="M1" s="4" t="s">
        <v>390</v>
      </c>
      <c r="N1" s="4" t="s">
        <v>325</v>
      </c>
      <c r="O1" s="4" t="s">
        <v>325</v>
      </c>
      <c r="P1" s="4" t="s">
        <v>397</v>
      </c>
      <c r="Q1" s="4" t="s">
        <v>397</v>
      </c>
      <c r="R1" s="4" t="s">
        <v>396</v>
      </c>
    </row>
    <row r="2">
      <c r="A2" s="4" t="s">
        <v>890</v>
      </c>
      <c r="B2" s="4" t="s">
        <v>891</v>
      </c>
      <c r="C2" s="4" t="s">
        <v>893</v>
      </c>
      <c r="D2" s="4" t="s">
        <v>892</v>
      </c>
      <c r="E2" s="4" t="s">
        <v>891</v>
      </c>
      <c r="F2" s="4" t="s">
        <v>891</v>
      </c>
      <c r="G2" s="4" t="s">
        <v>891</v>
      </c>
      <c r="H2" s="4" t="s">
        <v>892</v>
      </c>
      <c r="I2" s="4" t="s">
        <v>893</v>
      </c>
      <c r="J2" s="4" t="s">
        <v>892</v>
      </c>
      <c r="K2" s="4" t="s">
        <v>891</v>
      </c>
      <c r="L2" s="4" t="s">
        <v>894</v>
      </c>
      <c r="M2" s="4" t="s">
        <v>894</v>
      </c>
      <c r="N2" s="4" t="s">
        <v>891</v>
      </c>
      <c r="O2" s="4" t="s">
        <v>892</v>
      </c>
      <c r="P2" s="4" t="s">
        <v>893</v>
      </c>
      <c r="Q2" s="4" t="s">
        <v>892</v>
      </c>
      <c r="R2" s="4" t="s">
        <v>892</v>
      </c>
    </row>
    <row r="3">
      <c r="A3" s="4" t="s">
        <v>428</v>
      </c>
      <c r="B3" s="4" t="str">
        <f>"Frozen Kiss"</f>
        <v>Frozen Kiss</v>
      </c>
      <c r="C3" s="4" t="str">
        <f>"Sea Beast's Scourge"</f>
        <v>Sea Beast's Scourge</v>
      </c>
      <c r="D3" s="4" t="str">
        <f>"Chrysos, Bounty of Dominator"</f>
        <v>Chrysos, Bounty of Dominator</v>
      </c>
      <c r="E3" s="4" t="str">
        <f>"C4"</f>
        <v>C4</v>
      </c>
      <c r="F3" s="4" t="str">
        <f>"Supreme Amnesty"</f>
        <v>Supreme Amnesty</v>
      </c>
      <c r="G3" s="4" t="str">
        <f>"Lapping Hound"</f>
        <v>Lapping Hound</v>
      </c>
      <c r="H3" s="4" t="str">
        <f>"Sprinkling Weight"</f>
        <v>Sprinkling Weight</v>
      </c>
      <c r="I3" s="4" t="str">
        <f>"Fortress of Fantasy"</f>
        <v>Fortress of Fantasy</v>
      </c>
      <c r="J3" s="4" t="str">
        <f>"Mega Radish"</f>
        <v>Mega Radish</v>
      </c>
      <c r="K3" s="4" t="str">
        <f>"An Oath Abiding"</f>
        <v>An Oath Abiding</v>
      </c>
      <c r="L3" s="4" t="str">
        <f>"Skilled Hand"</f>
        <v>Skilled Hand</v>
      </c>
      <c r="M3" s="4" t="str">
        <f>"Meow-teor Kick Co-Op"</f>
        <v>Meow-teor Kick Co-Op</v>
      </c>
      <c r="N3" s="4" t="str">
        <f>"C4 Shield Level"</f>
        <v>C4 Shield Level</v>
      </c>
      <c r="O3" s="4" t="str">
        <f>"C6 Bubble Heal"</f>
        <v>C6 Bubble Heal</v>
      </c>
      <c r="P3" s="4" t="str">
        <f>"Verification"</f>
        <v>Verification</v>
      </c>
      <c r="Q3" s="4" t="str">
        <f>"Summation of Interest"</f>
        <v>Summation of Interest</v>
      </c>
      <c r="R3" s="4" t="str">
        <f>"C6 Heal"</f>
        <v>C6 Heal</v>
      </c>
    </row>
    <row r="4">
      <c r="A4" s="4" t="s">
        <v>251</v>
      </c>
      <c r="B4" s="10" t="str">
        <f t="shared" ref="B4:C4" si="1">"-"</f>
        <v>-</v>
      </c>
      <c r="C4" s="10" t="str">
        <f t="shared" si="1"/>
        <v>-</v>
      </c>
      <c r="D4" s="10" t="str">
        <f>INDIRECT(ADDRESS(ROW() - (TemplateStats!$B2 + TemplateStats!$B3 + 17), 6))</f>
        <v>#VALUE!</v>
      </c>
      <c r="E4" s="10" t="str">
        <f t="shared" ref="E4:H4" si="2">"-"</f>
        <v>-</v>
      </c>
      <c r="F4" s="10" t="str">
        <f t="shared" si="2"/>
        <v>-</v>
      </c>
      <c r="G4" s="10" t="str">
        <f t="shared" si="2"/>
        <v>-</v>
      </c>
      <c r="H4" s="10" t="str">
        <f t="shared" si="2"/>
        <v>-</v>
      </c>
      <c r="I4" s="88" t="str">
        <f>INDIRECT(ADDRESS(ROW() - (TemplateStats!$B2 +  TemplateStats!$B3 + 17), 6))</f>
        <v>#VALUE!</v>
      </c>
      <c r="J4" s="88" t="str">
        <f t="shared" ref="J4:K4" si="3">"-"</f>
        <v>-</v>
      </c>
      <c r="K4" s="88" t="str">
        <f t="shared" si="3"/>
        <v>-</v>
      </c>
      <c r="L4" s="88" t="str">
        <f>INDIRECT(ADDRESS(ROW() - (TemplateStats!$B2 +  TemplateStats!$B3 + 17), 6))</f>
        <v>#VALUE!</v>
      </c>
      <c r="M4" s="88" t="str">
        <f>INDIRECT(ADDRESS(ROW() - (TemplateStats!$B2 +  TemplateStats!$B3 + 17), 6))</f>
        <v>#VALUE!</v>
      </c>
      <c r="N4" s="88" t="str">
        <f t="shared" ref="N4:R4" si="4">"-"</f>
        <v>-</v>
      </c>
      <c r="O4" s="88" t="str">
        <f t="shared" si="4"/>
        <v>-</v>
      </c>
      <c r="P4" s="88" t="str">
        <f t="shared" si="4"/>
        <v>-</v>
      </c>
      <c r="Q4" s="88" t="str">
        <f t="shared" si="4"/>
        <v>-</v>
      </c>
      <c r="R4" s="88" t="str">
        <f t="shared" si="4"/>
        <v>-</v>
      </c>
    </row>
    <row r="5">
      <c r="A5" s="4" t="s">
        <v>301</v>
      </c>
      <c r="B5" s="10" t="str">
        <f t="shared" ref="B5:C5" si="5">"Shield"</f>
        <v>Shield</v>
      </c>
      <c r="C5" s="10" t="str">
        <f t="shared" si="5"/>
        <v>Shield</v>
      </c>
      <c r="D5" s="10" t="str">
        <f t="shared" ref="D5:E5" si="6">"Heal"</f>
        <v>Heal</v>
      </c>
      <c r="E5" s="10" t="str">
        <f t="shared" si="6"/>
        <v>Heal</v>
      </c>
      <c r="F5" s="10" t="str">
        <f>"Shield"</f>
        <v>Shield</v>
      </c>
      <c r="G5" s="10" t="str">
        <f t="shared" ref="G5:H5" si="7">"Heal"</f>
        <v>Heal</v>
      </c>
      <c r="H5" s="10" t="str">
        <f t="shared" si="7"/>
        <v>Heal</v>
      </c>
      <c r="I5" s="88" t="str">
        <f>"Shield"</f>
        <v>Shield</v>
      </c>
      <c r="J5" s="88" t="str">
        <f t="shared" ref="J5:L5" si="8">"Heal"</f>
        <v>Heal</v>
      </c>
      <c r="K5" s="88" t="str">
        <f t="shared" si="8"/>
        <v>Heal</v>
      </c>
      <c r="L5" s="88" t="str">
        <f t="shared" si="8"/>
        <v>Heal</v>
      </c>
      <c r="M5" s="88" t="str">
        <f t="shared" ref="M5:N5" si="9">"Shield"</f>
        <v>Shield</v>
      </c>
      <c r="N5" s="88" t="str">
        <f t="shared" si="9"/>
        <v>Shield</v>
      </c>
      <c r="O5" s="88" t="str">
        <f t="shared" ref="O5:R5" si="10">"Heal"</f>
        <v>Heal</v>
      </c>
      <c r="P5" s="88" t="str">
        <f t="shared" si="10"/>
        <v>Heal</v>
      </c>
      <c r="Q5" s="88" t="str">
        <f t="shared" si="10"/>
        <v>Heal</v>
      </c>
      <c r="R5" s="88" t="str">
        <f t="shared" si="10"/>
        <v>Heal</v>
      </c>
    </row>
    <row r="6">
      <c r="A6" s="4" t="s">
        <v>152</v>
      </c>
      <c r="P6" s="88">
        <f>80</f>
        <v>80</v>
      </c>
      <c r="Q6" s="88">
        <f>42</f>
        <v>42</v>
      </c>
    </row>
    <row r="7">
      <c r="A7" s="4" t="s">
        <v>120</v>
      </c>
      <c r="G7" s="10">
        <f>50</f>
        <v>50</v>
      </c>
    </row>
    <row r="8">
      <c r="A8" s="4" t="s">
        <v>153</v>
      </c>
      <c r="B8" s="10">
        <f>30</f>
        <v>30</v>
      </c>
      <c r="C8" s="10">
        <f>16</f>
        <v>16</v>
      </c>
      <c r="D8" s="88" t="str">
        <f> IF(INDIRECT(ADDRESS(ROW() - 4, COLUMN())) = 1, 12.8, IF(INDIRECT(ADDRESS(ROW() - 4, COLUMN())) = 2, 13.76, IF(INDIRECT(ADDRESS(ROW() - 4, COLUMN())) = 3, 14.7199999999999, IF(INDIRECT(ADDRESS(ROW() - 4, COLUMN())) = 4, 16, IF(INDIRECT(ADDRESS(ROW() - 4, COLUMN())) = 5, 16.96, IF(INDIRECT(ADDRESS(ROW() - 4, COLUMN())) = 6, 17.9199999999999, IF(INDIRECT(ADDRESS(ROW() - 4, COLUMN())) = 7, 19.2, IF(INDIRECT(ADDRESS(ROW() - 4, COLUMN())) = 8, 20.48, IF(INDIRECT(ADDRESS(ROW() - 4, COLUMN())) = 9, 21.7599999999999, IF(INDIRECT(ADDRESS(ROW() - 4, COLUMN())) = 10, 23.04, IF(INDIRECT(ADDRESS(ROW() - 4, COLUMN())) = 11, 24.32, IF(INDIRECT(ADDRESS(ROW() - 4, COLUMN())) = 12, 25.6, IF(INDIRECT(ADDRESS(ROW() - 4, COLUMN())) = 13, 27.2,0))))))))))))) * 0.4</f>
        <v>#VALUE!</v>
      </c>
      <c r="E8" s="10">
        <f>20</f>
        <v>20</v>
      </c>
      <c r="F8" s="10">
        <f>45</f>
        <v>45</v>
      </c>
      <c r="H8" s="10">
        <f>4</f>
        <v>4</v>
      </c>
      <c r="I8" s="88" t="str">
        <f> IF(INDIRECT(ADDRESS(ROW() - 4, COLUMN())) = 1, 10.8, IF(INDIRECT(ADDRESS(ROW() - 4, COLUMN())) = 2, 11.61, IF(INDIRECT(ADDRESS(ROW() - 4, COLUMN())) = 3, 12.42, IF(INDIRECT(ADDRESS(ROW() - 4, COLUMN())) = 4, 13.5, IF(INDIRECT(ADDRESS(ROW() - 4, COLUMN())) = 5, 14.31, IF(INDIRECT(ADDRESS(ROW() - 4, COLUMN())) = 6, 15.12, IF(INDIRECT(ADDRESS(ROW() - 4, COLUMN())) = 7, 16.2, IF(INDIRECT(ADDRESS(ROW() - 4, COLUMN())) = 8, 17.28, IF(INDIRECT(ADDRESS(ROW() - 4, COLUMN())) = 9, 18.36, IF(INDIRECT(ADDRESS(ROW() - 4, COLUMN())) = 10, 19.4399999999999, IF(INDIRECT(ADDRESS(ROW() - 4, COLUMN())) = 11, 20.52, IF(INDIRECT(ADDRESS(ROW() - 4, COLUMN())) = 12, 21.6, IF(INDIRECT(ADDRESS(ROW() - 4, COLUMN())) = 13, 22.95,0))))))))))))) * 0.35</f>
        <v>#VALUE!</v>
      </c>
      <c r="J8" s="88">
        <f>7.5</f>
        <v>7.5</v>
      </c>
      <c r="K8" s="88">
        <f>2.5</f>
        <v>2.5</v>
      </c>
      <c r="L8" s="88" t="str">
        <f> IF(INDIRECT(ADDRESS(ROW() - 4, COLUMN())) = 1, 9.6, IF(INDIRECT(ADDRESS(ROW() - 4, COLUMN())) = 2, 10.32, IF(INDIRECT(ADDRESS(ROW() - 4, COLUMN())) = 3, 11.04, IF(INDIRECT(ADDRESS(ROW() - 4, COLUMN())) = 4, 12, IF(INDIRECT(ADDRESS(ROW() - 4, COLUMN())) = 5, 12.72, IF(INDIRECT(ADDRESS(ROW() - 4, COLUMN())) = 6, 13.44, IF(INDIRECT(ADDRESS(ROW() - 4, COLUMN())) = 7, 14.3999999999999, IF(INDIRECT(ADDRESS(ROW() - 4, COLUMN())) = 8, 15.36, IF(INDIRECT(ADDRESS(ROW() - 4, COLUMN())) = 9, 16.32, IF(INDIRECT(ADDRESS(ROW() - 4, COLUMN())) = 10, 17.28, IF(INDIRECT(ADDRESS(ROW() - 4, COLUMN())) = 11, 18.24, IF(INDIRECT(ADDRESS(ROW() - 4, COLUMN())) = 12, 19.2, IF(INDIRECT(ADDRESS(ROW() - 4, COLUMN())) = 13, 20.4,0))))))))))))) * 0.2</f>
        <v>#VALUE!</v>
      </c>
      <c r="M8" s="88" t="str">
        <f> IF(INDIRECT(ADDRESS(ROW() - 4, COLUMN())) = 1, 10, IF(INDIRECT(ADDRESS(ROW() - 4, COLUMN())) = 2, 10.75, IF(INDIRECT(ADDRESS(ROW() - 4, COLUMN())) = 3, 11.5, IF(INDIRECT(ADDRESS(ROW() - 4, COLUMN())) = 4, 12.5, IF(INDIRECT(ADDRESS(ROW() - 4, COLUMN())) = 5, 13.25, IF(INDIRECT(ADDRESS(ROW() - 4, COLUMN())) = 6, 14, IF(INDIRECT(ADDRESS(ROW() - 4, COLUMN())) = 7, 15, IF(INDIRECT(ADDRESS(ROW() - 4, COLUMN())) = 8, 16, IF(INDIRECT(ADDRESS(ROW() - 4, COLUMN())) = 9, 17, IF(INDIRECT(ADDRESS(ROW() - 4, COLUMN())) = 10, 18, IF(INDIRECT(ADDRESS(ROW() - 4, COLUMN())) = 11, 19, IF(INDIRECT(ADDRESS(ROW() - 4, COLUMN())) = 12, 20, IF(INDIRECT(ADDRESS(ROW() - 4, COLUMN())) = 13, 21.25,0))))))))))))) * 0.4</f>
        <v>#VALUE!</v>
      </c>
      <c r="N8" s="88">
        <f>10</f>
        <v>10</v>
      </c>
      <c r="O8" s="88">
        <f>6</f>
        <v>6</v>
      </c>
      <c r="R8" s="88">
        <f>3</f>
        <v>3</v>
      </c>
    </row>
    <row r="9">
      <c r="A9" s="4" t="s">
        <v>165</v>
      </c>
    </row>
    <row r="10">
      <c r="A10" s="4" t="s">
        <v>115</v>
      </c>
      <c r="D10" s="88" t="str">
        <f> IF(INDIRECT(ADDRESS(ROW() - 6, COLUMN())) = 1, 1232.08000000002, IF(INDIRECT(ADDRESS(ROW() - 6, COLUMN())) = 2, 1355.91, IF(INDIRECT(ADDRESS(ROW() - 6, COLUMN())) = 3, 1489.87, IF(INDIRECT(ADDRESS(ROW() - 6, COLUMN())) = 4, 1633, IF(INDIRECT(ADDRESS(ROW() - 6, COLUMN())) = 5, 1787.28, IF(INDIRECT(ADDRESS(ROW() - 6, COLUMN())) = 6, 1951.69999999998, IF(INDIRECT(ADDRESS(ROW() - 6, COLUMN())) = 7, 2126.3, IF(INDIRECT(ADDRESS(ROW() - 6, COLUMN())) = 8, 2310.02, IF(INDIRECT(ADDRESS(ROW() - 6, COLUMN())) = 9, 2506.90000000002, IF(INDIRECT(ADDRESS(ROW() - 6, COLUMN())) = 10, 2711.93, IF(INDIRECT(ADDRESS(ROW() - 6, COLUMN())) = 11, 2927.12, IF(INDIRECT(ADDRESS(ROW() - 6, COLUMN())) = 12, 3153.46, IF(INDIRECT(ADDRESS(ROW() - 6, COLUMN())) = 13, 3389.94,0))))))))))))) * 0.4</f>
        <v>#VALUE!</v>
      </c>
      <c r="I10" s="88" t="str">
        <f> IF(INDIRECT(ADDRESS(ROW() - 6, COLUMN())) = 1, 1040, IF(INDIRECT(ADDRESS(ROW() - 6, COLUMN())) = 2, 1144, IF(INDIRECT(ADDRESS(ROW() - 6, COLUMN())) = 3, 1256, IF(INDIRECT(ADDRESS(ROW() - 6, COLUMN())) = 4, 1378, IF(INDIRECT(ADDRESS(ROW() - 6, COLUMN())) = 5, 1508, IF(INDIRECT(ADDRESS(ROW() - 6, COLUMN())) = 6, 1646, IF(INDIRECT(ADDRESS(ROW() - 6, COLUMN())) = 7, 1794, IF(INDIRECT(ADDRESS(ROW() - 6, COLUMN())) = 8, 1950, IF(INDIRECT(ADDRESS(ROW() - 6, COLUMN())) = 9, 2114, IF(INDIRECT(ADDRESS(ROW() - 6, COLUMN())) = 10, 2288, IF(INDIRECT(ADDRESS(ROW() - 6, COLUMN())) = 11, 2470, IF(INDIRECT(ADDRESS(ROW() - 6, COLUMN())) = 12, 2660, IF(INDIRECT(ADDRESS(ROW() - 6, COLUMN())) = 13, 2860,0))))))))))))) * 0.35</f>
        <v>#VALUE!</v>
      </c>
      <c r="L10" s="88" t="str">
        <f> IF(INDIRECT(ADDRESS(ROW() - 6, COLUMN())) = 1, 924.45074, IF(INDIRECT(ADDRESS(ROW() - 6, COLUMN())) = 2, 1016.90868999999, IF(INDIRECT(ADDRESS(ROW() - 6, COLUMN())) = 3, 1117.07141, IF(INDIRECT(ADDRESS(ROW() - 6, COLUMN())) = 4, 1224.93896, IF(INDIRECT(ADDRESS(ROW() - 6, COLUMN())) = 5, 1340.51135, IF(INDIRECT(ADDRESS(ROW() - 6, COLUMN())) = 6, 1463.7887, IF(INDIRECT(ADDRESS(ROW() - 6, COLUMN())) = 7, 1594.77074999999, IF(INDIRECT(ADDRESS(ROW() - 6, COLUMN())) = 8, 1733.45764, IF(INDIRECT(ADDRESS(ROW() - 6, COLUMN())) = 9, 1879.84924, IF(INDIRECT(ADDRESS(ROW() - 6, COLUMN())) = 10, 2033.9458, IF(INDIRECT(ADDRESS(ROW() - 6, COLUMN())) = 11, 2195.74731, IF(INDIRECT(ADDRESS(ROW() - 6, COLUMN())) = 12, 2365.25342, IF(INDIRECT(ADDRESS(ROW() - 6, COLUMN())) = 13, 2542.46436,0))))))))))))) * 0.2</f>
        <v>#VALUE!</v>
      </c>
      <c r="M10" s="88" t="str">
        <f> IF(INDIRECT(ADDRESS(ROW() - 6, COLUMN())) = 1, 962.23132, IF(INDIRECT(ADDRESS(ROW() - 6, COLUMN())) = 2, 1058.4679, IF(INDIRECT(ADDRESS(ROW() - 6, COLUMN())) = 3, 1162.72412, IF(INDIRECT(ADDRESS(ROW() - 6, COLUMN())) = 4, 127500, IF(INDIRECT(ADDRESS(ROW() - 6, COLUMN())) = 5, 1395.29565, IF(INDIRECT(ADDRESS(ROW() - 6, COLUMN())) = 6, 1523.61096, IF(INDIRECT(ADDRESS(ROW() - 6, COLUMN())) = 7, 1659.94604, IF(INDIRECT(ADDRESS(ROW() - 6, COLUMN())) = 8, 1804.30078, IF(INDIRECT(ADDRESS(ROW() - 6, COLUMN())) = 9, 1956.67528999999, IF(INDIRECT(ADDRESS(ROW() - 6, COLUMN())) = 10, 2117.06934, IF(INDIRECT(ADDRESS(ROW() - 6, COLUMN())) = 11, 2285.4834, IF(INDIRECT(ADDRESS(ROW() - 6, COLUMN())) = 12, 2461.91699, IF(INDIRECT(ADDRESS(ROW() - 6, COLUMN())) = 13, 2646.37035999999,0))))))))))))) * 0.4</f>
        <v>#VALUE!</v>
      </c>
    </row>
    <row r="11">
      <c r="A11" s="4" t="s">
        <v>515</v>
      </c>
      <c r="B11" s="88">
        <f>1</f>
        <v>1</v>
      </c>
      <c r="C11" s="10">
        <f t="shared" ref="C11:G11" si="11">1</f>
        <v>1</v>
      </c>
      <c r="D11" s="10">
        <f t="shared" si="11"/>
        <v>1</v>
      </c>
      <c r="E11" s="10">
        <f t="shared" si="11"/>
        <v>1</v>
      </c>
      <c r="F11" s="10">
        <f t="shared" si="11"/>
        <v>1</v>
      </c>
      <c r="G11" s="10">
        <f t="shared" si="11"/>
        <v>1</v>
      </c>
      <c r="H11" s="10">
        <f>4</f>
        <v>4</v>
      </c>
      <c r="I11" s="88">
        <f t="shared" ref="I11:K11" si="12">1</f>
        <v>1</v>
      </c>
      <c r="J11" s="88">
        <f t="shared" si="12"/>
        <v>1</v>
      </c>
      <c r="K11" s="88">
        <f t="shared" si="12"/>
        <v>1</v>
      </c>
      <c r="L11" s="88">
        <f>4</f>
        <v>4</v>
      </c>
      <c r="M11" s="88">
        <f t="shared" ref="M11:Q11" si="13">1</f>
        <v>1</v>
      </c>
      <c r="N11" s="88">
        <f t="shared" si="13"/>
        <v>1</v>
      </c>
      <c r="O11" s="88">
        <f t="shared" si="13"/>
        <v>1</v>
      </c>
      <c r="P11" s="88">
        <f t="shared" si="13"/>
        <v>1</v>
      </c>
      <c r="Q11" s="88">
        <f t="shared" si="13"/>
        <v>1</v>
      </c>
      <c r="R11" s="88">
        <f>4</f>
        <v>4</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2" max="2" width="19.89"/>
    <col customWidth="1" min="3" max="3" width="18.67"/>
    <col customWidth="1" min="4" max="4" width="18.78"/>
    <col customWidth="1" min="5" max="5" width="18.11"/>
    <col customWidth="1" min="6" max="6" width="17.22"/>
    <col customWidth="1" min="7" max="7" width="14.0"/>
    <col customWidth="1" min="8" max="8" width="21.22"/>
    <col customWidth="1" min="9" max="9" width="16.56"/>
    <col customWidth="1" min="10" max="10" width="15.89"/>
  </cols>
  <sheetData>
    <row r="2">
      <c r="A2" s="4" t="s">
        <v>991</v>
      </c>
      <c r="B2" s="4" t="s">
        <v>992</v>
      </c>
      <c r="C2" s="4" t="s">
        <v>993</v>
      </c>
      <c r="D2" s="4" t="s">
        <v>994</v>
      </c>
      <c r="E2" s="4" t="s">
        <v>994</v>
      </c>
      <c r="F2" s="4" t="s">
        <v>994</v>
      </c>
      <c r="G2" s="4" t="s">
        <v>995</v>
      </c>
      <c r="H2" s="4" t="s">
        <v>995</v>
      </c>
      <c r="I2" s="4" t="s">
        <v>995</v>
      </c>
      <c r="J2" s="4" t="s">
        <v>996</v>
      </c>
    </row>
    <row r="3">
      <c r="A3" s="4" t="s">
        <v>187</v>
      </c>
      <c r="B3" s="10" t="s">
        <v>997</v>
      </c>
      <c r="C3" s="10" t="s">
        <v>998</v>
      </c>
      <c r="D3" s="10" t="s">
        <v>999</v>
      </c>
      <c r="E3" s="10" t="s">
        <v>1000</v>
      </c>
      <c r="F3" s="10" t="s">
        <v>1001</v>
      </c>
      <c r="G3" s="10" t="s">
        <v>1002</v>
      </c>
      <c r="H3" s="10" t="s">
        <v>1003</v>
      </c>
      <c r="I3" s="10" t="s">
        <v>1004</v>
      </c>
      <c r="J3" s="10" t="s">
        <v>1005</v>
      </c>
    </row>
    <row r="4">
      <c r="A4" s="4" t="s">
        <v>108</v>
      </c>
      <c r="B4" s="88">
        <f t="shared" ref="B4:C4" si="1">25</f>
        <v>25</v>
      </c>
      <c r="C4" s="88">
        <f t="shared" si="1"/>
        <v>25</v>
      </c>
      <c r="D4" s="88">
        <f>50</f>
        <v>50</v>
      </c>
      <c r="E4" s="88">
        <f>30</f>
        <v>30</v>
      </c>
      <c r="F4" s="88">
        <f>20</f>
        <v>20</v>
      </c>
      <c r="G4" s="10">
        <f t="shared" ref="G4:H4" si="2">15</f>
        <v>15</v>
      </c>
      <c r="H4" s="88">
        <f t="shared" si="2"/>
        <v>15</v>
      </c>
      <c r="I4" s="88">
        <f>20</f>
        <v>20</v>
      </c>
      <c r="J4" s="88">
        <f>15</f>
        <v>15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sheetData>
    <row r="2">
      <c r="B2" s="43" t="s">
        <v>76</v>
      </c>
    </row>
    <row r="19">
      <c r="B19" s="43" t="s">
        <v>77</v>
      </c>
    </row>
    <row r="22">
      <c r="B22" s="10" t="s">
        <v>78</v>
      </c>
    </row>
    <row r="39">
      <c r="B39" s="10" t="s">
        <v>79</v>
      </c>
    </row>
    <row r="41">
      <c r="B41" s="10" t="s">
        <v>80</v>
      </c>
    </row>
    <row r="60">
      <c r="B60" s="10" t="s">
        <v>81</v>
      </c>
    </row>
    <row r="69">
      <c r="B69" s="10" t="s">
        <v>82</v>
      </c>
    </row>
    <row r="108">
      <c r="B108" s="10" t="s">
        <v>83</v>
      </c>
    </row>
    <row r="110">
      <c r="B110" s="43" t="s">
        <v>84</v>
      </c>
    </row>
    <row r="113">
      <c r="B113" s="10" t="s">
        <v>85</v>
      </c>
    </row>
    <row r="114">
      <c r="B114" s="10" t="s">
        <v>86</v>
      </c>
    </row>
    <row r="115">
      <c r="B115" s="10" t="s">
        <v>87</v>
      </c>
    </row>
    <row r="121">
      <c r="B121" s="10" t="s">
        <v>88</v>
      </c>
    </row>
    <row r="128">
      <c r="B128" s="9" t="s">
        <v>89</v>
      </c>
    </row>
    <row r="152">
      <c r="B152" s="10" t="s">
        <v>90</v>
      </c>
    </row>
    <row r="161">
      <c r="B161" s="10" t="s">
        <v>91</v>
      </c>
    </row>
    <row r="166">
      <c r="B166" s="10" t="s">
        <v>92</v>
      </c>
    </row>
    <row r="168">
      <c r="B168" s="43" t="s">
        <v>93</v>
      </c>
    </row>
    <row r="171">
      <c r="B171" s="10" t="s">
        <v>94</v>
      </c>
    </row>
    <row r="177">
      <c r="B177" s="10" t="s">
        <v>95</v>
      </c>
    </row>
    <row r="191">
      <c r="B191" s="10" t="s">
        <v>96</v>
      </c>
    </row>
    <row r="203">
      <c r="B203" s="10" t="s">
        <v>97</v>
      </c>
    </row>
    <row r="204">
      <c r="B204" s="10" t="s">
        <v>98</v>
      </c>
    </row>
    <row r="208">
      <c r="B208" s="10" t="s">
        <v>99</v>
      </c>
    </row>
    <row r="222">
      <c r="B222" s="10" t="s">
        <v>100</v>
      </c>
    </row>
    <row r="223">
      <c r="B223" s="10" t="s">
        <v>101</v>
      </c>
    </row>
    <row r="225">
      <c r="B225" s="43" t="s">
        <v>102</v>
      </c>
    </row>
    <row r="227">
      <c r="B227" s="43"/>
      <c r="C227" s="43"/>
      <c r="D227" s="43"/>
      <c r="E227" s="43"/>
      <c r="F227" s="43"/>
    </row>
    <row r="228">
      <c r="B228" s="44" t="s">
        <v>103</v>
      </c>
      <c r="C228" s="43"/>
      <c r="D228" s="43"/>
      <c r="E228" s="43"/>
      <c r="F228" s="43"/>
    </row>
    <row r="230">
      <c r="B230" s="43" t="s">
        <v>104</v>
      </c>
    </row>
  </sheetData>
  <mergeCells count="31">
    <mergeCell ref="B128:L128"/>
    <mergeCell ref="B136:F136"/>
    <mergeCell ref="B191:I191"/>
    <mergeCell ref="B203:I203"/>
    <mergeCell ref="B204:I204"/>
    <mergeCell ref="B208:I208"/>
    <mergeCell ref="B222:I222"/>
    <mergeCell ref="B223:I223"/>
    <mergeCell ref="B225:F226"/>
    <mergeCell ref="B230:F231"/>
    <mergeCell ref="A1:A1005"/>
    <mergeCell ref="B1:Z1"/>
    <mergeCell ref="B2:F3"/>
    <mergeCell ref="B19:F20"/>
    <mergeCell ref="B22:E22"/>
    <mergeCell ref="B39:J39"/>
    <mergeCell ref="B41:E41"/>
    <mergeCell ref="B60:E60"/>
    <mergeCell ref="B69:F69"/>
    <mergeCell ref="B108:F108"/>
    <mergeCell ref="B110:F111"/>
    <mergeCell ref="B113:F113"/>
    <mergeCell ref="B114:I114"/>
    <mergeCell ref="B115:F115"/>
    <mergeCell ref="B121:N121"/>
    <mergeCell ref="B152:I152"/>
    <mergeCell ref="B161:I161"/>
    <mergeCell ref="B166:I166"/>
    <mergeCell ref="B168:F169"/>
    <mergeCell ref="B171:I171"/>
    <mergeCell ref="B177:I17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6.78"/>
    <col customWidth="1" min="2" max="2" width="23.56"/>
    <col customWidth="1" min="3" max="3" width="13.33"/>
    <col customWidth="1" min="4" max="4" width="23.22"/>
    <col customWidth="1" min="5" max="5" width="15.22"/>
    <col customWidth="1" min="6" max="6" width="17.56"/>
    <col customWidth="1" min="7" max="7" width="12.11"/>
    <col customWidth="1" min="8" max="8" width="12.56"/>
    <col customWidth="1" min="10" max="10" width="10.67"/>
    <col customWidth="1" min="12" max="12" width="12.89"/>
    <col customWidth="1" min="13" max="13" width="17.89"/>
    <col customWidth="1" min="14" max="14" width="21.22"/>
    <col customWidth="1" min="15" max="15" width="14.78"/>
    <col customWidth="1" min="17" max="17" width="16.11"/>
  </cols>
  <sheetData>
    <row r="2">
      <c r="B2" s="45" t="s">
        <v>68</v>
      </c>
      <c r="C2" s="45" t="s">
        <v>69</v>
      </c>
      <c r="D2" s="45" t="s">
        <v>105</v>
      </c>
      <c r="E2" s="46"/>
      <c r="G2" s="1" t="s">
        <v>106</v>
      </c>
      <c r="H2" s="2"/>
      <c r="I2" s="2"/>
      <c r="J2" s="2"/>
      <c r="K2" s="2"/>
      <c r="L2" s="3"/>
      <c r="N2" s="4" t="s">
        <v>107</v>
      </c>
      <c r="O2" s="4" t="s">
        <v>108</v>
      </c>
    </row>
    <row r="3">
      <c r="B3" s="47" t="str">
        <f t="shared" ref="B3:C3" si="1">CONCATENATE(C75," ",C76)</f>
        <v> C0</v>
      </c>
      <c r="C3" s="48" t="str">
        <f t="shared" si="1"/>
        <v> R1</v>
      </c>
      <c r="D3" s="49" t="str">
        <f>CONCATENATE(IF(LEFT(E76)="4",E76,CONCATENATE(E75," ",E76))," ",K63,"/",L63,"/",M63)</f>
        <v>  HP%/HP%/HP%</v>
      </c>
      <c r="E3" s="46"/>
      <c r="G3" s="50"/>
      <c r="H3" s="16"/>
      <c r="I3" s="16"/>
      <c r="J3" s="16"/>
      <c r="K3" s="16"/>
      <c r="L3" s="17"/>
      <c r="N3" s="4" t="s">
        <v>109</v>
      </c>
      <c r="O3" s="51">
        <v>1.0</v>
      </c>
    </row>
    <row r="4">
      <c r="B4" s="52" t="str">
        <f t="shared" ref="B4:C4" si="2">CONCATENATE(C251," ",C252)</f>
        <v> C0</v>
      </c>
      <c r="C4" s="53" t="str">
        <f t="shared" si="2"/>
        <v> R1</v>
      </c>
      <c r="D4" s="54" t="str">
        <f>CONCATENATE(IF(LEFT(E252)="4",E252,CONCATENATE(E251," ",E252))," ",K239,"/",L239,"/",M239)</f>
        <v>  HP%/HP%/HP%</v>
      </c>
      <c r="E4" s="46"/>
      <c r="G4" s="19"/>
      <c r="L4" s="20"/>
      <c r="N4" s="4" t="s">
        <v>110</v>
      </c>
      <c r="O4" s="51"/>
    </row>
    <row r="5">
      <c r="B5" s="52" t="str">
        <f t="shared" ref="B5:C5" si="3">CONCATENATE(C427," ",C428)</f>
        <v> C0</v>
      </c>
      <c r="C5" s="53" t="str">
        <f t="shared" si="3"/>
        <v> R1</v>
      </c>
      <c r="D5" s="54" t="str">
        <f>CONCATENATE(IF(LEFT(E428)="4",E428,CONCATENATE(E427," ",E428))," ",K415,"/",L415,"/",M415)</f>
        <v>  HP%/HP%/HP%</v>
      </c>
      <c r="E5" s="46"/>
      <c r="G5" s="19"/>
      <c r="L5" s="20"/>
      <c r="N5" s="4" t="s">
        <v>111</v>
      </c>
      <c r="O5" s="51"/>
    </row>
    <row r="6">
      <c r="B6" s="55" t="str">
        <f t="shared" ref="B6:C6" si="4">CONCATENATE(C603," ",C604)</f>
        <v> C0</v>
      </c>
      <c r="C6" s="56" t="str">
        <f t="shared" si="4"/>
        <v> R1</v>
      </c>
      <c r="D6" s="57" t="str">
        <f>CONCATENATE(IF(LEFT(E604)="4",E604,CONCATENATE(E603," ",E604))," ",K591,"/",L591,"/",M591)</f>
        <v>  HP%/HP%/HP%</v>
      </c>
      <c r="E6" s="46"/>
      <c r="G6" s="19"/>
      <c r="L6" s="20"/>
      <c r="N6" s="4" t="s">
        <v>112</v>
      </c>
      <c r="O6" s="51" t="b">
        <f>false</f>
        <v>0</v>
      </c>
    </row>
    <row r="7">
      <c r="B7" s="46"/>
      <c r="C7" s="46"/>
      <c r="D7" s="46"/>
      <c r="E7" s="46"/>
      <c r="G7" s="19"/>
      <c r="L7" s="20"/>
      <c r="N7" s="4" t="s">
        <v>113</v>
      </c>
      <c r="O7" s="51">
        <f>MAX(H84, H260, H436, H612)</f>
        <v>40</v>
      </c>
    </row>
    <row r="8">
      <c r="B8" s="45" t="s">
        <v>114</v>
      </c>
      <c r="C8" s="45" t="s">
        <v>115</v>
      </c>
      <c r="D8" s="45" t="s">
        <v>116</v>
      </c>
      <c r="E8" s="45" t="s">
        <v>73</v>
      </c>
      <c r="G8" s="19"/>
      <c r="L8" s="20"/>
      <c r="N8" s="4" t="s">
        <v>117</v>
      </c>
      <c r="O8" s="51"/>
    </row>
    <row r="9">
      <c r="B9" s="45" t="s">
        <v>118</v>
      </c>
      <c r="C9" s="58">
        <v>100.0</v>
      </c>
      <c r="D9" s="59"/>
      <c r="E9" s="60">
        <f>C9</f>
        <v>100</v>
      </c>
      <c r="G9" s="19"/>
      <c r="L9" s="20"/>
    </row>
    <row r="10">
      <c r="B10" s="45" t="s">
        <v>119</v>
      </c>
      <c r="C10" s="59"/>
      <c r="D10" s="59"/>
      <c r="E10" s="61"/>
      <c r="G10" s="19"/>
      <c r="L10" s="20"/>
      <c r="N10" s="62"/>
      <c r="O10" s="63"/>
      <c r="P10" s="64"/>
    </row>
    <row r="11">
      <c r="B11" s="45" t="s">
        <v>120</v>
      </c>
      <c r="C11" s="65">
        <f>5*C9 + 500</f>
        <v>1000</v>
      </c>
      <c r="D11" s="66"/>
      <c r="E11" s="60">
        <f>C11*(1 + D11)</f>
        <v>1000</v>
      </c>
      <c r="G11" s="19"/>
      <c r="L11" s="20"/>
      <c r="N11" s="67"/>
      <c r="O11" s="68"/>
      <c r="P11" s="69"/>
    </row>
    <row r="12">
      <c r="B12" s="45" t="s">
        <v>121</v>
      </c>
      <c r="C12" s="58">
        <v>10.0</v>
      </c>
      <c r="D12" s="70"/>
      <c r="E12" s="60">
        <f t="shared" ref="E12:E19" si="5">C12+D12</f>
        <v>10</v>
      </c>
      <c r="G12" s="19"/>
      <c r="L12" s="20"/>
      <c r="N12" s="67"/>
      <c r="O12" s="68"/>
      <c r="P12" s="69"/>
    </row>
    <row r="13">
      <c r="B13" s="45" t="s">
        <v>122</v>
      </c>
      <c r="C13" s="58">
        <v>10.0</v>
      </c>
      <c r="D13" s="70"/>
      <c r="E13" s="60">
        <f t="shared" si="5"/>
        <v>10</v>
      </c>
      <c r="G13" s="19"/>
      <c r="L13" s="20"/>
      <c r="N13" s="67"/>
      <c r="O13" s="68"/>
      <c r="P13" s="69"/>
    </row>
    <row r="14">
      <c r="B14" s="45" t="s">
        <v>123</v>
      </c>
      <c r="C14" s="58">
        <v>10.0</v>
      </c>
      <c r="D14" s="70"/>
      <c r="E14" s="60">
        <f t="shared" si="5"/>
        <v>10</v>
      </c>
      <c r="G14" s="19"/>
      <c r="L14" s="20"/>
      <c r="N14" s="67"/>
      <c r="O14" s="68"/>
      <c r="P14" s="69"/>
    </row>
    <row r="15">
      <c r="B15" s="45" t="s">
        <v>124</v>
      </c>
      <c r="C15" s="58">
        <v>10.0</v>
      </c>
      <c r="D15" s="71"/>
      <c r="E15" s="60">
        <f t="shared" si="5"/>
        <v>10</v>
      </c>
      <c r="G15" s="19"/>
      <c r="L15" s="20"/>
      <c r="N15" s="67"/>
      <c r="O15" s="68"/>
      <c r="P15" s="69"/>
    </row>
    <row r="16">
      <c r="B16" s="45" t="s">
        <v>125</v>
      </c>
      <c r="C16" s="58">
        <v>10.0</v>
      </c>
      <c r="D16" s="70"/>
      <c r="E16" s="60">
        <f t="shared" si="5"/>
        <v>10</v>
      </c>
      <c r="G16" s="19"/>
      <c r="L16" s="20"/>
      <c r="N16" s="67"/>
      <c r="O16" s="68"/>
      <c r="P16" s="69"/>
    </row>
    <row r="17">
      <c r="B17" s="45" t="s">
        <v>126</v>
      </c>
      <c r="C17" s="58">
        <v>10.0</v>
      </c>
      <c r="D17" s="70"/>
      <c r="E17" s="60">
        <f t="shared" si="5"/>
        <v>10</v>
      </c>
      <c r="G17" s="19"/>
      <c r="L17" s="20"/>
      <c r="N17" s="67"/>
      <c r="O17" s="68"/>
      <c r="P17" s="69"/>
    </row>
    <row r="18">
      <c r="B18" s="45" t="s">
        <v>127</v>
      </c>
      <c r="C18" s="58">
        <v>10.0</v>
      </c>
      <c r="D18" s="70"/>
      <c r="E18" s="60">
        <f t="shared" si="5"/>
        <v>10</v>
      </c>
      <c r="G18" s="19"/>
      <c r="L18" s="20"/>
      <c r="N18" s="67"/>
      <c r="O18" s="68"/>
      <c r="P18" s="69"/>
    </row>
    <row r="19">
      <c r="B19" s="45" t="s">
        <v>128</v>
      </c>
      <c r="C19" s="72">
        <v>10.0</v>
      </c>
      <c r="D19" s="73"/>
      <c r="E19" s="74">
        <f t="shared" si="5"/>
        <v>10</v>
      </c>
      <c r="G19" s="28"/>
      <c r="H19" s="13"/>
      <c r="I19" s="13"/>
      <c r="J19" s="13"/>
      <c r="K19" s="13"/>
      <c r="L19" s="14"/>
      <c r="N19" s="67"/>
      <c r="O19" s="68"/>
      <c r="P19" s="69"/>
    </row>
    <row r="20">
      <c r="C20" s="10"/>
      <c r="N20" s="75"/>
      <c r="O20" s="76"/>
      <c r="P20" s="77"/>
    </row>
    <row r="21">
      <c r="B21" s="45" t="s">
        <v>129</v>
      </c>
      <c r="C21" s="78" t="s">
        <v>130</v>
      </c>
      <c r="D21" s="68"/>
    </row>
    <row r="22">
      <c r="B22" s="45" t="s">
        <v>131</v>
      </c>
      <c r="C22" s="79">
        <f>SUM(D22:Z22)</f>
        <v>0</v>
      </c>
      <c r="D22" s="68"/>
    </row>
    <row r="23">
      <c r="A23" s="80"/>
      <c r="B23" s="81" t="str">
        <f>IFERROR(__xludf.DUMMYFUNCTION("IFERROR(FILTER({C148:CA148,C213:AA213}, NOT(ISBLANK({C148:CA148,C213:AA213}))))"),"")</f>
        <v/>
      </c>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row>
    <row r="24">
      <c r="B24" s="82" t="str">
        <f>CONCAT(B3, " Damage")</f>
        <v> C0 Damage</v>
      </c>
      <c r="C24" s="83" t="s">
        <v>73</v>
      </c>
      <c r="D24" s="70"/>
    </row>
    <row r="25">
      <c r="B25" s="84" t="s">
        <v>132</v>
      </c>
      <c r="C25" s="85"/>
      <c r="D25" s="71" t="s">
        <v>133</v>
      </c>
    </row>
    <row r="26">
      <c r="B26" s="84" t="s">
        <v>134</v>
      </c>
      <c r="C26" s="86"/>
      <c r="D26" s="71" t="s">
        <v>135</v>
      </c>
    </row>
    <row r="27">
      <c r="B27" s="84" t="s">
        <v>136</v>
      </c>
      <c r="C27" s="87"/>
      <c r="D27" s="71">
        <v>1.0</v>
      </c>
      <c r="E27" s="88"/>
    </row>
    <row r="28">
      <c r="B28" s="45" t="s">
        <v>71</v>
      </c>
      <c r="C28" s="89">
        <f t="shared" ref="C28:C29" si="6">SUM(D28:Z28)</f>
        <v>0</v>
      </c>
      <c r="D28" s="90" t="str">
        <f>IF(ISBLANK(D24), , IFERROR(HLOOKUP(D24, $C$148:$AA$198, IF(D25 = "None", 36, IF(D25 = "Melt", 40, IF(D25 = "Vape", 44, IF(D25 = "Quicken", 49, 0)))) + IF(D26 = "Average", 1, IF(D26 = "Crit", 2, 0)), FALSE) * D27, HLOOKUP(D24, $C$213:$AA$233, IF(D25 = "None", IF(D26 = "Average", 13, IF(D26 = "Crit", 14, 12)), IF(D25 = "Melt", 16, IF(D25 = "Vape", 18, IF(D25 = "Quicken", 21)))), FALSE) * D27))</f>
        <v/>
      </c>
      <c r="E28" s="91"/>
    </row>
    <row r="29">
      <c r="B29" s="45" t="s">
        <v>58</v>
      </c>
      <c r="C29" s="92">
        <f t="shared" si="6"/>
        <v>0</v>
      </c>
      <c r="D29" s="90" t="str">
        <f>IF(ISBLANK(D24), , IFERROR(D28/$C$22))</f>
        <v/>
      </c>
      <c r="E29" s="91"/>
    </row>
    <row r="30">
      <c r="B30" s="45" t="s">
        <v>72</v>
      </c>
      <c r="C30" s="93" t="str">
        <f>C28 / C56</f>
        <v>#DIV/0!</v>
      </c>
      <c r="D30" s="94" t="str">
        <f>IF(ISBLANK(D24), , D28/$C$28)</f>
        <v/>
      </c>
      <c r="E30" s="95"/>
    </row>
    <row r="31">
      <c r="A31" s="80"/>
      <c r="B31" s="81" t="str">
        <f>IFERROR(__xludf.DUMMYFUNCTION("IFERROR(FILTER({C324:CA324,C389:AA389}, NOT(ISBLANK({C324:CA324,C389:AA389}))))"),"")</f>
        <v/>
      </c>
      <c r="C31" s="80"/>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row>
    <row r="32">
      <c r="B32" s="96" t="str">
        <f>CONCAT(B4, " Damage")</f>
        <v> C0 Damage</v>
      </c>
      <c r="C32" s="97" t="s">
        <v>73</v>
      </c>
      <c r="D32" s="70"/>
    </row>
    <row r="33">
      <c r="B33" s="98" t="s">
        <v>132</v>
      </c>
      <c r="C33" s="99"/>
      <c r="D33" s="71" t="s">
        <v>133</v>
      </c>
    </row>
    <row r="34">
      <c r="B34" s="98" t="s">
        <v>134</v>
      </c>
      <c r="C34" s="100"/>
      <c r="D34" s="71" t="s">
        <v>135</v>
      </c>
    </row>
    <row r="35">
      <c r="B35" s="98" t="s">
        <v>136</v>
      </c>
      <c r="C35" s="101"/>
      <c r="D35" s="71">
        <v>1.0</v>
      </c>
    </row>
    <row r="36">
      <c r="B36" s="102" t="s">
        <v>71</v>
      </c>
      <c r="C36" s="89">
        <f t="shared" ref="C36:C37" si="7">SUM(D36:Z36)</f>
        <v>0</v>
      </c>
      <c r="D36" s="90" t="str">
        <f>IF(ISBLANK(D32), , IFERROR(HLOOKUP(D32, $C$324:$AA$374, IF(D33 = "None", 36, IF(D33 = "Melt", 40, IF(D33 = "Vape", 44, IF(D33 = "Quicken", 49, 0)))) + IF(D34 = "Average", 1, IF(D34 = "Crit", 2, 0)), FALSE) * D35, HLOOKUP(D32, $C$389:$AA$409, IF(D33 = "None", IF(D34 = "Average", 13, IF(D34 = "Crit", 14, 12)), IF(D33 = "Melt", 16, IF(D33 = "Vape", 18, IF(D33 = "Quicken", 21)))), FALSE) * D35))</f>
        <v/>
      </c>
    </row>
    <row r="37">
      <c r="B37" s="102" t="s">
        <v>58</v>
      </c>
      <c r="C37" s="92">
        <f t="shared" si="7"/>
        <v>0</v>
      </c>
      <c r="D37" s="90" t="str">
        <f>IF(ISBLANK(D32), , IFERROR(D36/$C$22))</f>
        <v/>
      </c>
    </row>
    <row r="38">
      <c r="B38" s="102" t="s">
        <v>72</v>
      </c>
      <c r="C38" s="103" t="str">
        <f>C36 / C56</f>
        <v>#DIV/0!</v>
      </c>
      <c r="D38" s="94" t="str">
        <f>IF(ISBLANK(D32), , D36/$C$36)</f>
        <v/>
      </c>
    </row>
    <row r="39">
      <c r="A39" s="80"/>
      <c r="B39" s="80" t="str">
        <f>IFERROR(__xludf.DUMMYFUNCTION("IFERROR(FILTER({C500:CA500,C565:AA565}, NOT(ISBLANK({C500:CA500,C565:AA565}))))"),"")</f>
        <v/>
      </c>
      <c r="C39" s="80"/>
      <c r="D39" s="80"/>
      <c r="E39" s="80"/>
      <c r="F39" s="80"/>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row>
    <row r="40">
      <c r="B40" s="96" t="str">
        <f>CONCAT(B5, " Damage")</f>
        <v> C0 Damage</v>
      </c>
      <c r="C40" s="97" t="s">
        <v>73</v>
      </c>
      <c r="D40" s="70"/>
    </row>
    <row r="41">
      <c r="B41" s="98" t="s">
        <v>132</v>
      </c>
      <c r="C41" s="99"/>
      <c r="D41" s="71" t="s">
        <v>133</v>
      </c>
    </row>
    <row r="42">
      <c r="B42" s="98" t="s">
        <v>134</v>
      </c>
      <c r="C42" s="100"/>
      <c r="D42" s="71" t="s">
        <v>135</v>
      </c>
    </row>
    <row r="43">
      <c r="B43" s="98" t="s">
        <v>136</v>
      </c>
      <c r="C43" s="101"/>
      <c r="D43" s="71">
        <v>1.0</v>
      </c>
    </row>
    <row r="44">
      <c r="B44" s="102" t="s">
        <v>71</v>
      </c>
      <c r="C44" s="89">
        <f t="shared" ref="C44:C45" si="8">SUM(D44:Z44)</f>
        <v>0</v>
      </c>
      <c r="D44" s="90" t="str">
        <f>IF(ISBLANK(D40), , IFERROR(HLOOKUP(D40, $C$500:$AA$550, IF(D41 = "None", 36, IF(D41 = "Melt", 40, IF(D41 = "Vape", 44, IF(D41 = "Quicken", 49, 0)))) + IF(D42 = "Average", 1, IF(D42 = "Crit", 2, 0)), FALSE) * D43, HLOOKUP(D40, $C$565:$AA$585, IF(D41 = "None", IF(D42 = "Average", 13, IF(D42 = "Crit", 14, 12)), IF(D41 = "Melt", 16, IF(D41 = "Vape", 18, IF(D41 = "Quicken", 21)))), FALSE) * D43))</f>
        <v/>
      </c>
    </row>
    <row r="45">
      <c r="B45" s="102" t="s">
        <v>58</v>
      </c>
      <c r="C45" s="92">
        <f t="shared" si="8"/>
        <v>0</v>
      </c>
      <c r="D45" s="90" t="str">
        <f>IF(ISBLANK(D40), , IFERROR(D44/$C$22))</f>
        <v/>
      </c>
    </row>
    <row r="46">
      <c r="B46" s="102" t="s">
        <v>72</v>
      </c>
      <c r="C46" s="103" t="str">
        <f>C44 / C56</f>
        <v>#DIV/0!</v>
      </c>
      <c r="D46" s="94" t="str">
        <f>IF(ISBLANK(D40), , D44/$C$44)</f>
        <v/>
      </c>
    </row>
    <row r="47">
      <c r="A47" s="80"/>
      <c r="B47" s="80" t="str">
        <f>IFERROR(__xludf.DUMMYFUNCTION("IFERROR(FILTER({C676:CA676,C741:AA741}, NOT(ISBLANK({C676:CA676,C741:AA741}))))"),"")</f>
        <v/>
      </c>
      <c r="C47" s="80"/>
      <c r="D47" s="80"/>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row>
    <row r="48">
      <c r="B48" s="96" t="str">
        <f>CONCAT(B6, " Damage")</f>
        <v> C0 Damage</v>
      </c>
      <c r="C48" s="97" t="s">
        <v>73</v>
      </c>
      <c r="D48" s="70"/>
    </row>
    <row r="49">
      <c r="B49" s="98" t="s">
        <v>132</v>
      </c>
      <c r="C49" s="99"/>
      <c r="D49" s="71" t="s">
        <v>133</v>
      </c>
    </row>
    <row r="50">
      <c r="B50" s="98" t="s">
        <v>134</v>
      </c>
      <c r="C50" s="100"/>
      <c r="D50" s="71" t="s">
        <v>135</v>
      </c>
    </row>
    <row r="51">
      <c r="B51" s="98" t="s">
        <v>136</v>
      </c>
      <c r="C51" s="101"/>
      <c r="D51" s="71">
        <v>1.0</v>
      </c>
    </row>
    <row r="52">
      <c r="B52" s="102" t="s">
        <v>71</v>
      </c>
      <c r="C52" s="89">
        <f t="shared" ref="C52:C53" si="9">SUM(D52:Z52)</f>
        <v>0</v>
      </c>
      <c r="D52" s="90" t="str">
        <f>IF(ISBLANK(D48), , IFERROR(HLOOKUP(D48, $C$676:$AA$726, IF(D49 = "None", 36, IF(D49 = "Melt", 40, IF(D49 = "Vape", 44, IF(D49 = "Quicken", 49, 0)))) + IF(D50 = "Average", 1, IF(D50 = "Crit", 2, 0)), FALSE) * D51, HLOOKUP(D48, $C$741:$AA$761, IF(D49 = "None", IF(D50 = "Average", 13, IF(D50 = "Crit", 14, 12)), IF(D49 = "Melt", 16, IF(D49 = "Vape", 18, IF(D49 = "Quicken", 21)))), FALSE) * D51))</f>
        <v/>
      </c>
    </row>
    <row r="53">
      <c r="B53" s="102" t="s">
        <v>58</v>
      </c>
      <c r="C53" s="92">
        <f t="shared" si="9"/>
        <v>0</v>
      </c>
      <c r="D53" s="90" t="str">
        <f>IF(ISBLANK(D48), , IFERROR(D52/$C$22))</f>
        <v/>
      </c>
    </row>
    <row r="54">
      <c r="B54" s="102" t="s">
        <v>72</v>
      </c>
      <c r="C54" s="103" t="str">
        <f>C52 / C56</f>
        <v>#DIV/0!</v>
      </c>
      <c r="D54" s="94" t="str">
        <f>IF(ISBLANK(D48), , D52/$C$52)</f>
        <v/>
      </c>
    </row>
    <row r="56">
      <c r="B56" s="45" t="s">
        <v>137</v>
      </c>
      <c r="C56" s="104">
        <f>C28 + C36 + C44 + C52</f>
        <v>0</v>
      </c>
    </row>
    <row r="57">
      <c r="B57" s="45" t="s">
        <v>58</v>
      </c>
      <c r="C57" s="104" t="str">
        <f>C56 / C22</f>
        <v>#DIV/0!</v>
      </c>
    </row>
    <row r="59">
      <c r="A59" s="105"/>
      <c r="B59" s="106" t="str">
        <f>CONCAT(B3, CONCAT(" | ", CONCAT(C3, CONCAT(" | ", D3))))</f>
        <v> C0 |  R1 |   HP%/HP%/HP%</v>
      </c>
    </row>
    <row r="61">
      <c r="B61" s="107" t="s">
        <v>138</v>
      </c>
      <c r="C61" s="108">
        <f>IF(C64="KQM", 20 - (COUNTIF(I62:M62, "4*") * 2), IF(C64="Jam", 24 - (COUNTIF(I62:M62, "4*") * 2) - (COUNTIF(L63:M63, "EM") * 3) - (2 * (COUNTIF(M63, "CR%") + COUNTIF(M63, "CD%") + COUNTIF(M63, "HB%"))) - (2 * (COUNTIF(K63, "ER%") + COUNTIF(K63, "EM"))) - (IF(OR(L63 = "ATK%", L63 = "DEF%", L63 = "HP%", L63 = "EM"), 0, 2)), 25))</f>
        <v>20</v>
      </c>
      <c r="E61" s="109" t="s">
        <v>139</v>
      </c>
      <c r="F61" s="108">
        <v>90.0</v>
      </c>
      <c r="H61" s="110" t="s">
        <v>105</v>
      </c>
      <c r="I61" s="110" t="s">
        <v>140</v>
      </c>
      <c r="J61" s="110" t="s">
        <v>141</v>
      </c>
      <c r="K61" s="110" t="s">
        <v>142</v>
      </c>
      <c r="L61" s="110" t="s">
        <v>143</v>
      </c>
      <c r="M61" s="110" t="s">
        <v>144</v>
      </c>
    </row>
    <row r="62">
      <c r="B62" s="107" t="s">
        <v>145</v>
      </c>
      <c r="C62" s="108">
        <f>IF(C64="KQM", 10, IF(C64 = "Jam", 12 - (COUNTIF(L63:M63, "EM") * 2) - (1 * (COUNTIF(M63, "CR%") + COUNTIF(M63, "CD%") + COUNTIF(M63, "HB%"))) - (1 * (COUNTIF(K63, "ER%") + COUNTIF(K63, "EM"))) - (IF(OR(L63 = "ATK%", L63 = "DEF%", L63 = "HP%", L63 = "EM"), 0, 1)), 15))</f>
        <v>10</v>
      </c>
      <c r="E62" s="109" t="s">
        <v>146</v>
      </c>
      <c r="F62" s="111">
        <v>9.0</v>
      </c>
      <c r="H62" s="110" t="s">
        <v>147</v>
      </c>
      <c r="I62" s="112" t="s">
        <v>148</v>
      </c>
      <c r="J62" s="113" t="s">
        <v>148</v>
      </c>
      <c r="K62" s="113" t="s">
        <v>148</v>
      </c>
      <c r="L62" s="113" t="s">
        <v>148</v>
      </c>
      <c r="M62" s="114" t="s">
        <v>148</v>
      </c>
    </row>
    <row r="63">
      <c r="B63" s="107" t="s">
        <v>149</v>
      </c>
      <c r="C63" s="108">
        <f>IF(C64 = "KQM", IF(COUNTIF(I62:M62, "4*") &gt; 0, 0.8, 1), 1 - (COUNTIF(I62:M62, "4*") * 0.04))</f>
        <v>1</v>
      </c>
      <c r="E63" s="109" t="s">
        <v>150</v>
      </c>
      <c r="F63" s="111">
        <v>9.0</v>
      </c>
      <c r="H63" s="110" t="s">
        <v>151</v>
      </c>
      <c r="I63" s="115" t="s">
        <v>152</v>
      </c>
      <c r="J63" s="116" t="s">
        <v>153</v>
      </c>
      <c r="K63" s="117" t="s">
        <v>154</v>
      </c>
      <c r="L63" s="117" t="s">
        <v>154</v>
      </c>
      <c r="M63" s="118" t="s">
        <v>154</v>
      </c>
    </row>
    <row r="64">
      <c r="B64" s="107" t="s">
        <v>155</v>
      </c>
      <c r="C64" s="111" t="s">
        <v>156</v>
      </c>
      <c r="E64" s="109" t="s">
        <v>157</v>
      </c>
      <c r="F64" s="111">
        <v>9.0</v>
      </c>
      <c r="H64" s="110" t="s">
        <v>158</v>
      </c>
      <c r="I64" s="119">
        <f>IF(I62 = "5*", 311, 232)</f>
        <v>311</v>
      </c>
      <c r="J64" s="120">
        <f>IF(J62 = "5*", 4780, 3571)</f>
        <v>4780</v>
      </c>
      <c r="K64" s="121">
        <f>IF(K62 = "5*", IF(OR(K63 = "HP%", K63 = "ATK%"), 46.6, IF(K63 = "DEF%", 58.3, IF(K63 = "ER%", 51.8, IF(K63 = "EM", 187)))), IF(OR(K63 = "HP%", K63 = "ATK%"), 34.8, IF(K63 = "DEF%", 43.5, IF(K63 = "ER%", 38.7, IF(K63 = "EM", 139)))))</f>
        <v>46.6</v>
      </c>
      <c r="L64" s="121">
        <f>IF(L62 = "5*", IF(OR(L63 = "HP%", L63 = "ATK%"), 46.6, IF(L63 = "DEF%", 58.3, IF(L63 = "Phys%", 58.3, IF(L63 = "EM", 187, 46.6)))), IF(OR(L63 = "HP%", L63 = "ATK%"), 34.8, IF(L63 = "DEF%", 43.5, IF(L63 = "Phys%", 43.5, IF(L63 = "EM", 139, 34.8)))))</f>
        <v>46.6</v>
      </c>
      <c r="M64" s="122">
        <f>IF(M62 = "5*", IF(OR(M63 = "HP%", M63 = "ATK%"), 46.6, IF(M63 = "DEF%", 58.3, IF(M63 = "EM", 187, IF(M63 = "CR%", 31.1, IF(M63 = "CD%", 62.2, 35.9))))), IF(OR(M63 = "HP%", M63 = "ATK%"), 34.8, IF(M63 = "DEF%", 45.3, IF(M63 = "EM", 139, IF(M63 = "CR%", 23.2, IF(M63 = "CD%", 46.4, 26.8))))))</f>
        <v>46.6</v>
      </c>
    </row>
    <row r="65">
      <c r="B65" s="123"/>
    </row>
    <row r="66">
      <c r="B66" s="110" t="s">
        <v>159</v>
      </c>
      <c r="C66" s="110" t="s">
        <v>152</v>
      </c>
      <c r="D66" s="110" t="s">
        <v>160</v>
      </c>
      <c r="E66" s="110" t="s">
        <v>153</v>
      </c>
      <c r="F66" s="110" t="s">
        <v>154</v>
      </c>
      <c r="G66" s="110" t="s">
        <v>120</v>
      </c>
      <c r="H66" s="110" t="s">
        <v>161</v>
      </c>
      <c r="I66" s="110" t="s">
        <v>162</v>
      </c>
      <c r="J66" s="110" t="s">
        <v>163</v>
      </c>
      <c r="K66" s="110" t="s">
        <v>164</v>
      </c>
      <c r="L66" s="110" t="s">
        <v>165</v>
      </c>
      <c r="M66" s="124" t="s">
        <v>73</v>
      </c>
    </row>
    <row r="67">
      <c r="B67" s="110" t="s">
        <v>166</v>
      </c>
      <c r="C67" s="125">
        <f>ROUND(16.54 * $C63, 2)</f>
        <v>16.54</v>
      </c>
      <c r="D67" s="125">
        <f>ROUND(4.96 * $C63, 2)</f>
        <v>4.96</v>
      </c>
      <c r="E67" s="125">
        <f>ROUND(253.94 * $C63, 2)</f>
        <v>253.94</v>
      </c>
      <c r="F67" s="125">
        <f>ROUND(4.96 * $C63, 2)</f>
        <v>4.96</v>
      </c>
      <c r="G67" s="125">
        <f>ROUND(19.68 * $C63, 2)</f>
        <v>19.68</v>
      </c>
      <c r="H67" s="125">
        <f>ROUND(6.2 * $C63, 2)</f>
        <v>6.2</v>
      </c>
      <c r="I67" s="125">
        <f>ROUND(3.31 * $C63, 2)</f>
        <v>3.31</v>
      </c>
      <c r="J67" s="125">
        <f>ROUND(6.62 * $C63, 2)</f>
        <v>6.62</v>
      </c>
      <c r="K67" s="125">
        <f>ROUND(5.51 * $C63, 2)</f>
        <v>5.51</v>
      </c>
      <c r="L67" s="125">
        <f>ROUND(19.82 * $C63, 2)</f>
        <v>19.82</v>
      </c>
      <c r="M67" s="126"/>
    </row>
    <row r="68">
      <c r="B68" s="110" t="s">
        <v>167</v>
      </c>
      <c r="C68" s="125">
        <f t="shared" ref="C68:L68" si="10">IF(OR($C64="KQM", $C64="Jam"), 2, 0)</f>
        <v>2</v>
      </c>
      <c r="D68" s="125">
        <f t="shared" si="10"/>
        <v>2</v>
      </c>
      <c r="E68" s="125">
        <f t="shared" si="10"/>
        <v>2</v>
      </c>
      <c r="F68" s="125">
        <f t="shared" si="10"/>
        <v>2</v>
      </c>
      <c r="G68" s="125">
        <f t="shared" si="10"/>
        <v>2</v>
      </c>
      <c r="H68" s="125">
        <f t="shared" si="10"/>
        <v>2</v>
      </c>
      <c r="I68" s="125">
        <f t="shared" si="10"/>
        <v>2</v>
      </c>
      <c r="J68" s="125">
        <f t="shared" si="10"/>
        <v>2</v>
      </c>
      <c r="K68" s="125">
        <f t="shared" si="10"/>
        <v>2</v>
      </c>
      <c r="L68" s="125">
        <f t="shared" si="10"/>
        <v>2</v>
      </c>
      <c r="M68" s="127">
        <f>SUM(C68:L68)</f>
        <v>20</v>
      </c>
    </row>
    <row r="69">
      <c r="B69" s="110" t="s">
        <v>168</v>
      </c>
      <c r="C69" s="128">
        <f t="shared" ref="C69:L69" si="11">$C62 - (COUNTIF($I63:$M63, C66) * 2)</f>
        <v>8</v>
      </c>
      <c r="D69" s="128">
        <f t="shared" si="11"/>
        <v>10</v>
      </c>
      <c r="E69" s="128">
        <f t="shared" si="11"/>
        <v>8</v>
      </c>
      <c r="F69" s="128">
        <f t="shared" si="11"/>
        <v>4</v>
      </c>
      <c r="G69" s="128">
        <f t="shared" si="11"/>
        <v>10</v>
      </c>
      <c r="H69" s="128">
        <f t="shared" si="11"/>
        <v>10</v>
      </c>
      <c r="I69" s="128">
        <f t="shared" si="11"/>
        <v>10</v>
      </c>
      <c r="J69" s="128">
        <f t="shared" si="11"/>
        <v>10</v>
      </c>
      <c r="K69" s="128">
        <f t="shared" si="11"/>
        <v>10</v>
      </c>
      <c r="L69" s="128">
        <f t="shared" si="11"/>
        <v>10</v>
      </c>
      <c r="M69" s="108">
        <f>C61</f>
        <v>20</v>
      </c>
    </row>
    <row r="70">
      <c r="B70" s="110" t="s">
        <v>169</v>
      </c>
      <c r="C70" s="129">
        <v>0.0</v>
      </c>
      <c r="D70" s="130">
        <v>0.0</v>
      </c>
      <c r="E70" s="130">
        <v>0.0</v>
      </c>
      <c r="F70" s="130">
        <v>0.0</v>
      </c>
      <c r="G70" s="129">
        <v>0.0</v>
      </c>
      <c r="H70" s="129">
        <v>0.0</v>
      </c>
      <c r="I70" s="130">
        <v>0.0</v>
      </c>
      <c r="J70" s="130">
        <v>0.0</v>
      </c>
      <c r="K70" s="130">
        <v>0.0</v>
      </c>
      <c r="L70" s="130">
        <v>0.0</v>
      </c>
      <c r="M70" s="131">
        <f>SUM(C70:L70)</f>
        <v>0</v>
      </c>
    </row>
    <row r="71">
      <c r="B71" s="110" t="s">
        <v>73</v>
      </c>
      <c r="C71" s="128">
        <f t="shared" ref="C71:M71" si="12">C68 + C70</f>
        <v>2</v>
      </c>
      <c r="D71" s="128">
        <f t="shared" si="12"/>
        <v>2</v>
      </c>
      <c r="E71" s="128">
        <f t="shared" si="12"/>
        <v>2</v>
      </c>
      <c r="F71" s="128">
        <f t="shared" si="12"/>
        <v>2</v>
      </c>
      <c r="G71" s="128">
        <f t="shared" si="12"/>
        <v>2</v>
      </c>
      <c r="H71" s="128">
        <f t="shared" si="12"/>
        <v>2</v>
      </c>
      <c r="I71" s="128">
        <f t="shared" si="12"/>
        <v>2</v>
      </c>
      <c r="J71" s="128">
        <f t="shared" si="12"/>
        <v>2</v>
      </c>
      <c r="K71" s="128">
        <f t="shared" si="12"/>
        <v>2</v>
      </c>
      <c r="L71" s="128">
        <f t="shared" si="12"/>
        <v>2</v>
      </c>
      <c r="M71" s="132">
        <f t="shared" si="12"/>
        <v>20</v>
      </c>
    </row>
    <row r="72">
      <c r="B72" s="110" t="s">
        <v>170</v>
      </c>
      <c r="C72" s="131">
        <f t="shared" ref="C72:L72" si="13">ROUND(C67 * C71, 2)</f>
        <v>33.08</v>
      </c>
      <c r="D72" s="131">
        <f t="shared" si="13"/>
        <v>9.92</v>
      </c>
      <c r="E72" s="131">
        <f t="shared" si="13"/>
        <v>507.88</v>
      </c>
      <c r="F72" s="131">
        <f t="shared" si="13"/>
        <v>9.92</v>
      </c>
      <c r="G72" s="131">
        <f t="shared" si="13"/>
        <v>39.36</v>
      </c>
      <c r="H72" s="131">
        <f t="shared" si="13"/>
        <v>12.4</v>
      </c>
      <c r="I72" s="131">
        <f t="shared" si="13"/>
        <v>6.62</v>
      </c>
      <c r="J72" s="131">
        <f t="shared" si="13"/>
        <v>13.24</v>
      </c>
      <c r="K72" s="131">
        <f t="shared" si="13"/>
        <v>11.02</v>
      </c>
      <c r="L72" s="133">
        <f t="shared" si="13"/>
        <v>39.64</v>
      </c>
      <c r="M72" s="134"/>
    </row>
    <row r="74">
      <c r="B74" s="135" t="s">
        <v>171</v>
      </c>
      <c r="C74" s="135" t="s">
        <v>68</v>
      </c>
      <c r="D74" s="135" t="s">
        <v>69</v>
      </c>
      <c r="E74" s="135" t="s">
        <v>172</v>
      </c>
      <c r="F74" s="135" t="s">
        <v>173</v>
      </c>
      <c r="G74" s="135" t="s">
        <v>174</v>
      </c>
      <c r="H74" s="135" t="s">
        <v>175</v>
      </c>
      <c r="I74" s="135" t="s">
        <v>176</v>
      </c>
      <c r="J74" s="135" t="s">
        <v>73</v>
      </c>
      <c r="L74" s="135" t="s">
        <v>177</v>
      </c>
      <c r="M74" s="135" t="s">
        <v>152</v>
      </c>
      <c r="N74" s="135" t="s">
        <v>120</v>
      </c>
      <c r="O74" s="135" t="s">
        <v>153</v>
      </c>
      <c r="P74" s="135" t="s">
        <v>165</v>
      </c>
    </row>
    <row r="75">
      <c r="B75" s="136" t="s">
        <v>178</v>
      </c>
      <c r="C75" s="137"/>
      <c r="D75" s="137"/>
      <c r="E75" s="137"/>
      <c r="F75" s="138" t="s">
        <v>179</v>
      </c>
      <c r="G75" s="139"/>
      <c r="H75" s="139"/>
      <c r="I75" s="139"/>
      <c r="J75" s="139"/>
      <c r="L75" s="140" t="s">
        <v>180</v>
      </c>
      <c r="M75" s="141"/>
      <c r="N75" s="142"/>
      <c r="O75" s="142"/>
      <c r="P75" s="143"/>
    </row>
    <row r="76">
      <c r="B76" s="144" t="b">
        <v>0</v>
      </c>
      <c r="C76" s="137" t="s">
        <v>181</v>
      </c>
      <c r="D76" s="137" t="s">
        <v>182</v>
      </c>
      <c r="E76" s="137"/>
      <c r="F76" s="37"/>
      <c r="G76" s="37"/>
      <c r="H76" s="37"/>
      <c r="I76" s="37"/>
      <c r="J76" s="37"/>
      <c r="L76" s="140" t="s">
        <v>183</v>
      </c>
      <c r="M76" s="145"/>
      <c r="N76" s="65"/>
      <c r="O76" s="65"/>
      <c r="P76" s="146"/>
    </row>
    <row r="77">
      <c r="B77" s="140" t="s">
        <v>152</v>
      </c>
      <c r="C77" s="58"/>
      <c r="D77" s="58"/>
      <c r="E77" s="65"/>
      <c r="F77" s="58">
        <f>I64 + C72</f>
        <v>344.08</v>
      </c>
      <c r="G77" s="70"/>
      <c r="H77" s="65">
        <f>ROUND((C77 + D77) * (1 + J78%) + E77 + F77 + G77, 0)</f>
        <v>344</v>
      </c>
      <c r="I77" s="147"/>
      <c r="J77" s="148">
        <f t="shared" ref="J77:J81" si="14">H77+I77</f>
        <v>344</v>
      </c>
      <c r="L77" s="140" t="s">
        <v>184</v>
      </c>
      <c r="M77" s="145"/>
      <c r="N77" s="65"/>
      <c r="O77" s="65"/>
      <c r="P77" s="146"/>
    </row>
    <row r="78">
      <c r="B78" s="140" t="s">
        <v>160</v>
      </c>
      <c r="C78" s="58"/>
      <c r="D78" s="58"/>
      <c r="E78" s="65"/>
      <c r="F78" s="58">
        <f>D72 + (IF(K63 = "ATK%", K64)) + (IF(L63 = "ATK%", L64)) + (IF(M63 = "ATK%", M64))</f>
        <v>9.92</v>
      </c>
      <c r="G78" s="71"/>
      <c r="H78" s="65">
        <f>sum(C78:G78)</f>
        <v>9.92</v>
      </c>
      <c r="I78" s="65"/>
      <c r="J78" s="148">
        <f t="shared" si="14"/>
        <v>9.92</v>
      </c>
      <c r="L78" s="140" t="s">
        <v>185</v>
      </c>
      <c r="M78" s="149"/>
      <c r="N78" s="65"/>
      <c r="O78" s="65"/>
      <c r="P78" s="146"/>
    </row>
    <row r="79">
      <c r="B79" s="140" t="s">
        <v>162</v>
      </c>
      <c r="C79" s="58"/>
      <c r="D79" s="58"/>
      <c r="E79" s="65"/>
      <c r="F79" s="65">
        <f>I72 + IF(M63 = "CR%", M64)</f>
        <v>6.62</v>
      </c>
      <c r="G79" s="70"/>
      <c r="H79" s="65">
        <f t="shared" ref="H79:H80" si="15">C79 + D79 + E79 + F79 + G79</f>
        <v>6.62</v>
      </c>
      <c r="I79" s="65"/>
      <c r="J79" s="148">
        <f t="shared" si="14"/>
        <v>6.62</v>
      </c>
      <c r="L79" s="140" t="s">
        <v>186</v>
      </c>
      <c r="M79" s="150"/>
      <c r="N79" s="151"/>
      <c r="O79" s="151"/>
      <c r="P79" s="152"/>
    </row>
    <row r="80">
      <c r="B80" s="140" t="s">
        <v>163</v>
      </c>
      <c r="C80" s="58"/>
      <c r="D80" s="58"/>
      <c r="E80" s="65"/>
      <c r="F80" s="65">
        <f>J72 + IF(M63 = "CD%", M64)</f>
        <v>13.24</v>
      </c>
      <c r="G80" s="70"/>
      <c r="H80" s="65">
        <f t="shared" si="15"/>
        <v>13.24</v>
      </c>
      <c r="I80" s="65"/>
      <c r="J80" s="148">
        <f t="shared" si="14"/>
        <v>13.24</v>
      </c>
    </row>
    <row r="81">
      <c r="B81" s="140" t="s">
        <v>120</v>
      </c>
      <c r="C81" s="58"/>
      <c r="D81" s="58"/>
      <c r="E81" s="65"/>
      <c r="F81" s="58">
        <f>G72</f>
        <v>39.36</v>
      </c>
      <c r="G81" s="70"/>
      <c r="H81" s="65">
        <f>ROUND((C81) * (1 + J82%) + D81 + E81 + F81 + G81, 0)</f>
        <v>39</v>
      </c>
      <c r="I81" s="65"/>
      <c r="J81" s="148">
        <f t="shared" si="14"/>
        <v>39</v>
      </c>
      <c r="L81" s="45" t="s">
        <v>187</v>
      </c>
      <c r="M81" s="153"/>
    </row>
    <row r="82">
      <c r="B82" s="140" t="s">
        <v>161</v>
      </c>
      <c r="C82" s="58"/>
      <c r="D82" s="58"/>
      <c r="E82" s="65"/>
      <c r="F82" s="58">
        <f>H72 + (IF(K63 = "DEF%", K64)) + (IF(L63 = "DEF%", L64)) + (IF(M63 = "DEF%", M64))</f>
        <v>12.4</v>
      </c>
      <c r="G82" s="70"/>
      <c r="H82" s="65">
        <f t="shared" ref="H82:H83" si="16">sum(C82:G82)</f>
        <v>12.4</v>
      </c>
      <c r="I82" s="65"/>
      <c r="J82" s="148">
        <f>H82 + I82</f>
        <v>12.4</v>
      </c>
      <c r="L82" s="45" t="s">
        <v>108</v>
      </c>
      <c r="M82" s="153"/>
    </row>
    <row r="83">
      <c r="B83" s="140" t="s">
        <v>164</v>
      </c>
      <c r="C83" s="58"/>
      <c r="D83" s="58"/>
      <c r="E83" s="65"/>
      <c r="F83" s="58">
        <f>K72 + IF(K63 = "ER%", K64)</f>
        <v>11.02</v>
      </c>
      <c r="G83" s="70"/>
      <c r="H83" s="65">
        <f t="shared" si="16"/>
        <v>11.02</v>
      </c>
      <c r="I83" s="65"/>
      <c r="J83" s="148">
        <f t="shared" ref="J83:J85" si="17">H83+I83</f>
        <v>11.02</v>
      </c>
    </row>
    <row r="84">
      <c r="B84" s="140" t="s">
        <v>165</v>
      </c>
      <c r="C84" s="58"/>
      <c r="D84" s="58"/>
      <c r="E84" s="65"/>
      <c r="F84" s="58">
        <f>L72 +  (IF(K63 = "EM", K64)) + (IF(L63 = "EM", L64)) + (IF(M63 = "EM", M64))</f>
        <v>39.64</v>
      </c>
      <c r="G84" s="70"/>
      <c r="H84" s="65">
        <f>ROUND(sum(C84:G84),0)</f>
        <v>40</v>
      </c>
      <c r="I84" s="65"/>
      <c r="J84" s="148">
        <f t="shared" si="17"/>
        <v>40</v>
      </c>
      <c r="L84" s="154" t="s">
        <v>188</v>
      </c>
      <c r="M84" s="17"/>
    </row>
    <row r="85">
      <c r="B85" s="140" t="s">
        <v>153</v>
      </c>
      <c r="C85" s="58"/>
      <c r="D85" s="58"/>
      <c r="E85" s="65"/>
      <c r="F85" s="58">
        <f>E72 + J64</f>
        <v>5287.88</v>
      </c>
      <c r="G85" s="70"/>
      <c r="H85" s="65">
        <f>ROUND((C85) * (1 + J86%) + SUM(D85:G85), 0)</f>
        <v>5288</v>
      </c>
      <c r="I85" s="65"/>
      <c r="J85" s="148">
        <f t="shared" si="17"/>
        <v>5288</v>
      </c>
      <c r="L85" s="28"/>
      <c r="M85" s="14"/>
    </row>
    <row r="86">
      <c r="B86" s="140" t="s">
        <v>154</v>
      </c>
      <c r="C86" s="58"/>
      <c r="D86" s="58"/>
      <c r="E86" s="65"/>
      <c r="F86" s="58">
        <f>F72 + (IF(K63 = "HP%", K64)) + (IF(L63 = "HP%", L64)) + (IF(M63 = "HP%", M64))</f>
        <v>149.72</v>
      </c>
      <c r="G86" s="70"/>
      <c r="H86" s="65">
        <f t="shared" ref="H86:H146" si="18">sum(C86:G86)</f>
        <v>149.72</v>
      </c>
      <c r="I86" s="65"/>
      <c r="J86" s="148">
        <f>H86 + I86</f>
        <v>149.72</v>
      </c>
    </row>
    <row r="87">
      <c r="B87" s="140" t="s">
        <v>189</v>
      </c>
      <c r="C87" s="58"/>
      <c r="D87" s="58"/>
      <c r="E87" s="65"/>
      <c r="F87" s="65">
        <f>IF(L63="Geo%", L64, 0)</f>
        <v>0</v>
      </c>
      <c r="G87" s="70"/>
      <c r="H87" s="65">
        <f t="shared" si="18"/>
        <v>0</v>
      </c>
      <c r="I87" s="65"/>
      <c r="J87" s="148">
        <f t="shared" ref="J87:J146" si="19">H87+I87</f>
        <v>0</v>
      </c>
    </row>
    <row r="88">
      <c r="B88" s="140" t="s">
        <v>190</v>
      </c>
      <c r="C88" s="58"/>
      <c r="D88" s="58"/>
      <c r="E88" s="65"/>
      <c r="F88" s="65">
        <f>IF(L63="Cryo%", L64, 0)</f>
        <v>0</v>
      </c>
      <c r="G88" s="70"/>
      <c r="H88" s="65">
        <f t="shared" si="18"/>
        <v>0</v>
      </c>
      <c r="I88" s="65"/>
      <c r="J88" s="148">
        <f t="shared" si="19"/>
        <v>0</v>
      </c>
    </row>
    <row r="89">
      <c r="B89" s="140" t="s">
        <v>191</v>
      </c>
      <c r="C89" s="58"/>
      <c r="D89" s="58"/>
      <c r="E89" s="65"/>
      <c r="F89" s="65">
        <f>IF(L63="Anemo%", L64, 0)</f>
        <v>0</v>
      </c>
      <c r="G89" s="70"/>
      <c r="H89" s="65">
        <f t="shared" si="18"/>
        <v>0</v>
      </c>
      <c r="I89" s="65"/>
      <c r="J89" s="148">
        <f t="shared" si="19"/>
        <v>0</v>
      </c>
    </row>
    <row r="90">
      <c r="B90" s="140" t="s">
        <v>192</v>
      </c>
      <c r="C90" s="58"/>
      <c r="D90" s="58"/>
      <c r="E90" s="65"/>
      <c r="F90" s="65">
        <f>IF(L63="Hydro%", L64, 0)</f>
        <v>0</v>
      </c>
      <c r="G90" s="70"/>
      <c r="H90" s="65">
        <f t="shared" si="18"/>
        <v>0</v>
      </c>
      <c r="I90" s="65"/>
      <c r="J90" s="148">
        <f t="shared" si="19"/>
        <v>0</v>
      </c>
    </row>
    <row r="91">
      <c r="B91" s="140" t="s">
        <v>193</v>
      </c>
      <c r="C91" s="58"/>
      <c r="D91" s="58"/>
      <c r="E91" s="65"/>
      <c r="F91" s="65">
        <f>IF(L63="Pyro%", L64, 0)</f>
        <v>0</v>
      </c>
      <c r="G91" s="70"/>
      <c r="H91" s="65">
        <f t="shared" si="18"/>
        <v>0</v>
      </c>
      <c r="I91" s="65"/>
      <c r="J91" s="148">
        <f t="shared" si="19"/>
        <v>0</v>
      </c>
    </row>
    <row r="92">
      <c r="B92" s="140" t="s">
        <v>194</v>
      </c>
      <c r="C92" s="58"/>
      <c r="D92" s="58"/>
      <c r="E92" s="65"/>
      <c r="F92" s="65">
        <f>IF(L63="Electro%", L64, 0)</f>
        <v>0</v>
      </c>
      <c r="G92" s="70"/>
      <c r="H92" s="65">
        <f t="shared" si="18"/>
        <v>0</v>
      </c>
      <c r="I92" s="65"/>
      <c r="J92" s="148">
        <f t="shared" si="19"/>
        <v>0</v>
      </c>
    </row>
    <row r="93">
      <c r="B93" s="140" t="s">
        <v>195</v>
      </c>
      <c r="C93" s="58"/>
      <c r="D93" s="58"/>
      <c r="E93" s="65"/>
      <c r="F93" s="65">
        <f>IF(L63="Dendro%", L64, 0)</f>
        <v>0</v>
      </c>
      <c r="G93" s="70"/>
      <c r="H93" s="65">
        <f t="shared" si="18"/>
        <v>0</v>
      </c>
      <c r="I93" s="65"/>
      <c r="J93" s="148">
        <f t="shared" si="19"/>
        <v>0</v>
      </c>
    </row>
    <row r="94">
      <c r="B94" s="140" t="s">
        <v>196</v>
      </c>
      <c r="C94" s="58"/>
      <c r="D94" s="58"/>
      <c r="E94" s="65"/>
      <c r="F94" s="65">
        <f>IF(L63="Phys%", L64, 0)</f>
        <v>0</v>
      </c>
      <c r="G94" s="70"/>
      <c r="H94" s="65">
        <f t="shared" si="18"/>
        <v>0</v>
      </c>
      <c r="I94" s="65"/>
      <c r="J94" s="148">
        <f t="shared" si="19"/>
        <v>0</v>
      </c>
    </row>
    <row r="95">
      <c r="B95" s="140" t="s">
        <v>197</v>
      </c>
      <c r="C95" s="58"/>
      <c r="D95" s="58"/>
      <c r="E95" s="58"/>
      <c r="F95" s="65">
        <f>IF(M63="HB%", M64, 0)</f>
        <v>0</v>
      </c>
      <c r="G95" s="70"/>
      <c r="H95" s="65">
        <f t="shared" si="18"/>
        <v>0</v>
      </c>
      <c r="I95" s="65"/>
      <c r="J95" s="148">
        <f t="shared" si="19"/>
        <v>0</v>
      </c>
    </row>
    <row r="96">
      <c r="B96" s="140" t="s">
        <v>198</v>
      </c>
      <c r="C96" s="58"/>
      <c r="D96" s="58"/>
      <c r="E96" s="65"/>
      <c r="F96" s="58">
        <v>0.0</v>
      </c>
      <c r="G96" s="70"/>
      <c r="H96" s="65">
        <f t="shared" si="18"/>
        <v>0</v>
      </c>
      <c r="I96" s="65"/>
      <c r="J96" s="148">
        <f t="shared" si="19"/>
        <v>0</v>
      </c>
    </row>
    <row r="97">
      <c r="B97" s="140" t="s">
        <v>199</v>
      </c>
      <c r="C97" s="58"/>
      <c r="D97" s="58"/>
      <c r="E97" s="65"/>
      <c r="F97" s="65">
        <v>0.0</v>
      </c>
      <c r="G97" s="70"/>
      <c r="H97" s="65">
        <f t="shared" si="18"/>
        <v>0</v>
      </c>
      <c r="I97" s="65"/>
      <c r="J97" s="148">
        <f t="shared" si="19"/>
        <v>0</v>
      </c>
    </row>
    <row r="98">
      <c r="B98" s="140" t="s">
        <v>200</v>
      </c>
      <c r="C98" s="58"/>
      <c r="D98" s="58"/>
      <c r="E98" s="65"/>
      <c r="F98" s="65">
        <v>0.0</v>
      </c>
      <c r="G98" s="70"/>
      <c r="H98" s="65">
        <f t="shared" si="18"/>
        <v>0</v>
      </c>
      <c r="I98" s="65"/>
      <c r="J98" s="148">
        <f t="shared" si="19"/>
        <v>0</v>
      </c>
    </row>
    <row r="99">
      <c r="B99" s="140" t="s">
        <v>201</v>
      </c>
      <c r="C99" s="58"/>
      <c r="D99" s="58"/>
      <c r="E99" s="65"/>
      <c r="F99" s="65">
        <v>0.0</v>
      </c>
      <c r="G99" s="70"/>
      <c r="H99" s="65">
        <f t="shared" si="18"/>
        <v>0</v>
      </c>
      <c r="I99" s="65"/>
      <c r="J99" s="148">
        <f t="shared" si="19"/>
        <v>0</v>
      </c>
    </row>
    <row r="100">
      <c r="B100" s="140" t="s">
        <v>202</v>
      </c>
      <c r="C100" s="58"/>
      <c r="D100" s="58"/>
      <c r="E100" s="65"/>
      <c r="F100" s="65">
        <v>0.0</v>
      </c>
      <c r="G100" s="70"/>
      <c r="H100" s="65">
        <f t="shared" si="18"/>
        <v>0</v>
      </c>
      <c r="I100" s="65"/>
      <c r="J100" s="148">
        <f t="shared" si="19"/>
        <v>0</v>
      </c>
    </row>
    <row r="101">
      <c r="B101" s="140" t="s">
        <v>203</v>
      </c>
      <c r="C101" s="58"/>
      <c r="D101" s="58"/>
      <c r="E101" s="65"/>
      <c r="F101" s="65">
        <v>0.0</v>
      </c>
      <c r="G101" s="70"/>
      <c r="H101" s="65">
        <f t="shared" si="18"/>
        <v>0</v>
      </c>
      <c r="I101" s="65"/>
      <c r="J101" s="148">
        <f t="shared" si="19"/>
        <v>0</v>
      </c>
    </row>
    <row r="102">
      <c r="B102" s="140" t="s">
        <v>204</v>
      </c>
      <c r="C102" s="58"/>
      <c r="D102" s="58"/>
      <c r="E102" s="65"/>
      <c r="F102" s="65">
        <v>0.0</v>
      </c>
      <c r="G102" s="70"/>
      <c r="H102" s="65">
        <f t="shared" si="18"/>
        <v>0</v>
      </c>
      <c r="I102" s="65"/>
      <c r="J102" s="148">
        <f t="shared" si="19"/>
        <v>0</v>
      </c>
    </row>
    <row r="103">
      <c r="B103" s="140" t="s">
        <v>205</v>
      </c>
      <c r="C103" s="58"/>
      <c r="D103" s="58"/>
      <c r="E103" s="65"/>
      <c r="F103" s="65">
        <v>0.0</v>
      </c>
      <c r="G103" s="70"/>
      <c r="H103" s="65">
        <f t="shared" si="18"/>
        <v>0</v>
      </c>
      <c r="I103" s="65"/>
      <c r="J103" s="148">
        <f t="shared" si="19"/>
        <v>0</v>
      </c>
    </row>
    <row r="104">
      <c r="B104" s="140" t="s">
        <v>206</v>
      </c>
      <c r="C104" s="58"/>
      <c r="D104" s="58"/>
      <c r="E104" s="65"/>
      <c r="F104" s="65">
        <v>0.0</v>
      </c>
      <c r="G104" s="70"/>
      <c r="H104" s="65">
        <f t="shared" si="18"/>
        <v>0</v>
      </c>
      <c r="I104" s="65"/>
      <c r="J104" s="148">
        <f t="shared" si="19"/>
        <v>0</v>
      </c>
    </row>
    <row r="105">
      <c r="B105" s="140" t="s">
        <v>207</v>
      </c>
      <c r="C105" s="58"/>
      <c r="D105" s="58"/>
      <c r="E105" s="65"/>
      <c r="F105" s="65">
        <v>0.0</v>
      </c>
      <c r="G105" s="70"/>
      <c r="H105" s="65">
        <f t="shared" si="18"/>
        <v>0</v>
      </c>
      <c r="I105" s="65"/>
      <c r="J105" s="148">
        <f t="shared" si="19"/>
        <v>0</v>
      </c>
    </row>
    <row r="106">
      <c r="B106" s="140" t="s">
        <v>208</v>
      </c>
      <c r="C106" s="58"/>
      <c r="D106" s="58"/>
      <c r="E106" s="65"/>
      <c r="F106" s="65">
        <v>0.0</v>
      </c>
      <c r="G106" s="70"/>
      <c r="H106" s="65">
        <f t="shared" si="18"/>
        <v>0</v>
      </c>
      <c r="I106" s="65"/>
      <c r="J106" s="148">
        <f t="shared" si="19"/>
        <v>0</v>
      </c>
    </row>
    <row r="107">
      <c r="B107" s="140" t="s">
        <v>209</v>
      </c>
      <c r="C107" s="58"/>
      <c r="D107" s="58"/>
      <c r="E107" s="65"/>
      <c r="F107" s="65">
        <v>0.0</v>
      </c>
      <c r="G107" s="70"/>
      <c r="H107" s="65">
        <f t="shared" si="18"/>
        <v>0</v>
      </c>
      <c r="I107" s="65"/>
      <c r="J107" s="148">
        <f t="shared" si="19"/>
        <v>0</v>
      </c>
    </row>
    <row r="108">
      <c r="B108" s="140" t="s">
        <v>210</v>
      </c>
      <c r="C108" s="58"/>
      <c r="D108" s="58"/>
      <c r="E108" s="65"/>
      <c r="F108" s="65">
        <v>0.0</v>
      </c>
      <c r="G108" s="70"/>
      <c r="H108" s="65">
        <f t="shared" si="18"/>
        <v>0</v>
      </c>
      <c r="I108" s="65"/>
      <c r="J108" s="148">
        <f t="shared" si="19"/>
        <v>0</v>
      </c>
    </row>
    <row r="109">
      <c r="B109" s="140" t="s">
        <v>211</v>
      </c>
      <c r="C109" s="58"/>
      <c r="D109" s="58"/>
      <c r="E109" s="65"/>
      <c r="F109" s="65">
        <v>0.0</v>
      </c>
      <c r="G109" s="70"/>
      <c r="H109" s="65">
        <f t="shared" si="18"/>
        <v>0</v>
      </c>
      <c r="I109" s="65"/>
      <c r="J109" s="148">
        <f t="shared" si="19"/>
        <v>0</v>
      </c>
    </row>
    <row r="110">
      <c r="B110" s="140" t="s">
        <v>212</v>
      </c>
      <c r="C110" s="58"/>
      <c r="D110" s="58"/>
      <c r="E110" s="65"/>
      <c r="F110" s="58">
        <v>0.0</v>
      </c>
      <c r="G110" s="70"/>
      <c r="H110" s="65">
        <f t="shared" si="18"/>
        <v>0</v>
      </c>
      <c r="I110" s="65"/>
      <c r="J110" s="148">
        <f t="shared" si="19"/>
        <v>0</v>
      </c>
    </row>
    <row r="111">
      <c r="B111" s="140" t="s">
        <v>213</v>
      </c>
      <c r="C111" s="58"/>
      <c r="D111" s="58"/>
      <c r="E111" s="65"/>
      <c r="F111" s="65">
        <v>0.0</v>
      </c>
      <c r="G111" s="70"/>
      <c r="H111" s="65">
        <f t="shared" si="18"/>
        <v>0</v>
      </c>
      <c r="I111" s="65"/>
      <c r="J111" s="148">
        <f t="shared" si="19"/>
        <v>0</v>
      </c>
    </row>
    <row r="112">
      <c r="B112" s="140" t="s">
        <v>214</v>
      </c>
      <c r="C112" s="58"/>
      <c r="D112" s="58"/>
      <c r="E112" s="65"/>
      <c r="F112" s="65">
        <v>0.0</v>
      </c>
      <c r="G112" s="70"/>
      <c r="H112" s="65">
        <f t="shared" si="18"/>
        <v>0</v>
      </c>
      <c r="I112" s="65"/>
      <c r="J112" s="148">
        <f t="shared" si="19"/>
        <v>0</v>
      </c>
    </row>
    <row r="113">
      <c r="B113" s="140" t="s">
        <v>215</v>
      </c>
      <c r="C113" s="58"/>
      <c r="D113" s="58"/>
      <c r="E113" s="65"/>
      <c r="F113" s="65">
        <v>0.0</v>
      </c>
      <c r="G113" s="70"/>
      <c r="H113" s="65">
        <f t="shared" si="18"/>
        <v>0</v>
      </c>
      <c r="I113" s="65"/>
      <c r="J113" s="148">
        <f t="shared" si="19"/>
        <v>0</v>
      </c>
    </row>
    <row r="114">
      <c r="B114" s="140" t="s">
        <v>216</v>
      </c>
      <c r="C114" s="58"/>
      <c r="D114" s="58"/>
      <c r="E114" s="65"/>
      <c r="F114" s="65">
        <v>0.0</v>
      </c>
      <c r="G114" s="70"/>
      <c r="H114" s="65">
        <f t="shared" si="18"/>
        <v>0</v>
      </c>
      <c r="I114" s="65"/>
      <c r="J114" s="148">
        <f t="shared" si="19"/>
        <v>0</v>
      </c>
    </row>
    <row r="115">
      <c r="B115" s="140" t="s">
        <v>217</v>
      </c>
      <c r="C115" s="58"/>
      <c r="D115" s="58"/>
      <c r="E115" s="65"/>
      <c r="F115" s="65">
        <v>0.0</v>
      </c>
      <c r="G115" s="70"/>
      <c r="H115" s="65">
        <f t="shared" si="18"/>
        <v>0</v>
      </c>
      <c r="I115" s="65"/>
      <c r="J115" s="148">
        <f t="shared" si="19"/>
        <v>0</v>
      </c>
    </row>
    <row r="116">
      <c r="B116" s="140" t="s">
        <v>218</v>
      </c>
      <c r="C116" s="58"/>
      <c r="D116" s="58"/>
      <c r="E116" s="65"/>
      <c r="F116" s="65">
        <v>0.0</v>
      </c>
      <c r="G116" s="70"/>
      <c r="H116" s="65">
        <f t="shared" si="18"/>
        <v>0</v>
      </c>
      <c r="I116" s="65"/>
      <c r="J116" s="148">
        <f t="shared" si="19"/>
        <v>0</v>
      </c>
    </row>
    <row r="117">
      <c r="B117" s="140" t="s">
        <v>219</v>
      </c>
      <c r="C117" s="58"/>
      <c r="D117" s="58"/>
      <c r="E117" s="65"/>
      <c r="F117" s="65">
        <v>0.0</v>
      </c>
      <c r="G117" s="70"/>
      <c r="H117" s="65">
        <f t="shared" si="18"/>
        <v>0</v>
      </c>
      <c r="I117" s="65"/>
      <c r="J117" s="148">
        <f t="shared" si="19"/>
        <v>0</v>
      </c>
    </row>
    <row r="118">
      <c r="B118" s="140" t="s">
        <v>220</v>
      </c>
      <c r="C118" s="58"/>
      <c r="D118" s="58"/>
      <c r="E118" s="65"/>
      <c r="F118" s="65">
        <v>0.0</v>
      </c>
      <c r="G118" s="70"/>
      <c r="H118" s="65">
        <f t="shared" si="18"/>
        <v>0</v>
      </c>
      <c r="I118" s="65"/>
      <c r="J118" s="148">
        <f t="shared" si="19"/>
        <v>0</v>
      </c>
    </row>
    <row r="119">
      <c r="B119" s="140" t="s">
        <v>221</v>
      </c>
      <c r="C119" s="58"/>
      <c r="D119" s="58"/>
      <c r="E119" s="65"/>
      <c r="F119" s="65">
        <v>0.0</v>
      </c>
      <c r="G119" s="70"/>
      <c r="H119" s="65">
        <f t="shared" si="18"/>
        <v>0</v>
      </c>
      <c r="I119" s="65"/>
      <c r="J119" s="148">
        <f t="shared" si="19"/>
        <v>0</v>
      </c>
    </row>
    <row r="120">
      <c r="B120" s="140" t="s">
        <v>222</v>
      </c>
      <c r="C120" s="58"/>
      <c r="D120" s="58"/>
      <c r="E120" s="65"/>
      <c r="F120" s="65">
        <v>0.0</v>
      </c>
      <c r="G120" s="70"/>
      <c r="H120" s="65">
        <f t="shared" si="18"/>
        <v>0</v>
      </c>
      <c r="I120" s="65"/>
      <c r="J120" s="148">
        <f t="shared" si="19"/>
        <v>0</v>
      </c>
    </row>
    <row r="121">
      <c r="B121" s="140" t="s">
        <v>223</v>
      </c>
      <c r="C121" s="58"/>
      <c r="D121" s="58"/>
      <c r="E121" s="65"/>
      <c r="F121" s="65">
        <v>0.0</v>
      </c>
      <c r="G121" s="70"/>
      <c r="H121" s="65">
        <f t="shared" si="18"/>
        <v>0</v>
      </c>
      <c r="I121" s="65"/>
      <c r="J121" s="148">
        <f t="shared" si="19"/>
        <v>0</v>
      </c>
    </row>
    <row r="122">
      <c r="B122" s="140" t="s">
        <v>224</v>
      </c>
      <c r="C122" s="58"/>
      <c r="D122" s="58"/>
      <c r="E122" s="65"/>
      <c r="F122" s="65">
        <v>0.0</v>
      </c>
      <c r="G122" s="70"/>
      <c r="H122" s="65">
        <f t="shared" si="18"/>
        <v>0</v>
      </c>
      <c r="I122" s="65"/>
      <c r="J122" s="148">
        <f t="shared" si="19"/>
        <v>0</v>
      </c>
    </row>
    <row r="123">
      <c r="B123" s="140" t="s">
        <v>225</v>
      </c>
      <c r="C123" s="58"/>
      <c r="D123" s="58"/>
      <c r="E123" s="65"/>
      <c r="F123" s="65">
        <v>0.0</v>
      </c>
      <c r="G123" s="71"/>
      <c r="H123" s="65">
        <f t="shared" si="18"/>
        <v>0</v>
      </c>
      <c r="I123" s="65"/>
      <c r="J123" s="148">
        <f t="shared" si="19"/>
        <v>0</v>
      </c>
    </row>
    <row r="124">
      <c r="B124" s="140" t="s">
        <v>226</v>
      </c>
      <c r="C124" s="58"/>
      <c r="D124" s="58"/>
      <c r="E124" s="65"/>
      <c r="F124" s="65">
        <v>0.0</v>
      </c>
      <c r="G124" s="70"/>
      <c r="H124" s="65">
        <f t="shared" si="18"/>
        <v>0</v>
      </c>
      <c r="I124" s="65"/>
      <c r="J124" s="148">
        <f t="shared" si="19"/>
        <v>0</v>
      </c>
    </row>
    <row r="125">
      <c r="B125" s="140" t="s">
        <v>227</v>
      </c>
      <c r="C125" s="58"/>
      <c r="D125" s="58"/>
      <c r="E125" s="65"/>
      <c r="F125" s="65">
        <v>0.0</v>
      </c>
      <c r="G125" s="70"/>
      <c r="H125" s="65">
        <f t="shared" si="18"/>
        <v>0</v>
      </c>
      <c r="I125" s="65"/>
      <c r="J125" s="148">
        <f t="shared" si="19"/>
        <v>0</v>
      </c>
    </row>
    <row r="126">
      <c r="B126" s="140" t="s">
        <v>228</v>
      </c>
      <c r="C126" s="58"/>
      <c r="D126" s="58"/>
      <c r="E126" s="65"/>
      <c r="F126" s="65">
        <v>0.0</v>
      </c>
      <c r="G126" s="70"/>
      <c r="H126" s="65">
        <f t="shared" si="18"/>
        <v>0</v>
      </c>
      <c r="I126" s="65"/>
      <c r="J126" s="148">
        <f t="shared" si="19"/>
        <v>0</v>
      </c>
    </row>
    <row r="127">
      <c r="B127" s="140" t="s">
        <v>229</v>
      </c>
      <c r="C127" s="58"/>
      <c r="D127" s="58"/>
      <c r="E127" s="65"/>
      <c r="F127" s="65">
        <v>0.0</v>
      </c>
      <c r="G127" s="70"/>
      <c r="H127" s="65">
        <f t="shared" si="18"/>
        <v>0</v>
      </c>
      <c r="I127" s="65"/>
      <c r="J127" s="148">
        <f t="shared" si="19"/>
        <v>0</v>
      </c>
    </row>
    <row r="128">
      <c r="B128" s="140" t="s">
        <v>230</v>
      </c>
      <c r="C128" s="58"/>
      <c r="D128" s="58"/>
      <c r="E128" s="65"/>
      <c r="F128" s="65">
        <v>0.0</v>
      </c>
      <c r="G128" s="70"/>
      <c r="H128" s="65">
        <f t="shared" si="18"/>
        <v>0</v>
      </c>
      <c r="I128" s="65"/>
      <c r="J128" s="148">
        <f t="shared" si="19"/>
        <v>0</v>
      </c>
    </row>
    <row r="129">
      <c r="B129" s="140" t="s">
        <v>231</v>
      </c>
      <c r="C129" s="58"/>
      <c r="D129" s="58"/>
      <c r="E129" s="65"/>
      <c r="F129" s="65">
        <v>0.0</v>
      </c>
      <c r="G129" s="70"/>
      <c r="H129" s="65">
        <f t="shared" si="18"/>
        <v>0</v>
      </c>
      <c r="I129" s="65"/>
      <c r="J129" s="148">
        <f t="shared" si="19"/>
        <v>0</v>
      </c>
    </row>
    <row r="130">
      <c r="B130" s="140" t="s">
        <v>232</v>
      </c>
      <c r="C130" s="58"/>
      <c r="D130" s="58"/>
      <c r="E130" s="65"/>
      <c r="F130" s="65">
        <v>0.0</v>
      </c>
      <c r="G130" s="70"/>
      <c r="H130" s="65">
        <f t="shared" si="18"/>
        <v>0</v>
      </c>
      <c r="I130" s="65"/>
      <c r="J130" s="148">
        <f t="shared" si="19"/>
        <v>0</v>
      </c>
    </row>
    <row r="131">
      <c r="B131" s="140" t="s">
        <v>233</v>
      </c>
      <c r="C131" s="58"/>
      <c r="D131" s="58"/>
      <c r="E131" s="65"/>
      <c r="F131" s="65">
        <v>0.0</v>
      </c>
      <c r="G131" s="70"/>
      <c r="H131" s="65">
        <f t="shared" si="18"/>
        <v>0</v>
      </c>
      <c r="I131" s="65"/>
      <c r="J131" s="148">
        <f t="shared" si="19"/>
        <v>0</v>
      </c>
    </row>
    <row r="132">
      <c r="B132" s="140" t="s">
        <v>234</v>
      </c>
      <c r="C132" s="58"/>
      <c r="D132" s="58"/>
      <c r="E132" s="65"/>
      <c r="F132" s="65">
        <v>0.0</v>
      </c>
      <c r="G132" s="71"/>
      <c r="H132" s="65">
        <f t="shared" si="18"/>
        <v>0</v>
      </c>
      <c r="I132" s="65"/>
      <c r="J132" s="148">
        <f t="shared" si="19"/>
        <v>0</v>
      </c>
    </row>
    <row r="133">
      <c r="B133" s="140" t="s">
        <v>235</v>
      </c>
      <c r="C133" s="58"/>
      <c r="D133" s="58"/>
      <c r="E133" s="65"/>
      <c r="F133" s="65">
        <v>0.0</v>
      </c>
      <c r="G133" s="70"/>
      <c r="H133" s="65">
        <f t="shared" si="18"/>
        <v>0</v>
      </c>
      <c r="I133" s="65"/>
      <c r="J133" s="148">
        <f t="shared" si="19"/>
        <v>0</v>
      </c>
    </row>
    <row r="134">
      <c r="B134" s="140" t="s">
        <v>236</v>
      </c>
      <c r="C134" s="58"/>
      <c r="D134" s="58"/>
      <c r="E134" s="65"/>
      <c r="F134" s="65">
        <v>0.0</v>
      </c>
      <c r="G134" s="70"/>
      <c r="H134" s="65">
        <f t="shared" si="18"/>
        <v>0</v>
      </c>
      <c r="I134" s="65"/>
      <c r="J134" s="148">
        <f t="shared" si="19"/>
        <v>0</v>
      </c>
    </row>
    <row r="135">
      <c r="B135" s="140" t="s">
        <v>237</v>
      </c>
      <c r="C135" s="58"/>
      <c r="D135" s="58"/>
      <c r="E135" s="65"/>
      <c r="F135" s="65">
        <v>0.0</v>
      </c>
      <c r="G135" s="70"/>
      <c r="H135" s="65">
        <f t="shared" si="18"/>
        <v>0</v>
      </c>
      <c r="I135" s="65"/>
      <c r="J135" s="148">
        <f t="shared" si="19"/>
        <v>0</v>
      </c>
    </row>
    <row r="136">
      <c r="B136" s="140" t="s">
        <v>238</v>
      </c>
      <c r="C136" s="58"/>
      <c r="D136" s="58"/>
      <c r="E136" s="65"/>
      <c r="F136" s="65">
        <v>0.0</v>
      </c>
      <c r="G136" s="70"/>
      <c r="H136" s="65">
        <f t="shared" si="18"/>
        <v>0</v>
      </c>
      <c r="I136" s="65"/>
      <c r="J136" s="148">
        <f t="shared" si="19"/>
        <v>0</v>
      </c>
    </row>
    <row r="137">
      <c r="B137" s="140" t="s">
        <v>239</v>
      </c>
      <c r="C137" s="58"/>
      <c r="D137" s="58"/>
      <c r="E137" s="65"/>
      <c r="F137" s="65">
        <v>0.0</v>
      </c>
      <c r="G137" s="70"/>
      <c r="H137" s="65">
        <f t="shared" si="18"/>
        <v>0</v>
      </c>
      <c r="I137" s="65"/>
      <c r="J137" s="148">
        <f t="shared" si="19"/>
        <v>0</v>
      </c>
    </row>
    <row r="138">
      <c r="B138" s="140" t="s">
        <v>240</v>
      </c>
      <c r="C138" s="58"/>
      <c r="D138" s="58"/>
      <c r="E138" s="65"/>
      <c r="F138" s="65">
        <f>0</f>
        <v>0</v>
      </c>
      <c r="G138" s="70"/>
      <c r="H138" s="65">
        <f t="shared" si="18"/>
        <v>0</v>
      </c>
      <c r="I138" s="65"/>
      <c r="J138" s="148">
        <f t="shared" si="19"/>
        <v>0</v>
      </c>
    </row>
    <row r="139">
      <c r="B139" s="140" t="s">
        <v>241</v>
      </c>
      <c r="C139" s="58"/>
      <c r="D139" s="58"/>
      <c r="E139" s="65"/>
      <c r="F139" s="58">
        <v>0.0</v>
      </c>
      <c r="G139" s="70"/>
      <c r="H139" s="65">
        <f t="shared" si="18"/>
        <v>0</v>
      </c>
      <c r="I139" s="65"/>
      <c r="J139" s="148">
        <f t="shared" si="19"/>
        <v>0</v>
      </c>
    </row>
    <row r="140">
      <c r="B140" s="140" t="s">
        <v>242</v>
      </c>
      <c r="C140" s="58"/>
      <c r="D140" s="58"/>
      <c r="E140" s="65"/>
      <c r="F140" s="58">
        <v>0.0</v>
      </c>
      <c r="G140" s="70"/>
      <c r="H140" s="65">
        <f t="shared" si="18"/>
        <v>0</v>
      </c>
      <c r="I140" s="65"/>
      <c r="J140" s="148">
        <f t="shared" si="19"/>
        <v>0</v>
      </c>
    </row>
    <row r="141">
      <c r="B141" s="140" t="s">
        <v>243</v>
      </c>
      <c r="C141" s="58"/>
      <c r="D141" s="58"/>
      <c r="E141" s="65"/>
      <c r="F141" s="65">
        <v>0.0</v>
      </c>
      <c r="G141" s="70"/>
      <c r="H141" s="65">
        <f t="shared" si="18"/>
        <v>0</v>
      </c>
      <c r="I141" s="65"/>
      <c r="J141" s="148">
        <f t="shared" si="19"/>
        <v>0</v>
      </c>
    </row>
    <row r="142">
      <c r="B142" s="140" t="s">
        <v>244</v>
      </c>
      <c r="C142" s="58"/>
      <c r="D142" s="58"/>
      <c r="E142" s="65"/>
      <c r="F142" s="65">
        <v>0.0</v>
      </c>
      <c r="G142" s="70"/>
      <c r="H142" s="65">
        <f t="shared" si="18"/>
        <v>0</v>
      </c>
      <c r="I142" s="65"/>
      <c r="J142" s="148">
        <f t="shared" si="19"/>
        <v>0</v>
      </c>
    </row>
    <row r="143">
      <c r="B143" s="140" t="s">
        <v>245</v>
      </c>
      <c r="C143" s="58"/>
      <c r="D143" s="58"/>
      <c r="E143" s="65"/>
      <c r="F143" s="58">
        <v>0.0</v>
      </c>
      <c r="G143" s="70"/>
      <c r="H143" s="65">
        <f t="shared" si="18"/>
        <v>0</v>
      </c>
      <c r="I143" s="65"/>
      <c r="J143" s="148">
        <f t="shared" si="19"/>
        <v>0</v>
      </c>
    </row>
    <row r="144">
      <c r="B144" s="140" t="s">
        <v>246</v>
      </c>
      <c r="C144" s="58"/>
      <c r="D144" s="58"/>
      <c r="E144" s="65"/>
      <c r="F144" s="58">
        <v>0.0</v>
      </c>
      <c r="G144" s="68"/>
      <c r="H144" s="65">
        <f t="shared" si="18"/>
        <v>0</v>
      </c>
      <c r="I144" s="155"/>
      <c r="J144" s="148">
        <f t="shared" si="19"/>
        <v>0</v>
      </c>
    </row>
    <row r="145">
      <c r="B145" s="140" t="s">
        <v>247</v>
      </c>
      <c r="C145" s="58"/>
      <c r="D145" s="58"/>
      <c r="E145" s="65"/>
      <c r="F145" s="58">
        <v>0.0</v>
      </c>
      <c r="G145" s="68"/>
      <c r="H145" s="65">
        <f t="shared" si="18"/>
        <v>0</v>
      </c>
      <c r="I145" s="155"/>
      <c r="J145" s="148">
        <f t="shared" si="19"/>
        <v>0</v>
      </c>
    </row>
    <row r="146">
      <c r="B146" s="140" t="s">
        <v>248</v>
      </c>
      <c r="C146" s="72"/>
      <c r="D146" s="72"/>
      <c r="E146" s="151"/>
      <c r="F146" s="72">
        <v>0.0</v>
      </c>
      <c r="G146" s="76"/>
      <c r="H146" s="151">
        <f t="shared" si="18"/>
        <v>0</v>
      </c>
      <c r="I146" s="156"/>
      <c r="J146" s="148">
        <f t="shared" si="19"/>
        <v>0</v>
      </c>
    </row>
    <row r="147">
      <c r="B147" s="59"/>
    </row>
    <row r="148">
      <c r="B148" s="140" t="s">
        <v>249</v>
      </c>
      <c r="C148" s="71"/>
      <c r="D148" s="59"/>
      <c r="E148" s="59"/>
      <c r="F148" s="46"/>
      <c r="G148" s="59"/>
      <c r="H148" s="59"/>
      <c r="I148" s="59"/>
      <c r="J148" s="59"/>
      <c r="K148" s="59"/>
      <c r="L148" s="59"/>
      <c r="M148" s="59"/>
      <c r="N148" s="59"/>
      <c r="O148" s="59"/>
      <c r="P148" s="59"/>
      <c r="Q148" s="59"/>
      <c r="R148" s="59"/>
      <c r="S148" s="46"/>
      <c r="T148" s="46"/>
      <c r="U148" s="46"/>
      <c r="V148" s="46"/>
      <c r="W148" s="46"/>
      <c r="X148" s="46"/>
      <c r="Y148" s="46"/>
      <c r="Z148" s="46"/>
      <c r="AA148" s="46"/>
      <c r="AB148" s="46"/>
      <c r="AC148" s="46"/>
      <c r="AD148" s="46"/>
      <c r="AE148" s="46"/>
      <c r="AF148" s="46"/>
      <c r="AG148" s="46"/>
      <c r="AH148" s="46"/>
      <c r="AI148" s="46"/>
    </row>
    <row r="149">
      <c r="B149" s="140" t="s">
        <v>250</v>
      </c>
      <c r="C149" s="71"/>
    </row>
    <row r="150">
      <c r="B150" s="140" t="s">
        <v>251</v>
      </c>
      <c r="C150" s="157"/>
    </row>
    <row r="151">
      <c r="B151" s="140" t="s">
        <v>252</v>
      </c>
      <c r="C151" s="71"/>
    </row>
    <row r="152">
      <c r="B152" s="140" t="s">
        <v>253</v>
      </c>
      <c r="C152" s="71"/>
    </row>
    <row r="153">
      <c r="B153" s="140" t="s">
        <v>254</v>
      </c>
      <c r="C153" s="71"/>
    </row>
    <row r="154">
      <c r="B154" s="140" t="s">
        <v>255</v>
      </c>
      <c r="C154" s="70"/>
    </row>
    <row r="155">
      <c r="B155" s="140" t="s">
        <v>256</v>
      </c>
      <c r="C155" s="158"/>
    </row>
    <row r="156">
      <c r="B156" s="140" t="s">
        <v>257</v>
      </c>
      <c r="C156" s="158"/>
    </row>
    <row r="157">
      <c r="B157" s="140" t="s">
        <v>258</v>
      </c>
      <c r="C157" s="70"/>
    </row>
    <row r="158">
      <c r="B158" s="140" t="s">
        <v>259</v>
      </c>
      <c r="C158" s="70"/>
    </row>
    <row r="159">
      <c r="B159" s="140" t="s">
        <v>260</v>
      </c>
      <c r="C159" s="70"/>
    </row>
    <row r="160">
      <c r="B160" s="140" t="s">
        <v>261</v>
      </c>
      <c r="C160" s="71"/>
    </row>
    <row r="161">
      <c r="B161" s="140" t="s">
        <v>262</v>
      </c>
      <c r="C161" s="71"/>
    </row>
    <row r="162">
      <c r="B162" s="140" t="s">
        <v>263</v>
      </c>
      <c r="C162" s="71"/>
    </row>
    <row r="163">
      <c r="B163" s="140" t="s">
        <v>264</v>
      </c>
      <c r="C163" s="70"/>
      <c r="D163" s="59"/>
      <c r="E163" s="59"/>
      <c r="F163" s="59"/>
      <c r="G163" s="59"/>
      <c r="H163" s="59"/>
      <c r="I163" s="59"/>
      <c r="J163" s="59"/>
      <c r="K163" s="59"/>
      <c r="L163" s="59"/>
      <c r="M163" s="59"/>
      <c r="N163" s="59"/>
      <c r="O163" s="59"/>
      <c r="P163" s="59"/>
      <c r="Q163" s="59"/>
      <c r="R163" s="59"/>
      <c r="S163" s="59"/>
      <c r="T163" s="59"/>
      <c r="U163" s="59"/>
      <c r="V163" s="59"/>
      <c r="W163" s="59"/>
      <c r="X163" s="59"/>
      <c r="Y163" s="59"/>
      <c r="Z163" s="59"/>
      <c r="AA163" s="59"/>
      <c r="AB163" s="59"/>
      <c r="AC163" s="59"/>
      <c r="AD163" s="59"/>
      <c r="AE163" s="59"/>
      <c r="AF163" s="59"/>
      <c r="AG163" s="59"/>
      <c r="AH163" s="59"/>
      <c r="AI163" s="59"/>
    </row>
    <row r="164">
      <c r="B164" s="140" t="s">
        <v>265</v>
      </c>
      <c r="C164" s="70"/>
      <c r="D164" s="59"/>
      <c r="E164" s="59"/>
      <c r="F164" s="59"/>
      <c r="G164" s="59"/>
      <c r="H164" s="59"/>
      <c r="I164" s="59"/>
      <c r="J164" s="59"/>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c r="AH164" s="59"/>
      <c r="AI164" s="59"/>
    </row>
    <row r="165">
      <c r="B165" s="140" t="s">
        <v>266</v>
      </c>
      <c r="C165" s="70"/>
      <c r="D165" s="59"/>
      <c r="E165" s="59"/>
      <c r="F165" s="59"/>
      <c r="G165" s="59"/>
      <c r="H165" s="59"/>
      <c r="I165" s="59"/>
      <c r="J165" s="59"/>
      <c r="K165" s="59"/>
      <c r="L165" s="59"/>
      <c r="M165" s="59"/>
      <c r="N165" s="59"/>
      <c r="O165" s="59"/>
      <c r="P165" s="59"/>
      <c r="Q165" s="59"/>
      <c r="R165" s="59"/>
      <c r="S165" s="59"/>
      <c r="T165" s="59"/>
      <c r="U165" s="59"/>
      <c r="V165" s="59"/>
      <c r="W165" s="59"/>
      <c r="X165" s="59"/>
      <c r="Y165" s="59"/>
      <c r="Z165" s="59"/>
      <c r="AA165" s="59"/>
      <c r="AB165" s="59"/>
      <c r="AC165" s="59"/>
      <c r="AD165" s="59"/>
      <c r="AE165" s="59"/>
      <c r="AF165" s="59"/>
      <c r="AG165" s="59"/>
      <c r="AH165" s="59"/>
      <c r="AI165" s="59"/>
    </row>
    <row r="166">
      <c r="B166" s="140" t="s">
        <v>267</v>
      </c>
      <c r="C166" s="70"/>
      <c r="D166" s="59"/>
      <c r="E166" s="59"/>
      <c r="F166" s="59"/>
      <c r="G166" s="59"/>
      <c r="H166" s="59"/>
      <c r="I166" s="59"/>
      <c r="J166" s="59"/>
      <c r="K166" s="59"/>
      <c r="L166" s="59"/>
      <c r="M166" s="59"/>
      <c r="N166" s="59"/>
      <c r="O166" s="59"/>
      <c r="P166" s="59"/>
      <c r="Q166" s="59"/>
      <c r="R166" s="59"/>
      <c r="S166" s="59"/>
      <c r="T166" s="59"/>
      <c r="U166" s="59"/>
      <c r="V166" s="59"/>
      <c r="W166" s="59"/>
      <c r="X166" s="59"/>
      <c r="Y166" s="59"/>
      <c r="Z166" s="59"/>
      <c r="AA166" s="59"/>
      <c r="AB166" s="59"/>
      <c r="AC166" s="59"/>
      <c r="AD166" s="59"/>
      <c r="AE166" s="59"/>
      <c r="AF166" s="59"/>
      <c r="AG166" s="59"/>
      <c r="AH166" s="59"/>
      <c r="AI166" s="59"/>
    </row>
    <row r="167">
      <c r="B167" s="140" t="s">
        <v>268</v>
      </c>
      <c r="C167" s="70"/>
      <c r="D167" s="59"/>
      <c r="E167" s="59"/>
      <c r="F167" s="59"/>
      <c r="G167" s="59"/>
      <c r="H167" s="59"/>
      <c r="I167" s="59"/>
      <c r="J167" s="59"/>
      <c r="K167" s="59"/>
      <c r="L167" s="59"/>
      <c r="M167" s="59"/>
      <c r="N167" s="59"/>
      <c r="O167" s="59"/>
      <c r="P167" s="59"/>
      <c r="Q167" s="59"/>
      <c r="R167" s="59"/>
      <c r="S167" s="59"/>
      <c r="T167" s="59"/>
      <c r="U167" s="59"/>
      <c r="V167" s="59"/>
      <c r="W167" s="59"/>
      <c r="X167" s="59"/>
      <c r="Y167" s="59"/>
      <c r="Z167" s="59"/>
      <c r="AA167" s="59"/>
      <c r="AB167" s="59"/>
      <c r="AC167" s="59"/>
      <c r="AD167" s="59"/>
      <c r="AE167" s="59"/>
      <c r="AF167" s="59"/>
      <c r="AG167" s="59"/>
      <c r="AH167" s="59"/>
      <c r="AI167" s="59"/>
    </row>
    <row r="168">
      <c r="B168" s="140" t="s">
        <v>269</v>
      </c>
      <c r="C168" s="70"/>
      <c r="D168" s="59"/>
      <c r="E168" s="59"/>
      <c r="F168" s="59"/>
      <c r="G168" s="59"/>
      <c r="H168" s="59"/>
      <c r="I168" s="59"/>
      <c r="J168" s="59"/>
      <c r="K168" s="59"/>
      <c r="L168" s="59"/>
      <c r="M168" s="59"/>
      <c r="N168" s="59"/>
      <c r="O168" s="59"/>
      <c r="P168" s="59"/>
      <c r="Q168" s="59"/>
      <c r="R168" s="59"/>
      <c r="S168" s="59"/>
      <c r="T168" s="59"/>
      <c r="U168" s="59"/>
      <c r="V168" s="59"/>
      <c r="W168" s="59"/>
      <c r="X168" s="59"/>
      <c r="Y168" s="59"/>
      <c r="Z168" s="59"/>
      <c r="AA168" s="59"/>
      <c r="AB168" s="59"/>
      <c r="AC168" s="59"/>
      <c r="AD168" s="59"/>
      <c r="AE168" s="59"/>
      <c r="AF168" s="59"/>
      <c r="AG168" s="59"/>
      <c r="AH168" s="59"/>
      <c r="AI168" s="59"/>
    </row>
    <row r="169">
      <c r="B169" s="140" t="s">
        <v>270</v>
      </c>
      <c r="C169" s="70"/>
      <c r="D169" s="59"/>
      <c r="E169" s="59"/>
      <c r="F169" s="59"/>
      <c r="G169" s="59"/>
      <c r="H169" s="59"/>
      <c r="I169" s="59"/>
      <c r="J169" s="59"/>
      <c r="K169" s="59"/>
      <c r="L169" s="59"/>
      <c r="M169" s="59"/>
      <c r="N169" s="59"/>
      <c r="O169" s="59"/>
      <c r="P169" s="59"/>
      <c r="Q169" s="59"/>
      <c r="R169" s="59"/>
      <c r="S169" s="59"/>
      <c r="T169" s="59"/>
      <c r="U169" s="59"/>
      <c r="V169" s="59"/>
      <c r="W169" s="59"/>
      <c r="X169" s="59"/>
      <c r="Y169" s="59"/>
      <c r="Z169" s="59"/>
      <c r="AA169" s="59"/>
      <c r="AB169" s="59"/>
      <c r="AC169" s="59"/>
      <c r="AD169" s="59"/>
      <c r="AE169" s="59"/>
      <c r="AF169" s="59"/>
      <c r="AG169" s="59"/>
      <c r="AH169" s="59"/>
      <c r="AI169" s="59"/>
    </row>
    <row r="170">
      <c r="B170" s="140" t="s">
        <v>271</v>
      </c>
      <c r="C170" s="70"/>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c r="AB170" s="59"/>
      <c r="AC170" s="59"/>
      <c r="AD170" s="59"/>
      <c r="AE170" s="59"/>
      <c r="AF170" s="59"/>
      <c r="AG170" s="59"/>
      <c r="AH170" s="59"/>
      <c r="AI170" s="59"/>
    </row>
    <row r="171">
      <c r="B171" s="140" t="s">
        <v>272</v>
      </c>
      <c r="C171" s="70"/>
      <c r="D171" s="59"/>
      <c r="E171" s="59"/>
      <c r="F171" s="59"/>
      <c r="G171" s="59"/>
      <c r="H171" s="59"/>
      <c r="I171" s="59"/>
      <c r="J171" s="59"/>
      <c r="K171" s="59"/>
      <c r="L171" s="59"/>
      <c r="M171" s="59"/>
      <c r="N171" s="59"/>
      <c r="O171" s="59"/>
      <c r="P171" s="59"/>
      <c r="Q171" s="59"/>
      <c r="R171" s="59"/>
      <c r="S171" s="59"/>
      <c r="T171" s="59"/>
      <c r="U171" s="59"/>
      <c r="V171" s="59"/>
      <c r="W171" s="59"/>
      <c r="X171" s="59"/>
      <c r="Y171" s="59"/>
      <c r="Z171" s="59"/>
      <c r="AA171" s="59"/>
      <c r="AB171" s="59"/>
      <c r="AC171" s="59"/>
      <c r="AD171" s="59"/>
      <c r="AE171" s="59"/>
      <c r="AF171" s="59"/>
      <c r="AG171" s="59"/>
      <c r="AH171" s="59"/>
      <c r="AI171" s="59"/>
    </row>
    <row r="172">
      <c r="B172" s="140" t="s">
        <v>273</v>
      </c>
      <c r="C172" s="70"/>
      <c r="D172" s="59"/>
      <c r="E172" s="59"/>
      <c r="F172" s="59"/>
      <c r="G172" s="59"/>
      <c r="H172" s="59"/>
      <c r="I172" s="59"/>
      <c r="J172" s="59"/>
      <c r="K172" s="59"/>
      <c r="L172" s="59"/>
      <c r="M172" s="59"/>
      <c r="N172" s="59"/>
      <c r="O172" s="59"/>
      <c r="P172" s="59"/>
      <c r="Q172" s="59"/>
      <c r="R172" s="59"/>
      <c r="S172" s="59"/>
      <c r="T172" s="59"/>
      <c r="U172" s="59"/>
      <c r="V172" s="59"/>
      <c r="W172" s="59"/>
      <c r="X172" s="59"/>
      <c r="Y172" s="59"/>
      <c r="Z172" s="59"/>
      <c r="AA172" s="59"/>
      <c r="AB172" s="59"/>
      <c r="AC172" s="59"/>
      <c r="AD172" s="59"/>
      <c r="AE172" s="59"/>
      <c r="AF172" s="59"/>
      <c r="AG172" s="59"/>
      <c r="AH172" s="59"/>
      <c r="AI172" s="59"/>
    </row>
    <row r="173">
      <c r="B173" s="140" t="s">
        <v>274</v>
      </c>
      <c r="C173" s="70"/>
      <c r="D173" s="59"/>
      <c r="E173" s="59"/>
      <c r="F173" s="59"/>
      <c r="G173" s="59"/>
      <c r="H173" s="59"/>
      <c r="I173" s="59"/>
      <c r="J173" s="59"/>
      <c r="K173" s="59"/>
      <c r="L173" s="59"/>
      <c r="M173" s="59"/>
      <c r="N173" s="59"/>
      <c r="O173" s="59"/>
      <c r="P173" s="59"/>
      <c r="Q173" s="59"/>
      <c r="R173" s="59"/>
      <c r="S173" s="59"/>
      <c r="T173" s="59"/>
      <c r="U173" s="59"/>
      <c r="V173" s="59"/>
      <c r="W173" s="59"/>
      <c r="X173" s="59"/>
      <c r="Y173" s="59"/>
      <c r="Z173" s="59"/>
      <c r="AA173" s="59"/>
      <c r="AB173" s="59"/>
      <c r="AC173" s="59"/>
      <c r="AD173" s="59"/>
      <c r="AE173" s="59"/>
      <c r="AF173" s="59"/>
      <c r="AG173" s="59"/>
      <c r="AH173" s="59"/>
      <c r="AI173" s="59"/>
    </row>
    <row r="174">
      <c r="B174" s="140" t="s">
        <v>275</v>
      </c>
      <c r="C174" s="71"/>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row>
    <row r="175">
      <c r="B175" s="140" t="s">
        <v>276</v>
      </c>
      <c r="C175" s="71"/>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row>
    <row r="176">
      <c r="B176" s="140" t="s">
        <v>277</v>
      </c>
      <c r="C176" s="70"/>
      <c r="D176" s="59"/>
      <c r="E176" s="59"/>
      <c r="F176" s="59"/>
      <c r="G176" s="59"/>
      <c r="H176" s="59"/>
      <c r="I176" s="59"/>
      <c r="J176" s="59"/>
      <c r="K176" s="59"/>
      <c r="L176" s="59"/>
      <c r="M176" s="59"/>
      <c r="N176" s="59"/>
      <c r="O176" s="59"/>
      <c r="P176" s="59"/>
      <c r="Q176" s="59"/>
      <c r="R176" s="59"/>
      <c r="S176" s="59"/>
      <c r="T176" s="59"/>
      <c r="U176" s="59"/>
      <c r="V176" s="59"/>
      <c r="W176" s="59"/>
      <c r="X176" s="59"/>
      <c r="Y176" s="59"/>
      <c r="Z176" s="59"/>
      <c r="AA176" s="59"/>
      <c r="AB176" s="59"/>
      <c r="AC176" s="59"/>
      <c r="AD176" s="59"/>
      <c r="AE176" s="59"/>
      <c r="AF176" s="59"/>
      <c r="AG176" s="59"/>
      <c r="AH176" s="59"/>
      <c r="AI176" s="59"/>
    </row>
    <row r="177">
      <c r="B177" s="140" t="s">
        <v>278</v>
      </c>
      <c r="C177" s="65" t="str">
        <f t="shared" ref="C177:AI177" si="20">IF(ISBLANK(C148),  ,  $C$11*(1 + ($D$11 - C174%)) * (1 - (C162% + C175%)))</f>
        <v/>
      </c>
      <c r="D177" s="59" t="str">
        <f t="shared" si="20"/>
        <v/>
      </c>
      <c r="E177" s="59" t="str">
        <f t="shared" si="20"/>
        <v/>
      </c>
      <c r="F177" s="59" t="str">
        <f t="shared" si="20"/>
        <v/>
      </c>
      <c r="G177" s="59" t="str">
        <f t="shared" si="20"/>
        <v/>
      </c>
      <c r="H177" s="59" t="str">
        <f t="shared" si="20"/>
        <v/>
      </c>
      <c r="I177" s="59" t="str">
        <f t="shared" si="20"/>
        <v/>
      </c>
      <c r="J177" s="59" t="str">
        <f t="shared" si="20"/>
        <v/>
      </c>
      <c r="K177" s="59" t="str">
        <f t="shared" si="20"/>
        <v/>
      </c>
      <c r="L177" s="59" t="str">
        <f t="shared" si="20"/>
        <v/>
      </c>
      <c r="M177" s="59" t="str">
        <f t="shared" si="20"/>
        <v/>
      </c>
      <c r="N177" s="59" t="str">
        <f t="shared" si="20"/>
        <v/>
      </c>
      <c r="O177" s="59" t="str">
        <f t="shared" si="20"/>
        <v/>
      </c>
      <c r="P177" s="59" t="str">
        <f t="shared" si="20"/>
        <v/>
      </c>
      <c r="Q177" s="59" t="str">
        <f t="shared" si="20"/>
        <v/>
      </c>
      <c r="R177" s="59" t="str">
        <f t="shared" si="20"/>
        <v/>
      </c>
      <c r="S177" s="59" t="str">
        <f t="shared" si="20"/>
        <v/>
      </c>
      <c r="T177" s="59" t="str">
        <f t="shared" si="20"/>
        <v/>
      </c>
      <c r="U177" s="59" t="str">
        <f t="shared" si="20"/>
        <v/>
      </c>
      <c r="V177" s="59" t="str">
        <f t="shared" si="20"/>
        <v/>
      </c>
      <c r="W177" s="59" t="str">
        <f t="shared" si="20"/>
        <v/>
      </c>
      <c r="X177" s="59" t="str">
        <f t="shared" si="20"/>
        <v/>
      </c>
      <c r="Y177" s="59" t="str">
        <f t="shared" si="20"/>
        <v/>
      </c>
      <c r="Z177" s="59" t="str">
        <f t="shared" si="20"/>
        <v/>
      </c>
      <c r="AA177" s="59" t="str">
        <f t="shared" si="20"/>
        <v/>
      </c>
      <c r="AB177" s="59" t="str">
        <f t="shared" si="20"/>
        <v/>
      </c>
      <c r="AC177" s="59" t="str">
        <f t="shared" si="20"/>
        <v/>
      </c>
      <c r="AD177" s="59" t="str">
        <f t="shared" si="20"/>
        <v/>
      </c>
      <c r="AE177" s="59" t="str">
        <f t="shared" si="20"/>
        <v/>
      </c>
      <c r="AF177" s="59" t="str">
        <f t="shared" si="20"/>
        <v/>
      </c>
      <c r="AG177" s="59" t="str">
        <f t="shared" si="20"/>
        <v/>
      </c>
      <c r="AH177" s="59" t="str">
        <f t="shared" si="20"/>
        <v/>
      </c>
      <c r="AI177" s="59" t="str">
        <f t="shared" si="20"/>
        <v/>
      </c>
    </row>
    <row r="178">
      <c r="B178" s="140" t="s">
        <v>279</v>
      </c>
      <c r="C178" s="65" t="str">
        <f t="shared" ref="C178:AI178" si="21">IF(ISBLANK(C148),  ,  (1 - (C177 / (C177 + (5 * 90) + 500))))</f>
        <v/>
      </c>
      <c r="D178" s="59" t="str">
        <f t="shared" si="21"/>
        <v/>
      </c>
      <c r="E178" s="59" t="str">
        <f t="shared" si="21"/>
        <v/>
      </c>
      <c r="F178" s="59" t="str">
        <f t="shared" si="21"/>
        <v/>
      </c>
      <c r="G178" s="59" t="str">
        <f t="shared" si="21"/>
        <v/>
      </c>
      <c r="H178" s="59" t="str">
        <f t="shared" si="21"/>
        <v/>
      </c>
      <c r="I178" s="59" t="str">
        <f t="shared" si="21"/>
        <v/>
      </c>
      <c r="J178" s="59" t="str">
        <f t="shared" si="21"/>
        <v/>
      </c>
      <c r="K178" s="59" t="str">
        <f t="shared" si="21"/>
        <v/>
      </c>
      <c r="L178" s="59" t="str">
        <f t="shared" si="21"/>
        <v/>
      </c>
      <c r="M178" s="59" t="str">
        <f t="shared" si="21"/>
        <v/>
      </c>
      <c r="N178" s="59" t="str">
        <f t="shared" si="21"/>
        <v/>
      </c>
      <c r="O178" s="59" t="str">
        <f t="shared" si="21"/>
        <v/>
      </c>
      <c r="P178" s="59" t="str">
        <f t="shared" si="21"/>
        <v/>
      </c>
      <c r="Q178" s="59" t="str">
        <f t="shared" si="21"/>
        <v/>
      </c>
      <c r="R178" s="59" t="str">
        <f t="shared" si="21"/>
        <v/>
      </c>
      <c r="S178" s="59" t="str">
        <f t="shared" si="21"/>
        <v/>
      </c>
      <c r="T178" s="59" t="str">
        <f t="shared" si="21"/>
        <v/>
      </c>
      <c r="U178" s="59" t="str">
        <f t="shared" si="21"/>
        <v/>
      </c>
      <c r="V178" s="59" t="str">
        <f t="shared" si="21"/>
        <v/>
      </c>
      <c r="W178" s="59" t="str">
        <f t="shared" si="21"/>
        <v/>
      </c>
      <c r="X178" s="59" t="str">
        <f t="shared" si="21"/>
        <v/>
      </c>
      <c r="Y178" s="59" t="str">
        <f t="shared" si="21"/>
        <v/>
      </c>
      <c r="Z178" s="59" t="str">
        <f t="shared" si="21"/>
        <v/>
      </c>
      <c r="AA178" s="59" t="str">
        <f t="shared" si="21"/>
        <v/>
      </c>
      <c r="AB178" s="59" t="str">
        <f t="shared" si="21"/>
        <v/>
      </c>
      <c r="AC178" s="59" t="str">
        <f t="shared" si="21"/>
        <v/>
      </c>
      <c r="AD178" s="59" t="str">
        <f t="shared" si="21"/>
        <v/>
      </c>
      <c r="AE178" s="59" t="str">
        <f t="shared" si="21"/>
        <v/>
      </c>
      <c r="AF178" s="59" t="str">
        <f t="shared" si="21"/>
        <v/>
      </c>
      <c r="AG178" s="59" t="str">
        <f t="shared" si="21"/>
        <v/>
      </c>
      <c r="AH178" s="59" t="str">
        <f t="shared" si="21"/>
        <v/>
      </c>
      <c r="AI178" s="59" t="str">
        <f t="shared" si="21"/>
        <v/>
      </c>
    </row>
    <row r="179">
      <c r="B179" s="140" t="s">
        <v>280</v>
      </c>
      <c r="C179" s="65" t="str">
        <f t="shared" ref="C179:AI179" si="22">IF(ISBLANK(C148),  ,  IF(C151="Geo", (IF(($E$12 + C173) &lt; 0, (1 - (($E$12 + C173) / 200)), IF(($E$12 + C173) &gt; 75, (100 / (100 + (4 * ($E$12 + C173)))), (100 - ($E$12 + C173)) / 100))), IF(C151="Anemo", (IF(($E$13 + C173) &lt; 0, (1 - (($E$13 + C173) / 200)), IF(($E$13 + C173) &gt; 75, (100 / (100 + (4 * ($E$13 + C173)))), (100 - ($E$13 + C173)) / 100))), IF(C151="Cryo", (IF(($E$14 + C173) &lt; 0, (1 - (($E$14 + C173) / 200)), IF(($E$14 + C173) &gt; 75, (100 / (100 + (4 * ($E$14 + C173)))), (100 - ($E$14 + C173)) / 100))), IF(C151="Hydro", (IF(($E$15 + C173) &lt; 0, (1 - (($E$15 + C173) / 200)), IF(($E$15 + C173) &gt; 75, (100 / (100 + (4 * ($E$15 + C173)))), (100 - ($E$15 + C173)) / 100))), IF(C151="Pyro", (IF(($E$16 + C173) &lt; 0, (1 - (($E$16 + C173) / 200)), IF(($E$16 + C173) &gt; 75, (100 / (100 + (4 * ($E$16 + C173)))), (100 - ($E$16 + C173)) / 100))), IF(C151="Electro", (IF(($E$17 + C173) &lt; 0, (1 - (($E$17 + C173) / 200)), IF(($E$17 + C173) &gt; 75, (100 / (100 + (4 * ($E$17 + C173)))), (100 - ($E$17 + C173)) / 100))), IF(C151="Dendro", (IF(($E$18 + C173) &lt; 0, (1 - (($E$18 + C173) / 200)), IF(($E$18 + C173) &gt; 75, (100 / (100 + (4 * ($E$18 + C173)))), (100 - ($E$18 + C173)) / 100))), IF(C151="Physical", (IF(($E$19 + C173) &lt; 0, (1 - (($E$19 + C173) / 200)), IF(($E$19 + C173) &gt; 75, (100 / (100 + (4 * ($E$19 + C173)))), (100 - ($E$19 + C173)) / 100))), 0)))))))))</f>
        <v/>
      </c>
      <c r="D179" s="59" t="str">
        <f t="shared" si="22"/>
        <v/>
      </c>
      <c r="E179" s="59" t="str">
        <f t="shared" si="22"/>
        <v/>
      </c>
      <c r="F179" s="59" t="str">
        <f t="shared" si="22"/>
        <v/>
      </c>
      <c r="G179" s="59" t="str">
        <f t="shared" si="22"/>
        <v/>
      </c>
      <c r="H179" s="59" t="str">
        <f t="shared" si="22"/>
        <v/>
      </c>
      <c r="I179" s="59" t="str">
        <f t="shared" si="22"/>
        <v/>
      </c>
      <c r="J179" s="59" t="str">
        <f t="shared" si="22"/>
        <v/>
      </c>
      <c r="K179" s="59" t="str">
        <f t="shared" si="22"/>
        <v/>
      </c>
      <c r="L179" s="59" t="str">
        <f t="shared" si="22"/>
        <v/>
      </c>
      <c r="M179" s="59" t="str">
        <f t="shared" si="22"/>
        <v/>
      </c>
      <c r="N179" s="59" t="str">
        <f t="shared" si="22"/>
        <v/>
      </c>
      <c r="O179" s="59" t="str">
        <f t="shared" si="22"/>
        <v/>
      </c>
      <c r="P179" s="59" t="str">
        <f t="shared" si="22"/>
        <v/>
      </c>
      <c r="Q179" s="59" t="str">
        <f t="shared" si="22"/>
        <v/>
      </c>
      <c r="R179" s="59" t="str">
        <f t="shared" si="22"/>
        <v/>
      </c>
      <c r="S179" s="59" t="str">
        <f t="shared" si="22"/>
        <v/>
      </c>
      <c r="T179" s="59" t="str">
        <f t="shared" si="22"/>
        <v/>
      </c>
      <c r="U179" s="59" t="str">
        <f t="shared" si="22"/>
        <v/>
      </c>
      <c r="V179" s="59" t="str">
        <f t="shared" si="22"/>
        <v/>
      </c>
      <c r="W179" s="59" t="str">
        <f t="shared" si="22"/>
        <v/>
      </c>
      <c r="X179" s="59" t="str">
        <f t="shared" si="22"/>
        <v/>
      </c>
      <c r="Y179" s="59" t="str">
        <f t="shared" si="22"/>
        <v/>
      </c>
      <c r="Z179" s="59" t="str">
        <f t="shared" si="22"/>
        <v/>
      </c>
      <c r="AA179" s="59" t="str">
        <f t="shared" si="22"/>
        <v/>
      </c>
      <c r="AB179" s="59" t="str">
        <f t="shared" si="22"/>
        <v/>
      </c>
      <c r="AC179" s="59" t="str">
        <f t="shared" si="22"/>
        <v/>
      </c>
      <c r="AD179" s="59" t="str">
        <f t="shared" si="22"/>
        <v/>
      </c>
      <c r="AE179" s="59" t="str">
        <f t="shared" si="22"/>
        <v/>
      </c>
      <c r="AF179" s="59" t="str">
        <f t="shared" si="22"/>
        <v/>
      </c>
      <c r="AG179" s="59" t="str">
        <f t="shared" si="22"/>
        <v/>
      </c>
      <c r="AH179" s="59" t="str">
        <f t="shared" si="22"/>
        <v/>
      </c>
      <c r="AI179" s="59" t="str">
        <f t="shared" si="22"/>
        <v/>
      </c>
    </row>
    <row r="180">
      <c r="B180" s="140" t="s">
        <v>281</v>
      </c>
      <c r="C180" s="65" t="str">
        <f t="shared" ref="C180:AI180" si="23">IF(ISBLANK(C148),  ,  MAX(0, MIN(1, $J79% + IF(C149="skill", $J118%, IF(C149="burst", $J120%, IF(C149="normal", $J112%, IF(C149="charged", $J114%, IF(C149="plunging", $J116%, 0))))) + IF($E$10="Cryo", $J123%, IF($E$10="Hydro", $J125%, IF($E$10="Electro", $J127%, 
 IF($E$10="Dendro", $J129%, IF($E$10="Pyro", $J131%, IF($E$10="Frozen", $J132%  + $J123%, 0)))))) + C171% + IF(AND(C149="normal", OR($E$10 = "Cryo", $E$10="Frozen")), $J144%, 0))))</f>
        <v/>
      </c>
      <c r="D180" s="59" t="str">
        <f t="shared" si="23"/>
        <v/>
      </c>
      <c r="E180" s="59" t="str">
        <f t="shared" si="23"/>
        <v/>
      </c>
      <c r="F180" s="59" t="str">
        <f t="shared" si="23"/>
        <v/>
      </c>
      <c r="G180" s="59" t="str">
        <f t="shared" si="23"/>
        <v/>
      </c>
      <c r="H180" s="59" t="str">
        <f t="shared" si="23"/>
        <v/>
      </c>
      <c r="I180" s="59" t="str">
        <f t="shared" si="23"/>
        <v/>
      </c>
      <c r="J180" s="59" t="str">
        <f t="shared" si="23"/>
        <v/>
      </c>
      <c r="K180" s="59" t="str">
        <f t="shared" si="23"/>
        <v/>
      </c>
      <c r="L180" s="59" t="str">
        <f t="shared" si="23"/>
        <v/>
      </c>
      <c r="M180" s="59" t="str">
        <f t="shared" si="23"/>
        <v/>
      </c>
      <c r="N180" s="59" t="str">
        <f t="shared" si="23"/>
        <v/>
      </c>
      <c r="O180" s="59" t="str">
        <f t="shared" si="23"/>
        <v/>
      </c>
      <c r="P180" s="59" t="str">
        <f t="shared" si="23"/>
        <v/>
      </c>
      <c r="Q180" s="59" t="str">
        <f t="shared" si="23"/>
        <v/>
      </c>
      <c r="R180" s="59" t="str">
        <f t="shared" si="23"/>
        <v/>
      </c>
      <c r="S180" s="59" t="str">
        <f t="shared" si="23"/>
        <v/>
      </c>
      <c r="T180" s="59" t="str">
        <f t="shared" si="23"/>
        <v/>
      </c>
      <c r="U180" s="59" t="str">
        <f t="shared" si="23"/>
        <v/>
      </c>
      <c r="V180" s="59" t="str">
        <f t="shared" si="23"/>
        <v/>
      </c>
      <c r="W180" s="59" t="str">
        <f t="shared" si="23"/>
        <v/>
      </c>
      <c r="X180" s="59" t="str">
        <f t="shared" si="23"/>
        <v/>
      </c>
      <c r="Y180" s="59" t="str">
        <f t="shared" si="23"/>
        <v/>
      </c>
      <c r="Z180" s="59" t="str">
        <f t="shared" si="23"/>
        <v/>
      </c>
      <c r="AA180" s="59" t="str">
        <f t="shared" si="23"/>
        <v/>
      </c>
      <c r="AB180" s="59" t="str">
        <f t="shared" si="23"/>
        <v/>
      </c>
      <c r="AC180" s="59" t="str">
        <f t="shared" si="23"/>
        <v/>
      </c>
      <c r="AD180" s="59" t="str">
        <f t="shared" si="23"/>
        <v/>
      </c>
      <c r="AE180" s="59" t="str">
        <f t="shared" si="23"/>
        <v/>
      </c>
      <c r="AF180" s="59" t="str">
        <f t="shared" si="23"/>
        <v/>
      </c>
      <c r="AG180" s="59" t="str">
        <f t="shared" si="23"/>
        <v/>
      </c>
      <c r="AH180" s="59" t="str">
        <f t="shared" si="23"/>
        <v/>
      </c>
      <c r="AI180" s="59" t="str">
        <f t="shared" si="23"/>
        <v/>
      </c>
    </row>
    <row r="181">
      <c r="B181" s="140" t="s">
        <v>282</v>
      </c>
      <c r="C181" s="65" t="str">
        <f t="shared" ref="C181:AI181" si="24">IF(ISBLANK(C148),  ,  1 + $J80% + IF(C149="skill", $J119%, IF(C149="burst", $J121%, IF(C149="normal", $J113%, IF(C149="charged", $J115%, IF(C149="plunging", $J117%, 0))))) + IF(C151="Geo", $J104%, IF(C151="Anemo", $J106%, IF(C151="Hydro", $J107%, IF(C151="Pyro", $J108%, IF(C151="Electro", $J110%, IF(C151="Dendro", $J109%, IF(C151="Physical", $J111%, IF(C151="Cryo", $J105%, 0)))))))) + C172%)</f>
        <v/>
      </c>
      <c r="D181" s="59" t="str">
        <f t="shared" si="24"/>
        <v/>
      </c>
      <c r="E181" s="59" t="str">
        <f t="shared" si="24"/>
        <v/>
      </c>
      <c r="F181" s="59" t="str">
        <f t="shared" si="24"/>
        <v/>
      </c>
      <c r="G181" s="59" t="str">
        <f t="shared" si="24"/>
        <v/>
      </c>
      <c r="H181" s="59" t="str">
        <f t="shared" si="24"/>
        <v/>
      </c>
      <c r="I181" s="59" t="str">
        <f t="shared" si="24"/>
        <v/>
      </c>
      <c r="J181" s="59" t="str">
        <f t="shared" si="24"/>
        <v/>
      </c>
      <c r="K181" s="59" t="str">
        <f t="shared" si="24"/>
        <v/>
      </c>
      <c r="L181" s="59" t="str">
        <f t="shared" si="24"/>
        <v/>
      </c>
      <c r="M181" s="59" t="str">
        <f t="shared" si="24"/>
        <v/>
      </c>
      <c r="N181" s="59" t="str">
        <f t="shared" si="24"/>
        <v/>
      </c>
      <c r="O181" s="59" t="str">
        <f t="shared" si="24"/>
        <v/>
      </c>
      <c r="P181" s="59" t="str">
        <f t="shared" si="24"/>
        <v/>
      </c>
      <c r="Q181" s="59" t="str">
        <f t="shared" si="24"/>
        <v/>
      </c>
      <c r="R181" s="59" t="str">
        <f t="shared" si="24"/>
        <v/>
      </c>
      <c r="S181" s="59" t="str">
        <f t="shared" si="24"/>
        <v/>
      </c>
      <c r="T181" s="59" t="str">
        <f t="shared" si="24"/>
        <v/>
      </c>
      <c r="U181" s="59" t="str">
        <f t="shared" si="24"/>
        <v/>
      </c>
      <c r="V181" s="59" t="str">
        <f t="shared" si="24"/>
        <v/>
      </c>
      <c r="W181" s="59" t="str">
        <f t="shared" si="24"/>
        <v/>
      </c>
      <c r="X181" s="59" t="str">
        <f t="shared" si="24"/>
        <v/>
      </c>
      <c r="Y181" s="59" t="str">
        <f t="shared" si="24"/>
        <v/>
      </c>
      <c r="Z181" s="59" t="str">
        <f t="shared" si="24"/>
        <v/>
      </c>
      <c r="AA181" s="59" t="str">
        <f t="shared" si="24"/>
        <v/>
      </c>
      <c r="AB181" s="59" t="str">
        <f t="shared" si="24"/>
        <v/>
      </c>
      <c r="AC181" s="59" t="str">
        <f t="shared" si="24"/>
        <v/>
      </c>
      <c r="AD181" s="59" t="str">
        <f t="shared" si="24"/>
        <v/>
      </c>
      <c r="AE181" s="59" t="str">
        <f t="shared" si="24"/>
        <v/>
      </c>
      <c r="AF181" s="59" t="str">
        <f t="shared" si="24"/>
        <v/>
      </c>
      <c r="AG181" s="59" t="str">
        <f t="shared" si="24"/>
        <v/>
      </c>
      <c r="AH181" s="59" t="str">
        <f t="shared" si="24"/>
        <v/>
      </c>
      <c r="AI181" s="59" t="str">
        <f t="shared" si="24"/>
        <v/>
      </c>
    </row>
    <row r="182">
      <c r="B182" s="140" t="s">
        <v>283</v>
      </c>
      <c r="C182" s="65" t="str">
        <f t="shared" ref="C182:AI182" si="25">IF(ISBLANK(C148),  ,  1 + $J97% + IF(C151="Physical", 0, $J103%) + IF(C149="skill", $J98%, IF(C149="burst", $J99%, IF(C149="normal", $J100%, IF(C149="charged", $J101%, IF(C149="plunging", $J102%, 0))))) + IF(C151="Geo", $J87%, IF(C151="Anemo", $J89%, IF(C151="Hydro", $J90%, IF(C151="Pyro", $J91%, IF(C151="Electro", $J92%, IF(C151="Dendro", $J93%, IF(C151="Physical", $J94%, IF(C151="Cryo", $J88%, 0)))))))) + IF(OR($E$10 ="Cryo", $E$10 = "Frozen"), $J122%, 0) + IF(OR($E$10="Hydro", $E$10="Electro-Charged", $E$10="Frozen"), $J124%, 0) +  IF(OR($E$10="Electro", $E$10="Electro-Charged", $E$10="Quicken"), $J126%, 0) + IF(OR($E$10="Dendro", $E$10="Quicken", $E$10="Burning"), $J128%, 0) + IF(OR($E$10="Pyro", $E$10="Burning"), $J130%, 0) + C170% + IF(AND(OR($E$10 = "Cryo", $E$10 = "Frozen"), OR(C149="normal", C149="charged")), $J145%, 0))</f>
        <v/>
      </c>
      <c r="D182" s="59" t="str">
        <f t="shared" si="25"/>
        <v/>
      </c>
      <c r="E182" s="59" t="str">
        <f t="shared" si="25"/>
        <v/>
      </c>
      <c r="F182" s="59" t="str">
        <f t="shared" si="25"/>
        <v/>
      </c>
      <c r="G182" s="59" t="str">
        <f t="shared" si="25"/>
        <v/>
      </c>
      <c r="H182" s="59" t="str">
        <f t="shared" si="25"/>
        <v/>
      </c>
      <c r="I182" s="59" t="str">
        <f t="shared" si="25"/>
        <v/>
      </c>
      <c r="J182" s="59" t="str">
        <f t="shared" si="25"/>
        <v/>
      </c>
      <c r="K182" s="59" t="str">
        <f t="shared" si="25"/>
        <v/>
      </c>
      <c r="L182" s="59" t="str">
        <f t="shared" si="25"/>
        <v/>
      </c>
      <c r="M182" s="59" t="str">
        <f t="shared" si="25"/>
        <v/>
      </c>
      <c r="N182" s="59" t="str">
        <f t="shared" si="25"/>
        <v/>
      </c>
      <c r="O182" s="59" t="str">
        <f t="shared" si="25"/>
        <v/>
      </c>
      <c r="P182" s="59" t="str">
        <f t="shared" si="25"/>
        <v/>
      </c>
      <c r="Q182" s="59" t="str">
        <f t="shared" si="25"/>
        <v/>
      </c>
      <c r="R182" s="59" t="str">
        <f t="shared" si="25"/>
        <v/>
      </c>
      <c r="S182" s="59" t="str">
        <f t="shared" si="25"/>
        <v/>
      </c>
      <c r="T182" s="59" t="str">
        <f t="shared" si="25"/>
        <v/>
      </c>
      <c r="U182" s="59" t="str">
        <f t="shared" si="25"/>
        <v/>
      </c>
      <c r="V182" s="59" t="str">
        <f t="shared" si="25"/>
        <v/>
      </c>
      <c r="W182" s="59" t="str">
        <f t="shared" si="25"/>
        <v/>
      </c>
      <c r="X182" s="59" t="str">
        <f t="shared" si="25"/>
        <v/>
      </c>
      <c r="Y182" s="59" t="str">
        <f t="shared" si="25"/>
        <v/>
      </c>
      <c r="Z182" s="59" t="str">
        <f t="shared" si="25"/>
        <v/>
      </c>
      <c r="AA182" s="59" t="str">
        <f t="shared" si="25"/>
        <v/>
      </c>
      <c r="AB182" s="59" t="str">
        <f t="shared" si="25"/>
        <v/>
      </c>
      <c r="AC182" s="59" t="str">
        <f t="shared" si="25"/>
        <v/>
      </c>
      <c r="AD182" s="59" t="str">
        <f t="shared" si="25"/>
        <v/>
      </c>
      <c r="AE182" s="59" t="str">
        <f t="shared" si="25"/>
        <v/>
      </c>
      <c r="AF182" s="59" t="str">
        <f t="shared" si="25"/>
        <v/>
      </c>
      <c r="AG182" s="59" t="str">
        <f t="shared" si="25"/>
        <v/>
      </c>
      <c r="AH182" s="59" t="str">
        <f t="shared" si="25"/>
        <v/>
      </c>
      <c r="AI182" s="59" t="str">
        <f t="shared" si="25"/>
        <v/>
      </c>
    </row>
    <row r="183">
      <c r="B183" s="140" t="s">
        <v>284</v>
      </c>
      <c r="C183" s="159" t="str">
        <f t="shared" ref="C183:AI183" si="26">IF(ISBLANK(C148),  ,  ((C152% * (($C77 + $D77) * (1 + $J78% + C164%) + C163 + SUM($E77:$G77) + $I77) + C153% * (($C81 * (1 + $J82% + C166%)) + C165 + SUM($D81:$G81) + $I81) + C154% * ($C85 * (1 + $J86% + C168%) + C167 + SUM($D85:$G85) + $I85) + C155% * ($J84 + C169)) * C161 + (C156% * (($C77 + $D77) * (1 + $J78% + C164%) + C163 + SUM($E77:$G77) + $I77) + C157% * (($C81 * (1 + $J82% + C166%)) + C165 + SUM($D81:$G81) + $I81) + C158% * ($C85 * (1 + $J86% + C168%) + C167 + SUM($D85:$G85) + $I85) + C159% * ($J84 + C169)) + C160) * C178 * C179 * C182)</f>
        <v/>
      </c>
      <c r="D183" s="59" t="str">
        <f t="shared" si="26"/>
        <v/>
      </c>
      <c r="E183" s="59" t="str">
        <f t="shared" si="26"/>
        <v/>
      </c>
      <c r="F183" s="59" t="str">
        <f t="shared" si="26"/>
        <v/>
      </c>
      <c r="G183" s="59" t="str">
        <f t="shared" si="26"/>
        <v/>
      </c>
      <c r="H183" s="59" t="str">
        <f t="shared" si="26"/>
        <v/>
      </c>
      <c r="I183" s="59" t="str">
        <f t="shared" si="26"/>
        <v/>
      </c>
      <c r="J183" s="59" t="str">
        <f t="shared" si="26"/>
        <v/>
      </c>
      <c r="K183" s="59" t="str">
        <f t="shared" si="26"/>
        <v/>
      </c>
      <c r="L183" s="59" t="str">
        <f t="shared" si="26"/>
        <v/>
      </c>
      <c r="M183" s="59" t="str">
        <f t="shared" si="26"/>
        <v/>
      </c>
      <c r="N183" s="59" t="str">
        <f t="shared" si="26"/>
        <v/>
      </c>
      <c r="O183" s="59" t="str">
        <f t="shared" si="26"/>
        <v/>
      </c>
      <c r="P183" s="59" t="str">
        <f t="shared" si="26"/>
        <v/>
      </c>
      <c r="Q183" s="59" t="str">
        <f t="shared" si="26"/>
        <v/>
      </c>
      <c r="R183" s="59" t="str">
        <f t="shared" si="26"/>
        <v/>
      </c>
      <c r="S183" s="59" t="str">
        <f t="shared" si="26"/>
        <v/>
      </c>
      <c r="T183" s="59" t="str">
        <f t="shared" si="26"/>
        <v/>
      </c>
      <c r="U183" s="59" t="str">
        <f t="shared" si="26"/>
        <v/>
      </c>
      <c r="V183" s="59" t="str">
        <f t="shared" si="26"/>
        <v/>
      </c>
      <c r="W183" s="59" t="str">
        <f t="shared" si="26"/>
        <v/>
      </c>
      <c r="X183" s="59" t="str">
        <f t="shared" si="26"/>
        <v/>
      </c>
      <c r="Y183" s="59" t="str">
        <f t="shared" si="26"/>
        <v/>
      </c>
      <c r="Z183" s="59" t="str">
        <f t="shared" si="26"/>
        <v/>
      </c>
      <c r="AA183" s="59" t="str">
        <f t="shared" si="26"/>
        <v/>
      </c>
      <c r="AB183" s="59" t="str">
        <f t="shared" si="26"/>
        <v/>
      </c>
      <c r="AC183" s="59" t="str">
        <f t="shared" si="26"/>
        <v/>
      </c>
      <c r="AD183" s="59" t="str">
        <f t="shared" si="26"/>
        <v/>
      </c>
      <c r="AE183" s="59" t="str">
        <f t="shared" si="26"/>
        <v/>
      </c>
      <c r="AF183" s="59" t="str">
        <f t="shared" si="26"/>
        <v/>
      </c>
      <c r="AG183" s="59" t="str">
        <f t="shared" si="26"/>
        <v/>
      </c>
      <c r="AH183" s="59" t="str">
        <f t="shared" si="26"/>
        <v/>
      </c>
      <c r="AI183" s="59" t="str">
        <f t="shared" si="26"/>
        <v/>
      </c>
    </row>
    <row r="184">
      <c r="B184" s="140" t="s">
        <v>285</v>
      </c>
      <c r="C184" s="159" t="str">
        <f t="shared" ref="C184:AI184" si="27">IF(ISBLANK(C148)
,  ,  (C183 * (1 - C180)) + C185 * C180)</f>
        <v/>
      </c>
      <c r="D184" s="59" t="str">
        <f t="shared" si="27"/>
        <v/>
      </c>
      <c r="E184" s="59" t="str">
        <f t="shared" si="27"/>
        <v/>
      </c>
      <c r="F184" s="59" t="str">
        <f t="shared" si="27"/>
        <v/>
      </c>
      <c r="G184" s="59" t="str">
        <f t="shared" si="27"/>
        <v/>
      </c>
      <c r="H184" s="59" t="str">
        <f t="shared" si="27"/>
        <v/>
      </c>
      <c r="I184" s="59" t="str">
        <f t="shared" si="27"/>
        <v/>
      </c>
      <c r="J184" s="59" t="str">
        <f t="shared" si="27"/>
        <v/>
      </c>
      <c r="K184" s="59" t="str">
        <f t="shared" si="27"/>
        <v/>
      </c>
      <c r="L184" s="59" t="str">
        <f t="shared" si="27"/>
        <v/>
      </c>
      <c r="M184" s="59" t="str">
        <f t="shared" si="27"/>
        <v/>
      </c>
      <c r="N184" s="59" t="str">
        <f t="shared" si="27"/>
        <v/>
      </c>
      <c r="O184" s="59" t="str">
        <f t="shared" si="27"/>
        <v/>
      </c>
      <c r="P184" s="59" t="str">
        <f t="shared" si="27"/>
        <v/>
      </c>
      <c r="Q184" s="59" t="str">
        <f t="shared" si="27"/>
        <v/>
      </c>
      <c r="R184" s="59" t="str">
        <f t="shared" si="27"/>
        <v/>
      </c>
      <c r="S184" s="59" t="str">
        <f t="shared" si="27"/>
        <v/>
      </c>
      <c r="T184" s="59" t="str">
        <f t="shared" si="27"/>
        <v/>
      </c>
      <c r="U184" s="59" t="str">
        <f t="shared" si="27"/>
        <v/>
      </c>
      <c r="V184" s="59" t="str">
        <f t="shared" si="27"/>
        <v/>
      </c>
      <c r="W184" s="59" t="str">
        <f t="shared" si="27"/>
        <v/>
      </c>
      <c r="X184" s="59" t="str">
        <f t="shared" si="27"/>
        <v/>
      </c>
      <c r="Y184" s="59" t="str">
        <f t="shared" si="27"/>
        <v/>
      </c>
      <c r="Z184" s="59" t="str">
        <f t="shared" si="27"/>
        <v/>
      </c>
      <c r="AA184" s="59" t="str">
        <f t="shared" si="27"/>
        <v/>
      </c>
      <c r="AB184" s="59" t="str">
        <f t="shared" si="27"/>
        <v/>
      </c>
      <c r="AC184" s="59" t="str">
        <f t="shared" si="27"/>
        <v/>
      </c>
      <c r="AD184" s="59" t="str">
        <f t="shared" si="27"/>
        <v/>
      </c>
      <c r="AE184" s="59" t="str">
        <f t="shared" si="27"/>
        <v/>
      </c>
      <c r="AF184" s="59" t="str">
        <f t="shared" si="27"/>
        <v/>
      </c>
      <c r="AG184" s="59" t="str">
        <f t="shared" si="27"/>
        <v/>
      </c>
      <c r="AH184" s="59" t="str">
        <f t="shared" si="27"/>
        <v/>
      </c>
      <c r="AI184" s="59" t="str">
        <f t="shared" si="27"/>
        <v/>
      </c>
    </row>
    <row r="185">
      <c r="B185" s="140" t="s">
        <v>286</v>
      </c>
      <c r="C185" s="159" t="str">
        <f t="shared" ref="C185:AI185" si="28">IF(ISBLANK(C148),  ,  C183  * C181)</f>
        <v/>
      </c>
      <c r="D185" s="59" t="str">
        <f t="shared" si="28"/>
        <v/>
      </c>
      <c r="E185" s="59" t="str">
        <f t="shared" si="28"/>
        <v/>
      </c>
      <c r="F185" s="59" t="str">
        <f t="shared" si="28"/>
        <v/>
      </c>
      <c r="G185" s="59" t="str">
        <f t="shared" si="28"/>
        <v/>
      </c>
      <c r="H185" s="59" t="str">
        <f t="shared" si="28"/>
        <v/>
      </c>
      <c r="I185" s="59" t="str">
        <f t="shared" si="28"/>
        <v/>
      </c>
      <c r="J185" s="59" t="str">
        <f t="shared" si="28"/>
        <v/>
      </c>
      <c r="K185" s="59" t="str">
        <f t="shared" si="28"/>
        <v/>
      </c>
      <c r="L185" s="59" t="str">
        <f t="shared" si="28"/>
        <v/>
      </c>
      <c r="M185" s="59" t="str">
        <f t="shared" si="28"/>
        <v/>
      </c>
      <c r="N185" s="59" t="str">
        <f t="shared" si="28"/>
        <v/>
      </c>
      <c r="O185" s="59" t="str">
        <f t="shared" si="28"/>
        <v/>
      </c>
      <c r="P185" s="59" t="str">
        <f t="shared" si="28"/>
        <v/>
      </c>
      <c r="Q185" s="59" t="str">
        <f t="shared" si="28"/>
        <v/>
      </c>
      <c r="R185" s="59" t="str">
        <f t="shared" si="28"/>
        <v/>
      </c>
      <c r="S185" s="59" t="str">
        <f t="shared" si="28"/>
        <v/>
      </c>
      <c r="T185" s="59" t="str">
        <f t="shared" si="28"/>
        <v/>
      </c>
      <c r="U185" s="59" t="str">
        <f t="shared" si="28"/>
        <v/>
      </c>
      <c r="V185" s="59" t="str">
        <f t="shared" si="28"/>
        <v/>
      </c>
      <c r="W185" s="59" t="str">
        <f t="shared" si="28"/>
        <v/>
      </c>
      <c r="X185" s="59" t="str">
        <f t="shared" si="28"/>
        <v/>
      </c>
      <c r="Y185" s="59" t="str">
        <f t="shared" si="28"/>
        <v/>
      </c>
      <c r="Z185" s="59" t="str">
        <f t="shared" si="28"/>
        <v/>
      </c>
      <c r="AA185" s="59" t="str">
        <f t="shared" si="28"/>
        <v/>
      </c>
      <c r="AB185" s="59" t="str">
        <f t="shared" si="28"/>
        <v/>
      </c>
      <c r="AC185" s="59" t="str">
        <f t="shared" si="28"/>
        <v/>
      </c>
      <c r="AD185" s="59" t="str">
        <f t="shared" si="28"/>
        <v/>
      </c>
      <c r="AE185" s="59" t="str">
        <f t="shared" si="28"/>
        <v/>
      </c>
      <c r="AF185" s="59" t="str">
        <f t="shared" si="28"/>
        <v/>
      </c>
      <c r="AG185" s="59" t="str">
        <f t="shared" si="28"/>
        <v/>
      </c>
      <c r="AH185" s="59" t="str">
        <f t="shared" si="28"/>
        <v/>
      </c>
      <c r="AI185" s="59" t="str">
        <f t="shared" si="28"/>
        <v/>
      </c>
    </row>
    <row r="186">
      <c r="B186" s="140" t="s">
        <v>287</v>
      </c>
      <c r="C186" s="58" t="str">
        <f t="shared" ref="C186:AI186" si="29">IF(ISBLANK(C148),  ,  IF(C151="Pyro", 2 * (1 +  (2.78 * ($J84 +C169 ) / (($J84 +C169 ) + 1400)) + $J142%), IF(C151="Cryo", 1.5 * (1 +  (2.78 * ($J84 +C169 ) / (($J84 +C169 ) + 1400)) + $J142%), 0)) + C176%)</f>
        <v/>
      </c>
      <c r="D186" s="59" t="str">
        <f t="shared" si="29"/>
        <v/>
      </c>
      <c r="E186" s="59" t="str">
        <f t="shared" si="29"/>
        <v/>
      </c>
      <c r="F186" s="59" t="str">
        <f t="shared" si="29"/>
        <v/>
      </c>
      <c r="G186" s="59" t="str">
        <f t="shared" si="29"/>
        <v/>
      </c>
      <c r="H186" s="59" t="str">
        <f t="shared" si="29"/>
        <v/>
      </c>
      <c r="I186" s="59" t="str">
        <f t="shared" si="29"/>
        <v/>
      </c>
      <c r="J186" s="59" t="str">
        <f t="shared" si="29"/>
        <v/>
      </c>
      <c r="K186" s="59" t="str">
        <f t="shared" si="29"/>
        <v/>
      </c>
      <c r="L186" s="59" t="str">
        <f t="shared" si="29"/>
        <v/>
      </c>
      <c r="M186" s="59" t="str">
        <f t="shared" si="29"/>
        <v/>
      </c>
      <c r="N186" s="59" t="str">
        <f t="shared" si="29"/>
        <v/>
      </c>
      <c r="O186" s="59" t="str">
        <f t="shared" si="29"/>
        <v/>
      </c>
      <c r="P186" s="59" t="str">
        <f t="shared" si="29"/>
        <v/>
      </c>
      <c r="Q186" s="59" t="str">
        <f t="shared" si="29"/>
        <v/>
      </c>
      <c r="R186" s="59" t="str">
        <f t="shared" si="29"/>
        <v/>
      </c>
      <c r="S186" s="59" t="str">
        <f t="shared" si="29"/>
        <v/>
      </c>
      <c r="T186" s="59" t="str">
        <f t="shared" si="29"/>
        <v/>
      </c>
      <c r="U186" s="59" t="str">
        <f t="shared" si="29"/>
        <v/>
      </c>
      <c r="V186" s="59" t="str">
        <f t="shared" si="29"/>
        <v/>
      </c>
      <c r="W186" s="59" t="str">
        <f t="shared" si="29"/>
        <v/>
      </c>
      <c r="X186" s="59" t="str">
        <f t="shared" si="29"/>
        <v/>
      </c>
      <c r="Y186" s="59" t="str">
        <f t="shared" si="29"/>
        <v/>
      </c>
      <c r="Z186" s="59" t="str">
        <f t="shared" si="29"/>
        <v/>
      </c>
      <c r="AA186" s="59" t="str">
        <f t="shared" si="29"/>
        <v/>
      </c>
      <c r="AB186" s="59" t="str">
        <f t="shared" si="29"/>
        <v/>
      </c>
      <c r="AC186" s="59" t="str">
        <f t="shared" si="29"/>
        <v/>
      </c>
      <c r="AD186" s="59" t="str">
        <f t="shared" si="29"/>
        <v/>
      </c>
      <c r="AE186" s="59" t="str">
        <f t="shared" si="29"/>
        <v/>
      </c>
      <c r="AF186" s="59" t="str">
        <f t="shared" si="29"/>
        <v/>
      </c>
      <c r="AG186" s="59" t="str">
        <f t="shared" si="29"/>
        <v/>
      </c>
      <c r="AH186" s="59" t="str">
        <f t="shared" si="29"/>
        <v/>
      </c>
      <c r="AI186" s="59" t="str">
        <f t="shared" si="29"/>
        <v/>
      </c>
    </row>
    <row r="187">
      <c r="B187" s="140" t="s">
        <v>288</v>
      </c>
      <c r="C187" s="159" t="str">
        <f t="shared" ref="C187:AI187" si="30">IF(ISBLANK(C148),  ,  C186  * C183)</f>
        <v/>
      </c>
      <c r="D187" s="59" t="str">
        <f t="shared" si="30"/>
        <v/>
      </c>
      <c r="E187" s="59" t="str">
        <f t="shared" si="30"/>
        <v/>
      </c>
      <c r="F187" s="59" t="str">
        <f t="shared" si="30"/>
        <v/>
      </c>
      <c r="G187" s="59" t="str">
        <f t="shared" si="30"/>
        <v/>
      </c>
      <c r="H187" s="59" t="str">
        <f t="shared" si="30"/>
        <v/>
      </c>
      <c r="I187" s="59" t="str">
        <f t="shared" si="30"/>
        <v/>
      </c>
      <c r="J187" s="59" t="str">
        <f t="shared" si="30"/>
        <v/>
      </c>
      <c r="K187" s="59" t="str">
        <f t="shared" si="30"/>
        <v/>
      </c>
      <c r="L187" s="59" t="str">
        <f t="shared" si="30"/>
        <v/>
      </c>
      <c r="M187" s="59" t="str">
        <f t="shared" si="30"/>
        <v/>
      </c>
      <c r="N187" s="59" t="str">
        <f t="shared" si="30"/>
        <v/>
      </c>
      <c r="O187" s="59" t="str">
        <f t="shared" si="30"/>
        <v/>
      </c>
      <c r="P187" s="59" t="str">
        <f t="shared" si="30"/>
        <v/>
      </c>
      <c r="Q187" s="59" t="str">
        <f t="shared" si="30"/>
        <v/>
      </c>
      <c r="R187" s="59" t="str">
        <f t="shared" si="30"/>
        <v/>
      </c>
      <c r="S187" s="59" t="str">
        <f t="shared" si="30"/>
        <v/>
      </c>
      <c r="T187" s="59" t="str">
        <f t="shared" si="30"/>
        <v/>
      </c>
      <c r="U187" s="59" t="str">
        <f t="shared" si="30"/>
        <v/>
      </c>
      <c r="V187" s="59" t="str">
        <f t="shared" si="30"/>
        <v/>
      </c>
      <c r="W187" s="59" t="str">
        <f t="shared" si="30"/>
        <v/>
      </c>
      <c r="X187" s="59" t="str">
        <f t="shared" si="30"/>
        <v/>
      </c>
      <c r="Y187" s="59" t="str">
        <f t="shared" si="30"/>
        <v/>
      </c>
      <c r="Z187" s="59" t="str">
        <f t="shared" si="30"/>
        <v/>
      </c>
      <c r="AA187" s="59" t="str">
        <f t="shared" si="30"/>
        <v/>
      </c>
      <c r="AB187" s="59" t="str">
        <f t="shared" si="30"/>
        <v/>
      </c>
      <c r="AC187" s="59" t="str">
        <f t="shared" si="30"/>
        <v/>
      </c>
      <c r="AD187" s="59" t="str">
        <f t="shared" si="30"/>
        <v/>
      </c>
      <c r="AE187" s="59" t="str">
        <f t="shared" si="30"/>
        <v/>
      </c>
      <c r="AF187" s="59" t="str">
        <f t="shared" si="30"/>
        <v/>
      </c>
      <c r="AG187" s="59" t="str">
        <f t="shared" si="30"/>
        <v/>
      </c>
      <c r="AH187" s="59" t="str">
        <f t="shared" si="30"/>
        <v/>
      </c>
      <c r="AI187" s="59" t="str">
        <f t="shared" si="30"/>
        <v/>
      </c>
    </row>
    <row r="188">
      <c r="B188" s="140" t="s">
        <v>289</v>
      </c>
      <c r="C188" s="159" t="str">
        <f t="shared" ref="C188:AI188" si="31">IF(ISBLANK(C148),  ,  C186  * C184)</f>
        <v/>
      </c>
      <c r="D188" s="59" t="str">
        <f t="shared" si="31"/>
        <v/>
      </c>
      <c r="E188" s="59" t="str">
        <f t="shared" si="31"/>
        <v/>
      </c>
      <c r="F188" s="59" t="str">
        <f t="shared" si="31"/>
        <v/>
      </c>
      <c r="G188" s="59" t="str">
        <f t="shared" si="31"/>
        <v/>
      </c>
      <c r="H188" s="59" t="str">
        <f t="shared" si="31"/>
        <v/>
      </c>
      <c r="I188" s="59" t="str">
        <f t="shared" si="31"/>
        <v/>
      </c>
      <c r="J188" s="59" t="str">
        <f t="shared" si="31"/>
        <v/>
      </c>
      <c r="K188" s="59" t="str">
        <f t="shared" si="31"/>
        <v/>
      </c>
      <c r="L188" s="59" t="str">
        <f t="shared" si="31"/>
        <v/>
      </c>
      <c r="M188" s="59" t="str">
        <f t="shared" si="31"/>
        <v/>
      </c>
      <c r="N188" s="59" t="str">
        <f t="shared" si="31"/>
        <v/>
      </c>
      <c r="O188" s="59" t="str">
        <f t="shared" si="31"/>
        <v/>
      </c>
      <c r="P188" s="59" t="str">
        <f t="shared" si="31"/>
        <v/>
      </c>
      <c r="Q188" s="59" t="str">
        <f t="shared" si="31"/>
        <v/>
      </c>
      <c r="R188" s="59" t="str">
        <f t="shared" si="31"/>
        <v/>
      </c>
      <c r="S188" s="59" t="str">
        <f t="shared" si="31"/>
        <v/>
      </c>
      <c r="T188" s="59" t="str">
        <f t="shared" si="31"/>
        <v/>
      </c>
      <c r="U188" s="59" t="str">
        <f t="shared" si="31"/>
        <v/>
      </c>
      <c r="V188" s="59" t="str">
        <f t="shared" si="31"/>
        <v/>
      </c>
      <c r="W188" s="59" t="str">
        <f t="shared" si="31"/>
        <v/>
      </c>
      <c r="X188" s="59" t="str">
        <f t="shared" si="31"/>
        <v/>
      </c>
      <c r="Y188" s="59" t="str">
        <f t="shared" si="31"/>
        <v/>
      </c>
      <c r="Z188" s="59" t="str">
        <f t="shared" si="31"/>
        <v/>
      </c>
      <c r="AA188" s="59" t="str">
        <f t="shared" si="31"/>
        <v/>
      </c>
      <c r="AB188" s="59" t="str">
        <f t="shared" si="31"/>
        <v/>
      </c>
      <c r="AC188" s="59" t="str">
        <f t="shared" si="31"/>
        <v/>
      </c>
      <c r="AD188" s="59" t="str">
        <f t="shared" si="31"/>
        <v/>
      </c>
      <c r="AE188" s="59" t="str">
        <f t="shared" si="31"/>
        <v/>
      </c>
      <c r="AF188" s="59" t="str">
        <f t="shared" si="31"/>
        <v/>
      </c>
      <c r="AG188" s="59" t="str">
        <f t="shared" si="31"/>
        <v/>
      </c>
      <c r="AH188" s="59" t="str">
        <f t="shared" si="31"/>
        <v/>
      </c>
      <c r="AI188" s="59" t="str">
        <f t="shared" si="31"/>
        <v/>
      </c>
    </row>
    <row r="189">
      <c r="B189" s="140" t="s">
        <v>290</v>
      </c>
      <c r="C189" s="159" t="str">
        <f t="shared" ref="C189:AI189" si="32">IF(ISBLANK(C148),  ,  C186  * C185)</f>
        <v/>
      </c>
      <c r="D189" s="59" t="str">
        <f t="shared" si="32"/>
        <v/>
      </c>
      <c r="E189" s="59" t="str">
        <f t="shared" si="32"/>
        <v/>
      </c>
      <c r="F189" s="59" t="str">
        <f t="shared" si="32"/>
        <v/>
      </c>
      <c r="G189" s="59" t="str">
        <f t="shared" si="32"/>
        <v/>
      </c>
      <c r="H189" s="59" t="str">
        <f t="shared" si="32"/>
        <v/>
      </c>
      <c r="I189" s="59" t="str">
        <f t="shared" si="32"/>
        <v/>
      </c>
      <c r="J189" s="59" t="str">
        <f t="shared" si="32"/>
        <v/>
      </c>
      <c r="K189" s="59" t="str">
        <f t="shared" si="32"/>
        <v/>
      </c>
      <c r="L189" s="59" t="str">
        <f t="shared" si="32"/>
        <v/>
      </c>
      <c r="M189" s="59" t="str">
        <f t="shared" si="32"/>
        <v/>
      </c>
      <c r="N189" s="59" t="str">
        <f t="shared" si="32"/>
        <v/>
      </c>
      <c r="O189" s="59" t="str">
        <f t="shared" si="32"/>
        <v/>
      </c>
      <c r="P189" s="59" t="str">
        <f t="shared" si="32"/>
        <v/>
      </c>
      <c r="Q189" s="59" t="str">
        <f t="shared" si="32"/>
        <v/>
      </c>
      <c r="R189" s="59" t="str">
        <f t="shared" si="32"/>
        <v/>
      </c>
      <c r="S189" s="59" t="str">
        <f t="shared" si="32"/>
        <v/>
      </c>
      <c r="T189" s="59" t="str">
        <f t="shared" si="32"/>
        <v/>
      </c>
      <c r="U189" s="59" t="str">
        <f t="shared" si="32"/>
        <v/>
      </c>
      <c r="V189" s="59" t="str">
        <f t="shared" si="32"/>
        <v/>
      </c>
      <c r="W189" s="59" t="str">
        <f t="shared" si="32"/>
        <v/>
      </c>
      <c r="X189" s="59" t="str">
        <f t="shared" si="32"/>
        <v/>
      </c>
      <c r="Y189" s="59" t="str">
        <f t="shared" si="32"/>
        <v/>
      </c>
      <c r="Z189" s="59" t="str">
        <f t="shared" si="32"/>
        <v/>
      </c>
      <c r="AA189" s="59" t="str">
        <f t="shared" si="32"/>
        <v/>
      </c>
      <c r="AB189" s="59" t="str">
        <f t="shared" si="32"/>
        <v/>
      </c>
      <c r="AC189" s="59" t="str">
        <f t="shared" si="32"/>
        <v/>
      </c>
      <c r="AD189" s="59" t="str">
        <f t="shared" si="32"/>
        <v/>
      </c>
      <c r="AE189" s="59" t="str">
        <f t="shared" si="32"/>
        <v/>
      </c>
      <c r="AF189" s="59" t="str">
        <f t="shared" si="32"/>
        <v/>
      </c>
      <c r="AG189" s="59" t="str">
        <f t="shared" si="32"/>
        <v/>
      </c>
      <c r="AH189" s="59" t="str">
        <f t="shared" si="32"/>
        <v/>
      </c>
      <c r="AI189" s="59" t="str">
        <f t="shared" si="32"/>
        <v/>
      </c>
    </row>
    <row r="190">
      <c r="B190" s="140" t="s">
        <v>291</v>
      </c>
      <c r="C190" s="58" t="str">
        <f t="shared" ref="C190:AI190" si="33">IF(ISBLANK(C148),  ,  IF(C151="Pyro", 1.5 * (1 +  (2.78 * ($J84 +C169 ) / (($J84 +C169 ) + 1400)) + $J141%), IF(C151="Hydro", 2 * (1 +  (2.78 * ($J84 +C169 ) / (($J84 +C169 ) + 1400)) + $J141%), 0)) + C176%)</f>
        <v/>
      </c>
      <c r="D190" s="59" t="str">
        <f t="shared" si="33"/>
        <v/>
      </c>
      <c r="E190" s="59" t="str">
        <f t="shared" si="33"/>
        <v/>
      </c>
      <c r="F190" s="59" t="str">
        <f t="shared" si="33"/>
        <v/>
      </c>
      <c r="G190" s="59" t="str">
        <f t="shared" si="33"/>
        <v/>
      </c>
      <c r="H190" s="59" t="str">
        <f t="shared" si="33"/>
        <v/>
      </c>
      <c r="I190" s="59" t="str">
        <f t="shared" si="33"/>
        <v/>
      </c>
      <c r="J190" s="59" t="str">
        <f t="shared" si="33"/>
        <v/>
      </c>
      <c r="K190" s="59" t="str">
        <f t="shared" si="33"/>
        <v/>
      </c>
      <c r="L190" s="59" t="str">
        <f t="shared" si="33"/>
        <v/>
      </c>
      <c r="M190" s="59" t="str">
        <f t="shared" si="33"/>
        <v/>
      </c>
      <c r="N190" s="59" t="str">
        <f t="shared" si="33"/>
        <v/>
      </c>
      <c r="O190" s="59" t="str">
        <f t="shared" si="33"/>
        <v/>
      </c>
      <c r="P190" s="59" t="str">
        <f t="shared" si="33"/>
        <v/>
      </c>
      <c r="Q190" s="59" t="str">
        <f t="shared" si="33"/>
        <v/>
      </c>
      <c r="R190" s="59" t="str">
        <f t="shared" si="33"/>
        <v/>
      </c>
      <c r="S190" s="59" t="str">
        <f t="shared" si="33"/>
        <v/>
      </c>
      <c r="T190" s="59" t="str">
        <f t="shared" si="33"/>
        <v/>
      </c>
      <c r="U190" s="59" t="str">
        <f t="shared" si="33"/>
        <v/>
      </c>
      <c r="V190" s="59" t="str">
        <f t="shared" si="33"/>
        <v/>
      </c>
      <c r="W190" s="59" t="str">
        <f t="shared" si="33"/>
        <v/>
      </c>
      <c r="X190" s="59" t="str">
        <f t="shared" si="33"/>
        <v/>
      </c>
      <c r="Y190" s="59" t="str">
        <f t="shared" si="33"/>
        <v/>
      </c>
      <c r="Z190" s="59" t="str">
        <f t="shared" si="33"/>
        <v/>
      </c>
      <c r="AA190" s="59" t="str">
        <f t="shared" si="33"/>
        <v/>
      </c>
      <c r="AB190" s="59" t="str">
        <f t="shared" si="33"/>
        <v/>
      </c>
      <c r="AC190" s="59" t="str">
        <f t="shared" si="33"/>
        <v/>
      </c>
      <c r="AD190" s="59" t="str">
        <f t="shared" si="33"/>
        <v/>
      </c>
      <c r="AE190" s="59" t="str">
        <f t="shared" si="33"/>
        <v/>
      </c>
      <c r="AF190" s="59" t="str">
        <f t="shared" si="33"/>
        <v/>
      </c>
      <c r="AG190" s="59" t="str">
        <f t="shared" si="33"/>
        <v/>
      </c>
      <c r="AH190" s="59" t="str">
        <f t="shared" si="33"/>
        <v/>
      </c>
      <c r="AI190" s="59" t="str">
        <f t="shared" si="33"/>
        <v/>
      </c>
    </row>
    <row r="191">
      <c r="B191" s="140" t="s">
        <v>292</v>
      </c>
      <c r="C191" s="159" t="str">
        <f t="shared" ref="C191:AI191" si="34">IF(ISBLANK(C148),  ,  C190  * C183)</f>
        <v/>
      </c>
      <c r="D191" s="59" t="str">
        <f t="shared" si="34"/>
        <v/>
      </c>
      <c r="E191" s="59" t="str">
        <f t="shared" si="34"/>
        <v/>
      </c>
      <c r="F191" s="59" t="str">
        <f t="shared" si="34"/>
        <v/>
      </c>
      <c r="G191" s="59" t="str">
        <f t="shared" si="34"/>
        <v/>
      </c>
      <c r="H191" s="59" t="str">
        <f t="shared" si="34"/>
        <v/>
      </c>
      <c r="I191" s="59" t="str">
        <f t="shared" si="34"/>
        <v/>
      </c>
      <c r="J191" s="59" t="str">
        <f t="shared" si="34"/>
        <v/>
      </c>
      <c r="K191" s="59" t="str">
        <f t="shared" si="34"/>
        <v/>
      </c>
      <c r="L191" s="59" t="str">
        <f t="shared" si="34"/>
        <v/>
      </c>
      <c r="M191" s="59" t="str">
        <f t="shared" si="34"/>
        <v/>
      </c>
      <c r="N191" s="59" t="str">
        <f t="shared" si="34"/>
        <v/>
      </c>
      <c r="O191" s="59" t="str">
        <f t="shared" si="34"/>
        <v/>
      </c>
      <c r="P191" s="59" t="str">
        <f t="shared" si="34"/>
        <v/>
      </c>
      <c r="Q191" s="59" t="str">
        <f t="shared" si="34"/>
        <v/>
      </c>
      <c r="R191" s="59" t="str">
        <f t="shared" si="34"/>
        <v/>
      </c>
      <c r="S191" s="59" t="str">
        <f t="shared" si="34"/>
        <v/>
      </c>
      <c r="T191" s="59" t="str">
        <f t="shared" si="34"/>
        <v/>
      </c>
      <c r="U191" s="59" t="str">
        <f t="shared" si="34"/>
        <v/>
      </c>
      <c r="V191" s="59" t="str">
        <f t="shared" si="34"/>
        <v/>
      </c>
      <c r="W191" s="59" t="str">
        <f t="shared" si="34"/>
        <v/>
      </c>
      <c r="X191" s="59" t="str">
        <f t="shared" si="34"/>
        <v/>
      </c>
      <c r="Y191" s="59" t="str">
        <f t="shared" si="34"/>
        <v/>
      </c>
      <c r="Z191" s="59" t="str">
        <f t="shared" si="34"/>
        <v/>
      </c>
      <c r="AA191" s="59" t="str">
        <f t="shared" si="34"/>
        <v/>
      </c>
      <c r="AB191" s="59" t="str">
        <f t="shared" si="34"/>
        <v/>
      </c>
      <c r="AC191" s="59" t="str">
        <f t="shared" si="34"/>
        <v/>
      </c>
      <c r="AD191" s="59" t="str">
        <f t="shared" si="34"/>
        <v/>
      </c>
      <c r="AE191" s="59" t="str">
        <f t="shared" si="34"/>
        <v/>
      </c>
      <c r="AF191" s="59" t="str">
        <f t="shared" si="34"/>
        <v/>
      </c>
      <c r="AG191" s="59" t="str">
        <f t="shared" si="34"/>
        <v/>
      </c>
      <c r="AH191" s="59" t="str">
        <f t="shared" si="34"/>
        <v/>
      </c>
      <c r="AI191" s="59" t="str">
        <f t="shared" si="34"/>
        <v/>
      </c>
    </row>
    <row r="192">
      <c r="B192" s="140" t="s">
        <v>293</v>
      </c>
      <c r="C192" s="159" t="str">
        <f t="shared" ref="C192:AI192" si="35">IF(ISBLANK(C148),  ,  C190  * C184)</f>
        <v/>
      </c>
      <c r="D192" s="59" t="str">
        <f t="shared" si="35"/>
        <v/>
      </c>
      <c r="E192" s="59" t="str">
        <f t="shared" si="35"/>
        <v/>
      </c>
      <c r="F192" s="59" t="str">
        <f t="shared" si="35"/>
        <v/>
      </c>
      <c r="G192" s="59" t="str">
        <f t="shared" si="35"/>
        <v/>
      </c>
      <c r="H192" s="59" t="str">
        <f t="shared" si="35"/>
        <v/>
      </c>
      <c r="I192" s="59" t="str">
        <f t="shared" si="35"/>
        <v/>
      </c>
      <c r="J192" s="59" t="str">
        <f t="shared" si="35"/>
        <v/>
      </c>
      <c r="K192" s="59" t="str">
        <f t="shared" si="35"/>
        <v/>
      </c>
      <c r="L192" s="59" t="str">
        <f t="shared" si="35"/>
        <v/>
      </c>
      <c r="M192" s="59" t="str">
        <f t="shared" si="35"/>
        <v/>
      </c>
      <c r="N192" s="59" t="str">
        <f t="shared" si="35"/>
        <v/>
      </c>
      <c r="O192" s="59" t="str">
        <f t="shared" si="35"/>
        <v/>
      </c>
      <c r="P192" s="59" t="str">
        <f t="shared" si="35"/>
        <v/>
      </c>
      <c r="Q192" s="59" t="str">
        <f t="shared" si="35"/>
        <v/>
      </c>
      <c r="R192" s="59" t="str">
        <f t="shared" si="35"/>
        <v/>
      </c>
      <c r="S192" s="59" t="str">
        <f t="shared" si="35"/>
        <v/>
      </c>
      <c r="T192" s="59" t="str">
        <f t="shared" si="35"/>
        <v/>
      </c>
      <c r="U192" s="59" t="str">
        <f t="shared" si="35"/>
        <v/>
      </c>
      <c r="V192" s="59" t="str">
        <f t="shared" si="35"/>
        <v/>
      </c>
      <c r="W192" s="59" t="str">
        <f t="shared" si="35"/>
        <v/>
      </c>
      <c r="X192" s="59" t="str">
        <f t="shared" si="35"/>
        <v/>
      </c>
      <c r="Y192" s="59" t="str">
        <f t="shared" si="35"/>
        <v/>
      </c>
      <c r="Z192" s="59" t="str">
        <f t="shared" si="35"/>
        <v/>
      </c>
      <c r="AA192" s="59" t="str">
        <f t="shared" si="35"/>
        <v/>
      </c>
      <c r="AB192" s="59" t="str">
        <f t="shared" si="35"/>
        <v/>
      </c>
      <c r="AC192" s="59" t="str">
        <f t="shared" si="35"/>
        <v/>
      </c>
      <c r="AD192" s="59" t="str">
        <f t="shared" si="35"/>
        <v/>
      </c>
      <c r="AE192" s="59" t="str">
        <f t="shared" si="35"/>
        <v/>
      </c>
      <c r="AF192" s="59" t="str">
        <f t="shared" si="35"/>
        <v/>
      </c>
      <c r="AG192" s="59" t="str">
        <f t="shared" si="35"/>
        <v/>
      </c>
      <c r="AH192" s="59" t="str">
        <f t="shared" si="35"/>
        <v/>
      </c>
      <c r="AI192" s="59" t="str">
        <f t="shared" si="35"/>
        <v/>
      </c>
    </row>
    <row r="193">
      <c r="B193" s="140" t="s">
        <v>294</v>
      </c>
      <c r="C193" s="159" t="str">
        <f t="shared" ref="C193:AI193" si="36">IF(ISBLANK(C148),  ,  C190  * C185)</f>
        <v/>
      </c>
      <c r="D193" s="59" t="str">
        <f t="shared" si="36"/>
        <v/>
      </c>
      <c r="E193" s="59" t="str">
        <f t="shared" si="36"/>
        <v/>
      </c>
      <c r="F193" s="59" t="str">
        <f t="shared" si="36"/>
        <v/>
      </c>
      <c r="G193" s="59" t="str">
        <f t="shared" si="36"/>
        <v/>
      </c>
      <c r="H193" s="59" t="str">
        <f t="shared" si="36"/>
        <v/>
      </c>
      <c r="I193" s="59" t="str">
        <f t="shared" si="36"/>
        <v/>
      </c>
      <c r="J193" s="59" t="str">
        <f t="shared" si="36"/>
        <v/>
      </c>
      <c r="K193" s="59" t="str">
        <f t="shared" si="36"/>
        <v/>
      </c>
      <c r="L193" s="59" t="str">
        <f t="shared" si="36"/>
        <v/>
      </c>
      <c r="M193" s="59" t="str">
        <f t="shared" si="36"/>
        <v/>
      </c>
      <c r="N193" s="59" t="str">
        <f t="shared" si="36"/>
        <v/>
      </c>
      <c r="O193" s="59" t="str">
        <f t="shared" si="36"/>
        <v/>
      </c>
      <c r="P193" s="59" t="str">
        <f t="shared" si="36"/>
        <v/>
      </c>
      <c r="Q193" s="59" t="str">
        <f t="shared" si="36"/>
        <v/>
      </c>
      <c r="R193" s="59" t="str">
        <f t="shared" si="36"/>
        <v/>
      </c>
      <c r="S193" s="59" t="str">
        <f t="shared" si="36"/>
        <v/>
      </c>
      <c r="T193" s="59" t="str">
        <f t="shared" si="36"/>
        <v/>
      </c>
      <c r="U193" s="59" t="str">
        <f t="shared" si="36"/>
        <v/>
      </c>
      <c r="V193" s="59" t="str">
        <f t="shared" si="36"/>
        <v/>
      </c>
      <c r="W193" s="59" t="str">
        <f t="shared" si="36"/>
        <v/>
      </c>
      <c r="X193" s="59" t="str">
        <f t="shared" si="36"/>
        <v/>
      </c>
      <c r="Y193" s="59" t="str">
        <f t="shared" si="36"/>
        <v/>
      </c>
      <c r="Z193" s="59" t="str">
        <f t="shared" si="36"/>
        <v/>
      </c>
      <c r="AA193" s="59" t="str">
        <f t="shared" si="36"/>
        <v/>
      </c>
      <c r="AB193" s="59" t="str">
        <f t="shared" si="36"/>
        <v/>
      </c>
      <c r="AC193" s="59" t="str">
        <f t="shared" si="36"/>
        <v/>
      </c>
      <c r="AD193" s="59" t="str">
        <f t="shared" si="36"/>
        <v/>
      </c>
      <c r="AE193" s="59" t="str">
        <f t="shared" si="36"/>
        <v/>
      </c>
      <c r="AF193" s="59" t="str">
        <f t="shared" si="36"/>
        <v/>
      </c>
      <c r="AG193" s="59" t="str">
        <f t="shared" si="36"/>
        <v/>
      </c>
      <c r="AH193" s="59" t="str">
        <f t="shared" si="36"/>
        <v/>
      </c>
      <c r="AI193" s="59" t="str">
        <f t="shared" si="36"/>
        <v/>
      </c>
    </row>
    <row r="194">
      <c r="B194" s="140" t="s">
        <v>295</v>
      </c>
      <c r="C194" s="58" t="str">
        <f t="shared" ref="C194:AI194" si="37">IF(ISBLANK(C148),  ,  IF(C151="Dendro", 1 + (5 * ($J84 + C169)  / (($J84 + C169) + 1200)), IF(C151="Electro", 1 + (5 * ($J84 + C169) / (($J84 + C169) + 1200)), 0)) + $J143% + C176%)</f>
        <v/>
      </c>
      <c r="D194" s="59" t="str">
        <f t="shared" si="37"/>
        <v/>
      </c>
      <c r="E194" s="59" t="str">
        <f t="shared" si="37"/>
        <v/>
      </c>
      <c r="F194" s="59" t="str">
        <f t="shared" si="37"/>
        <v/>
      </c>
      <c r="G194" s="59" t="str">
        <f t="shared" si="37"/>
        <v/>
      </c>
      <c r="H194" s="59" t="str">
        <f t="shared" si="37"/>
        <v/>
      </c>
      <c r="I194" s="59" t="str">
        <f t="shared" si="37"/>
        <v/>
      </c>
      <c r="J194" s="59" t="str">
        <f t="shared" si="37"/>
        <v/>
      </c>
      <c r="K194" s="59" t="str">
        <f t="shared" si="37"/>
        <v/>
      </c>
      <c r="L194" s="59" t="str">
        <f t="shared" si="37"/>
        <v/>
      </c>
      <c r="M194" s="59" t="str">
        <f t="shared" si="37"/>
        <v/>
      </c>
      <c r="N194" s="59" t="str">
        <f t="shared" si="37"/>
        <v/>
      </c>
      <c r="O194" s="59" t="str">
        <f t="shared" si="37"/>
        <v/>
      </c>
      <c r="P194" s="59" t="str">
        <f t="shared" si="37"/>
        <v/>
      </c>
      <c r="Q194" s="59" t="str">
        <f t="shared" si="37"/>
        <v/>
      </c>
      <c r="R194" s="59" t="str">
        <f t="shared" si="37"/>
        <v/>
      </c>
      <c r="S194" s="59" t="str">
        <f t="shared" si="37"/>
        <v/>
      </c>
      <c r="T194" s="59" t="str">
        <f t="shared" si="37"/>
        <v/>
      </c>
      <c r="U194" s="59" t="str">
        <f t="shared" si="37"/>
        <v/>
      </c>
      <c r="V194" s="59" t="str">
        <f t="shared" si="37"/>
        <v/>
      </c>
      <c r="W194" s="59" t="str">
        <f t="shared" si="37"/>
        <v/>
      </c>
      <c r="X194" s="59" t="str">
        <f t="shared" si="37"/>
        <v/>
      </c>
      <c r="Y194" s="59" t="str">
        <f t="shared" si="37"/>
        <v/>
      </c>
      <c r="Z194" s="59" t="str">
        <f t="shared" si="37"/>
        <v/>
      </c>
      <c r="AA194" s="59" t="str">
        <f t="shared" si="37"/>
        <v/>
      </c>
      <c r="AB194" s="59" t="str">
        <f t="shared" si="37"/>
        <v/>
      </c>
      <c r="AC194" s="59" t="str">
        <f t="shared" si="37"/>
        <v/>
      </c>
      <c r="AD194" s="59" t="str">
        <f t="shared" si="37"/>
        <v/>
      </c>
      <c r="AE194" s="59" t="str">
        <f t="shared" si="37"/>
        <v/>
      </c>
      <c r="AF194" s="59" t="str">
        <f t="shared" si="37"/>
        <v/>
      </c>
      <c r="AG194" s="59" t="str">
        <f t="shared" si="37"/>
        <v/>
      </c>
      <c r="AH194" s="59" t="str">
        <f t="shared" si="37"/>
        <v/>
      </c>
      <c r="AI194" s="59" t="str">
        <f t="shared" si="37"/>
        <v/>
      </c>
    </row>
    <row r="195">
      <c r="B195" s="140" t="s">
        <v>296</v>
      </c>
      <c r="C195" s="65" t="str">
        <f t="shared" ref="C195:AI195" si="38">IF(ISBLANK(C148),  ,  IF(C151="Dendro", 1808 * C194, IF(C151="Electro", 1664 * C194, 0)))</f>
        <v/>
      </c>
      <c r="D195" s="59" t="str">
        <f t="shared" si="38"/>
        <v/>
      </c>
      <c r="E195" s="59" t="str">
        <f t="shared" si="38"/>
        <v/>
      </c>
      <c r="F195" s="59" t="str">
        <f t="shared" si="38"/>
        <v/>
      </c>
      <c r="G195" s="59" t="str">
        <f t="shared" si="38"/>
        <v/>
      </c>
      <c r="H195" s="59" t="str">
        <f t="shared" si="38"/>
        <v/>
      </c>
      <c r="I195" s="59" t="str">
        <f t="shared" si="38"/>
        <v/>
      </c>
      <c r="J195" s="59" t="str">
        <f t="shared" si="38"/>
        <v/>
      </c>
      <c r="K195" s="59" t="str">
        <f t="shared" si="38"/>
        <v/>
      </c>
      <c r="L195" s="59" t="str">
        <f t="shared" si="38"/>
        <v/>
      </c>
      <c r="M195" s="59" t="str">
        <f t="shared" si="38"/>
        <v/>
      </c>
      <c r="N195" s="59" t="str">
        <f t="shared" si="38"/>
        <v/>
      </c>
      <c r="O195" s="59" t="str">
        <f t="shared" si="38"/>
        <v/>
      </c>
      <c r="P195" s="59" t="str">
        <f t="shared" si="38"/>
        <v/>
      </c>
      <c r="Q195" s="59" t="str">
        <f t="shared" si="38"/>
        <v/>
      </c>
      <c r="R195" s="59" t="str">
        <f t="shared" si="38"/>
        <v/>
      </c>
      <c r="S195" s="59" t="str">
        <f t="shared" si="38"/>
        <v/>
      </c>
      <c r="T195" s="59" t="str">
        <f t="shared" si="38"/>
        <v/>
      </c>
      <c r="U195" s="59" t="str">
        <f t="shared" si="38"/>
        <v/>
      </c>
      <c r="V195" s="59" t="str">
        <f t="shared" si="38"/>
        <v/>
      </c>
      <c r="W195" s="59" t="str">
        <f t="shared" si="38"/>
        <v/>
      </c>
      <c r="X195" s="59" t="str">
        <f t="shared" si="38"/>
        <v/>
      </c>
      <c r="Y195" s="59" t="str">
        <f t="shared" si="38"/>
        <v/>
      </c>
      <c r="Z195" s="59" t="str">
        <f t="shared" si="38"/>
        <v/>
      </c>
      <c r="AA195" s="59" t="str">
        <f t="shared" si="38"/>
        <v/>
      </c>
      <c r="AB195" s="59" t="str">
        <f t="shared" si="38"/>
        <v/>
      </c>
      <c r="AC195" s="59" t="str">
        <f t="shared" si="38"/>
        <v/>
      </c>
      <c r="AD195" s="59" t="str">
        <f t="shared" si="38"/>
        <v/>
      </c>
      <c r="AE195" s="59" t="str">
        <f t="shared" si="38"/>
        <v/>
      </c>
      <c r="AF195" s="59" t="str">
        <f t="shared" si="38"/>
        <v/>
      </c>
      <c r="AG195" s="59" t="str">
        <f t="shared" si="38"/>
        <v/>
      </c>
      <c r="AH195" s="59" t="str">
        <f t="shared" si="38"/>
        <v/>
      </c>
      <c r="AI195" s="59" t="str">
        <f t="shared" si="38"/>
        <v/>
      </c>
    </row>
    <row r="196">
      <c r="B196" s="140" t="s">
        <v>297</v>
      </c>
      <c r="C196" s="159" t="str">
        <f t="shared" ref="C196:AI196" si="39">IF(ISBLANK(C148),  ,  ((C152% * (($C77 + $D77) * (1 + $J78% + C164%) + C163 + SUM($E77:$G77) + $I77) + C153% * (($C81 * (1 + $J82% + C166%)) + C165 + SUM($D81:$G81) + $I81) + C154% * ($C85 * (1 + $J86% + C168%) + C167 + SUM($D85:$G85) + $I85) + C155% * ($J84 + C169)) * C161 + (C156% * (($C77 + $D77) * (1 + $J78% + C164%) + C163 + SUM($E77:$G77) + $I77) + C157% * (($C81 * (1 + $J82% + C166%)) + C165 + SUM($D81:$G81) + $I81) + C158% * ($C85 * (1 + $J86% + C168%) + C167 + SUM($D85:$G85) + $I85) + C159% * ($J84 + C169)) + C160 + C195) * C178 * C179 * C182)</f>
        <v/>
      </c>
      <c r="D196" s="59" t="str">
        <f t="shared" si="39"/>
        <v/>
      </c>
      <c r="E196" s="59" t="str">
        <f t="shared" si="39"/>
        <v/>
      </c>
      <c r="F196" s="59" t="str">
        <f t="shared" si="39"/>
        <v/>
      </c>
      <c r="G196" s="59" t="str">
        <f t="shared" si="39"/>
        <v/>
      </c>
      <c r="H196" s="59" t="str">
        <f t="shared" si="39"/>
        <v/>
      </c>
      <c r="I196" s="59" t="str">
        <f t="shared" si="39"/>
        <v/>
      </c>
      <c r="J196" s="59" t="str">
        <f t="shared" si="39"/>
        <v/>
      </c>
      <c r="K196" s="59" t="str">
        <f t="shared" si="39"/>
        <v/>
      </c>
      <c r="L196" s="59" t="str">
        <f t="shared" si="39"/>
        <v/>
      </c>
      <c r="M196" s="59" t="str">
        <f t="shared" si="39"/>
        <v/>
      </c>
      <c r="N196" s="59" t="str">
        <f t="shared" si="39"/>
        <v/>
      </c>
      <c r="O196" s="59" t="str">
        <f t="shared" si="39"/>
        <v/>
      </c>
      <c r="P196" s="59" t="str">
        <f t="shared" si="39"/>
        <v/>
      </c>
      <c r="Q196" s="59" t="str">
        <f t="shared" si="39"/>
        <v/>
      </c>
      <c r="R196" s="59" t="str">
        <f t="shared" si="39"/>
        <v/>
      </c>
      <c r="S196" s="59" t="str">
        <f t="shared" si="39"/>
        <v/>
      </c>
      <c r="T196" s="59" t="str">
        <f t="shared" si="39"/>
        <v/>
      </c>
      <c r="U196" s="59" t="str">
        <f t="shared" si="39"/>
        <v/>
      </c>
      <c r="V196" s="59" t="str">
        <f t="shared" si="39"/>
        <v/>
      </c>
      <c r="W196" s="59" t="str">
        <f t="shared" si="39"/>
        <v/>
      </c>
      <c r="X196" s="59" t="str">
        <f t="shared" si="39"/>
        <v/>
      </c>
      <c r="Y196" s="59" t="str">
        <f t="shared" si="39"/>
        <v/>
      </c>
      <c r="Z196" s="59" t="str">
        <f t="shared" si="39"/>
        <v/>
      </c>
      <c r="AA196" s="59" t="str">
        <f t="shared" si="39"/>
        <v/>
      </c>
      <c r="AB196" s="59" t="str">
        <f t="shared" si="39"/>
        <v/>
      </c>
      <c r="AC196" s="59" t="str">
        <f t="shared" si="39"/>
        <v/>
      </c>
      <c r="AD196" s="59" t="str">
        <f t="shared" si="39"/>
        <v/>
      </c>
      <c r="AE196" s="59" t="str">
        <f t="shared" si="39"/>
        <v/>
      </c>
      <c r="AF196" s="59" t="str">
        <f t="shared" si="39"/>
        <v/>
      </c>
      <c r="AG196" s="59" t="str">
        <f t="shared" si="39"/>
        <v/>
      </c>
      <c r="AH196" s="59" t="str">
        <f t="shared" si="39"/>
        <v/>
      </c>
      <c r="AI196" s="59" t="str">
        <f t="shared" si="39"/>
        <v/>
      </c>
    </row>
    <row r="197">
      <c r="B197" s="140" t="s">
        <v>298</v>
      </c>
      <c r="C197" s="159" t="str">
        <f t="shared" ref="C197:AI197" si="40">IF(ISBLANK(C148),  ,  (C180 * C198) + ((1 - C180) * C196))</f>
        <v/>
      </c>
      <c r="D197" s="59" t="str">
        <f t="shared" si="40"/>
        <v/>
      </c>
      <c r="E197" s="59" t="str">
        <f t="shared" si="40"/>
        <v/>
      </c>
      <c r="F197" s="59" t="str">
        <f t="shared" si="40"/>
        <v/>
      </c>
      <c r="G197" s="59" t="str">
        <f t="shared" si="40"/>
        <v/>
      </c>
      <c r="H197" s="59" t="str">
        <f t="shared" si="40"/>
        <v/>
      </c>
      <c r="I197" s="59" t="str">
        <f t="shared" si="40"/>
        <v/>
      </c>
      <c r="J197" s="59" t="str">
        <f t="shared" si="40"/>
        <v/>
      </c>
      <c r="K197" s="59" t="str">
        <f t="shared" si="40"/>
        <v/>
      </c>
      <c r="L197" s="59" t="str">
        <f t="shared" si="40"/>
        <v/>
      </c>
      <c r="M197" s="59" t="str">
        <f t="shared" si="40"/>
        <v/>
      </c>
      <c r="N197" s="59" t="str">
        <f t="shared" si="40"/>
        <v/>
      </c>
      <c r="O197" s="59" t="str">
        <f t="shared" si="40"/>
        <v/>
      </c>
      <c r="P197" s="59" t="str">
        <f t="shared" si="40"/>
        <v/>
      </c>
      <c r="Q197" s="59" t="str">
        <f t="shared" si="40"/>
        <v/>
      </c>
      <c r="R197" s="59" t="str">
        <f t="shared" si="40"/>
        <v/>
      </c>
      <c r="S197" s="59" t="str">
        <f t="shared" si="40"/>
        <v/>
      </c>
      <c r="T197" s="59" t="str">
        <f t="shared" si="40"/>
        <v/>
      </c>
      <c r="U197" s="59" t="str">
        <f t="shared" si="40"/>
        <v/>
      </c>
      <c r="V197" s="59" t="str">
        <f t="shared" si="40"/>
        <v/>
      </c>
      <c r="W197" s="59" t="str">
        <f t="shared" si="40"/>
        <v/>
      </c>
      <c r="X197" s="59" t="str">
        <f t="shared" si="40"/>
        <v/>
      </c>
      <c r="Y197" s="59" t="str">
        <f t="shared" si="40"/>
        <v/>
      </c>
      <c r="Z197" s="59" t="str">
        <f t="shared" si="40"/>
        <v/>
      </c>
      <c r="AA197" s="59" t="str">
        <f t="shared" si="40"/>
        <v/>
      </c>
      <c r="AB197" s="59" t="str">
        <f t="shared" si="40"/>
        <v/>
      </c>
      <c r="AC197" s="59" t="str">
        <f t="shared" si="40"/>
        <v/>
      </c>
      <c r="AD197" s="59" t="str">
        <f t="shared" si="40"/>
        <v/>
      </c>
      <c r="AE197" s="59" t="str">
        <f t="shared" si="40"/>
        <v/>
      </c>
      <c r="AF197" s="59" t="str">
        <f t="shared" si="40"/>
        <v/>
      </c>
      <c r="AG197" s="59" t="str">
        <f t="shared" si="40"/>
        <v/>
      </c>
      <c r="AH197" s="59" t="str">
        <f t="shared" si="40"/>
        <v/>
      </c>
      <c r="AI197" s="59" t="str">
        <f t="shared" si="40"/>
        <v/>
      </c>
    </row>
    <row r="198">
      <c r="B198" s="140" t="s">
        <v>299</v>
      </c>
      <c r="C198" s="159" t="str">
        <f t="shared" ref="C198:AI198" si="41">IF(ISBLANK(C148),  ,  C196  * C181)</f>
        <v/>
      </c>
      <c r="D198" s="59" t="str">
        <f t="shared" si="41"/>
        <v/>
      </c>
      <c r="E198" s="59" t="str">
        <f t="shared" si="41"/>
        <v/>
      </c>
      <c r="F198" s="59" t="str">
        <f t="shared" si="41"/>
        <v/>
      </c>
      <c r="G198" s="59" t="str">
        <f t="shared" si="41"/>
        <v/>
      </c>
      <c r="H198" s="59" t="str">
        <f t="shared" si="41"/>
        <v/>
      </c>
      <c r="I198" s="59" t="str">
        <f t="shared" si="41"/>
        <v/>
      </c>
      <c r="J198" s="59" t="str">
        <f t="shared" si="41"/>
        <v/>
      </c>
      <c r="K198" s="59" t="str">
        <f t="shared" si="41"/>
        <v/>
      </c>
      <c r="L198" s="59" t="str">
        <f t="shared" si="41"/>
        <v/>
      </c>
      <c r="M198" s="59" t="str">
        <f t="shared" si="41"/>
        <v/>
      </c>
      <c r="N198" s="59" t="str">
        <f t="shared" si="41"/>
        <v/>
      </c>
      <c r="O198" s="59" t="str">
        <f t="shared" si="41"/>
        <v/>
      </c>
      <c r="P198" s="59" t="str">
        <f t="shared" si="41"/>
        <v/>
      </c>
      <c r="Q198" s="59" t="str">
        <f t="shared" si="41"/>
        <v/>
      </c>
      <c r="R198" s="59" t="str">
        <f t="shared" si="41"/>
        <v/>
      </c>
      <c r="S198" s="59" t="str">
        <f t="shared" si="41"/>
        <v/>
      </c>
      <c r="T198" s="59" t="str">
        <f t="shared" si="41"/>
        <v/>
      </c>
      <c r="U198" s="59" t="str">
        <f t="shared" si="41"/>
        <v/>
      </c>
      <c r="V198" s="59" t="str">
        <f t="shared" si="41"/>
        <v/>
      </c>
      <c r="W198" s="59" t="str">
        <f t="shared" si="41"/>
        <v/>
      </c>
      <c r="X198" s="59" t="str">
        <f t="shared" si="41"/>
        <v/>
      </c>
      <c r="Y198" s="59" t="str">
        <f t="shared" si="41"/>
        <v/>
      </c>
      <c r="Z198" s="59" t="str">
        <f t="shared" si="41"/>
        <v/>
      </c>
      <c r="AA198" s="59" t="str">
        <f t="shared" si="41"/>
        <v/>
      </c>
      <c r="AB198" s="59" t="str">
        <f t="shared" si="41"/>
        <v/>
      </c>
      <c r="AC198" s="59" t="str">
        <f t="shared" si="41"/>
        <v/>
      </c>
      <c r="AD198" s="59" t="str">
        <f t="shared" si="41"/>
        <v/>
      </c>
      <c r="AE198" s="59" t="str">
        <f t="shared" si="41"/>
        <v/>
      </c>
      <c r="AF198" s="59" t="str">
        <f t="shared" si="41"/>
        <v/>
      </c>
      <c r="AG198" s="59" t="str">
        <f t="shared" si="41"/>
        <v/>
      </c>
      <c r="AH198" s="59" t="str">
        <f t="shared" si="41"/>
        <v/>
      </c>
      <c r="AI198" s="59" t="str">
        <f t="shared" si="41"/>
        <v/>
      </c>
    </row>
    <row r="199">
      <c r="B199" s="59"/>
      <c r="C199" s="59"/>
    </row>
    <row r="200">
      <c r="B200" s="140" t="s">
        <v>300</v>
      </c>
      <c r="C200" s="70"/>
      <c r="H200" s="59"/>
      <c r="I200" s="59"/>
      <c r="J200" s="59"/>
      <c r="K200" s="59"/>
      <c r="L200" s="59"/>
      <c r="M200" s="59"/>
      <c r="N200" s="59"/>
    </row>
    <row r="201">
      <c r="B201" s="140" t="s">
        <v>251</v>
      </c>
      <c r="C201" s="158"/>
    </row>
    <row r="202">
      <c r="B202" s="140" t="s">
        <v>301</v>
      </c>
      <c r="C202" s="71"/>
    </row>
    <row r="203">
      <c r="B203" s="140" t="s">
        <v>152</v>
      </c>
      <c r="C203" s="70"/>
    </row>
    <row r="204">
      <c r="B204" s="140" t="s">
        <v>120</v>
      </c>
      <c r="C204" s="70"/>
    </row>
    <row r="205">
      <c r="B205" s="140" t="s">
        <v>153</v>
      </c>
      <c r="C205" s="158"/>
    </row>
    <row r="206">
      <c r="B206" s="140" t="s">
        <v>165</v>
      </c>
      <c r="C206" s="70"/>
    </row>
    <row r="207">
      <c r="B207" s="140" t="s">
        <v>115</v>
      </c>
      <c r="C207" s="70"/>
    </row>
    <row r="208">
      <c r="B208" s="140" t="s">
        <v>302</v>
      </c>
      <c r="C208" s="70"/>
    </row>
    <row r="209">
      <c r="B209" s="140" t="s">
        <v>303</v>
      </c>
      <c r="C209" s="65" t="str">
        <f t="shared" ref="C209:M209" si="42">IF(ISBLANK(C200),  ,  IF(C202 = "Crystallize", 1 + 4.44 * (J84 / (J84 + 1400)) , 1) * (1 + IF(C202 = "Heal", $J95% + $J146%, $J96%)))</f>
        <v/>
      </c>
      <c r="D209" s="59" t="str">
        <f t="shared" si="42"/>
        <v/>
      </c>
      <c r="E209" s="59" t="str">
        <f t="shared" si="42"/>
        <v/>
      </c>
      <c r="F209" s="59" t="str">
        <f t="shared" si="42"/>
        <v/>
      </c>
      <c r="G209" s="59" t="str">
        <f t="shared" si="42"/>
        <v/>
      </c>
      <c r="H209" s="59" t="str">
        <f t="shared" si="42"/>
        <v/>
      </c>
      <c r="I209" s="59" t="str">
        <f t="shared" si="42"/>
        <v/>
      </c>
      <c r="J209" s="59" t="str">
        <f t="shared" si="42"/>
        <v/>
      </c>
      <c r="K209" s="59" t="str">
        <f t="shared" si="42"/>
        <v/>
      </c>
      <c r="L209" s="59" t="str">
        <f t="shared" si="42"/>
        <v/>
      </c>
      <c r="M209" s="59" t="str">
        <f t="shared" si="42"/>
        <v/>
      </c>
      <c r="N209" s="59" t="str">
        <f t="shared" ref="N209:S209" si="43">IF(ISBLANK(N$200),  ,  IF(N202 = "Crystallize", 1 + 4.44 * (AK84 / (AK84 + 1400)) , 1) * (1 + IF(N202 = "Heal", $J95% + $J146%, $J96%)))</f>
        <v/>
      </c>
      <c r="O209" s="59" t="str">
        <f t="shared" si="43"/>
        <v/>
      </c>
      <c r="P209" s="59" t="str">
        <f t="shared" si="43"/>
        <v/>
      </c>
      <c r="Q209" s="59" t="str">
        <f t="shared" si="43"/>
        <v/>
      </c>
      <c r="R209" s="59" t="str">
        <f t="shared" si="43"/>
        <v/>
      </c>
      <c r="S209" s="59" t="str">
        <f t="shared" si="43"/>
        <v/>
      </c>
      <c r="T209" s="59"/>
      <c r="U209" s="59"/>
      <c r="V209" s="59"/>
      <c r="W209" s="59"/>
      <c r="X209" s="59"/>
      <c r="Y209" s="59"/>
      <c r="Z209" s="59"/>
      <c r="AA209" s="59"/>
      <c r="AB209" s="59"/>
      <c r="AC209" s="59"/>
      <c r="AD209" s="59"/>
      <c r="AE209" s="59"/>
      <c r="AF209" s="59"/>
      <c r="AG209" s="59"/>
      <c r="AH209" s="59"/>
      <c r="AI209" s="59"/>
    </row>
    <row r="210">
      <c r="B210" s="140" t="s">
        <v>304</v>
      </c>
      <c r="C210" s="159" t="str">
        <f t="shared" ref="C210:AI210" si="44">IF(ISBLANK(C200),  ,  (C203% * $J77 + C204% * $J81 + C205% * $J85 + C207 + C206% * $J84) * C209)</f>
        <v/>
      </c>
      <c r="D210" s="59" t="str">
        <f t="shared" si="44"/>
        <v/>
      </c>
      <c r="E210" s="59" t="str">
        <f t="shared" si="44"/>
        <v/>
      </c>
      <c r="F210" s="59" t="str">
        <f t="shared" si="44"/>
        <v/>
      </c>
      <c r="G210" s="59" t="str">
        <f t="shared" si="44"/>
        <v/>
      </c>
      <c r="H210" s="59" t="str">
        <f t="shared" si="44"/>
        <v/>
      </c>
      <c r="I210" s="59" t="str">
        <f t="shared" si="44"/>
        <v/>
      </c>
      <c r="J210" s="59" t="str">
        <f t="shared" si="44"/>
        <v/>
      </c>
      <c r="K210" s="59" t="str">
        <f t="shared" si="44"/>
        <v/>
      </c>
      <c r="L210" s="59" t="str">
        <f t="shared" si="44"/>
        <v/>
      </c>
      <c r="M210" s="59" t="str">
        <f t="shared" si="44"/>
        <v/>
      </c>
      <c r="N210" s="59" t="str">
        <f t="shared" si="44"/>
        <v/>
      </c>
      <c r="O210" s="59" t="str">
        <f t="shared" si="44"/>
        <v/>
      </c>
      <c r="P210" s="59" t="str">
        <f t="shared" si="44"/>
        <v/>
      </c>
      <c r="Q210" s="59" t="str">
        <f t="shared" si="44"/>
        <v/>
      </c>
      <c r="R210" s="59" t="str">
        <f t="shared" si="44"/>
        <v/>
      </c>
      <c r="S210" s="59" t="str">
        <f t="shared" si="44"/>
        <v/>
      </c>
      <c r="T210" s="59" t="str">
        <f t="shared" si="44"/>
        <v/>
      </c>
      <c r="U210" s="59" t="str">
        <f t="shared" si="44"/>
        <v/>
      </c>
      <c r="V210" s="59" t="str">
        <f t="shared" si="44"/>
        <v/>
      </c>
      <c r="W210" s="59" t="str">
        <f t="shared" si="44"/>
        <v/>
      </c>
      <c r="X210" s="59" t="str">
        <f t="shared" si="44"/>
        <v/>
      </c>
      <c r="Y210" s="59" t="str">
        <f t="shared" si="44"/>
        <v/>
      </c>
      <c r="Z210" s="59" t="str">
        <f t="shared" si="44"/>
        <v/>
      </c>
      <c r="AA210" s="59" t="str">
        <f t="shared" si="44"/>
        <v/>
      </c>
      <c r="AB210" s="59" t="str">
        <f t="shared" si="44"/>
        <v/>
      </c>
      <c r="AC210" s="59" t="str">
        <f t="shared" si="44"/>
        <v/>
      </c>
      <c r="AD210" s="59" t="str">
        <f t="shared" si="44"/>
        <v/>
      </c>
      <c r="AE210" s="59" t="str">
        <f t="shared" si="44"/>
        <v/>
      </c>
      <c r="AF210" s="59" t="str">
        <f t="shared" si="44"/>
        <v/>
      </c>
      <c r="AG210" s="59" t="str">
        <f t="shared" si="44"/>
        <v/>
      </c>
      <c r="AH210" s="59" t="str">
        <f t="shared" si="44"/>
        <v/>
      </c>
      <c r="AI210" s="59" t="str">
        <f t="shared" si="44"/>
        <v/>
      </c>
    </row>
    <row r="211">
      <c r="B211" s="140" t="s">
        <v>305</v>
      </c>
      <c r="C211" s="159" t="str">
        <f t="shared" ref="C211:AI211" si="45">IF(ISBLANK(C200),  ,  C210  * C208)</f>
        <v/>
      </c>
      <c r="D211" s="59" t="str">
        <f t="shared" si="45"/>
        <v/>
      </c>
      <c r="E211" s="59" t="str">
        <f t="shared" si="45"/>
        <v/>
      </c>
      <c r="F211" s="59" t="str">
        <f t="shared" si="45"/>
        <v/>
      </c>
      <c r="G211" s="59" t="str">
        <f t="shared" si="45"/>
        <v/>
      </c>
      <c r="H211" s="59" t="str">
        <f t="shared" si="45"/>
        <v/>
      </c>
      <c r="I211" s="59" t="str">
        <f t="shared" si="45"/>
        <v/>
      </c>
      <c r="J211" s="59" t="str">
        <f t="shared" si="45"/>
        <v/>
      </c>
      <c r="K211" s="59" t="str">
        <f t="shared" si="45"/>
        <v/>
      </c>
      <c r="L211" s="59" t="str">
        <f t="shared" si="45"/>
        <v/>
      </c>
      <c r="M211" s="59" t="str">
        <f t="shared" si="45"/>
        <v/>
      </c>
      <c r="N211" s="59" t="str">
        <f t="shared" si="45"/>
        <v/>
      </c>
      <c r="O211" s="59" t="str">
        <f t="shared" si="45"/>
        <v/>
      </c>
      <c r="P211" s="59" t="str">
        <f t="shared" si="45"/>
        <v/>
      </c>
      <c r="Q211" s="59" t="str">
        <f t="shared" si="45"/>
        <v/>
      </c>
      <c r="R211" s="59" t="str">
        <f t="shared" si="45"/>
        <v/>
      </c>
      <c r="S211" s="59" t="str">
        <f t="shared" si="45"/>
        <v/>
      </c>
      <c r="T211" s="59" t="str">
        <f t="shared" si="45"/>
        <v/>
      </c>
      <c r="U211" s="59" t="str">
        <f t="shared" si="45"/>
        <v/>
      </c>
      <c r="V211" s="59" t="str">
        <f t="shared" si="45"/>
        <v/>
      </c>
      <c r="W211" s="59" t="str">
        <f t="shared" si="45"/>
        <v/>
      </c>
      <c r="X211" s="59" t="str">
        <f t="shared" si="45"/>
        <v/>
      </c>
      <c r="Y211" s="59" t="str">
        <f t="shared" si="45"/>
        <v/>
      </c>
      <c r="Z211" s="59" t="str">
        <f t="shared" si="45"/>
        <v/>
      </c>
      <c r="AA211" s="59" t="str">
        <f t="shared" si="45"/>
        <v/>
      </c>
      <c r="AB211" s="59" t="str">
        <f t="shared" si="45"/>
        <v/>
      </c>
      <c r="AC211" s="59" t="str">
        <f t="shared" si="45"/>
        <v/>
      </c>
      <c r="AD211" s="59" t="str">
        <f t="shared" si="45"/>
        <v/>
      </c>
      <c r="AE211" s="59" t="str">
        <f t="shared" si="45"/>
        <v/>
      </c>
      <c r="AF211" s="59" t="str">
        <f t="shared" si="45"/>
        <v/>
      </c>
      <c r="AG211" s="59" t="str">
        <f t="shared" si="45"/>
        <v/>
      </c>
      <c r="AH211" s="59" t="str">
        <f t="shared" si="45"/>
        <v/>
      </c>
      <c r="AI211" s="59" t="str">
        <f t="shared" si="45"/>
        <v/>
      </c>
    </row>
    <row r="212">
      <c r="B212" s="59"/>
      <c r="C212" s="59"/>
    </row>
    <row r="213">
      <c r="B213" s="140" t="s">
        <v>306</v>
      </c>
      <c r="C213" s="71"/>
    </row>
    <row r="214">
      <c r="B214" s="140" t="s">
        <v>307</v>
      </c>
      <c r="C214" s="71"/>
      <c r="D214" s="46"/>
    </row>
    <row r="215">
      <c r="B215" s="140" t="s">
        <v>252</v>
      </c>
      <c r="C215" s="70" t="str">
        <f>IF(ISBLANK(C213), , IF(C214="other", "Physical", IF(OR(C214="overload", C214="burning", C214="swirl (pyro)"), "Pyro", IF(OR(C214="superconduct", C214="swirl (cryo)"), "Cryo", IF(OR(C214="electro-charged", C214="swirl (electro)"), "Electro", IF(C214="swirl (hydro)", "Hydro", IF(C214="shatter", "Physical", IF(OR(C214 = "bloom", C214 = "hyperbloom", C214 = "burgeon"), "Dendro"))))))))</f>
        <v/>
      </c>
      <c r="D215" s="59"/>
    </row>
    <row r="216">
      <c r="B216" s="140" t="s">
        <v>308</v>
      </c>
      <c r="C216" s="70" t="str">
        <f>IF(ISBLANK(C213), , IF(C214="superconduct", 723, IF(OR(C214="overload", C214 = "bloom"), 2894, IF(C214="shatter", 2176, IF(C214="electro-charged", 1736, IF(C214="burning", 362, IF(LEFT(C214, 5)="swirl", 868, IF(OR(C214 = "hyperbloom", C214 = "burgeon"), 4340, 0))))))))</f>
        <v/>
      </c>
      <c r="D216" s="59"/>
    </row>
    <row r="217">
      <c r="B217" s="140" t="s">
        <v>270</v>
      </c>
      <c r="C217" s="71"/>
      <c r="D217" s="46"/>
    </row>
    <row r="218">
      <c r="B218" s="140" t="s">
        <v>274</v>
      </c>
      <c r="C218" s="71"/>
      <c r="D218" s="46"/>
    </row>
    <row r="219">
      <c r="B219" s="140" t="s">
        <v>271</v>
      </c>
      <c r="C219" s="71"/>
      <c r="D219" s="46"/>
    </row>
    <row r="220">
      <c r="B220" s="140" t="s">
        <v>280</v>
      </c>
      <c r="C220" s="65" t="str">
        <f t="shared" ref="C220:AI220" si="46">IF(ISBLANK(C213),  ,  IF(C215="Geo", (IF(($E$12 + C218) &lt; 0, (1 - (($E$12 + C218) / 200)), IF(($E$12 + C218) &gt; 75, (100 / (100 + (4 * ($E$12 + C218)))), (100 - ($E$12 + C218)) / 100))), IF(C215="Anemo", (IF(($E$13 + C218) &lt; 0, (1 - (($E$13 + C218) / 200)), IF(($E$13 + C218) &gt; 75, (100 / (100 + (4 * ($E$13 + C218)))), (100 - ($E$13 + C218)) / 100))), IF(C215="Cryo", (IF(($E$14 + C218) &lt; 0, (1 - (($E$14 + C218) / 200)), IF(($E$14 + C218) &gt; 75, (100 / (100 + (4 * ($E$14 + C218)))), (100 - ($E$14 + C218)) / 100))), IF(C215="Hydro", (IF(($E$15 + C218) &lt; 0, (1 - (($E$15 + C218) / 200)), IF(($E$15 + C218) &gt; 75, (100 / (100 + (4 * ($E$15 + C218)))), (100 - ($E$15 + C218)) / 100))), IF(C215="Pyro", (IF(($E$16 + C218) &lt; 0, (1 - (($E$16 + C218) / 200)), IF(($E$16 + C218) &gt; 75, (100 / (100 + (4 * ($E$16 + C218)))), (100 - ($E$16 + C218)) / 100))), IF(C215="Electro", (IF(($E$17 + C218) &lt; 0, (1 - (($E$17 + C218) / 200)), IF(($E$17 + C218) &gt; 75, (100 / (100 + (4 * ($E$17 + C218)))), (100 - ($E$17 + C218)) / 100))), IF(C215="Dendro", (IF(($E$18 + C218) &lt; 0, (1 - (($E$18 + C218) / 200)), IF(($E$18 + C218) &gt; 75, (100 / (100 + (4 * ($E$18 + C218)))), (100 - ($E$18 + C218)) / 100))), IF(C215="Physical", (IF(($E$19 + C218) &lt; 0, (1 - (($E$19 + C218) / 200)), IF(($E$19 + C218) &gt; 75, (100 / (100 + (4 * ($E$19 + C218)))), (100 - ($E$19 + C218)) / 100))), 0)))))))))</f>
        <v/>
      </c>
      <c r="D220" s="59" t="str">
        <f t="shared" si="46"/>
        <v/>
      </c>
      <c r="E220" s="59" t="str">
        <f t="shared" si="46"/>
        <v/>
      </c>
      <c r="F220" s="59" t="str">
        <f t="shared" si="46"/>
        <v/>
      </c>
      <c r="G220" s="59" t="str">
        <f t="shared" si="46"/>
        <v/>
      </c>
      <c r="H220" s="59" t="str">
        <f t="shared" si="46"/>
        <v/>
      </c>
      <c r="I220" s="59" t="str">
        <f t="shared" si="46"/>
        <v/>
      </c>
      <c r="J220" s="59" t="str">
        <f t="shared" si="46"/>
        <v/>
      </c>
      <c r="K220" s="59" t="str">
        <f t="shared" si="46"/>
        <v/>
      </c>
      <c r="L220" s="59" t="str">
        <f t="shared" si="46"/>
        <v/>
      </c>
      <c r="M220" s="59" t="str">
        <f t="shared" si="46"/>
        <v/>
      </c>
      <c r="N220" s="59" t="str">
        <f t="shared" si="46"/>
        <v/>
      </c>
      <c r="O220" s="59" t="str">
        <f t="shared" si="46"/>
        <v/>
      </c>
      <c r="P220" s="59" t="str">
        <f t="shared" si="46"/>
        <v/>
      </c>
      <c r="Q220" s="59" t="str">
        <f t="shared" si="46"/>
        <v/>
      </c>
      <c r="R220" s="59" t="str">
        <f t="shared" si="46"/>
        <v/>
      </c>
      <c r="S220" s="59" t="str">
        <f t="shared" si="46"/>
        <v/>
      </c>
      <c r="T220" s="59" t="str">
        <f t="shared" si="46"/>
        <v/>
      </c>
      <c r="U220" s="59" t="str">
        <f t="shared" si="46"/>
        <v/>
      </c>
      <c r="V220" s="59" t="str">
        <f t="shared" si="46"/>
        <v/>
      </c>
      <c r="W220" s="59" t="str">
        <f t="shared" si="46"/>
        <v/>
      </c>
      <c r="X220" s="59" t="str">
        <f t="shared" si="46"/>
        <v/>
      </c>
      <c r="Y220" s="59" t="str">
        <f t="shared" si="46"/>
        <v/>
      </c>
      <c r="Z220" s="59" t="str">
        <f t="shared" si="46"/>
        <v/>
      </c>
      <c r="AA220" s="59" t="str">
        <f t="shared" si="46"/>
        <v/>
      </c>
      <c r="AB220" s="59" t="str">
        <f t="shared" si="46"/>
        <v/>
      </c>
      <c r="AC220" s="59" t="str">
        <f t="shared" si="46"/>
        <v/>
      </c>
      <c r="AD220" s="59" t="str">
        <f t="shared" si="46"/>
        <v/>
      </c>
      <c r="AE220" s="59" t="str">
        <f t="shared" si="46"/>
        <v/>
      </c>
      <c r="AF220" s="59" t="str">
        <f t="shared" si="46"/>
        <v/>
      </c>
      <c r="AG220" s="59" t="str">
        <f t="shared" si="46"/>
        <v/>
      </c>
      <c r="AH220" s="59" t="str">
        <f t="shared" si="46"/>
        <v/>
      </c>
      <c r="AI220" s="59" t="str">
        <f t="shared" si="46"/>
        <v/>
      </c>
    </row>
    <row r="221">
      <c r="B221" s="140" t="s">
        <v>309</v>
      </c>
      <c r="C221" s="65" t="str">
        <f t="shared" ref="C221:AI221" si="47">IF(ISBLANK(C213), , 1 + (16 * ($J84 +C217 ) / (($J84 +C217 ) + 2000)) + IF(LEFT(C214, 5)="swirl", $J133%, IF(C214="overload", $J134%, IF(C214="superconduct", $J135%, IF(C214="electro-charged", $J136%, IF(C214="burning", $J137%, IF(C214 = "burgeon", $J139%, IF(C214 = "hyperbloom", $J140%, IF(C214 = "bloom", $J138%, 0))))   )))) + C219%)</f>
        <v/>
      </c>
      <c r="D221" s="59" t="str">
        <f t="shared" si="47"/>
        <v/>
      </c>
      <c r="E221" s="59" t="str">
        <f t="shared" si="47"/>
        <v/>
      </c>
      <c r="F221" s="59" t="str">
        <f t="shared" si="47"/>
        <v/>
      </c>
      <c r="G221" s="59" t="str">
        <f t="shared" si="47"/>
        <v/>
      </c>
      <c r="H221" s="59" t="str">
        <f t="shared" si="47"/>
        <v/>
      </c>
      <c r="I221" s="59" t="str">
        <f t="shared" si="47"/>
        <v/>
      </c>
      <c r="J221" s="59" t="str">
        <f t="shared" si="47"/>
        <v/>
      </c>
      <c r="K221" s="59" t="str">
        <f t="shared" si="47"/>
        <v/>
      </c>
      <c r="L221" s="59" t="str">
        <f t="shared" si="47"/>
        <v/>
      </c>
      <c r="M221" s="59" t="str">
        <f t="shared" si="47"/>
        <v/>
      </c>
      <c r="N221" s="59" t="str">
        <f t="shared" si="47"/>
        <v/>
      </c>
      <c r="O221" s="59" t="str">
        <f t="shared" si="47"/>
        <v/>
      </c>
      <c r="P221" s="59" t="str">
        <f t="shared" si="47"/>
        <v/>
      </c>
      <c r="Q221" s="59" t="str">
        <f t="shared" si="47"/>
        <v/>
      </c>
      <c r="R221" s="59" t="str">
        <f t="shared" si="47"/>
        <v/>
      </c>
      <c r="S221" s="59" t="str">
        <f t="shared" si="47"/>
        <v/>
      </c>
      <c r="T221" s="59" t="str">
        <f t="shared" si="47"/>
        <v/>
      </c>
      <c r="U221" s="59" t="str">
        <f t="shared" si="47"/>
        <v/>
      </c>
      <c r="V221" s="59" t="str">
        <f t="shared" si="47"/>
        <v/>
      </c>
      <c r="W221" s="59" t="str">
        <f t="shared" si="47"/>
        <v/>
      </c>
      <c r="X221" s="59" t="str">
        <f t="shared" si="47"/>
        <v/>
      </c>
      <c r="Y221" s="59" t="str">
        <f t="shared" si="47"/>
        <v/>
      </c>
      <c r="Z221" s="59" t="str">
        <f t="shared" si="47"/>
        <v/>
      </c>
      <c r="AA221" s="59" t="str">
        <f t="shared" si="47"/>
        <v/>
      </c>
      <c r="AB221" s="59" t="str">
        <f t="shared" si="47"/>
        <v/>
      </c>
      <c r="AC221" s="59" t="str">
        <f t="shared" si="47"/>
        <v/>
      </c>
      <c r="AD221" s="59" t="str">
        <f t="shared" si="47"/>
        <v/>
      </c>
      <c r="AE221" s="59" t="str">
        <f t="shared" si="47"/>
        <v/>
      </c>
      <c r="AF221" s="59" t="str">
        <f t="shared" si="47"/>
        <v/>
      </c>
      <c r="AG221" s="59" t="str">
        <f t="shared" si="47"/>
        <v/>
      </c>
      <c r="AH221" s="59" t="str">
        <f t="shared" si="47"/>
        <v/>
      </c>
      <c r="AI221" s="59" t="str">
        <f t="shared" si="47"/>
        <v/>
      </c>
    </row>
    <row r="222">
      <c r="B222" s="140" t="s">
        <v>310</v>
      </c>
      <c r="C222" s="65" t="str">
        <f>IF(ISBLANK(C213), , IF($O$6 = true, IF(OR(C214="burning", C214="burgeon", C214="bloom", C214="hyperbloom"), 0.2, 0), 0))</f>
        <v/>
      </c>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c r="AC222" s="59"/>
      <c r="AD222" s="59"/>
      <c r="AE222" s="59"/>
      <c r="AF222" s="59"/>
      <c r="AG222" s="59"/>
      <c r="AH222" s="59"/>
      <c r="AI222" s="59"/>
    </row>
    <row r="223">
      <c r="B223" s="140" t="s">
        <v>311</v>
      </c>
      <c r="C223" s="65" t="str">
        <f>IF(ISBLANK(C213), , IF($O$6 = true, 2, 1))</f>
        <v/>
      </c>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c r="AB223" s="59"/>
      <c r="AC223" s="59"/>
      <c r="AD223" s="59"/>
      <c r="AE223" s="59"/>
      <c r="AF223" s="59"/>
      <c r="AG223" s="59"/>
      <c r="AH223" s="59"/>
      <c r="AI223" s="59"/>
    </row>
    <row r="224">
      <c r="B224" s="140" t="s">
        <v>312</v>
      </c>
      <c r="C224" s="159" t="str">
        <f t="shared" ref="C224:AI224" si="48">IF(ISBLANK(C213), , ((C216 * C220)) * C221)</f>
        <v/>
      </c>
      <c r="D224" s="59" t="str">
        <f t="shared" si="48"/>
        <v/>
      </c>
      <c r="E224" s="59" t="str">
        <f t="shared" si="48"/>
        <v/>
      </c>
      <c r="F224" s="59" t="str">
        <f t="shared" si="48"/>
        <v/>
      </c>
      <c r="G224" s="59" t="str">
        <f t="shared" si="48"/>
        <v/>
      </c>
      <c r="H224" s="59" t="str">
        <f t="shared" si="48"/>
        <v/>
      </c>
      <c r="I224" s="59" t="str">
        <f t="shared" si="48"/>
        <v/>
      </c>
      <c r="J224" s="59" t="str">
        <f t="shared" si="48"/>
        <v/>
      </c>
      <c r="K224" s="59" t="str">
        <f t="shared" si="48"/>
        <v/>
      </c>
      <c r="L224" s="59" t="str">
        <f t="shared" si="48"/>
        <v/>
      </c>
      <c r="M224" s="59" t="str">
        <f t="shared" si="48"/>
        <v/>
      </c>
      <c r="N224" s="59" t="str">
        <f t="shared" si="48"/>
        <v/>
      </c>
      <c r="O224" s="59" t="str">
        <f t="shared" si="48"/>
        <v/>
      </c>
      <c r="P224" s="59" t="str">
        <f t="shared" si="48"/>
        <v/>
      </c>
      <c r="Q224" s="59" t="str">
        <f t="shared" si="48"/>
        <v/>
      </c>
      <c r="R224" s="59" t="str">
        <f t="shared" si="48"/>
        <v/>
      </c>
      <c r="S224" s="59" t="str">
        <f t="shared" si="48"/>
        <v/>
      </c>
      <c r="T224" s="59" t="str">
        <f t="shared" si="48"/>
        <v/>
      </c>
      <c r="U224" s="59" t="str">
        <f t="shared" si="48"/>
        <v/>
      </c>
      <c r="V224" s="59" t="str">
        <f t="shared" si="48"/>
        <v/>
      </c>
      <c r="W224" s="59" t="str">
        <f t="shared" si="48"/>
        <v/>
      </c>
      <c r="X224" s="59" t="str">
        <f t="shared" si="48"/>
        <v/>
      </c>
      <c r="Y224" s="59" t="str">
        <f t="shared" si="48"/>
        <v/>
      </c>
      <c r="Z224" s="59" t="str">
        <f t="shared" si="48"/>
        <v/>
      </c>
      <c r="AA224" s="59" t="str">
        <f t="shared" si="48"/>
        <v/>
      </c>
      <c r="AB224" s="59" t="str">
        <f t="shared" si="48"/>
        <v/>
      </c>
      <c r="AC224" s="59" t="str">
        <f t="shared" si="48"/>
        <v/>
      </c>
      <c r="AD224" s="59" t="str">
        <f t="shared" si="48"/>
        <v/>
      </c>
      <c r="AE224" s="59" t="str">
        <f t="shared" si="48"/>
        <v/>
      </c>
      <c r="AF224" s="59" t="str">
        <f t="shared" si="48"/>
        <v/>
      </c>
      <c r="AG224" s="59" t="str">
        <f t="shared" si="48"/>
        <v/>
      </c>
      <c r="AH224" s="59" t="str">
        <f t="shared" si="48"/>
        <v/>
      </c>
      <c r="AI224" s="59" t="str">
        <f t="shared" si="48"/>
        <v/>
      </c>
    </row>
    <row r="225">
      <c r="B225" s="140" t="s">
        <v>285</v>
      </c>
      <c r="C225" s="159" t="str">
        <f>IF(ISBLANK(C213), , C226 * C222 + C224 * (1 - C222))</f>
        <v/>
      </c>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row>
    <row r="226">
      <c r="B226" s="140" t="s">
        <v>313</v>
      </c>
      <c r="C226" s="159" t="str">
        <f>IF(ISBLANK(C213),  ,  C224  * C223)</f>
        <v/>
      </c>
      <c r="D226" s="59"/>
      <c r="E226" s="59"/>
      <c r="F226" s="59"/>
      <c r="G226" s="59"/>
      <c r="H226" s="59"/>
      <c r="I226" s="59"/>
      <c r="J226" s="59"/>
      <c r="K226" s="59"/>
      <c r="L226" s="59"/>
      <c r="M226" s="59"/>
      <c r="N226" s="59"/>
      <c r="O226" s="59"/>
      <c r="P226" s="59"/>
      <c r="Q226" s="59"/>
      <c r="R226" s="59"/>
      <c r="S226" s="59"/>
      <c r="T226" s="59"/>
      <c r="U226" s="59"/>
      <c r="V226" s="59"/>
      <c r="W226" s="59"/>
      <c r="X226" s="59"/>
      <c r="Y226" s="59"/>
      <c r="Z226" s="59"/>
      <c r="AA226" s="59"/>
      <c r="AB226" s="59"/>
      <c r="AC226" s="59"/>
      <c r="AD226" s="59"/>
      <c r="AE226" s="59"/>
      <c r="AF226" s="59"/>
      <c r="AG226" s="59"/>
      <c r="AH226" s="59"/>
      <c r="AI226" s="59"/>
    </row>
    <row r="227">
      <c r="B227" s="140" t="s">
        <v>287</v>
      </c>
      <c r="C227" s="65" t="str">
        <f>IF(ISBLANK(C213), , IF(LEFT(C214, 5)="swirl", IF(C215="Pyro", 2 * (1 +  (2.78 * ($J84 +C217 ) / (($J84 +C217 ) + 1400)) + $J142%), IF(C215="Cryo", 1.5 * (1 +  (2.78 * ($J84 +C217 ) / (($J84 +C217 ) + 1400)) + $J142%), 0)), ))</f>
        <v/>
      </c>
      <c r="D227" s="59" t="str">
        <f t="shared" ref="D227:AI227" si="49">IF(ISBLANK(D213), , IF(D215="Pyro", 2 * (1 +  (2.78 * ($J84 +D217 ) / (($J84 +D217 ) + 1400)) + $J142%), IF(D215="Cryo", 1.5 * (1 +  (2.78 * ($J84 +D217 ) / (($J84 +D217 ) + 1400)) + $J142%), 0)))</f>
        <v/>
      </c>
      <c r="E227" s="59" t="str">
        <f t="shared" si="49"/>
        <v/>
      </c>
      <c r="F227" s="59" t="str">
        <f t="shared" si="49"/>
        <v/>
      </c>
      <c r="G227" s="59" t="str">
        <f t="shared" si="49"/>
        <v/>
      </c>
      <c r="H227" s="59" t="str">
        <f t="shared" si="49"/>
        <v/>
      </c>
      <c r="I227" s="59" t="str">
        <f t="shared" si="49"/>
        <v/>
      </c>
      <c r="J227" s="59" t="str">
        <f t="shared" si="49"/>
        <v/>
      </c>
      <c r="K227" s="59" t="str">
        <f t="shared" si="49"/>
        <v/>
      </c>
      <c r="L227" s="59" t="str">
        <f t="shared" si="49"/>
        <v/>
      </c>
      <c r="M227" s="59" t="str">
        <f t="shared" si="49"/>
        <v/>
      </c>
      <c r="N227" s="59" t="str">
        <f t="shared" si="49"/>
        <v/>
      </c>
      <c r="O227" s="59" t="str">
        <f t="shared" si="49"/>
        <v/>
      </c>
      <c r="P227" s="59" t="str">
        <f t="shared" si="49"/>
        <v/>
      </c>
      <c r="Q227" s="59" t="str">
        <f t="shared" si="49"/>
        <v/>
      </c>
      <c r="R227" s="59" t="str">
        <f t="shared" si="49"/>
        <v/>
      </c>
      <c r="S227" s="59" t="str">
        <f t="shared" si="49"/>
        <v/>
      </c>
      <c r="T227" s="59" t="str">
        <f t="shared" si="49"/>
        <v/>
      </c>
      <c r="U227" s="59" t="str">
        <f t="shared" si="49"/>
        <v/>
      </c>
      <c r="V227" s="59" t="str">
        <f t="shared" si="49"/>
        <v/>
      </c>
      <c r="W227" s="59" t="str">
        <f t="shared" si="49"/>
        <v/>
      </c>
      <c r="X227" s="59" t="str">
        <f t="shared" si="49"/>
        <v/>
      </c>
      <c r="Y227" s="59" t="str">
        <f t="shared" si="49"/>
        <v/>
      </c>
      <c r="Z227" s="59" t="str">
        <f t="shared" si="49"/>
        <v/>
      </c>
      <c r="AA227" s="59" t="str">
        <f t="shared" si="49"/>
        <v/>
      </c>
      <c r="AB227" s="59" t="str">
        <f t="shared" si="49"/>
        <v/>
      </c>
      <c r="AC227" s="59" t="str">
        <f t="shared" si="49"/>
        <v/>
      </c>
      <c r="AD227" s="59" t="str">
        <f t="shared" si="49"/>
        <v/>
      </c>
      <c r="AE227" s="59" t="str">
        <f t="shared" si="49"/>
        <v/>
      </c>
      <c r="AF227" s="59" t="str">
        <f t="shared" si="49"/>
        <v/>
      </c>
      <c r="AG227" s="59" t="str">
        <f t="shared" si="49"/>
        <v/>
      </c>
      <c r="AH227" s="59" t="str">
        <f t="shared" si="49"/>
        <v/>
      </c>
      <c r="AI227" s="59" t="str">
        <f t="shared" si="49"/>
        <v/>
      </c>
    </row>
    <row r="228">
      <c r="B228" s="140" t="s">
        <v>314</v>
      </c>
      <c r="C228" s="159" t="str">
        <f t="shared" ref="C228:AI228" si="50">IF(ISBLANK(C213),  ,  C227  * C224)</f>
        <v/>
      </c>
      <c r="D228" s="59" t="str">
        <f t="shared" si="50"/>
        <v/>
      </c>
      <c r="E228" s="59" t="str">
        <f t="shared" si="50"/>
        <v/>
      </c>
      <c r="F228" s="59" t="str">
        <f t="shared" si="50"/>
        <v/>
      </c>
      <c r="G228" s="59" t="str">
        <f t="shared" si="50"/>
        <v/>
      </c>
      <c r="H228" s="59" t="str">
        <f t="shared" si="50"/>
        <v/>
      </c>
      <c r="I228" s="59" t="str">
        <f t="shared" si="50"/>
        <v/>
      </c>
      <c r="J228" s="59" t="str">
        <f t="shared" si="50"/>
        <v/>
      </c>
      <c r="K228" s="59" t="str">
        <f t="shared" si="50"/>
        <v/>
      </c>
      <c r="L228" s="59" t="str">
        <f t="shared" si="50"/>
        <v/>
      </c>
      <c r="M228" s="59" t="str">
        <f t="shared" si="50"/>
        <v/>
      </c>
      <c r="N228" s="59" t="str">
        <f t="shared" si="50"/>
        <v/>
      </c>
      <c r="O228" s="59" t="str">
        <f t="shared" si="50"/>
        <v/>
      </c>
      <c r="P228" s="59" t="str">
        <f t="shared" si="50"/>
        <v/>
      </c>
      <c r="Q228" s="59" t="str">
        <f t="shared" si="50"/>
        <v/>
      </c>
      <c r="R228" s="59" t="str">
        <f t="shared" si="50"/>
        <v/>
      </c>
      <c r="S228" s="59" t="str">
        <f t="shared" si="50"/>
        <v/>
      </c>
      <c r="T228" s="59" t="str">
        <f t="shared" si="50"/>
        <v/>
      </c>
      <c r="U228" s="59" t="str">
        <f t="shared" si="50"/>
        <v/>
      </c>
      <c r="V228" s="59" t="str">
        <f t="shared" si="50"/>
        <v/>
      </c>
      <c r="W228" s="59" t="str">
        <f t="shared" si="50"/>
        <v/>
      </c>
      <c r="X228" s="59" t="str">
        <f t="shared" si="50"/>
        <v/>
      </c>
      <c r="Y228" s="59" t="str">
        <f t="shared" si="50"/>
        <v/>
      </c>
      <c r="Z228" s="59" t="str">
        <f t="shared" si="50"/>
        <v/>
      </c>
      <c r="AA228" s="59" t="str">
        <f t="shared" si="50"/>
        <v/>
      </c>
      <c r="AB228" s="59" t="str">
        <f t="shared" si="50"/>
        <v/>
      </c>
      <c r="AC228" s="59" t="str">
        <f t="shared" si="50"/>
        <v/>
      </c>
      <c r="AD228" s="59" t="str">
        <f t="shared" si="50"/>
        <v/>
      </c>
      <c r="AE228" s="59" t="str">
        <f t="shared" si="50"/>
        <v/>
      </c>
      <c r="AF228" s="59" t="str">
        <f t="shared" si="50"/>
        <v/>
      </c>
      <c r="AG228" s="59" t="str">
        <f t="shared" si="50"/>
        <v/>
      </c>
      <c r="AH228" s="59" t="str">
        <f t="shared" si="50"/>
        <v/>
      </c>
      <c r="AI228" s="59" t="str">
        <f t="shared" si="50"/>
        <v/>
      </c>
    </row>
    <row r="229">
      <c r="B229" s="140" t="s">
        <v>291</v>
      </c>
      <c r="C229" s="65" t="str">
        <f>IF(ISBLANK(C213), , IF(LEFT(C214, 5)="swirl", IF(C215="Pyro", 1.5 * (1 +  (2.78 * ($J84 +C217 ) / (($J84 +C217 ) + 1400)) + $J141%), IF(C215="Hydro", 2 * (1 +  (2.78 * ($J84 +C217 ) / (($J84 +C217 ) + 1400)) + $J141%), 0)), ))</f>
        <v/>
      </c>
      <c r="D229" s="59" t="str">
        <f t="shared" ref="D229:AI229" si="51">IF(ISBLANK(D213), , IF(D215="Pyro", 1.5 * (1 +  (2.78 * ($J84 +D217 ) / (($J84 +D217 ) + 1400)) + $J141%), IF(D215="Hydro", 2 * (1 +  (2.78 * ($J84 +D217 ) / (($J84 +D217 ) + 1400)) + $J141%), 0)))</f>
        <v/>
      </c>
      <c r="E229" s="59" t="str">
        <f t="shared" si="51"/>
        <v/>
      </c>
      <c r="F229" s="59" t="str">
        <f t="shared" si="51"/>
        <v/>
      </c>
      <c r="G229" s="59" t="str">
        <f t="shared" si="51"/>
        <v/>
      </c>
      <c r="H229" s="59" t="str">
        <f t="shared" si="51"/>
        <v/>
      </c>
      <c r="I229" s="59" t="str">
        <f t="shared" si="51"/>
        <v/>
      </c>
      <c r="J229" s="59" t="str">
        <f t="shared" si="51"/>
        <v/>
      </c>
      <c r="K229" s="59" t="str">
        <f t="shared" si="51"/>
        <v/>
      </c>
      <c r="L229" s="59" t="str">
        <f t="shared" si="51"/>
        <v/>
      </c>
      <c r="M229" s="59" t="str">
        <f t="shared" si="51"/>
        <v/>
      </c>
      <c r="N229" s="59" t="str">
        <f t="shared" si="51"/>
        <v/>
      </c>
      <c r="O229" s="59" t="str">
        <f t="shared" si="51"/>
        <v/>
      </c>
      <c r="P229" s="59" t="str">
        <f t="shared" si="51"/>
        <v/>
      </c>
      <c r="Q229" s="59" t="str">
        <f t="shared" si="51"/>
        <v/>
      </c>
      <c r="R229" s="59" t="str">
        <f t="shared" si="51"/>
        <v/>
      </c>
      <c r="S229" s="59" t="str">
        <f t="shared" si="51"/>
        <v/>
      </c>
      <c r="T229" s="59" t="str">
        <f t="shared" si="51"/>
        <v/>
      </c>
      <c r="U229" s="59" t="str">
        <f t="shared" si="51"/>
        <v/>
      </c>
      <c r="V229" s="59" t="str">
        <f t="shared" si="51"/>
        <v/>
      </c>
      <c r="W229" s="59" t="str">
        <f t="shared" si="51"/>
        <v/>
      </c>
      <c r="X229" s="59" t="str">
        <f t="shared" si="51"/>
        <v/>
      </c>
      <c r="Y229" s="59" t="str">
        <f t="shared" si="51"/>
        <v/>
      </c>
      <c r="Z229" s="59" t="str">
        <f t="shared" si="51"/>
        <v/>
      </c>
      <c r="AA229" s="59" t="str">
        <f t="shared" si="51"/>
        <v/>
      </c>
      <c r="AB229" s="59" t="str">
        <f t="shared" si="51"/>
        <v/>
      </c>
      <c r="AC229" s="59" t="str">
        <f t="shared" si="51"/>
        <v/>
      </c>
      <c r="AD229" s="59" t="str">
        <f t="shared" si="51"/>
        <v/>
      </c>
      <c r="AE229" s="59" t="str">
        <f t="shared" si="51"/>
        <v/>
      </c>
      <c r="AF229" s="59" t="str">
        <f t="shared" si="51"/>
        <v/>
      </c>
      <c r="AG229" s="59" t="str">
        <f t="shared" si="51"/>
        <v/>
      </c>
      <c r="AH229" s="59" t="str">
        <f t="shared" si="51"/>
        <v/>
      </c>
      <c r="AI229" s="59" t="str">
        <f t="shared" si="51"/>
        <v/>
      </c>
    </row>
    <row r="230">
      <c r="B230" s="140" t="s">
        <v>315</v>
      </c>
      <c r="C230" s="159" t="str">
        <f t="shared" ref="C230:AI230" si="52">IF(ISBLANK(C213),  ,  C229  * C224)</f>
        <v/>
      </c>
      <c r="D230" s="59" t="str">
        <f t="shared" si="52"/>
        <v/>
      </c>
      <c r="E230" s="59" t="str">
        <f t="shared" si="52"/>
        <v/>
      </c>
      <c r="F230" s="59" t="str">
        <f t="shared" si="52"/>
        <v/>
      </c>
      <c r="G230" s="59" t="str">
        <f t="shared" si="52"/>
        <v/>
      </c>
      <c r="H230" s="59" t="str">
        <f t="shared" si="52"/>
        <v/>
      </c>
      <c r="I230" s="59" t="str">
        <f t="shared" si="52"/>
        <v/>
      </c>
      <c r="J230" s="59" t="str">
        <f t="shared" si="52"/>
        <v/>
      </c>
      <c r="K230" s="59" t="str">
        <f t="shared" si="52"/>
        <v/>
      </c>
      <c r="L230" s="59" t="str">
        <f t="shared" si="52"/>
        <v/>
      </c>
      <c r="M230" s="59" t="str">
        <f t="shared" si="52"/>
        <v/>
      </c>
      <c r="N230" s="59" t="str">
        <f t="shared" si="52"/>
        <v/>
      </c>
      <c r="O230" s="59" t="str">
        <f t="shared" si="52"/>
        <v/>
      </c>
      <c r="P230" s="59" t="str">
        <f t="shared" si="52"/>
        <v/>
      </c>
      <c r="Q230" s="59" t="str">
        <f t="shared" si="52"/>
        <v/>
      </c>
      <c r="R230" s="59" t="str">
        <f t="shared" si="52"/>
        <v/>
      </c>
      <c r="S230" s="59" t="str">
        <f t="shared" si="52"/>
        <v/>
      </c>
      <c r="T230" s="59" t="str">
        <f t="shared" si="52"/>
        <v/>
      </c>
      <c r="U230" s="59" t="str">
        <f t="shared" si="52"/>
        <v/>
      </c>
      <c r="V230" s="59" t="str">
        <f t="shared" si="52"/>
        <v/>
      </c>
      <c r="W230" s="59" t="str">
        <f t="shared" si="52"/>
        <v/>
      </c>
      <c r="X230" s="59" t="str">
        <f t="shared" si="52"/>
        <v/>
      </c>
      <c r="Y230" s="59" t="str">
        <f t="shared" si="52"/>
        <v/>
      </c>
      <c r="Z230" s="59" t="str">
        <f t="shared" si="52"/>
        <v/>
      </c>
      <c r="AA230" s="59" t="str">
        <f t="shared" si="52"/>
        <v/>
      </c>
      <c r="AB230" s="59" t="str">
        <f t="shared" si="52"/>
        <v/>
      </c>
      <c r="AC230" s="59" t="str">
        <f t="shared" si="52"/>
        <v/>
      </c>
      <c r="AD230" s="59" t="str">
        <f t="shared" si="52"/>
        <v/>
      </c>
      <c r="AE230" s="59" t="str">
        <f t="shared" si="52"/>
        <v/>
      </c>
      <c r="AF230" s="59" t="str">
        <f t="shared" si="52"/>
        <v/>
      </c>
      <c r="AG230" s="59" t="str">
        <f t="shared" si="52"/>
        <v/>
      </c>
      <c r="AH230" s="59" t="str">
        <f t="shared" si="52"/>
        <v/>
      </c>
      <c r="AI230" s="59" t="str">
        <f t="shared" si="52"/>
        <v/>
      </c>
    </row>
    <row r="231">
      <c r="B231" s="140" t="s">
        <v>295</v>
      </c>
      <c r="C231" s="65" t="str">
        <f t="shared" ref="C231:AI231" si="53">IF(ISBLANK(C213), , IF(C214 = "swirl (electro)", 1 + (5 * ($J84 + C217) / (($J84 + C217) + 1200)) + $J143%, 0))</f>
        <v/>
      </c>
      <c r="D231" s="59" t="str">
        <f t="shared" si="53"/>
        <v/>
      </c>
      <c r="E231" s="59" t="str">
        <f t="shared" si="53"/>
        <v/>
      </c>
      <c r="F231" s="59" t="str">
        <f t="shared" si="53"/>
        <v/>
      </c>
      <c r="G231" s="59" t="str">
        <f t="shared" si="53"/>
        <v/>
      </c>
      <c r="H231" s="59" t="str">
        <f t="shared" si="53"/>
        <v/>
      </c>
      <c r="I231" s="59" t="str">
        <f t="shared" si="53"/>
        <v/>
      </c>
      <c r="J231" s="59" t="str">
        <f t="shared" si="53"/>
        <v/>
      </c>
      <c r="K231" s="59" t="str">
        <f t="shared" si="53"/>
        <v/>
      </c>
      <c r="L231" s="59" t="str">
        <f t="shared" si="53"/>
        <v/>
      </c>
      <c r="M231" s="59" t="str">
        <f t="shared" si="53"/>
        <v/>
      </c>
      <c r="N231" s="59" t="str">
        <f t="shared" si="53"/>
        <v/>
      </c>
      <c r="O231" s="59" t="str">
        <f t="shared" si="53"/>
        <v/>
      </c>
      <c r="P231" s="59" t="str">
        <f t="shared" si="53"/>
        <v/>
      </c>
      <c r="Q231" s="59" t="str">
        <f t="shared" si="53"/>
        <v/>
      </c>
      <c r="R231" s="59" t="str">
        <f t="shared" si="53"/>
        <v/>
      </c>
      <c r="S231" s="59" t="str">
        <f t="shared" si="53"/>
        <v/>
      </c>
      <c r="T231" s="59" t="str">
        <f t="shared" si="53"/>
        <v/>
      </c>
      <c r="U231" s="59" t="str">
        <f t="shared" si="53"/>
        <v/>
      </c>
      <c r="V231" s="59" t="str">
        <f t="shared" si="53"/>
        <v/>
      </c>
      <c r="W231" s="59" t="str">
        <f t="shared" si="53"/>
        <v/>
      </c>
      <c r="X231" s="59" t="str">
        <f t="shared" si="53"/>
        <v/>
      </c>
      <c r="Y231" s="59" t="str">
        <f t="shared" si="53"/>
        <v/>
      </c>
      <c r="Z231" s="59" t="str">
        <f t="shared" si="53"/>
        <v/>
      </c>
      <c r="AA231" s="59" t="str">
        <f t="shared" si="53"/>
        <v/>
      </c>
      <c r="AB231" s="59" t="str">
        <f t="shared" si="53"/>
        <v/>
      </c>
      <c r="AC231" s="59" t="str">
        <f t="shared" si="53"/>
        <v/>
      </c>
      <c r="AD231" s="59" t="str">
        <f t="shared" si="53"/>
        <v/>
      </c>
      <c r="AE231" s="59" t="str">
        <f t="shared" si="53"/>
        <v/>
      </c>
      <c r="AF231" s="59" t="str">
        <f t="shared" si="53"/>
        <v/>
      </c>
      <c r="AG231" s="59" t="str">
        <f t="shared" si="53"/>
        <v/>
      </c>
      <c r="AH231" s="59" t="str">
        <f t="shared" si="53"/>
        <v/>
      </c>
      <c r="AI231" s="59" t="str">
        <f t="shared" si="53"/>
        <v/>
      </c>
    </row>
    <row r="232">
      <c r="B232" s="140" t="s">
        <v>296</v>
      </c>
      <c r="C232" s="65" t="str">
        <f t="shared" ref="C232:AI232" si="54">IF(ISBLANK(C213), , 1664 * C231)</f>
        <v/>
      </c>
      <c r="D232" s="59" t="str">
        <f t="shared" si="54"/>
        <v/>
      </c>
      <c r="E232" s="59" t="str">
        <f t="shared" si="54"/>
        <v/>
      </c>
      <c r="F232" s="59" t="str">
        <f t="shared" si="54"/>
        <v/>
      </c>
      <c r="G232" s="59" t="str">
        <f t="shared" si="54"/>
        <v/>
      </c>
      <c r="H232" s="59" t="str">
        <f t="shared" si="54"/>
        <v/>
      </c>
      <c r="I232" s="59" t="str">
        <f t="shared" si="54"/>
        <v/>
      </c>
      <c r="J232" s="59" t="str">
        <f t="shared" si="54"/>
        <v/>
      </c>
      <c r="K232" s="59" t="str">
        <f t="shared" si="54"/>
        <v/>
      </c>
      <c r="L232" s="59" t="str">
        <f t="shared" si="54"/>
        <v/>
      </c>
      <c r="M232" s="59" t="str">
        <f t="shared" si="54"/>
        <v/>
      </c>
      <c r="N232" s="59" t="str">
        <f t="shared" si="54"/>
        <v/>
      </c>
      <c r="O232" s="59" t="str">
        <f t="shared" si="54"/>
        <v/>
      </c>
      <c r="P232" s="59" t="str">
        <f t="shared" si="54"/>
        <v/>
      </c>
      <c r="Q232" s="59" t="str">
        <f t="shared" si="54"/>
        <v/>
      </c>
      <c r="R232" s="59" t="str">
        <f t="shared" si="54"/>
        <v/>
      </c>
      <c r="S232" s="59" t="str">
        <f t="shared" si="54"/>
        <v/>
      </c>
      <c r="T232" s="59" t="str">
        <f t="shared" si="54"/>
        <v/>
      </c>
      <c r="U232" s="59" t="str">
        <f t="shared" si="54"/>
        <v/>
      </c>
      <c r="V232" s="59" t="str">
        <f t="shared" si="54"/>
        <v/>
      </c>
      <c r="W232" s="59" t="str">
        <f t="shared" si="54"/>
        <v/>
      </c>
      <c r="X232" s="59" t="str">
        <f t="shared" si="54"/>
        <v/>
      </c>
      <c r="Y232" s="59" t="str">
        <f t="shared" si="54"/>
        <v/>
      </c>
      <c r="Z232" s="59" t="str">
        <f t="shared" si="54"/>
        <v/>
      </c>
      <c r="AA232" s="59" t="str">
        <f t="shared" si="54"/>
        <v/>
      </c>
      <c r="AB232" s="59" t="str">
        <f t="shared" si="54"/>
        <v/>
      </c>
      <c r="AC232" s="59" t="str">
        <f t="shared" si="54"/>
        <v/>
      </c>
      <c r="AD232" s="59" t="str">
        <f t="shared" si="54"/>
        <v/>
      </c>
      <c r="AE232" s="59" t="str">
        <f t="shared" si="54"/>
        <v/>
      </c>
      <c r="AF232" s="59" t="str">
        <f t="shared" si="54"/>
        <v/>
      </c>
      <c r="AG232" s="59" t="str">
        <f t="shared" si="54"/>
        <v/>
      </c>
      <c r="AH232" s="59" t="str">
        <f t="shared" si="54"/>
        <v/>
      </c>
      <c r="AI232" s="59" t="str">
        <f t="shared" si="54"/>
        <v/>
      </c>
    </row>
    <row r="233">
      <c r="B233" s="140" t="s">
        <v>316</v>
      </c>
      <c r="C233" s="159" t="str">
        <f t="shared" ref="C233:AI233" si="55">IF(ISBLANK(C213), , IF(C214 = "swirl (electro)", ((C216 * C221) + C232) * C220, 0))</f>
        <v/>
      </c>
      <c r="D233" s="59" t="str">
        <f t="shared" si="55"/>
        <v/>
      </c>
      <c r="E233" s="59" t="str">
        <f t="shared" si="55"/>
        <v/>
      </c>
      <c r="F233" s="59" t="str">
        <f t="shared" si="55"/>
        <v/>
      </c>
      <c r="G233" s="59" t="str">
        <f t="shared" si="55"/>
        <v/>
      </c>
      <c r="H233" s="59" t="str">
        <f t="shared" si="55"/>
        <v/>
      </c>
      <c r="I233" s="59" t="str">
        <f t="shared" si="55"/>
        <v/>
      </c>
      <c r="J233" s="59" t="str">
        <f t="shared" si="55"/>
        <v/>
      </c>
      <c r="K233" s="59" t="str">
        <f t="shared" si="55"/>
        <v/>
      </c>
      <c r="L233" s="59" t="str">
        <f t="shared" si="55"/>
        <v/>
      </c>
      <c r="M233" s="59" t="str">
        <f t="shared" si="55"/>
        <v/>
      </c>
      <c r="N233" s="59" t="str">
        <f t="shared" si="55"/>
        <v/>
      </c>
      <c r="O233" s="59" t="str">
        <f t="shared" si="55"/>
        <v/>
      </c>
      <c r="P233" s="59" t="str">
        <f t="shared" si="55"/>
        <v/>
      </c>
      <c r="Q233" s="59" t="str">
        <f t="shared" si="55"/>
        <v/>
      </c>
      <c r="R233" s="59" t="str">
        <f t="shared" si="55"/>
        <v/>
      </c>
      <c r="S233" s="59" t="str">
        <f t="shared" si="55"/>
        <v/>
      </c>
      <c r="T233" s="59" t="str">
        <f t="shared" si="55"/>
        <v/>
      </c>
      <c r="U233" s="59" t="str">
        <f t="shared" si="55"/>
        <v/>
      </c>
      <c r="V233" s="59" t="str">
        <f t="shared" si="55"/>
        <v/>
      </c>
      <c r="W233" s="59" t="str">
        <f t="shared" si="55"/>
        <v/>
      </c>
      <c r="X233" s="59" t="str">
        <f t="shared" si="55"/>
        <v/>
      </c>
      <c r="Y233" s="59" t="str">
        <f t="shared" si="55"/>
        <v/>
      </c>
      <c r="Z233" s="59" t="str">
        <f t="shared" si="55"/>
        <v/>
      </c>
      <c r="AA233" s="59" t="str">
        <f t="shared" si="55"/>
        <v/>
      </c>
      <c r="AB233" s="59" t="str">
        <f t="shared" si="55"/>
        <v/>
      </c>
      <c r="AC233" s="59" t="str">
        <f t="shared" si="55"/>
        <v/>
      </c>
      <c r="AD233" s="59" t="str">
        <f t="shared" si="55"/>
        <v/>
      </c>
      <c r="AE233" s="59" t="str">
        <f t="shared" si="55"/>
        <v/>
      </c>
      <c r="AF233" s="59" t="str">
        <f t="shared" si="55"/>
        <v/>
      </c>
      <c r="AG233" s="59" t="str">
        <f t="shared" si="55"/>
        <v/>
      </c>
      <c r="AH233" s="59" t="str">
        <f t="shared" si="55"/>
        <v/>
      </c>
      <c r="AI233" s="59" t="str">
        <f t="shared" si="55"/>
        <v/>
      </c>
    </row>
    <row r="235">
      <c r="A235" s="160"/>
      <c r="B235" s="161" t="str">
        <f>CONCAT(B4, CONCAT(" | ", CONCAT(C4, CONCAT(" | ", D4))))</f>
        <v> C0 |  R1 |   HP%/HP%/HP%</v>
      </c>
    </row>
    <row r="237">
      <c r="B237" s="107" t="s">
        <v>138</v>
      </c>
      <c r="C237" s="108">
        <f>IF(C240="KQM", 20 - (COUNTIF(I238:M238, "4*") * 2), IF(C240="Jam", 24 - (COUNTIF(I238:M238, "4*") * 2) - (COUNTIF(L239:M239, "EM") * 3) - (2 * (COUNTIF(M239, "CR%") + COUNTIF(M239, "CD%") + COUNTIF(M239, "HB%"))) - (2 * (COUNTIF(K239, "ER%") + COUNTIF(K239, "EM"))) - (IF(OR(L239 = "ATK%", L239 = "DEF%", L239 = "HP%", L239 = "EM"), 0, 2)), 25))</f>
        <v>20</v>
      </c>
      <c r="E237" s="109" t="s">
        <v>139</v>
      </c>
      <c r="F237" s="108">
        <v>90.0</v>
      </c>
      <c r="H237" s="110" t="s">
        <v>105</v>
      </c>
      <c r="I237" s="110" t="s">
        <v>140</v>
      </c>
      <c r="J237" s="110" t="s">
        <v>141</v>
      </c>
      <c r="K237" s="110" t="s">
        <v>142</v>
      </c>
      <c r="L237" s="110" t="s">
        <v>143</v>
      </c>
      <c r="M237" s="110" t="s">
        <v>144</v>
      </c>
    </row>
    <row r="238">
      <c r="B238" s="107" t="s">
        <v>145</v>
      </c>
      <c r="C238" s="108">
        <f>IF(C240="KQM", 10, IF(C240 = "Jam", 12 - (COUNTIF(L239:M239, "EM") * 2) - (1 * (COUNTIF(M239, "CR%") + COUNTIF(M239, "CD%") + COUNTIF(M239, "HB%"))) - (1 * (COUNTIF(K239, "ER%") + COUNTIF(K239, "EM"))) - (IF(OR(L239 = "ATK%", L239 = "DEF%", L239 = "HP%", L239 = "EM"), 0, 1)), 15))</f>
        <v>10</v>
      </c>
      <c r="E238" s="109" t="s">
        <v>146</v>
      </c>
      <c r="F238" s="111">
        <v>9.0</v>
      </c>
      <c r="H238" s="110" t="s">
        <v>147</v>
      </c>
      <c r="I238" s="112" t="s">
        <v>148</v>
      </c>
      <c r="J238" s="113" t="s">
        <v>148</v>
      </c>
      <c r="K238" s="113" t="s">
        <v>148</v>
      </c>
      <c r="L238" s="113" t="s">
        <v>148</v>
      </c>
      <c r="M238" s="114" t="s">
        <v>148</v>
      </c>
    </row>
    <row r="239">
      <c r="B239" s="107" t="s">
        <v>149</v>
      </c>
      <c r="C239" s="108">
        <f>IF(C240 = "KQM", IF(COUNTIF(I238:M238, "4*") &gt; 0, 0.8, 1), 1 - (COUNTIF(I238:M238, "4*") * 0.04))</f>
        <v>1</v>
      </c>
      <c r="E239" s="109" t="s">
        <v>150</v>
      </c>
      <c r="F239" s="111">
        <v>9.0</v>
      </c>
      <c r="H239" s="110" t="s">
        <v>151</v>
      </c>
      <c r="I239" s="115" t="s">
        <v>152</v>
      </c>
      <c r="J239" s="116" t="s">
        <v>153</v>
      </c>
      <c r="K239" s="117" t="s">
        <v>154</v>
      </c>
      <c r="L239" s="117" t="s">
        <v>154</v>
      </c>
      <c r="M239" s="118" t="s">
        <v>154</v>
      </c>
    </row>
    <row r="240">
      <c r="B240" s="107" t="s">
        <v>155</v>
      </c>
      <c r="C240" s="111" t="s">
        <v>156</v>
      </c>
      <c r="E240" s="109" t="s">
        <v>157</v>
      </c>
      <c r="F240" s="111">
        <v>9.0</v>
      </c>
      <c r="H240" s="110" t="s">
        <v>158</v>
      </c>
      <c r="I240" s="119">
        <f>IF(I238 = "5*", 311, 232)</f>
        <v>311</v>
      </c>
      <c r="J240" s="120">
        <f>IF(J238 = "5*", 4780, 3571)</f>
        <v>4780</v>
      </c>
      <c r="K240" s="121">
        <f>IF(K238 = "5*", IF(OR(K239 = "HP%", K239 = "ATK%"), 46.6, IF(K239 = "DEF%", 58.3, IF(K239 = "ER%", 51.8, IF(K239 = "EM", 187)))), IF(OR(K239 = "HP%", K239 = "ATK%"), 34.8, IF(K239 = "DEF%", 43.5, IF(K239 = "ER%", 38.7, IF(K239 = "EM", 139)))))</f>
        <v>46.6</v>
      </c>
      <c r="L240" s="121">
        <f>IF(L238 = "5*", IF(OR(L239 = "HP%", L239 = "ATK%"), 46.6, IF(L239 = "DEF%", 58.3, IF(L239 = "Phys%", 58.3, IF(L239 = "EM", 187, 46.6)))), IF(OR(L239 = "HP%", L239 = "ATK%"), 34.8, IF(L239 = "DEF%", 43.5, IF(L239 = "Phys%", 43.5, IF(L239 = "EM", 139, 34.8)))))</f>
        <v>46.6</v>
      </c>
      <c r="M240" s="122">
        <f>IF(M238 = "5*", IF(OR(M239 = "HP%", M239 = "ATK%"), 46.6, IF(M239 = "DEF%", 58.3, IF(M239 = "EM", 187, IF(M239 = "CR%", 31.1, IF(M239 = "CD%", 62.2, 35.9))))), IF(OR(M239 = "HP%", M239 = "ATK%"), 34.8, IF(M239 = "DEF%", 45.3, IF(M239 = "EM", 139, IF(M239 = "CR%", 23.2, IF(M239 = "CD%", 46.4, 26.8))))))</f>
        <v>46.6</v>
      </c>
    </row>
    <row r="241">
      <c r="B241" s="123"/>
    </row>
    <row r="242">
      <c r="B242" s="110" t="s">
        <v>159</v>
      </c>
      <c r="C242" s="110" t="s">
        <v>152</v>
      </c>
      <c r="D242" s="110" t="s">
        <v>160</v>
      </c>
      <c r="E242" s="110" t="s">
        <v>153</v>
      </c>
      <c r="F242" s="110" t="s">
        <v>154</v>
      </c>
      <c r="G242" s="110" t="s">
        <v>120</v>
      </c>
      <c r="H242" s="110" t="s">
        <v>161</v>
      </c>
      <c r="I242" s="110" t="s">
        <v>162</v>
      </c>
      <c r="J242" s="110" t="s">
        <v>163</v>
      </c>
      <c r="K242" s="110" t="s">
        <v>164</v>
      </c>
      <c r="L242" s="110" t="s">
        <v>165</v>
      </c>
      <c r="M242" s="124" t="s">
        <v>73</v>
      </c>
    </row>
    <row r="243">
      <c r="B243" s="110" t="s">
        <v>166</v>
      </c>
      <c r="C243" s="125">
        <f>ROUND(16.54 * $C239, 2)</f>
        <v>16.54</v>
      </c>
      <c r="D243" s="125">
        <f>ROUND(4.96 * $C239, 2)</f>
        <v>4.96</v>
      </c>
      <c r="E243" s="125">
        <f>ROUND(253.94 * $C239, 2)</f>
        <v>253.94</v>
      </c>
      <c r="F243" s="125">
        <f>ROUND(4.96 * $C239, 2)</f>
        <v>4.96</v>
      </c>
      <c r="G243" s="125">
        <f>ROUND(19.68 * $C239, 2)</f>
        <v>19.68</v>
      </c>
      <c r="H243" s="125">
        <f>ROUND(6.2 * $C239, 2)</f>
        <v>6.2</v>
      </c>
      <c r="I243" s="125">
        <f>ROUND(3.31 * $C239, 2)</f>
        <v>3.31</v>
      </c>
      <c r="J243" s="125">
        <f>ROUND(6.62 * $C239, 2)</f>
        <v>6.62</v>
      </c>
      <c r="K243" s="125">
        <f>ROUND(5.51 * $C239, 2)</f>
        <v>5.51</v>
      </c>
      <c r="L243" s="125">
        <f>ROUND(19.82 * $C239, 2)</f>
        <v>19.82</v>
      </c>
      <c r="M243" s="126"/>
    </row>
    <row r="244">
      <c r="B244" s="110" t="s">
        <v>167</v>
      </c>
      <c r="C244" s="125">
        <f t="shared" ref="C244:L244" si="56">IF(OR($C240="KQM", $C240="Jam"), 2, 0)</f>
        <v>2</v>
      </c>
      <c r="D244" s="125">
        <f t="shared" si="56"/>
        <v>2</v>
      </c>
      <c r="E244" s="125">
        <f t="shared" si="56"/>
        <v>2</v>
      </c>
      <c r="F244" s="125">
        <f t="shared" si="56"/>
        <v>2</v>
      </c>
      <c r="G244" s="125">
        <f t="shared" si="56"/>
        <v>2</v>
      </c>
      <c r="H244" s="125">
        <f t="shared" si="56"/>
        <v>2</v>
      </c>
      <c r="I244" s="125">
        <f t="shared" si="56"/>
        <v>2</v>
      </c>
      <c r="J244" s="125">
        <f t="shared" si="56"/>
        <v>2</v>
      </c>
      <c r="K244" s="125">
        <f t="shared" si="56"/>
        <v>2</v>
      </c>
      <c r="L244" s="125">
        <f t="shared" si="56"/>
        <v>2</v>
      </c>
      <c r="M244" s="127">
        <f>SUM(C244:L244)</f>
        <v>20</v>
      </c>
    </row>
    <row r="245">
      <c r="B245" s="110" t="s">
        <v>168</v>
      </c>
      <c r="C245" s="128">
        <f t="shared" ref="C245:L245" si="57">$C238 - (COUNTIF($I239:$M239, C242) * 2)</f>
        <v>8</v>
      </c>
      <c r="D245" s="128">
        <f t="shared" si="57"/>
        <v>10</v>
      </c>
      <c r="E245" s="128">
        <f t="shared" si="57"/>
        <v>8</v>
      </c>
      <c r="F245" s="128">
        <f t="shared" si="57"/>
        <v>4</v>
      </c>
      <c r="G245" s="128">
        <f t="shared" si="57"/>
        <v>10</v>
      </c>
      <c r="H245" s="128">
        <f t="shared" si="57"/>
        <v>10</v>
      </c>
      <c r="I245" s="128">
        <f t="shared" si="57"/>
        <v>10</v>
      </c>
      <c r="J245" s="128">
        <f t="shared" si="57"/>
        <v>10</v>
      </c>
      <c r="K245" s="128">
        <f t="shared" si="57"/>
        <v>10</v>
      </c>
      <c r="L245" s="128">
        <f t="shared" si="57"/>
        <v>10</v>
      </c>
      <c r="M245" s="108">
        <f>C237</f>
        <v>20</v>
      </c>
    </row>
    <row r="246">
      <c r="B246" s="110" t="s">
        <v>169</v>
      </c>
      <c r="C246" s="162">
        <v>0.0</v>
      </c>
      <c r="D246" s="163">
        <v>0.0</v>
      </c>
      <c r="E246" s="163">
        <v>0.0</v>
      </c>
      <c r="F246" s="163">
        <v>0.0</v>
      </c>
      <c r="G246" s="162">
        <v>0.0</v>
      </c>
      <c r="H246" s="162">
        <v>0.0</v>
      </c>
      <c r="I246" s="163">
        <v>0.0</v>
      </c>
      <c r="J246" s="163">
        <v>0.0</v>
      </c>
      <c r="K246" s="163">
        <v>0.0</v>
      </c>
      <c r="L246" s="163">
        <v>0.0</v>
      </c>
      <c r="M246" s="164">
        <f>SUM(C246:L246)</f>
        <v>0</v>
      </c>
    </row>
    <row r="247">
      <c r="B247" s="110" t="s">
        <v>73</v>
      </c>
      <c r="C247" s="128">
        <f t="shared" ref="C247:M247" si="58">C244 + C246</f>
        <v>2</v>
      </c>
      <c r="D247" s="128">
        <f t="shared" si="58"/>
        <v>2</v>
      </c>
      <c r="E247" s="128">
        <f t="shared" si="58"/>
        <v>2</v>
      </c>
      <c r="F247" s="128">
        <f t="shared" si="58"/>
        <v>2</v>
      </c>
      <c r="G247" s="128">
        <f t="shared" si="58"/>
        <v>2</v>
      </c>
      <c r="H247" s="128">
        <f t="shared" si="58"/>
        <v>2</v>
      </c>
      <c r="I247" s="128">
        <f t="shared" si="58"/>
        <v>2</v>
      </c>
      <c r="J247" s="128">
        <f t="shared" si="58"/>
        <v>2</v>
      </c>
      <c r="K247" s="128">
        <f t="shared" si="58"/>
        <v>2</v>
      </c>
      <c r="L247" s="128">
        <f t="shared" si="58"/>
        <v>2</v>
      </c>
      <c r="M247" s="165">
        <f t="shared" si="58"/>
        <v>20</v>
      </c>
    </row>
    <row r="248">
      <c r="B248" s="110" t="s">
        <v>170</v>
      </c>
      <c r="C248" s="131">
        <f t="shared" ref="C248:L248" si="59">ROUND(C243 * C247, 2)</f>
        <v>33.08</v>
      </c>
      <c r="D248" s="131">
        <f t="shared" si="59"/>
        <v>9.92</v>
      </c>
      <c r="E248" s="131">
        <f t="shared" si="59"/>
        <v>507.88</v>
      </c>
      <c r="F248" s="131">
        <f t="shared" si="59"/>
        <v>9.92</v>
      </c>
      <c r="G248" s="131">
        <f t="shared" si="59"/>
        <v>39.36</v>
      </c>
      <c r="H248" s="131">
        <f t="shared" si="59"/>
        <v>12.4</v>
      </c>
      <c r="I248" s="131">
        <f t="shared" si="59"/>
        <v>6.62</v>
      </c>
      <c r="J248" s="131">
        <f t="shared" si="59"/>
        <v>13.24</v>
      </c>
      <c r="K248" s="131">
        <f t="shared" si="59"/>
        <v>11.02</v>
      </c>
      <c r="L248" s="133">
        <f t="shared" si="59"/>
        <v>39.64</v>
      </c>
      <c r="M248" s="134"/>
    </row>
    <row r="250">
      <c r="B250" s="135" t="s">
        <v>171</v>
      </c>
      <c r="C250" s="135" t="s">
        <v>68</v>
      </c>
      <c r="D250" s="135" t="s">
        <v>69</v>
      </c>
      <c r="E250" s="135" t="s">
        <v>172</v>
      </c>
      <c r="F250" s="135" t="s">
        <v>173</v>
      </c>
      <c r="G250" s="135" t="s">
        <v>174</v>
      </c>
      <c r="H250" s="135" t="s">
        <v>175</v>
      </c>
      <c r="I250" s="135" t="s">
        <v>176</v>
      </c>
      <c r="J250" s="135" t="s">
        <v>73</v>
      </c>
      <c r="L250" s="135" t="s">
        <v>177</v>
      </c>
      <c r="M250" s="135" t="s">
        <v>152</v>
      </c>
      <c r="N250" s="135" t="s">
        <v>120</v>
      </c>
      <c r="O250" s="135" t="s">
        <v>153</v>
      </c>
      <c r="P250" s="135" t="s">
        <v>165</v>
      </c>
    </row>
    <row r="251">
      <c r="B251" s="136" t="s">
        <v>178</v>
      </c>
      <c r="C251" s="137"/>
      <c r="D251" s="137"/>
      <c r="E251" s="137"/>
      <c r="F251" s="138" t="s">
        <v>179</v>
      </c>
      <c r="G251" s="166"/>
      <c r="H251" s="167"/>
      <c r="I251" s="166"/>
      <c r="J251" s="139"/>
      <c r="L251" s="140" t="s">
        <v>180</v>
      </c>
      <c r="M251" s="141"/>
      <c r="N251" s="142"/>
      <c r="O251" s="142"/>
      <c r="P251" s="143"/>
    </row>
    <row r="252">
      <c r="B252" s="144" t="b">
        <v>0</v>
      </c>
      <c r="C252" s="137" t="s">
        <v>181</v>
      </c>
      <c r="D252" s="137" t="s">
        <v>182</v>
      </c>
      <c r="E252" s="137"/>
      <c r="F252" s="37"/>
      <c r="G252" s="37"/>
      <c r="H252" s="37"/>
      <c r="I252" s="37"/>
      <c r="J252" s="37"/>
      <c r="L252" s="140" t="s">
        <v>183</v>
      </c>
      <c r="M252" s="145"/>
      <c r="N252" s="65"/>
      <c r="O252" s="65"/>
      <c r="P252" s="146"/>
    </row>
    <row r="253">
      <c r="B253" s="140" t="s">
        <v>152</v>
      </c>
      <c r="C253" s="58"/>
      <c r="D253" s="58"/>
      <c r="E253" s="65"/>
      <c r="F253" s="58">
        <f>I240 + C248</f>
        <v>344.08</v>
      </c>
      <c r="G253" s="70"/>
      <c r="H253" s="65">
        <f>ROUND((C253 + D253) * (1 + J254%) + E253 + F253 + G253, 0)</f>
        <v>344</v>
      </c>
      <c r="I253" s="147"/>
      <c r="J253" s="148">
        <f t="shared" ref="J253:J257" si="60">H253+I253</f>
        <v>344</v>
      </c>
      <c r="L253" s="140" t="s">
        <v>184</v>
      </c>
      <c r="M253" s="145"/>
      <c r="N253" s="65"/>
      <c r="O253" s="65"/>
      <c r="P253" s="146"/>
    </row>
    <row r="254">
      <c r="B254" s="140" t="s">
        <v>160</v>
      </c>
      <c r="C254" s="58"/>
      <c r="D254" s="58"/>
      <c r="E254" s="65"/>
      <c r="F254" s="58">
        <f>D248 + (IF(K239 = "ATK%", K240)) + (IF(L239 = "ATK%", L240)) + (IF(M239 = "ATK%", M240))</f>
        <v>9.92</v>
      </c>
      <c r="G254" s="71"/>
      <c r="H254" s="65">
        <f>sum(C254:G254)</f>
        <v>9.92</v>
      </c>
      <c r="I254" s="65"/>
      <c r="J254" s="148">
        <f t="shared" si="60"/>
        <v>9.92</v>
      </c>
      <c r="L254" s="140" t="s">
        <v>185</v>
      </c>
      <c r="M254" s="149"/>
      <c r="N254" s="65"/>
      <c r="O254" s="65"/>
      <c r="P254" s="146"/>
    </row>
    <row r="255">
      <c r="B255" s="140" t="s">
        <v>162</v>
      </c>
      <c r="C255" s="58"/>
      <c r="D255" s="58"/>
      <c r="E255" s="65"/>
      <c r="F255" s="65">
        <f>I248 + IF(M239 = "CR%", M240)</f>
        <v>6.62</v>
      </c>
      <c r="G255" s="70"/>
      <c r="H255" s="65">
        <f t="shared" ref="H255:H256" si="61">C255 + D255 + E255 + F255 + G255</f>
        <v>6.62</v>
      </c>
      <c r="I255" s="65"/>
      <c r="J255" s="148">
        <f t="shared" si="60"/>
        <v>6.62</v>
      </c>
      <c r="L255" s="140" t="s">
        <v>186</v>
      </c>
      <c r="M255" s="150"/>
      <c r="N255" s="151"/>
      <c r="O255" s="151"/>
      <c r="P255" s="152"/>
    </row>
    <row r="256">
      <c r="B256" s="140" t="s">
        <v>163</v>
      </c>
      <c r="C256" s="58"/>
      <c r="D256" s="58"/>
      <c r="E256" s="65"/>
      <c r="F256" s="65">
        <f>J248 + IF(M239 = "CD%", M240)</f>
        <v>13.24</v>
      </c>
      <c r="G256" s="70"/>
      <c r="H256" s="65">
        <f t="shared" si="61"/>
        <v>13.24</v>
      </c>
      <c r="I256" s="65"/>
      <c r="J256" s="148">
        <f t="shared" si="60"/>
        <v>13.24</v>
      </c>
    </row>
    <row r="257">
      <c r="B257" s="140" t="s">
        <v>120</v>
      </c>
      <c r="C257" s="58"/>
      <c r="D257" s="58"/>
      <c r="E257" s="65"/>
      <c r="F257" s="58">
        <f>G248</f>
        <v>39.36</v>
      </c>
      <c r="G257" s="70"/>
      <c r="H257" s="65">
        <f>ROUND((C257) * (1 + J258%) + D257 + E257 + F257 + G257, 0)</f>
        <v>39</v>
      </c>
      <c r="I257" s="65"/>
      <c r="J257" s="148">
        <f t="shared" si="60"/>
        <v>39</v>
      </c>
      <c r="L257" s="45" t="s">
        <v>187</v>
      </c>
      <c r="M257" s="153"/>
    </row>
    <row r="258">
      <c r="B258" s="140" t="s">
        <v>161</v>
      </c>
      <c r="C258" s="58"/>
      <c r="D258" s="58"/>
      <c r="E258" s="65"/>
      <c r="F258" s="58">
        <f>H248 + (IF(K239 = "DEF%", K240)) + (IF(L239 = "DEF%", L240)) + (IF(M239 = "DEF%", M240))</f>
        <v>12.4</v>
      </c>
      <c r="G258" s="70"/>
      <c r="H258" s="65">
        <f t="shared" ref="H258:H259" si="62">sum(C258:G258)</f>
        <v>12.4</v>
      </c>
      <c r="I258" s="65"/>
      <c r="J258" s="148">
        <f>H258 + I258</f>
        <v>12.4</v>
      </c>
      <c r="L258" s="45" t="s">
        <v>108</v>
      </c>
      <c r="M258" s="168"/>
    </row>
    <row r="259">
      <c r="B259" s="140" t="s">
        <v>164</v>
      </c>
      <c r="C259" s="58"/>
      <c r="D259" s="58"/>
      <c r="E259" s="65"/>
      <c r="F259" s="58">
        <f>K248 + IF(K239 = "ER%", K240)</f>
        <v>11.02</v>
      </c>
      <c r="G259" s="70"/>
      <c r="H259" s="65">
        <f t="shared" si="62"/>
        <v>11.02</v>
      </c>
      <c r="I259" s="65"/>
      <c r="J259" s="148">
        <f t="shared" ref="J259:J261" si="63">H259+I259</f>
        <v>11.02</v>
      </c>
    </row>
    <row r="260">
      <c r="B260" s="140" t="s">
        <v>165</v>
      </c>
      <c r="C260" s="58"/>
      <c r="D260" s="58"/>
      <c r="E260" s="65"/>
      <c r="F260" s="58">
        <f>L248 +  (IF(K239 = "EM", K240)) + (IF(L239 = "EM", L240)) + (IF(M239 = "EM", M240))</f>
        <v>39.64</v>
      </c>
      <c r="G260" s="70"/>
      <c r="H260" s="65">
        <f>ROUND(sum(C260:G260),0)</f>
        <v>40</v>
      </c>
      <c r="I260" s="65"/>
      <c r="J260" s="148">
        <f t="shared" si="63"/>
        <v>40</v>
      </c>
      <c r="L260" s="154" t="s">
        <v>188</v>
      </c>
      <c r="M260" s="17"/>
    </row>
    <row r="261">
      <c r="B261" s="140" t="s">
        <v>153</v>
      </c>
      <c r="C261" s="58"/>
      <c r="D261" s="58"/>
      <c r="E261" s="65"/>
      <c r="F261" s="58">
        <f>E248 + J240</f>
        <v>5287.88</v>
      </c>
      <c r="G261" s="70"/>
      <c r="H261" s="65">
        <f>ROUND((C261) * (1 + J262%) + SUM(D261:G261), 0)</f>
        <v>5288</v>
      </c>
      <c r="I261" s="65"/>
      <c r="J261" s="148">
        <f t="shared" si="63"/>
        <v>5288</v>
      </c>
      <c r="L261" s="28"/>
      <c r="M261" s="14"/>
    </row>
    <row r="262">
      <c r="B262" s="140" t="s">
        <v>154</v>
      </c>
      <c r="C262" s="58"/>
      <c r="D262" s="58"/>
      <c r="E262" s="65"/>
      <c r="F262" s="58">
        <f>F248 + (IF(K239 = "HP%", K240)) + (IF(L239 = "HP%", L240)) + (IF(M239 = "HP%", M240))</f>
        <v>149.72</v>
      </c>
      <c r="G262" s="70"/>
      <c r="H262" s="65">
        <f t="shared" ref="H262:H322" si="64">sum(C262:G262)</f>
        <v>149.72</v>
      </c>
      <c r="I262" s="65"/>
      <c r="J262" s="148">
        <f>H262 + I262</f>
        <v>149.72</v>
      </c>
    </row>
    <row r="263">
      <c r="B263" s="140" t="s">
        <v>189</v>
      </c>
      <c r="C263" s="58"/>
      <c r="D263" s="58"/>
      <c r="E263" s="65"/>
      <c r="F263" s="65">
        <f>IF(L239="Geo%", L240, 0)</f>
        <v>0</v>
      </c>
      <c r="G263" s="70"/>
      <c r="H263" s="65">
        <f t="shared" si="64"/>
        <v>0</v>
      </c>
      <c r="I263" s="65"/>
      <c r="J263" s="148">
        <f t="shared" ref="J263:J322" si="65">H263+I263</f>
        <v>0</v>
      </c>
    </row>
    <row r="264">
      <c r="B264" s="140" t="s">
        <v>190</v>
      </c>
      <c r="C264" s="58"/>
      <c r="D264" s="58"/>
      <c r="E264" s="65"/>
      <c r="F264" s="65">
        <f>IF(L239="Cryo%", L240, 0)</f>
        <v>0</v>
      </c>
      <c r="G264" s="70"/>
      <c r="H264" s="65">
        <f t="shared" si="64"/>
        <v>0</v>
      </c>
      <c r="I264" s="65"/>
      <c r="J264" s="148">
        <f t="shared" si="65"/>
        <v>0</v>
      </c>
    </row>
    <row r="265">
      <c r="B265" s="140" t="s">
        <v>191</v>
      </c>
      <c r="C265" s="58"/>
      <c r="D265" s="58"/>
      <c r="E265" s="65"/>
      <c r="F265" s="65">
        <f>IF(L239="Anemo%", L240, 0)</f>
        <v>0</v>
      </c>
      <c r="G265" s="70"/>
      <c r="H265" s="65">
        <f t="shared" si="64"/>
        <v>0</v>
      </c>
      <c r="I265" s="65"/>
      <c r="J265" s="148">
        <f t="shared" si="65"/>
        <v>0</v>
      </c>
    </row>
    <row r="266">
      <c r="B266" s="140" t="s">
        <v>192</v>
      </c>
      <c r="C266" s="58"/>
      <c r="D266" s="58"/>
      <c r="E266" s="65"/>
      <c r="F266" s="65">
        <f>IF(L239="Hydro%", L240, 0)</f>
        <v>0</v>
      </c>
      <c r="G266" s="70"/>
      <c r="H266" s="65">
        <f t="shared" si="64"/>
        <v>0</v>
      </c>
      <c r="I266" s="65"/>
      <c r="J266" s="148">
        <f t="shared" si="65"/>
        <v>0</v>
      </c>
    </row>
    <row r="267">
      <c r="B267" s="140" t="s">
        <v>193</v>
      </c>
      <c r="C267" s="58"/>
      <c r="D267" s="58"/>
      <c r="E267" s="65"/>
      <c r="F267" s="65">
        <f>IF(L239="Pyro%", L240, 0)</f>
        <v>0</v>
      </c>
      <c r="G267" s="70"/>
      <c r="H267" s="65">
        <f t="shared" si="64"/>
        <v>0</v>
      </c>
      <c r="I267" s="65"/>
      <c r="J267" s="148">
        <f t="shared" si="65"/>
        <v>0</v>
      </c>
    </row>
    <row r="268">
      <c r="B268" s="140" t="s">
        <v>194</v>
      </c>
      <c r="C268" s="58"/>
      <c r="D268" s="58"/>
      <c r="E268" s="65"/>
      <c r="F268" s="65">
        <f>IF(L239="Electro%", L240, 0)</f>
        <v>0</v>
      </c>
      <c r="G268" s="70"/>
      <c r="H268" s="65">
        <f t="shared" si="64"/>
        <v>0</v>
      </c>
      <c r="I268" s="65"/>
      <c r="J268" s="148">
        <f t="shared" si="65"/>
        <v>0</v>
      </c>
    </row>
    <row r="269">
      <c r="B269" s="140" t="s">
        <v>195</v>
      </c>
      <c r="C269" s="58"/>
      <c r="D269" s="58"/>
      <c r="E269" s="65"/>
      <c r="F269" s="65">
        <f>IF(L239="Dendro%", L240, 0)</f>
        <v>0</v>
      </c>
      <c r="G269" s="70"/>
      <c r="H269" s="65">
        <f t="shared" si="64"/>
        <v>0</v>
      </c>
      <c r="I269" s="65"/>
      <c r="J269" s="148">
        <f t="shared" si="65"/>
        <v>0</v>
      </c>
    </row>
    <row r="270">
      <c r="B270" s="140" t="s">
        <v>196</v>
      </c>
      <c r="C270" s="58"/>
      <c r="D270" s="58"/>
      <c r="E270" s="65"/>
      <c r="F270" s="65">
        <f>IF(L239="Phys%", L240, 0)</f>
        <v>0</v>
      </c>
      <c r="G270" s="70"/>
      <c r="H270" s="65">
        <f t="shared" si="64"/>
        <v>0</v>
      </c>
      <c r="I270" s="65"/>
      <c r="J270" s="148">
        <f t="shared" si="65"/>
        <v>0</v>
      </c>
    </row>
    <row r="271">
      <c r="B271" s="140" t="s">
        <v>197</v>
      </c>
      <c r="C271" s="58"/>
      <c r="D271" s="58"/>
      <c r="E271" s="65"/>
      <c r="F271" s="65">
        <f>IF(M239="HB%", M240, 0)</f>
        <v>0</v>
      </c>
      <c r="G271" s="70"/>
      <c r="H271" s="65">
        <f t="shared" si="64"/>
        <v>0</v>
      </c>
      <c r="I271" s="65"/>
      <c r="J271" s="148">
        <f t="shared" si="65"/>
        <v>0</v>
      </c>
    </row>
    <row r="272">
      <c r="B272" s="140" t="s">
        <v>198</v>
      </c>
      <c r="C272" s="58"/>
      <c r="D272" s="58"/>
      <c r="E272" s="65"/>
      <c r="F272" s="58">
        <v>0.0</v>
      </c>
      <c r="G272" s="70"/>
      <c r="H272" s="65">
        <f t="shared" si="64"/>
        <v>0</v>
      </c>
      <c r="I272" s="65"/>
      <c r="J272" s="148">
        <f t="shared" si="65"/>
        <v>0</v>
      </c>
    </row>
    <row r="273">
      <c r="B273" s="140" t="s">
        <v>199</v>
      </c>
      <c r="C273" s="58"/>
      <c r="D273" s="58"/>
      <c r="E273" s="65"/>
      <c r="F273" s="65">
        <v>0.0</v>
      </c>
      <c r="G273" s="70"/>
      <c r="H273" s="65">
        <f t="shared" si="64"/>
        <v>0</v>
      </c>
      <c r="I273" s="65"/>
      <c r="J273" s="148">
        <f t="shared" si="65"/>
        <v>0</v>
      </c>
    </row>
    <row r="274">
      <c r="B274" s="140" t="s">
        <v>200</v>
      </c>
      <c r="C274" s="58"/>
      <c r="D274" s="58"/>
      <c r="E274" s="65"/>
      <c r="F274" s="65">
        <v>0.0</v>
      </c>
      <c r="G274" s="70"/>
      <c r="H274" s="65">
        <f t="shared" si="64"/>
        <v>0</v>
      </c>
      <c r="I274" s="65"/>
      <c r="J274" s="148">
        <f t="shared" si="65"/>
        <v>0</v>
      </c>
    </row>
    <row r="275">
      <c r="B275" s="140" t="s">
        <v>201</v>
      </c>
      <c r="C275" s="58"/>
      <c r="D275" s="58"/>
      <c r="E275" s="65"/>
      <c r="F275" s="65">
        <v>0.0</v>
      </c>
      <c r="G275" s="70"/>
      <c r="H275" s="65">
        <f t="shared" si="64"/>
        <v>0</v>
      </c>
      <c r="I275" s="65"/>
      <c r="J275" s="148">
        <f t="shared" si="65"/>
        <v>0</v>
      </c>
    </row>
    <row r="276">
      <c r="B276" s="140" t="s">
        <v>202</v>
      </c>
      <c r="C276" s="58"/>
      <c r="D276" s="58"/>
      <c r="E276" s="65"/>
      <c r="F276" s="65">
        <v>0.0</v>
      </c>
      <c r="G276" s="70"/>
      <c r="H276" s="65">
        <f t="shared" si="64"/>
        <v>0</v>
      </c>
      <c r="I276" s="65"/>
      <c r="J276" s="148">
        <f t="shared" si="65"/>
        <v>0</v>
      </c>
    </row>
    <row r="277">
      <c r="B277" s="140" t="s">
        <v>203</v>
      </c>
      <c r="C277" s="58"/>
      <c r="D277" s="58"/>
      <c r="E277" s="65"/>
      <c r="F277" s="65">
        <v>0.0</v>
      </c>
      <c r="G277" s="70"/>
      <c r="H277" s="65">
        <f t="shared" si="64"/>
        <v>0</v>
      </c>
      <c r="I277" s="65"/>
      <c r="J277" s="148">
        <f t="shared" si="65"/>
        <v>0</v>
      </c>
    </row>
    <row r="278">
      <c r="B278" s="140" t="s">
        <v>204</v>
      </c>
      <c r="C278" s="58"/>
      <c r="D278" s="58"/>
      <c r="E278" s="65"/>
      <c r="F278" s="65">
        <v>0.0</v>
      </c>
      <c r="G278" s="70"/>
      <c r="H278" s="65">
        <f t="shared" si="64"/>
        <v>0</v>
      </c>
      <c r="I278" s="65"/>
      <c r="J278" s="148">
        <f t="shared" si="65"/>
        <v>0</v>
      </c>
    </row>
    <row r="279">
      <c r="B279" s="140" t="s">
        <v>205</v>
      </c>
      <c r="C279" s="58"/>
      <c r="D279" s="58"/>
      <c r="E279" s="65"/>
      <c r="F279" s="65">
        <v>0.0</v>
      </c>
      <c r="G279" s="70"/>
      <c r="H279" s="65">
        <f t="shared" si="64"/>
        <v>0</v>
      </c>
      <c r="I279" s="65"/>
      <c r="J279" s="148">
        <f t="shared" si="65"/>
        <v>0</v>
      </c>
    </row>
    <row r="280">
      <c r="B280" s="140" t="s">
        <v>206</v>
      </c>
      <c r="C280" s="58"/>
      <c r="D280" s="58"/>
      <c r="E280" s="65"/>
      <c r="F280" s="65">
        <v>0.0</v>
      </c>
      <c r="G280" s="70"/>
      <c r="H280" s="65">
        <f t="shared" si="64"/>
        <v>0</v>
      </c>
      <c r="I280" s="65"/>
      <c r="J280" s="148">
        <f t="shared" si="65"/>
        <v>0</v>
      </c>
    </row>
    <row r="281">
      <c r="B281" s="140" t="s">
        <v>207</v>
      </c>
      <c r="C281" s="58"/>
      <c r="D281" s="58"/>
      <c r="E281" s="65"/>
      <c r="F281" s="65">
        <v>0.0</v>
      </c>
      <c r="G281" s="70"/>
      <c r="H281" s="65">
        <f t="shared" si="64"/>
        <v>0</v>
      </c>
      <c r="I281" s="65"/>
      <c r="J281" s="148">
        <f t="shared" si="65"/>
        <v>0</v>
      </c>
    </row>
    <row r="282">
      <c r="B282" s="140" t="s">
        <v>208</v>
      </c>
      <c r="C282" s="58"/>
      <c r="D282" s="58"/>
      <c r="E282" s="65"/>
      <c r="F282" s="65">
        <v>0.0</v>
      </c>
      <c r="G282" s="70"/>
      <c r="H282" s="65">
        <f t="shared" si="64"/>
        <v>0</v>
      </c>
      <c r="I282" s="65"/>
      <c r="J282" s="148">
        <f t="shared" si="65"/>
        <v>0</v>
      </c>
    </row>
    <row r="283">
      <c r="B283" s="140" t="s">
        <v>209</v>
      </c>
      <c r="C283" s="58"/>
      <c r="D283" s="58"/>
      <c r="E283" s="65"/>
      <c r="F283" s="65">
        <v>0.0</v>
      </c>
      <c r="G283" s="70"/>
      <c r="H283" s="65">
        <f t="shared" si="64"/>
        <v>0</v>
      </c>
      <c r="I283" s="65"/>
      <c r="J283" s="148">
        <f t="shared" si="65"/>
        <v>0</v>
      </c>
    </row>
    <row r="284">
      <c r="B284" s="140" t="s">
        <v>210</v>
      </c>
      <c r="C284" s="58"/>
      <c r="D284" s="58"/>
      <c r="E284" s="65"/>
      <c r="F284" s="65">
        <v>0.0</v>
      </c>
      <c r="G284" s="70"/>
      <c r="H284" s="65">
        <f t="shared" si="64"/>
        <v>0</v>
      </c>
      <c r="I284" s="65"/>
      <c r="J284" s="148">
        <f t="shared" si="65"/>
        <v>0</v>
      </c>
    </row>
    <row r="285">
      <c r="B285" s="140" t="s">
        <v>211</v>
      </c>
      <c r="C285" s="58"/>
      <c r="D285" s="58"/>
      <c r="E285" s="65"/>
      <c r="F285" s="65">
        <v>0.0</v>
      </c>
      <c r="G285" s="70"/>
      <c r="H285" s="65">
        <f t="shared" si="64"/>
        <v>0</v>
      </c>
      <c r="I285" s="65"/>
      <c r="J285" s="148">
        <f t="shared" si="65"/>
        <v>0</v>
      </c>
    </row>
    <row r="286">
      <c r="B286" s="140" t="s">
        <v>212</v>
      </c>
      <c r="C286" s="58"/>
      <c r="D286" s="58"/>
      <c r="E286" s="65"/>
      <c r="F286" s="58">
        <v>0.0</v>
      </c>
      <c r="G286" s="70"/>
      <c r="H286" s="65">
        <f t="shared" si="64"/>
        <v>0</v>
      </c>
      <c r="I286" s="65"/>
      <c r="J286" s="148">
        <f t="shared" si="65"/>
        <v>0</v>
      </c>
    </row>
    <row r="287">
      <c r="B287" s="140" t="s">
        <v>213</v>
      </c>
      <c r="C287" s="58"/>
      <c r="D287" s="58"/>
      <c r="E287" s="65"/>
      <c r="F287" s="65">
        <v>0.0</v>
      </c>
      <c r="G287" s="70"/>
      <c r="H287" s="65">
        <f t="shared" si="64"/>
        <v>0</v>
      </c>
      <c r="I287" s="65"/>
      <c r="J287" s="148">
        <f t="shared" si="65"/>
        <v>0</v>
      </c>
    </row>
    <row r="288">
      <c r="B288" s="140" t="s">
        <v>214</v>
      </c>
      <c r="C288" s="58"/>
      <c r="D288" s="58"/>
      <c r="E288" s="65"/>
      <c r="F288" s="65">
        <v>0.0</v>
      </c>
      <c r="G288" s="70"/>
      <c r="H288" s="65">
        <f t="shared" si="64"/>
        <v>0</v>
      </c>
      <c r="I288" s="65"/>
      <c r="J288" s="148">
        <f t="shared" si="65"/>
        <v>0</v>
      </c>
    </row>
    <row r="289">
      <c r="B289" s="140" t="s">
        <v>215</v>
      </c>
      <c r="C289" s="58"/>
      <c r="D289" s="58"/>
      <c r="E289" s="65"/>
      <c r="F289" s="65">
        <v>0.0</v>
      </c>
      <c r="G289" s="70"/>
      <c r="H289" s="65">
        <f t="shared" si="64"/>
        <v>0</v>
      </c>
      <c r="I289" s="65"/>
      <c r="J289" s="148">
        <f t="shared" si="65"/>
        <v>0</v>
      </c>
    </row>
    <row r="290">
      <c r="B290" s="140" t="s">
        <v>216</v>
      </c>
      <c r="C290" s="58"/>
      <c r="D290" s="58"/>
      <c r="E290" s="65"/>
      <c r="F290" s="65">
        <v>0.0</v>
      </c>
      <c r="G290" s="70"/>
      <c r="H290" s="65">
        <f t="shared" si="64"/>
        <v>0</v>
      </c>
      <c r="I290" s="65"/>
      <c r="J290" s="148">
        <f t="shared" si="65"/>
        <v>0</v>
      </c>
    </row>
    <row r="291">
      <c r="B291" s="140" t="s">
        <v>217</v>
      </c>
      <c r="C291" s="58"/>
      <c r="D291" s="58"/>
      <c r="E291" s="65"/>
      <c r="F291" s="65">
        <v>0.0</v>
      </c>
      <c r="G291" s="70"/>
      <c r="H291" s="65">
        <f t="shared" si="64"/>
        <v>0</v>
      </c>
      <c r="I291" s="65"/>
      <c r="J291" s="148">
        <f t="shared" si="65"/>
        <v>0</v>
      </c>
    </row>
    <row r="292">
      <c r="B292" s="140" t="s">
        <v>218</v>
      </c>
      <c r="C292" s="58"/>
      <c r="D292" s="58"/>
      <c r="E292" s="65"/>
      <c r="F292" s="65">
        <v>0.0</v>
      </c>
      <c r="G292" s="70"/>
      <c r="H292" s="65">
        <f t="shared" si="64"/>
        <v>0</v>
      </c>
      <c r="I292" s="65"/>
      <c r="J292" s="148">
        <f t="shared" si="65"/>
        <v>0</v>
      </c>
    </row>
    <row r="293">
      <c r="B293" s="140" t="s">
        <v>219</v>
      </c>
      <c r="C293" s="58"/>
      <c r="D293" s="58"/>
      <c r="E293" s="65"/>
      <c r="F293" s="65">
        <v>0.0</v>
      </c>
      <c r="G293" s="70"/>
      <c r="H293" s="65">
        <f t="shared" si="64"/>
        <v>0</v>
      </c>
      <c r="I293" s="65"/>
      <c r="J293" s="148">
        <f t="shared" si="65"/>
        <v>0</v>
      </c>
    </row>
    <row r="294">
      <c r="B294" s="140" t="s">
        <v>220</v>
      </c>
      <c r="C294" s="58"/>
      <c r="D294" s="58"/>
      <c r="E294" s="65"/>
      <c r="F294" s="65">
        <v>0.0</v>
      </c>
      <c r="G294" s="70"/>
      <c r="H294" s="65">
        <f t="shared" si="64"/>
        <v>0</v>
      </c>
      <c r="I294" s="65"/>
      <c r="J294" s="148">
        <f t="shared" si="65"/>
        <v>0</v>
      </c>
    </row>
    <row r="295">
      <c r="B295" s="140" t="s">
        <v>221</v>
      </c>
      <c r="C295" s="58"/>
      <c r="D295" s="58"/>
      <c r="E295" s="65"/>
      <c r="F295" s="65">
        <v>0.0</v>
      </c>
      <c r="G295" s="70"/>
      <c r="H295" s="65">
        <f t="shared" si="64"/>
        <v>0</v>
      </c>
      <c r="I295" s="65"/>
      <c r="J295" s="148">
        <f t="shared" si="65"/>
        <v>0</v>
      </c>
    </row>
    <row r="296">
      <c r="B296" s="140" t="s">
        <v>222</v>
      </c>
      <c r="C296" s="58"/>
      <c r="D296" s="58"/>
      <c r="E296" s="65"/>
      <c r="F296" s="65">
        <v>0.0</v>
      </c>
      <c r="G296" s="70"/>
      <c r="H296" s="65">
        <f t="shared" si="64"/>
        <v>0</v>
      </c>
      <c r="I296" s="65"/>
      <c r="J296" s="148">
        <f t="shared" si="65"/>
        <v>0</v>
      </c>
    </row>
    <row r="297">
      <c r="B297" s="140" t="s">
        <v>223</v>
      </c>
      <c r="C297" s="58"/>
      <c r="D297" s="58"/>
      <c r="E297" s="65"/>
      <c r="F297" s="65">
        <v>0.0</v>
      </c>
      <c r="G297" s="70"/>
      <c r="H297" s="65">
        <f t="shared" si="64"/>
        <v>0</v>
      </c>
      <c r="I297" s="65"/>
      <c r="J297" s="148">
        <f t="shared" si="65"/>
        <v>0</v>
      </c>
    </row>
    <row r="298">
      <c r="B298" s="140" t="s">
        <v>224</v>
      </c>
      <c r="C298" s="58"/>
      <c r="D298" s="58"/>
      <c r="E298" s="65"/>
      <c r="F298" s="65">
        <v>0.0</v>
      </c>
      <c r="G298" s="70"/>
      <c r="H298" s="65">
        <f t="shared" si="64"/>
        <v>0</v>
      </c>
      <c r="I298" s="65"/>
      <c r="J298" s="148">
        <f t="shared" si="65"/>
        <v>0</v>
      </c>
    </row>
    <row r="299">
      <c r="B299" s="140" t="s">
        <v>225</v>
      </c>
      <c r="C299" s="58"/>
      <c r="D299" s="58"/>
      <c r="E299" s="65"/>
      <c r="F299" s="65">
        <v>0.0</v>
      </c>
      <c r="G299" s="71"/>
      <c r="H299" s="65">
        <f t="shared" si="64"/>
        <v>0</v>
      </c>
      <c r="I299" s="65"/>
      <c r="J299" s="148">
        <f t="shared" si="65"/>
        <v>0</v>
      </c>
    </row>
    <row r="300">
      <c r="B300" s="140" t="s">
        <v>226</v>
      </c>
      <c r="C300" s="58"/>
      <c r="D300" s="58"/>
      <c r="E300" s="65"/>
      <c r="F300" s="65">
        <v>0.0</v>
      </c>
      <c r="G300" s="70"/>
      <c r="H300" s="65">
        <f t="shared" si="64"/>
        <v>0</v>
      </c>
      <c r="I300" s="65"/>
      <c r="J300" s="148">
        <f t="shared" si="65"/>
        <v>0</v>
      </c>
    </row>
    <row r="301">
      <c r="B301" s="140" t="s">
        <v>227</v>
      </c>
      <c r="C301" s="58"/>
      <c r="D301" s="58"/>
      <c r="E301" s="65"/>
      <c r="F301" s="65">
        <v>0.0</v>
      </c>
      <c r="G301" s="70"/>
      <c r="H301" s="65">
        <f t="shared" si="64"/>
        <v>0</v>
      </c>
      <c r="I301" s="65"/>
      <c r="J301" s="148">
        <f t="shared" si="65"/>
        <v>0</v>
      </c>
    </row>
    <row r="302">
      <c r="B302" s="140" t="s">
        <v>228</v>
      </c>
      <c r="C302" s="58"/>
      <c r="D302" s="58"/>
      <c r="E302" s="65"/>
      <c r="F302" s="65">
        <v>0.0</v>
      </c>
      <c r="G302" s="70"/>
      <c r="H302" s="65">
        <f t="shared" si="64"/>
        <v>0</v>
      </c>
      <c r="I302" s="65"/>
      <c r="J302" s="148">
        <f t="shared" si="65"/>
        <v>0</v>
      </c>
    </row>
    <row r="303">
      <c r="B303" s="140" t="s">
        <v>229</v>
      </c>
      <c r="C303" s="58"/>
      <c r="D303" s="58"/>
      <c r="E303" s="65"/>
      <c r="F303" s="65">
        <v>0.0</v>
      </c>
      <c r="G303" s="70"/>
      <c r="H303" s="65">
        <f t="shared" si="64"/>
        <v>0</v>
      </c>
      <c r="I303" s="65"/>
      <c r="J303" s="148">
        <f t="shared" si="65"/>
        <v>0</v>
      </c>
    </row>
    <row r="304">
      <c r="B304" s="140" t="s">
        <v>230</v>
      </c>
      <c r="C304" s="58"/>
      <c r="D304" s="58"/>
      <c r="E304" s="65"/>
      <c r="F304" s="65">
        <v>0.0</v>
      </c>
      <c r="G304" s="70"/>
      <c r="H304" s="65">
        <f t="shared" si="64"/>
        <v>0</v>
      </c>
      <c r="I304" s="65"/>
      <c r="J304" s="148">
        <f t="shared" si="65"/>
        <v>0</v>
      </c>
    </row>
    <row r="305">
      <c r="B305" s="140" t="s">
        <v>231</v>
      </c>
      <c r="C305" s="58"/>
      <c r="D305" s="58"/>
      <c r="E305" s="65"/>
      <c r="F305" s="65">
        <v>0.0</v>
      </c>
      <c r="G305" s="70"/>
      <c r="H305" s="65">
        <f t="shared" si="64"/>
        <v>0</v>
      </c>
      <c r="I305" s="65"/>
      <c r="J305" s="148">
        <f t="shared" si="65"/>
        <v>0</v>
      </c>
    </row>
    <row r="306">
      <c r="B306" s="140" t="s">
        <v>232</v>
      </c>
      <c r="C306" s="58"/>
      <c r="D306" s="58"/>
      <c r="E306" s="65"/>
      <c r="F306" s="65">
        <v>0.0</v>
      </c>
      <c r="G306" s="70"/>
      <c r="H306" s="65">
        <f t="shared" si="64"/>
        <v>0</v>
      </c>
      <c r="I306" s="65"/>
      <c r="J306" s="148">
        <f t="shared" si="65"/>
        <v>0</v>
      </c>
    </row>
    <row r="307">
      <c r="B307" s="140" t="s">
        <v>233</v>
      </c>
      <c r="C307" s="58"/>
      <c r="D307" s="58"/>
      <c r="E307" s="65"/>
      <c r="F307" s="65">
        <v>0.0</v>
      </c>
      <c r="G307" s="70"/>
      <c r="H307" s="65">
        <f t="shared" si="64"/>
        <v>0</v>
      </c>
      <c r="I307" s="65"/>
      <c r="J307" s="148">
        <f t="shared" si="65"/>
        <v>0</v>
      </c>
    </row>
    <row r="308">
      <c r="B308" s="140" t="s">
        <v>234</v>
      </c>
      <c r="C308" s="58"/>
      <c r="D308" s="58"/>
      <c r="E308" s="65"/>
      <c r="F308" s="65">
        <v>0.0</v>
      </c>
      <c r="G308" s="71"/>
      <c r="H308" s="65">
        <f t="shared" si="64"/>
        <v>0</v>
      </c>
      <c r="I308" s="65"/>
      <c r="J308" s="148">
        <f t="shared" si="65"/>
        <v>0</v>
      </c>
    </row>
    <row r="309">
      <c r="B309" s="140" t="s">
        <v>235</v>
      </c>
      <c r="C309" s="58"/>
      <c r="D309" s="58"/>
      <c r="E309" s="65"/>
      <c r="F309" s="65">
        <v>0.0</v>
      </c>
      <c r="G309" s="70"/>
      <c r="H309" s="65">
        <f t="shared" si="64"/>
        <v>0</v>
      </c>
      <c r="I309" s="65"/>
      <c r="J309" s="148">
        <f t="shared" si="65"/>
        <v>0</v>
      </c>
    </row>
    <row r="310">
      <c r="B310" s="140" t="s">
        <v>236</v>
      </c>
      <c r="C310" s="58"/>
      <c r="D310" s="58"/>
      <c r="E310" s="65"/>
      <c r="F310" s="65">
        <v>0.0</v>
      </c>
      <c r="G310" s="70"/>
      <c r="H310" s="65">
        <f t="shared" si="64"/>
        <v>0</v>
      </c>
      <c r="I310" s="65"/>
      <c r="J310" s="148">
        <f t="shared" si="65"/>
        <v>0</v>
      </c>
    </row>
    <row r="311">
      <c r="B311" s="140" t="s">
        <v>237</v>
      </c>
      <c r="C311" s="58"/>
      <c r="D311" s="58"/>
      <c r="E311" s="65"/>
      <c r="F311" s="65">
        <v>0.0</v>
      </c>
      <c r="G311" s="70"/>
      <c r="H311" s="65">
        <f t="shared" si="64"/>
        <v>0</v>
      </c>
      <c r="I311" s="65"/>
      <c r="J311" s="148">
        <f t="shared" si="65"/>
        <v>0</v>
      </c>
    </row>
    <row r="312">
      <c r="B312" s="140" t="s">
        <v>238</v>
      </c>
      <c r="C312" s="58"/>
      <c r="D312" s="58"/>
      <c r="E312" s="65"/>
      <c r="F312" s="65">
        <v>0.0</v>
      </c>
      <c r="G312" s="70"/>
      <c r="H312" s="65">
        <f t="shared" si="64"/>
        <v>0</v>
      </c>
      <c r="I312" s="65"/>
      <c r="J312" s="148">
        <f t="shared" si="65"/>
        <v>0</v>
      </c>
    </row>
    <row r="313">
      <c r="B313" s="140" t="s">
        <v>239</v>
      </c>
      <c r="C313" s="58"/>
      <c r="D313" s="58"/>
      <c r="E313" s="65"/>
      <c r="F313" s="65">
        <v>0.0</v>
      </c>
      <c r="G313" s="70"/>
      <c r="H313" s="65">
        <f t="shared" si="64"/>
        <v>0</v>
      </c>
      <c r="I313" s="65"/>
      <c r="J313" s="148">
        <f t="shared" si="65"/>
        <v>0</v>
      </c>
    </row>
    <row r="314">
      <c r="B314" s="140" t="s">
        <v>240</v>
      </c>
      <c r="C314" s="58"/>
      <c r="D314" s="58"/>
      <c r="E314" s="65"/>
      <c r="F314" s="65">
        <f>0</f>
        <v>0</v>
      </c>
      <c r="G314" s="70"/>
      <c r="H314" s="65">
        <f t="shared" si="64"/>
        <v>0</v>
      </c>
      <c r="I314" s="65"/>
      <c r="J314" s="148">
        <f t="shared" si="65"/>
        <v>0</v>
      </c>
    </row>
    <row r="315">
      <c r="B315" s="140" t="s">
        <v>241</v>
      </c>
      <c r="C315" s="58"/>
      <c r="D315" s="58"/>
      <c r="E315" s="65"/>
      <c r="F315" s="58">
        <v>0.0</v>
      </c>
      <c r="G315" s="70"/>
      <c r="H315" s="65">
        <f t="shared" si="64"/>
        <v>0</v>
      </c>
      <c r="I315" s="65"/>
      <c r="J315" s="148">
        <f t="shared" si="65"/>
        <v>0</v>
      </c>
    </row>
    <row r="316">
      <c r="B316" s="140" t="s">
        <v>242</v>
      </c>
      <c r="C316" s="58"/>
      <c r="D316" s="58"/>
      <c r="E316" s="65"/>
      <c r="F316" s="58">
        <v>0.0</v>
      </c>
      <c r="G316" s="70"/>
      <c r="H316" s="65">
        <f t="shared" si="64"/>
        <v>0</v>
      </c>
      <c r="I316" s="65"/>
      <c r="J316" s="148">
        <f t="shared" si="65"/>
        <v>0</v>
      </c>
    </row>
    <row r="317">
      <c r="B317" s="140" t="s">
        <v>243</v>
      </c>
      <c r="C317" s="58"/>
      <c r="D317" s="58"/>
      <c r="E317" s="65"/>
      <c r="F317" s="65">
        <v>0.0</v>
      </c>
      <c r="G317" s="70"/>
      <c r="H317" s="65">
        <f t="shared" si="64"/>
        <v>0</v>
      </c>
      <c r="I317" s="65"/>
      <c r="J317" s="148">
        <f t="shared" si="65"/>
        <v>0</v>
      </c>
    </row>
    <row r="318">
      <c r="B318" s="140" t="s">
        <v>244</v>
      </c>
      <c r="C318" s="58"/>
      <c r="D318" s="58"/>
      <c r="E318" s="65"/>
      <c r="F318" s="65">
        <v>0.0</v>
      </c>
      <c r="G318" s="70"/>
      <c r="H318" s="65">
        <f t="shared" si="64"/>
        <v>0</v>
      </c>
      <c r="I318" s="65"/>
      <c r="J318" s="148">
        <f t="shared" si="65"/>
        <v>0</v>
      </c>
    </row>
    <row r="319">
      <c r="B319" s="140" t="s">
        <v>245</v>
      </c>
      <c r="C319" s="58"/>
      <c r="D319" s="58"/>
      <c r="E319" s="65"/>
      <c r="F319" s="58">
        <v>0.0</v>
      </c>
      <c r="G319" s="70"/>
      <c r="H319" s="65">
        <f t="shared" si="64"/>
        <v>0</v>
      </c>
      <c r="I319" s="65"/>
      <c r="J319" s="148">
        <f t="shared" si="65"/>
        <v>0</v>
      </c>
    </row>
    <row r="320">
      <c r="B320" s="140" t="s">
        <v>246</v>
      </c>
      <c r="C320" s="58"/>
      <c r="D320" s="58"/>
      <c r="E320" s="65"/>
      <c r="F320" s="58">
        <v>0.0</v>
      </c>
      <c r="G320" s="68"/>
      <c r="H320" s="65">
        <f t="shared" si="64"/>
        <v>0</v>
      </c>
      <c r="I320" s="155"/>
      <c r="J320" s="148">
        <f t="shared" si="65"/>
        <v>0</v>
      </c>
    </row>
    <row r="321">
      <c r="B321" s="140" t="s">
        <v>247</v>
      </c>
      <c r="C321" s="58"/>
      <c r="D321" s="58"/>
      <c r="E321" s="65"/>
      <c r="F321" s="58">
        <v>0.0</v>
      </c>
      <c r="G321" s="68"/>
      <c r="H321" s="65">
        <f t="shared" si="64"/>
        <v>0</v>
      </c>
      <c r="I321" s="155"/>
      <c r="J321" s="148">
        <f t="shared" si="65"/>
        <v>0</v>
      </c>
    </row>
    <row r="322">
      <c r="B322" s="140" t="s">
        <v>248</v>
      </c>
      <c r="C322" s="72"/>
      <c r="D322" s="72"/>
      <c r="E322" s="151"/>
      <c r="F322" s="72">
        <v>0.0</v>
      </c>
      <c r="G322" s="76"/>
      <c r="H322" s="151">
        <f t="shared" si="64"/>
        <v>0</v>
      </c>
      <c r="I322" s="156"/>
      <c r="J322" s="148">
        <f t="shared" si="65"/>
        <v>0</v>
      </c>
    </row>
    <row r="323">
      <c r="B323" s="59"/>
    </row>
    <row r="324">
      <c r="B324" s="140" t="s">
        <v>249</v>
      </c>
      <c r="C324" s="70"/>
      <c r="D324" s="59"/>
      <c r="E324" s="59"/>
      <c r="F324" s="59"/>
      <c r="G324" s="59"/>
      <c r="H324" s="59"/>
      <c r="I324" s="59"/>
      <c r="J324" s="59"/>
      <c r="K324" s="59"/>
      <c r="L324" s="59"/>
      <c r="M324" s="59"/>
      <c r="N324" s="59"/>
      <c r="O324" s="59"/>
      <c r="P324" s="59"/>
    </row>
    <row r="325">
      <c r="B325" s="140" t="s">
        <v>250</v>
      </c>
      <c r="C325" s="71"/>
    </row>
    <row r="326">
      <c r="B326" s="140" t="s">
        <v>251</v>
      </c>
      <c r="C326" s="157"/>
    </row>
    <row r="327">
      <c r="B327" s="140" t="s">
        <v>252</v>
      </c>
      <c r="C327" s="71"/>
    </row>
    <row r="328">
      <c r="B328" s="140" t="s">
        <v>253</v>
      </c>
      <c r="C328" s="70"/>
    </row>
    <row r="329">
      <c r="B329" s="140" t="s">
        <v>254</v>
      </c>
      <c r="C329" s="70"/>
    </row>
    <row r="330">
      <c r="B330" s="140" t="s">
        <v>255</v>
      </c>
      <c r="C330" s="70"/>
    </row>
    <row r="331">
      <c r="B331" s="140" t="s">
        <v>256</v>
      </c>
      <c r="C331" s="158"/>
    </row>
    <row r="332">
      <c r="B332" s="140" t="s">
        <v>257</v>
      </c>
      <c r="C332" s="158"/>
    </row>
    <row r="333">
      <c r="B333" s="140" t="s">
        <v>258</v>
      </c>
      <c r="C333" s="70"/>
    </row>
    <row r="334">
      <c r="B334" s="140" t="s">
        <v>259</v>
      </c>
      <c r="C334" s="70"/>
    </row>
    <row r="335">
      <c r="B335" s="140" t="s">
        <v>260</v>
      </c>
      <c r="C335" s="70"/>
    </row>
    <row r="336">
      <c r="B336" s="140" t="s">
        <v>261</v>
      </c>
      <c r="C336" s="70"/>
    </row>
    <row r="337">
      <c r="B337" s="140" t="s">
        <v>262</v>
      </c>
      <c r="C337" s="71"/>
    </row>
    <row r="338">
      <c r="B338" s="140" t="s">
        <v>263</v>
      </c>
      <c r="C338" s="71"/>
    </row>
    <row r="339">
      <c r="B339" s="140" t="s">
        <v>264</v>
      </c>
      <c r="C339" s="70"/>
      <c r="D339" s="59"/>
      <c r="E339" s="59"/>
      <c r="F339" s="59"/>
      <c r="G339" s="59"/>
      <c r="H339" s="59"/>
      <c r="I339" s="59"/>
      <c r="J339" s="59"/>
      <c r="K339" s="59"/>
      <c r="L339" s="59"/>
      <c r="M339" s="59"/>
      <c r="N339" s="59"/>
      <c r="O339" s="59"/>
      <c r="P339" s="59"/>
    </row>
    <row r="340">
      <c r="B340" s="140" t="s">
        <v>265</v>
      </c>
      <c r="C340" s="70"/>
      <c r="D340" s="59"/>
      <c r="E340" s="59"/>
      <c r="F340" s="59"/>
      <c r="G340" s="59"/>
      <c r="H340" s="59"/>
      <c r="I340" s="59"/>
      <c r="J340" s="59"/>
      <c r="K340" s="59"/>
      <c r="L340" s="59"/>
      <c r="M340" s="59"/>
      <c r="N340" s="59"/>
      <c r="O340" s="59"/>
      <c r="P340" s="59"/>
    </row>
    <row r="341">
      <c r="B341" s="140" t="s">
        <v>266</v>
      </c>
      <c r="C341" s="70"/>
      <c r="D341" s="59"/>
      <c r="E341" s="59"/>
      <c r="F341" s="59"/>
      <c r="G341" s="59"/>
      <c r="H341" s="59"/>
      <c r="I341" s="59"/>
      <c r="J341" s="59"/>
      <c r="K341" s="59"/>
      <c r="L341" s="59"/>
      <c r="M341" s="59"/>
      <c r="N341" s="59"/>
      <c r="O341" s="59"/>
      <c r="P341" s="59"/>
    </row>
    <row r="342">
      <c r="B342" s="140" t="s">
        <v>267</v>
      </c>
      <c r="C342" s="70"/>
      <c r="D342" s="59"/>
      <c r="E342" s="59"/>
      <c r="F342" s="59"/>
      <c r="G342" s="59"/>
      <c r="H342" s="59"/>
      <c r="I342" s="59"/>
      <c r="J342" s="59"/>
      <c r="K342" s="59"/>
      <c r="L342" s="59"/>
      <c r="M342" s="59"/>
      <c r="N342" s="59"/>
      <c r="O342" s="59"/>
      <c r="P342" s="59"/>
    </row>
    <row r="343">
      <c r="B343" s="140" t="s">
        <v>268</v>
      </c>
      <c r="C343" s="70"/>
      <c r="D343" s="59"/>
      <c r="E343" s="59"/>
      <c r="F343" s="59"/>
      <c r="G343" s="59"/>
      <c r="H343" s="59"/>
      <c r="I343" s="59"/>
      <c r="J343" s="59"/>
      <c r="K343" s="59"/>
      <c r="L343" s="59"/>
      <c r="M343" s="59"/>
      <c r="N343" s="59"/>
      <c r="O343" s="59"/>
      <c r="P343" s="59"/>
    </row>
    <row r="344">
      <c r="B344" s="140" t="s">
        <v>269</v>
      </c>
      <c r="C344" s="70"/>
      <c r="D344" s="59"/>
      <c r="E344" s="59"/>
      <c r="F344" s="59"/>
      <c r="G344" s="59"/>
      <c r="H344" s="59"/>
      <c r="I344" s="59"/>
      <c r="J344" s="59"/>
      <c r="K344" s="59"/>
      <c r="L344" s="59"/>
      <c r="M344" s="59"/>
      <c r="N344" s="59"/>
      <c r="O344" s="59"/>
      <c r="P344" s="59"/>
    </row>
    <row r="345">
      <c r="B345" s="140" t="s">
        <v>270</v>
      </c>
      <c r="C345" s="70"/>
      <c r="D345" s="59"/>
      <c r="E345" s="59"/>
      <c r="F345" s="59"/>
      <c r="G345" s="59"/>
      <c r="H345" s="59"/>
      <c r="I345" s="59"/>
      <c r="J345" s="59"/>
      <c r="K345" s="59"/>
      <c r="L345" s="59"/>
      <c r="M345" s="59"/>
      <c r="N345" s="59"/>
      <c r="O345" s="59"/>
      <c r="P345" s="59"/>
    </row>
    <row r="346">
      <c r="B346" s="140" t="s">
        <v>271</v>
      </c>
      <c r="C346" s="70"/>
      <c r="D346" s="59"/>
      <c r="E346" s="59"/>
      <c r="F346" s="59"/>
      <c r="G346" s="59"/>
      <c r="H346" s="59"/>
      <c r="I346" s="59"/>
      <c r="J346" s="59"/>
      <c r="K346" s="59"/>
      <c r="L346" s="59"/>
      <c r="M346" s="59"/>
      <c r="N346" s="59"/>
      <c r="O346" s="59"/>
      <c r="P346" s="59"/>
    </row>
    <row r="347">
      <c r="B347" s="140" t="s">
        <v>272</v>
      </c>
      <c r="C347" s="70"/>
      <c r="D347" s="59"/>
      <c r="E347" s="59"/>
      <c r="F347" s="59"/>
      <c r="G347" s="59"/>
      <c r="H347" s="59"/>
      <c r="I347" s="59"/>
      <c r="J347" s="59"/>
      <c r="K347" s="59"/>
      <c r="L347" s="59"/>
      <c r="M347" s="59"/>
      <c r="N347" s="59"/>
      <c r="O347" s="59"/>
      <c r="P347" s="59"/>
    </row>
    <row r="348">
      <c r="B348" s="140" t="s">
        <v>273</v>
      </c>
      <c r="C348" s="70"/>
      <c r="D348" s="59"/>
      <c r="E348" s="59"/>
      <c r="F348" s="59"/>
      <c r="G348" s="59"/>
      <c r="H348" s="59"/>
      <c r="I348" s="59"/>
      <c r="J348" s="59"/>
      <c r="K348" s="59"/>
      <c r="L348" s="59"/>
      <c r="M348" s="59"/>
      <c r="N348" s="59"/>
      <c r="O348" s="59"/>
      <c r="P348" s="59"/>
    </row>
    <row r="349">
      <c r="B349" s="140" t="s">
        <v>274</v>
      </c>
      <c r="C349" s="70"/>
      <c r="D349" s="59"/>
      <c r="E349" s="59"/>
      <c r="F349" s="59"/>
      <c r="G349" s="59"/>
      <c r="H349" s="59"/>
      <c r="I349" s="59"/>
      <c r="J349" s="59"/>
      <c r="K349" s="59"/>
      <c r="L349" s="59"/>
      <c r="M349" s="59"/>
      <c r="N349" s="59"/>
      <c r="O349" s="59"/>
      <c r="P349" s="59"/>
    </row>
    <row r="350">
      <c r="B350" s="140" t="s">
        <v>275</v>
      </c>
      <c r="C350" s="71"/>
      <c r="D350" s="46"/>
      <c r="E350" s="46"/>
      <c r="F350" s="46"/>
      <c r="G350" s="46"/>
      <c r="H350" s="46"/>
      <c r="I350" s="46"/>
      <c r="J350" s="46"/>
      <c r="K350" s="46"/>
      <c r="L350" s="46"/>
      <c r="M350" s="46"/>
      <c r="N350" s="46"/>
      <c r="O350" s="46"/>
      <c r="P350" s="46"/>
    </row>
    <row r="351">
      <c r="B351" s="140" t="s">
        <v>276</v>
      </c>
      <c r="C351" s="71"/>
      <c r="D351" s="46"/>
      <c r="E351" s="46"/>
      <c r="F351" s="46"/>
      <c r="G351" s="46"/>
      <c r="H351" s="46"/>
      <c r="I351" s="46"/>
      <c r="J351" s="46"/>
      <c r="K351" s="46"/>
      <c r="L351" s="46"/>
      <c r="M351" s="46"/>
      <c r="N351" s="46"/>
      <c r="O351" s="46"/>
      <c r="P351" s="46"/>
    </row>
    <row r="352">
      <c r="B352" s="140" t="s">
        <v>277</v>
      </c>
      <c r="C352" s="70"/>
      <c r="D352" s="59"/>
      <c r="E352" s="59"/>
      <c r="F352" s="59"/>
      <c r="G352" s="59"/>
      <c r="H352" s="59"/>
      <c r="I352" s="59"/>
      <c r="J352" s="59"/>
      <c r="K352" s="59"/>
      <c r="L352" s="59"/>
      <c r="M352" s="59"/>
      <c r="N352" s="59"/>
      <c r="O352" s="59"/>
      <c r="P352" s="59"/>
    </row>
    <row r="353">
      <c r="B353" s="140" t="s">
        <v>278</v>
      </c>
      <c r="C353" s="65" t="str">
        <f t="shared" ref="C353:P353" si="66">IF(ISBLANK(C324),  ,  $C$11*(1 + ($D$11 - C350%)) * (1 - (C338% + C351%)))</f>
        <v/>
      </c>
      <c r="D353" s="59" t="str">
        <f t="shared" si="66"/>
        <v/>
      </c>
      <c r="E353" s="59" t="str">
        <f t="shared" si="66"/>
        <v/>
      </c>
      <c r="F353" s="59" t="str">
        <f t="shared" si="66"/>
        <v/>
      </c>
      <c r="G353" s="59" t="str">
        <f t="shared" si="66"/>
        <v/>
      </c>
      <c r="H353" s="59" t="str">
        <f t="shared" si="66"/>
        <v/>
      </c>
      <c r="I353" s="59" t="str">
        <f t="shared" si="66"/>
        <v/>
      </c>
      <c r="J353" s="59" t="str">
        <f t="shared" si="66"/>
        <v/>
      </c>
      <c r="K353" s="59" t="str">
        <f t="shared" si="66"/>
        <v/>
      </c>
      <c r="L353" s="59" t="str">
        <f t="shared" si="66"/>
        <v/>
      </c>
      <c r="M353" s="59" t="str">
        <f t="shared" si="66"/>
        <v/>
      </c>
      <c r="N353" s="59" t="str">
        <f t="shared" si="66"/>
        <v/>
      </c>
      <c r="O353" s="59" t="str">
        <f t="shared" si="66"/>
        <v/>
      </c>
      <c r="P353" s="59" t="str">
        <f t="shared" si="66"/>
        <v/>
      </c>
    </row>
    <row r="354">
      <c r="B354" s="140" t="s">
        <v>279</v>
      </c>
      <c r="C354" s="65" t="str">
        <f t="shared" ref="C354:P354" si="67">IF(ISBLANK(C324),  ,  (1 - (C353 / (C353 + (5 * 90) + 500))))</f>
        <v/>
      </c>
      <c r="D354" s="59" t="str">
        <f t="shared" si="67"/>
        <v/>
      </c>
      <c r="E354" s="59" t="str">
        <f t="shared" si="67"/>
        <v/>
      </c>
      <c r="F354" s="59" t="str">
        <f t="shared" si="67"/>
        <v/>
      </c>
      <c r="G354" s="59" t="str">
        <f t="shared" si="67"/>
        <v/>
      </c>
      <c r="H354" s="59" t="str">
        <f t="shared" si="67"/>
        <v/>
      </c>
      <c r="I354" s="59" t="str">
        <f t="shared" si="67"/>
        <v/>
      </c>
      <c r="J354" s="59" t="str">
        <f t="shared" si="67"/>
        <v/>
      </c>
      <c r="K354" s="59" t="str">
        <f t="shared" si="67"/>
        <v/>
      </c>
      <c r="L354" s="59" t="str">
        <f t="shared" si="67"/>
        <v/>
      </c>
      <c r="M354" s="59" t="str">
        <f t="shared" si="67"/>
        <v/>
      </c>
      <c r="N354" s="59" t="str">
        <f t="shared" si="67"/>
        <v/>
      </c>
      <c r="O354" s="59" t="str">
        <f t="shared" si="67"/>
        <v/>
      </c>
      <c r="P354" s="59" t="str">
        <f t="shared" si="67"/>
        <v/>
      </c>
    </row>
    <row r="355">
      <c r="B355" s="140" t="s">
        <v>280</v>
      </c>
      <c r="C355" s="65" t="str">
        <f t="shared" ref="C355:P355" si="68">IF(ISBLANK(C324),  ,  IF(C327="Geo", (IF(($E$12 + C349) &lt; 0, (1 - (($E$12 + C349) / 200)), IF(($E$12 + C349) &gt; 75, (100 / (100 + (4 * ($E$12 + C349)))), (100 - ($E$12 + C349)) / 100))), IF(C327="Anemo", (IF(($E$13 + C349) &lt; 0, (1 - (($E$13 + C349) / 200)), IF(($E$13 + C349) &gt; 75, (100 / (100 + (4 * ($E$13 + C349)))), (100 - ($E$13 + C349)) / 100))), IF(C327="Cryo", (IF(($E$14 + C349) &lt; 0, (1 - (($E$14 + C349) / 200)), IF(($E$14 + C349) &gt; 75, (100 / (100 + (4 * ($E$14 + C349)))), (100 - ($E$14 + C349)) / 100))), IF(C327="Hydro", (IF(($E$15 + C349) &lt; 0, (1 - (($E$15 + C349) / 200)), IF(($E$15 + C349) &gt; 75, (100 / (100 + (4 * ($E$15 + C349)))), (100 - ($E$15 + C349)) / 100))), IF(C327="Pyro", (IF(($E$16 + C349) &lt; 0, (1 - (($E$16 + C349) / 200)), IF(($E$16 + C349) &gt; 75, (100 / (100 + (4 * ($E$16 + C349)))), (100 - ($E$16 + C349)) / 100))), IF(C327="Electro", (IF(($E$17 + C349) &lt; 0, (1 - (($E$17 + C349) / 200)), IF(($E$17 + C349) &gt; 75, (100 / (100 + (4 * ($E$17 + C349)))), (100 - ($E$17 + C349)) / 100))), IF(C327="Dendro", (IF(($E$18 + C349) &lt; 0, (1 - (($E$18 + C349) / 200)), IF(($E$18 + C349) &gt; 75, (100 / (100 + (4 * ($E$18 + C349)))), (100 - ($E$18 + C349)) / 100))), IF(C327="Physical", (IF(($E$19 + C349) &lt; 0, (1 - (($E$19 + C349) / 200)), IF(($E$19 + C349) &gt; 75, (100 / (100 + (4 * ($E$19 + C349)))), (100 - ($E$19 + C349)) / 100))), 0)))))))))</f>
        <v/>
      </c>
      <c r="D355" s="59" t="str">
        <f t="shared" si="68"/>
        <v/>
      </c>
      <c r="E355" s="59" t="str">
        <f t="shared" si="68"/>
        <v/>
      </c>
      <c r="F355" s="59" t="str">
        <f t="shared" si="68"/>
        <v/>
      </c>
      <c r="G355" s="59" t="str">
        <f t="shared" si="68"/>
        <v/>
      </c>
      <c r="H355" s="59" t="str">
        <f t="shared" si="68"/>
        <v/>
      </c>
      <c r="I355" s="59" t="str">
        <f t="shared" si="68"/>
        <v/>
      </c>
      <c r="J355" s="59" t="str">
        <f t="shared" si="68"/>
        <v/>
      </c>
      <c r="K355" s="59" t="str">
        <f t="shared" si="68"/>
        <v/>
      </c>
      <c r="L355" s="59" t="str">
        <f t="shared" si="68"/>
        <v/>
      </c>
      <c r="M355" s="59" t="str">
        <f t="shared" si="68"/>
        <v/>
      </c>
      <c r="N355" s="59" t="str">
        <f t="shared" si="68"/>
        <v/>
      </c>
      <c r="O355" s="59" t="str">
        <f t="shared" si="68"/>
        <v/>
      </c>
      <c r="P355" s="59" t="str">
        <f t="shared" si="68"/>
        <v/>
      </c>
    </row>
    <row r="356">
      <c r="B356" s="140" t="s">
        <v>281</v>
      </c>
      <c r="C356" s="65" t="str">
        <f t="shared" ref="C356:AI356" si="69">IF(ISBLANK(C324),  ,  MAX(0, MIN(1, $J255% + IF(C325="skill", $J294%, IF(C325="burst", $J296%, IF(C325="normal", $J288%, IF(C325="charged", $J290%, IF(C325="plunging", $J292%, 0))))) + IF($E$10="Cryo", $J299%, IF($E$10="Hydro", $J301%, IF($E$10="Electro", $J303%, 
 IF($E$10="Dendro", $J305%, IF($E$10="Pyro", $J307%, IF($E$10="Frozen", $J308%  + $J299%, 0)))))) + C347% + IF(AND(C325="normal", OR($E$10 = "Cryo", $E$10="Frozen")), $J320%, 0))))</f>
        <v/>
      </c>
      <c r="D356" s="59" t="str">
        <f t="shared" si="69"/>
        <v/>
      </c>
      <c r="E356" s="59" t="str">
        <f t="shared" si="69"/>
        <v/>
      </c>
      <c r="F356" s="59" t="str">
        <f t="shared" si="69"/>
        <v/>
      </c>
      <c r="G356" s="59" t="str">
        <f t="shared" si="69"/>
        <v/>
      </c>
      <c r="H356" s="59" t="str">
        <f t="shared" si="69"/>
        <v/>
      </c>
      <c r="I356" s="59" t="str">
        <f t="shared" si="69"/>
        <v/>
      </c>
      <c r="J356" s="59" t="str">
        <f t="shared" si="69"/>
        <v/>
      </c>
      <c r="K356" s="59" t="str">
        <f t="shared" si="69"/>
        <v/>
      </c>
      <c r="L356" s="59" t="str">
        <f t="shared" si="69"/>
        <v/>
      </c>
      <c r="M356" s="59" t="str">
        <f t="shared" si="69"/>
        <v/>
      </c>
      <c r="N356" s="59" t="str">
        <f t="shared" si="69"/>
        <v/>
      </c>
      <c r="O356" s="59" t="str">
        <f t="shared" si="69"/>
        <v/>
      </c>
      <c r="P356" s="59" t="str">
        <f t="shared" si="69"/>
        <v/>
      </c>
      <c r="Q356" s="59" t="str">
        <f t="shared" si="69"/>
        <v/>
      </c>
      <c r="R356" s="59" t="str">
        <f t="shared" si="69"/>
        <v/>
      </c>
      <c r="S356" s="59" t="str">
        <f t="shared" si="69"/>
        <v/>
      </c>
      <c r="T356" s="59" t="str">
        <f t="shared" si="69"/>
        <v/>
      </c>
      <c r="U356" s="59" t="str">
        <f t="shared" si="69"/>
        <v/>
      </c>
      <c r="V356" s="59" t="str">
        <f t="shared" si="69"/>
        <v/>
      </c>
      <c r="W356" s="59" t="str">
        <f t="shared" si="69"/>
        <v/>
      </c>
      <c r="X356" s="59" t="str">
        <f t="shared" si="69"/>
        <v/>
      </c>
      <c r="Y356" s="59" t="str">
        <f t="shared" si="69"/>
        <v/>
      </c>
      <c r="Z356" s="59" t="str">
        <f t="shared" si="69"/>
        <v/>
      </c>
      <c r="AA356" s="59" t="str">
        <f t="shared" si="69"/>
        <v/>
      </c>
      <c r="AB356" s="59" t="str">
        <f t="shared" si="69"/>
        <v/>
      </c>
      <c r="AC356" s="59" t="str">
        <f t="shared" si="69"/>
        <v/>
      </c>
      <c r="AD356" s="59" t="str">
        <f t="shared" si="69"/>
        <v/>
      </c>
      <c r="AE356" s="59" t="str">
        <f t="shared" si="69"/>
        <v/>
      </c>
      <c r="AF356" s="59" t="str">
        <f t="shared" si="69"/>
        <v/>
      </c>
      <c r="AG356" s="59" t="str">
        <f t="shared" si="69"/>
        <v/>
      </c>
      <c r="AH356" s="59" t="str">
        <f t="shared" si="69"/>
        <v/>
      </c>
      <c r="AI356" s="59" t="str">
        <f t="shared" si="69"/>
        <v/>
      </c>
    </row>
    <row r="357">
      <c r="B357" s="140" t="s">
        <v>282</v>
      </c>
      <c r="C357" s="65" t="str">
        <f t="shared" ref="C357:AI357" si="70">IF(ISBLANK(C324),  ,  1 + $J256% + IF(C325="skill", $J295%, IF(C325="burst", $J297%, IF(C325="normal", $J289%, IF(C325="charged", $J291%, IF(C325="plunging", $J293%, 0))))) + IF(C327="Geo", $J280%, IF(C327="Anemo", $J282%, IF(C327="Hydro", $J283%, IF(C327="Pyro", $J284%, IF(C327="Electro", $J286%, IF(C327="Dendro", $J285%, IF(C327="Physical", $J287%, IF(C327="Cryo", $J281%, 0)))))))) + C348%)</f>
        <v/>
      </c>
      <c r="D357" s="59" t="str">
        <f t="shared" si="70"/>
        <v/>
      </c>
      <c r="E357" s="59" t="str">
        <f t="shared" si="70"/>
        <v/>
      </c>
      <c r="F357" s="59" t="str">
        <f t="shared" si="70"/>
        <v/>
      </c>
      <c r="G357" s="59" t="str">
        <f t="shared" si="70"/>
        <v/>
      </c>
      <c r="H357" s="59" t="str">
        <f t="shared" si="70"/>
        <v/>
      </c>
      <c r="I357" s="59" t="str">
        <f t="shared" si="70"/>
        <v/>
      </c>
      <c r="J357" s="59" t="str">
        <f t="shared" si="70"/>
        <v/>
      </c>
      <c r="K357" s="59" t="str">
        <f t="shared" si="70"/>
        <v/>
      </c>
      <c r="L357" s="59" t="str">
        <f t="shared" si="70"/>
        <v/>
      </c>
      <c r="M357" s="59" t="str">
        <f t="shared" si="70"/>
        <v/>
      </c>
      <c r="N357" s="59" t="str">
        <f t="shared" si="70"/>
        <v/>
      </c>
      <c r="O357" s="59" t="str">
        <f t="shared" si="70"/>
        <v/>
      </c>
      <c r="P357" s="59" t="str">
        <f t="shared" si="70"/>
        <v/>
      </c>
      <c r="Q357" s="59" t="str">
        <f t="shared" si="70"/>
        <v/>
      </c>
      <c r="R357" s="59" t="str">
        <f t="shared" si="70"/>
        <v/>
      </c>
      <c r="S357" s="59" t="str">
        <f t="shared" si="70"/>
        <v/>
      </c>
      <c r="T357" s="59" t="str">
        <f t="shared" si="70"/>
        <v/>
      </c>
      <c r="U357" s="59" t="str">
        <f t="shared" si="70"/>
        <v/>
      </c>
      <c r="V357" s="59" t="str">
        <f t="shared" si="70"/>
        <v/>
      </c>
      <c r="W357" s="59" t="str">
        <f t="shared" si="70"/>
        <v/>
      </c>
      <c r="X357" s="59" t="str">
        <f t="shared" si="70"/>
        <v/>
      </c>
      <c r="Y357" s="59" t="str">
        <f t="shared" si="70"/>
        <v/>
      </c>
      <c r="Z357" s="59" t="str">
        <f t="shared" si="70"/>
        <v/>
      </c>
      <c r="AA357" s="59" t="str">
        <f t="shared" si="70"/>
        <v/>
      </c>
      <c r="AB357" s="59" t="str">
        <f t="shared" si="70"/>
        <v/>
      </c>
      <c r="AC357" s="59" t="str">
        <f t="shared" si="70"/>
        <v/>
      </c>
      <c r="AD357" s="59" t="str">
        <f t="shared" si="70"/>
        <v/>
      </c>
      <c r="AE357" s="59" t="str">
        <f t="shared" si="70"/>
        <v/>
      </c>
      <c r="AF357" s="59" t="str">
        <f t="shared" si="70"/>
        <v/>
      </c>
      <c r="AG357" s="59" t="str">
        <f t="shared" si="70"/>
        <v/>
      </c>
      <c r="AH357" s="59" t="str">
        <f t="shared" si="70"/>
        <v/>
      </c>
      <c r="AI357" s="59" t="str">
        <f t="shared" si="70"/>
        <v/>
      </c>
    </row>
    <row r="358">
      <c r="B358" s="140" t="s">
        <v>283</v>
      </c>
      <c r="C358" s="65" t="str">
        <f t="shared" ref="C358:AI358" si="71">IF(ISBLANK(C324),  ,  1 + $J273% + IF(C327="Physical", 0, $J279%) + IF(C325="skill", $J274%, IF(C325="burst", $J275%, IF(C325="normal", $J276%, IF(C325="charged", $J277%, IF(C325="plunging", $J278%, 0))))) + IF(C327="Geo", $J263%, IF(C327="Anemo", $J265%, IF(C327="Hydro", $J266%, IF(C327="Pyro", $J267%, IF(C327="Electro", $J268%, IF(C327="Dendro", $J269%, IF(C327="Physical", $J270%, IF(C327="Cryo", $J264%, 0)))))))) + IF(OR($E$10 ="Cryo", $E$10 = "Frozen"), $J298%, 0) + IF(OR($E$10="Hydro", $E$10="Electro-Charged", $E$10="Frozen"), $J300%, 0) +  IF(OR($E$10="Electro", $E$10="Electro-Charged", $E$10="Quicken"), $J302%, 0) + IF(OR($E$10="Dendro", $E$10="Quicken", $E$10="Burning"), $J304%, 0) + IF(OR($E$10="Pyro", $E$10="Burning"), $J306%, 0) + C346% + IF(AND(OR($E$10 = "Cryo", $E$10 = "Frozen"), OR(C325="normal", C325="charged")), $J321%, 0))</f>
        <v/>
      </c>
      <c r="D358" s="59" t="str">
        <f t="shared" si="71"/>
        <v/>
      </c>
      <c r="E358" s="59" t="str">
        <f t="shared" si="71"/>
        <v/>
      </c>
      <c r="F358" s="59" t="str">
        <f t="shared" si="71"/>
        <v/>
      </c>
      <c r="G358" s="59" t="str">
        <f t="shared" si="71"/>
        <v/>
      </c>
      <c r="H358" s="59" t="str">
        <f t="shared" si="71"/>
        <v/>
      </c>
      <c r="I358" s="59" t="str">
        <f t="shared" si="71"/>
        <v/>
      </c>
      <c r="J358" s="59" t="str">
        <f t="shared" si="71"/>
        <v/>
      </c>
      <c r="K358" s="59" t="str">
        <f t="shared" si="71"/>
        <v/>
      </c>
      <c r="L358" s="59" t="str">
        <f t="shared" si="71"/>
        <v/>
      </c>
      <c r="M358" s="59" t="str">
        <f t="shared" si="71"/>
        <v/>
      </c>
      <c r="N358" s="59" t="str">
        <f t="shared" si="71"/>
        <v/>
      </c>
      <c r="O358" s="59" t="str">
        <f t="shared" si="71"/>
        <v/>
      </c>
      <c r="P358" s="59" t="str">
        <f t="shared" si="71"/>
        <v/>
      </c>
      <c r="Q358" s="59" t="str">
        <f t="shared" si="71"/>
        <v/>
      </c>
      <c r="R358" s="59" t="str">
        <f t="shared" si="71"/>
        <v/>
      </c>
      <c r="S358" s="59" t="str">
        <f t="shared" si="71"/>
        <v/>
      </c>
      <c r="T358" s="59" t="str">
        <f t="shared" si="71"/>
        <v/>
      </c>
      <c r="U358" s="59" t="str">
        <f t="shared" si="71"/>
        <v/>
      </c>
      <c r="V358" s="59" t="str">
        <f t="shared" si="71"/>
        <v/>
      </c>
      <c r="W358" s="59" t="str">
        <f t="shared" si="71"/>
        <v/>
      </c>
      <c r="X358" s="59" t="str">
        <f t="shared" si="71"/>
        <v/>
      </c>
      <c r="Y358" s="59" t="str">
        <f t="shared" si="71"/>
        <v/>
      </c>
      <c r="Z358" s="59" t="str">
        <f t="shared" si="71"/>
        <v/>
      </c>
      <c r="AA358" s="59" t="str">
        <f t="shared" si="71"/>
        <v/>
      </c>
      <c r="AB358" s="59" t="str">
        <f t="shared" si="71"/>
        <v/>
      </c>
      <c r="AC358" s="59" t="str">
        <f t="shared" si="71"/>
        <v/>
      </c>
      <c r="AD358" s="59" t="str">
        <f t="shared" si="71"/>
        <v/>
      </c>
      <c r="AE358" s="59" t="str">
        <f t="shared" si="71"/>
        <v/>
      </c>
      <c r="AF358" s="59" t="str">
        <f t="shared" si="71"/>
        <v/>
      </c>
      <c r="AG358" s="59" t="str">
        <f t="shared" si="71"/>
        <v/>
      </c>
      <c r="AH358" s="59" t="str">
        <f t="shared" si="71"/>
        <v/>
      </c>
      <c r="AI358" s="59" t="str">
        <f t="shared" si="71"/>
        <v/>
      </c>
    </row>
    <row r="359">
      <c r="B359" s="140" t="s">
        <v>284</v>
      </c>
      <c r="C359" s="159" t="str">
        <f t="shared" ref="C359:AI359" si="72">IF(ISBLANK(C324),  ,  ((C328% * (($C253 + $D253) * (1 + $J254% + C340%) + C339 + SUM($E253:$G253) + $I253) + C329% * (($C257 * (1 + $J258% + C342%)) + C341 + SUM($D257:$G257) + $I257) + C330% * ($C261 * (1 + $J262% + C344%) + C343 + SUM($D261:$G261) + $I261) + C331% * ($J260 + C345)) * C337 + (C332% * (($C253 + $D253) * (1 + $J254% + C340%) + C339 + SUM($E253:$G253) + $I253) + C333% * (($C257 * (1 + $J258% + C342%)) + C341 + SUM($D257:$G257) + $I257) + C334% * ($C261 * (1 + $J262% + C344%) + C343 + SUM($D261:$G261) + $I261) + C335% * ($J260 + C345)) + C336) * C354 * C355 * C358)</f>
        <v/>
      </c>
      <c r="D359" s="59" t="str">
        <f t="shared" si="72"/>
        <v/>
      </c>
      <c r="E359" s="59" t="str">
        <f t="shared" si="72"/>
        <v/>
      </c>
      <c r="F359" s="59" t="str">
        <f t="shared" si="72"/>
        <v/>
      </c>
      <c r="G359" s="59" t="str">
        <f t="shared" si="72"/>
        <v/>
      </c>
      <c r="H359" s="59" t="str">
        <f t="shared" si="72"/>
        <v/>
      </c>
      <c r="I359" s="59" t="str">
        <f t="shared" si="72"/>
        <v/>
      </c>
      <c r="J359" s="59" t="str">
        <f t="shared" si="72"/>
        <v/>
      </c>
      <c r="K359" s="59" t="str">
        <f t="shared" si="72"/>
        <v/>
      </c>
      <c r="L359" s="59" t="str">
        <f t="shared" si="72"/>
        <v/>
      </c>
      <c r="M359" s="59" t="str">
        <f t="shared" si="72"/>
        <v/>
      </c>
      <c r="N359" s="59" t="str">
        <f t="shared" si="72"/>
        <v/>
      </c>
      <c r="O359" s="59" t="str">
        <f t="shared" si="72"/>
        <v/>
      </c>
      <c r="P359" s="59" t="str">
        <f t="shared" si="72"/>
        <v/>
      </c>
      <c r="Q359" s="59" t="str">
        <f t="shared" si="72"/>
        <v/>
      </c>
      <c r="R359" s="59" t="str">
        <f t="shared" si="72"/>
        <v/>
      </c>
      <c r="S359" s="59" t="str">
        <f t="shared" si="72"/>
        <v/>
      </c>
      <c r="T359" s="59" t="str">
        <f t="shared" si="72"/>
        <v/>
      </c>
      <c r="U359" s="59" t="str">
        <f t="shared" si="72"/>
        <v/>
      </c>
      <c r="V359" s="59" t="str">
        <f t="shared" si="72"/>
        <v/>
      </c>
      <c r="W359" s="59" t="str">
        <f t="shared" si="72"/>
        <v/>
      </c>
      <c r="X359" s="59" t="str">
        <f t="shared" si="72"/>
        <v/>
      </c>
      <c r="Y359" s="59" t="str">
        <f t="shared" si="72"/>
        <v/>
      </c>
      <c r="Z359" s="59" t="str">
        <f t="shared" si="72"/>
        <v/>
      </c>
      <c r="AA359" s="59" t="str">
        <f t="shared" si="72"/>
        <v/>
      </c>
      <c r="AB359" s="59" t="str">
        <f t="shared" si="72"/>
        <v/>
      </c>
      <c r="AC359" s="59" t="str">
        <f t="shared" si="72"/>
        <v/>
      </c>
      <c r="AD359" s="59" t="str">
        <f t="shared" si="72"/>
        <v/>
      </c>
      <c r="AE359" s="59" t="str">
        <f t="shared" si="72"/>
        <v/>
      </c>
      <c r="AF359" s="59" t="str">
        <f t="shared" si="72"/>
        <v/>
      </c>
      <c r="AG359" s="59" t="str">
        <f t="shared" si="72"/>
        <v/>
      </c>
      <c r="AH359" s="59" t="str">
        <f t="shared" si="72"/>
        <v/>
      </c>
      <c r="AI359" s="59" t="str">
        <f t="shared" si="72"/>
        <v/>
      </c>
    </row>
    <row r="360">
      <c r="B360" s="140" t="s">
        <v>285</v>
      </c>
      <c r="C360" s="159" t="str">
        <f t="shared" ref="C360:AI360" si="73">IF(ISBLANK(C324)
,  ,  (C359 * (1 - C356)) + C361 * C356)</f>
        <v/>
      </c>
      <c r="D360" s="59" t="str">
        <f t="shared" si="73"/>
        <v/>
      </c>
      <c r="E360" s="59" t="str">
        <f t="shared" si="73"/>
        <v/>
      </c>
      <c r="F360" s="59" t="str">
        <f t="shared" si="73"/>
        <v/>
      </c>
      <c r="G360" s="59" t="str">
        <f t="shared" si="73"/>
        <v/>
      </c>
      <c r="H360" s="59" t="str">
        <f t="shared" si="73"/>
        <v/>
      </c>
      <c r="I360" s="59" t="str">
        <f t="shared" si="73"/>
        <v/>
      </c>
      <c r="J360" s="59" t="str">
        <f t="shared" si="73"/>
        <v/>
      </c>
      <c r="K360" s="59" t="str">
        <f t="shared" si="73"/>
        <v/>
      </c>
      <c r="L360" s="59" t="str">
        <f t="shared" si="73"/>
        <v/>
      </c>
      <c r="M360" s="59" t="str">
        <f t="shared" si="73"/>
        <v/>
      </c>
      <c r="N360" s="59" t="str">
        <f t="shared" si="73"/>
        <v/>
      </c>
      <c r="O360" s="59" t="str">
        <f t="shared" si="73"/>
        <v/>
      </c>
      <c r="P360" s="59" t="str">
        <f t="shared" si="73"/>
        <v/>
      </c>
      <c r="Q360" s="59" t="str">
        <f t="shared" si="73"/>
        <v/>
      </c>
      <c r="R360" s="59" t="str">
        <f t="shared" si="73"/>
        <v/>
      </c>
      <c r="S360" s="59" t="str">
        <f t="shared" si="73"/>
        <v/>
      </c>
      <c r="T360" s="59" t="str">
        <f t="shared" si="73"/>
        <v/>
      </c>
      <c r="U360" s="59" t="str">
        <f t="shared" si="73"/>
        <v/>
      </c>
      <c r="V360" s="59" t="str">
        <f t="shared" si="73"/>
        <v/>
      </c>
      <c r="W360" s="59" t="str">
        <f t="shared" si="73"/>
        <v/>
      </c>
      <c r="X360" s="59" t="str">
        <f t="shared" si="73"/>
        <v/>
      </c>
      <c r="Y360" s="59" t="str">
        <f t="shared" si="73"/>
        <v/>
      </c>
      <c r="Z360" s="59" t="str">
        <f t="shared" si="73"/>
        <v/>
      </c>
      <c r="AA360" s="59" t="str">
        <f t="shared" si="73"/>
        <v/>
      </c>
      <c r="AB360" s="59" t="str">
        <f t="shared" si="73"/>
        <v/>
      </c>
      <c r="AC360" s="59" t="str">
        <f t="shared" si="73"/>
        <v/>
      </c>
      <c r="AD360" s="59" t="str">
        <f t="shared" si="73"/>
        <v/>
      </c>
      <c r="AE360" s="59" t="str">
        <f t="shared" si="73"/>
        <v/>
      </c>
      <c r="AF360" s="59" t="str">
        <f t="shared" si="73"/>
        <v/>
      </c>
      <c r="AG360" s="59" t="str">
        <f t="shared" si="73"/>
        <v/>
      </c>
      <c r="AH360" s="59" t="str">
        <f t="shared" si="73"/>
        <v/>
      </c>
      <c r="AI360" s="59" t="str">
        <f t="shared" si="73"/>
        <v/>
      </c>
    </row>
    <row r="361">
      <c r="B361" s="140" t="s">
        <v>286</v>
      </c>
      <c r="C361" s="159" t="str">
        <f t="shared" ref="C361:AI361" si="74">IF(ISBLANK(C324),  ,  C359  * C357)</f>
        <v/>
      </c>
      <c r="D361" s="59" t="str">
        <f t="shared" si="74"/>
        <v/>
      </c>
      <c r="E361" s="59" t="str">
        <f t="shared" si="74"/>
        <v/>
      </c>
      <c r="F361" s="59" t="str">
        <f t="shared" si="74"/>
        <v/>
      </c>
      <c r="G361" s="59" t="str">
        <f t="shared" si="74"/>
        <v/>
      </c>
      <c r="H361" s="59" t="str">
        <f t="shared" si="74"/>
        <v/>
      </c>
      <c r="I361" s="59" t="str">
        <f t="shared" si="74"/>
        <v/>
      </c>
      <c r="J361" s="59" t="str">
        <f t="shared" si="74"/>
        <v/>
      </c>
      <c r="K361" s="59" t="str">
        <f t="shared" si="74"/>
        <v/>
      </c>
      <c r="L361" s="59" t="str">
        <f t="shared" si="74"/>
        <v/>
      </c>
      <c r="M361" s="59" t="str">
        <f t="shared" si="74"/>
        <v/>
      </c>
      <c r="N361" s="59" t="str">
        <f t="shared" si="74"/>
        <v/>
      </c>
      <c r="O361" s="59" t="str">
        <f t="shared" si="74"/>
        <v/>
      </c>
      <c r="P361" s="59" t="str">
        <f t="shared" si="74"/>
        <v/>
      </c>
      <c r="Q361" s="59" t="str">
        <f t="shared" si="74"/>
        <v/>
      </c>
      <c r="R361" s="59" t="str">
        <f t="shared" si="74"/>
        <v/>
      </c>
      <c r="S361" s="59" t="str">
        <f t="shared" si="74"/>
        <v/>
      </c>
      <c r="T361" s="59" t="str">
        <f t="shared" si="74"/>
        <v/>
      </c>
      <c r="U361" s="59" t="str">
        <f t="shared" si="74"/>
        <v/>
      </c>
      <c r="V361" s="59" t="str">
        <f t="shared" si="74"/>
        <v/>
      </c>
      <c r="W361" s="59" t="str">
        <f t="shared" si="74"/>
        <v/>
      </c>
      <c r="X361" s="59" t="str">
        <f t="shared" si="74"/>
        <v/>
      </c>
      <c r="Y361" s="59" t="str">
        <f t="shared" si="74"/>
        <v/>
      </c>
      <c r="Z361" s="59" t="str">
        <f t="shared" si="74"/>
        <v/>
      </c>
      <c r="AA361" s="59" t="str">
        <f t="shared" si="74"/>
        <v/>
      </c>
      <c r="AB361" s="59" t="str">
        <f t="shared" si="74"/>
        <v/>
      </c>
      <c r="AC361" s="59" t="str">
        <f t="shared" si="74"/>
        <v/>
      </c>
      <c r="AD361" s="59" t="str">
        <f t="shared" si="74"/>
        <v/>
      </c>
      <c r="AE361" s="59" t="str">
        <f t="shared" si="74"/>
        <v/>
      </c>
      <c r="AF361" s="59" t="str">
        <f t="shared" si="74"/>
        <v/>
      </c>
      <c r="AG361" s="59" t="str">
        <f t="shared" si="74"/>
        <v/>
      </c>
      <c r="AH361" s="59" t="str">
        <f t="shared" si="74"/>
        <v/>
      </c>
      <c r="AI361" s="59" t="str">
        <f t="shared" si="74"/>
        <v/>
      </c>
    </row>
    <row r="362">
      <c r="B362" s="140" t="s">
        <v>287</v>
      </c>
      <c r="C362" s="58" t="str">
        <f t="shared" ref="C362:AI362" si="75">IF(ISBLANK(C324),  ,  IF(C327="Pyro", 2 * (1 +  (2.78 * ($J260 +C345 ) / (($J260 +C345 ) + 1400)) + $J318%), IF(C327="Cryo", 1.5 * (1 +  (2.78 * ($J260 +C345 ) / (($J260 +C345 ) + 1400)) + $J318%), 0)) + C352%)</f>
        <v/>
      </c>
      <c r="D362" s="59" t="str">
        <f t="shared" si="75"/>
        <v/>
      </c>
      <c r="E362" s="59" t="str">
        <f t="shared" si="75"/>
        <v/>
      </c>
      <c r="F362" s="59" t="str">
        <f t="shared" si="75"/>
        <v/>
      </c>
      <c r="G362" s="59" t="str">
        <f t="shared" si="75"/>
        <v/>
      </c>
      <c r="H362" s="59" t="str">
        <f t="shared" si="75"/>
        <v/>
      </c>
      <c r="I362" s="59" t="str">
        <f t="shared" si="75"/>
        <v/>
      </c>
      <c r="J362" s="59" t="str">
        <f t="shared" si="75"/>
        <v/>
      </c>
      <c r="K362" s="59" t="str">
        <f t="shared" si="75"/>
        <v/>
      </c>
      <c r="L362" s="59" t="str">
        <f t="shared" si="75"/>
        <v/>
      </c>
      <c r="M362" s="59" t="str">
        <f t="shared" si="75"/>
        <v/>
      </c>
      <c r="N362" s="59" t="str">
        <f t="shared" si="75"/>
        <v/>
      </c>
      <c r="O362" s="59" t="str">
        <f t="shared" si="75"/>
        <v/>
      </c>
      <c r="P362" s="59" t="str">
        <f t="shared" si="75"/>
        <v/>
      </c>
      <c r="Q362" s="59" t="str">
        <f t="shared" si="75"/>
        <v/>
      </c>
      <c r="R362" s="59" t="str">
        <f t="shared" si="75"/>
        <v/>
      </c>
      <c r="S362" s="59" t="str">
        <f t="shared" si="75"/>
        <v/>
      </c>
      <c r="T362" s="59" t="str">
        <f t="shared" si="75"/>
        <v/>
      </c>
      <c r="U362" s="59" t="str">
        <f t="shared" si="75"/>
        <v/>
      </c>
      <c r="V362" s="59" t="str">
        <f t="shared" si="75"/>
        <v/>
      </c>
      <c r="W362" s="59" t="str">
        <f t="shared" si="75"/>
        <v/>
      </c>
      <c r="X362" s="59" t="str">
        <f t="shared" si="75"/>
        <v/>
      </c>
      <c r="Y362" s="59" t="str">
        <f t="shared" si="75"/>
        <v/>
      </c>
      <c r="Z362" s="59" t="str">
        <f t="shared" si="75"/>
        <v/>
      </c>
      <c r="AA362" s="59" t="str">
        <f t="shared" si="75"/>
        <v/>
      </c>
      <c r="AB362" s="59" t="str">
        <f t="shared" si="75"/>
        <v/>
      </c>
      <c r="AC362" s="59" t="str">
        <f t="shared" si="75"/>
        <v/>
      </c>
      <c r="AD362" s="59" t="str">
        <f t="shared" si="75"/>
        <v/>
      </c>
      <c r="AE362" s="59" t="str">
        <f t="shared" si="75"/>
        <v/>
      </c>
      <c r="AF362" s="59" t="str">
        <f t="shared" si="75"/>
        <v/>
      </c>
      <c r="AG362" s="59" t="str">
        <f t="shared" si="75"/>
        <v/>
      </c>
      <c r="AH362" s="59" t="str">
        <f t="shared" si="75"/>
        <v/>
      </c>
      <c r="AI362" s="59" t="str">
        <f t="shared" si="75"/>
        <v/>
      </c>
    </row>
    <row r="363">
      <c r="B363" s="140" t="s">
        <v>288</v>
      </c>
      <c r="C363" s="159" t="str">
        <f t="shared" ref="C363:AI363" si="76">IF(ISBLANK(C324),  ,  C362  * C359)</f>
        <v/>
      </c>
      <c r="D363" s="59" t="str">
        <f t="shared" si="76"/>
        <v/>
      </c>
      <c r="E363" s="59" t="str">
        <f t="shared" si="76"/>
        <v/>
      </c>
      <c r="F363" s="59" t="str">
        <f t="shared" si="76"/>
        <v/>
      </c>
      <c r="G363" s="59" t="str">
        <f t="shared" si="76"/>
        <v/>
      </c>
      <c r="H363" s="59" t="str">
        <f t="shared" si="76"/>
        <v/>
      </c>
      <c r="I363" s="59" t="str">
        <f t="shared" si="76"/>
        <v/>
      </c>
      <c r="J363" s="59" t="str">
        <f t="shared" si="76"/>
        <v/>
      </c>
      <c r="K363" s="59" t="str">
        <f t="shared" si="76"/>
        <v/>
      </c>
      <c r="L363" s="59" t="str">
        <f t="shared" si="76"/>
        <v/>
      </c>
      <c r="M363" s="59" t="str">
        <f t="shared" si="76"/>
        <v/>
      </c>
      <c r="N363" s="59" t="str">
        <f t="shared" si="76"/>
        <v/>
      </c>
      <c r="O363" s="59" t="str">
        <f t="shared" si="76"/>
        <v/>
      </c>
      <c r="P363" s="59" t="str">
        <f t="shared" si="76"/>
        <v/>
      </c>
      <c r="Q363" s="59" t="str">
        <f t="shared" si="76"/>
        <v/>
      </c>
      <c r="R363" s="59" t="str">
        <f t="shared" si="76"/>
        <v/>
      </c>
      <c r="S363" s="59" t="str">
        <f t="shared" si="76"/>
        <v/>
      </c>
      <c r="T363" s="59" t="str">
        <f t="shared" si="76"/>
        <v/>
      </c>
      <c r="U363" s="59" t="str">
        <f t="shared" si="76"/>
        <v/>
      </c>
      <c r="V363" s="59" t="str">
        <f t="shared" si="76"/>
        <v/>
      </c>
      <c r="W363" s="59" t="str">
        <f t="shared" si="76"/>
        <v/>
      </c>
      <c r="X363" s="59" t="str">
        <f t="shared" si="76"/>
        <v/>
      </c>
      <c r="Y363" s="59" t="str">
        <f t="shared" si="76"/>
        <v/>
      </c>
      <c r="Z363" s="59" t="str">
        <f t="shared" si="76"/>
        <v/>
      </c>
      <c r="AA363" s="59" t="str">
        <f t="shared" si="76"/>
        <v/>
      </c>
      <c r="AB363" s="59" t="str">
        <f t="shared" si="76"/>
        <v/>
      </c>
      <c r="AC363" s="59" t="str">
        <f t="shared" si="76"/>
        <v/>
      </c>
      <c r="AD363" s="59" t="str">
        <f t="shared" si="76"/>
        <v/>
      </c>
      <c r="AE363" s="59" t="str">
        <f t="shared" si="76"/>
        <v/>
      </c>
      <c r="AF363" s="59" t="str">
        <f t="shared" si="76"/>
        <v/>
      </c>
      <c r="AG363" s="59" t="str">
        <f t="shared" si="76"/>
        <v/>
      </c>
      <c r="AH363" s="59" t="str">
        <f t="shared" si="76"/>
        <v/>
      </c>
      <c r="AI363" s="59" t="str">
        <f t="shared" si="76"/>
        <v/>
      </c>
    </row>
    <row r="364">
      <c r="B364" s="140" t="s">
        <v>289</v>
      </c>
      <c r="C364" s="159" t="str">
        <f t="shared" ref="C364:AI364" si="77">IF(ISBLANK(C324),  ,  C362  * C360)</f>
        <v/>
      </c>
      <c r="D364" s="59" t="str">
        <f t="shared" si="77"/>
        <v/>
      </c>
      <c r="E364" s="59" t="str">
        <f t="shared" si="77"/>
        <v/>
      </c>
      <c r="F364" s="59" t="str">
        <f t="shared" si="77"/>
        <v/>
      </c>
      <c r="G364" s="59" t="str">
        <f t="shared" si="77"/>
        <v/>
      </c>
      <c r="H364" s="59" t="str">
        <f t="shared" si="77"/>
        <v/>
      </c>
      <c r="I364" s="59" t="str">
        <f t="shared" si="77"/>
        <v/>
      </c>
      <c r="J364" s="59" t="str">
        <f t="shared" si="77"/>
        <v/>
      </c>
      <c r="K364" s="59" t="str">
        <f t="shared" si="77"/>
        <v/>
      </c>
      <c r="L364" s="59" t="str">
        <f t="shared" si="77"/>
        <v/>
      </c>
      <c r="M364" s="59" t="str">
        <f t="shared" si="77"/>
        <v/>
      </c>
      <c r="N364" s="59" t="str">
        <f t="shared" si="77"/>
        <v/>
      </c>
      <c r="O364" s="59" t="str">
        <f t="shared" si="77"/>
        <v/>
      </c>
      <c r="P364" s="59" t="str">
        <f t="shared" si="77"/>
        <v/>
      </c>
      <c r="Q364" s="59" t="str">
        <f t="shared" si="77"/>
        <v/>
      </c>
      <c r="R364" s="59" t="str">
        <f t="shared" si="77"/>
        <v/>
      </c>
      <c r="S364" s="59" t="str">
        <f t="shared" si="77"/>
        <v/>
      </c>
      <c r="T364" s="59" t="str">
        <f t="shared" si="77"/>
        <v/>
      </c>
      <c r="U364" s="59" t="str">
        <f t="shared" si="77"/>
        <v/>
      </c>
      <c r="V364" s="59" t="str">
        <f t="shared" si="77"/>
        <v/>
      </c>
      <c r="W364" s="59" t="str">
        <f t="shared" si="77"/>
        <v/>
      </c>
      <c r="X364" s="59" t="str">
        <f t="shared" si="77"/>
        <v/>
      </c>
      <c r="Y364" s="59" t="str">
        <f t="shared" si="77"/>
        <v/>
      </c>
      <c r="Z364" s="59" t="str">
        <f t="shared" si="77"/>
        <v/>
      </c>
      <c r="AA364" s="59" t="str">
        <f t="shared" si="77"/>
        <v/>
      </c>
      <c r="AB364" s="59" t="str">
        <f t="shared" si="77"/>
        <v/>
      </c>
      <c r="AC364" s="59" t="str">
        <f t="shared" si="77"/>
        <v/>
      </c>
      <c r="AD364" s="59" t="str">
        <f t="shared" si="77"/>
        <v/>
      </c>
      <c r="AE364" s="59" t="str">
        <f t="shared" si="77"/>
        <v/>
      </c>
      <c r="AF364" s="59" t="str">
        <f t="shared" si="77"/>
        <v/>
      </c>
      <c r="AG364" s="59" t="str">
        <f t="shared" si="77"/>
        <v/>
      </c>
      <c r="AH364" s="59" t="str">
        <f t="shared" si="77"/>
        <v/>
      </c>
      <c r="AI364" s="59" t="str">
        <f t="shared" si="77"/>
        <v/>
      </c>
    </row>
    <row r="365">
      <c r="B365" s="140" t="s">
        <v>290</v>
      </c>
      <c r="C365" s="159" t="str">
        <f t="shared" ref="C365:AI365" si="78">IF(ISBLANK(C324),  ,  C362  * C361)</f>
        <v/>
      </c>
      <c r="D365" s="59" t="str">
        <f t="shared" si="78"/>
        <v/>
      </c>
      <c r="E365" s="59" t="str">
        <f t="shared" si="78"/>
        <v/>
      </c>
      <c r="F365" s="59" t="str">
        <f t="shared" si="78"/>
        <v/>
      </c>
      <c r="G365" s="59" t="str">
        <f t="shared" si="78"/>
        <v/>
      </c>
      <c r="H365" s="59" t="str">
        <f t="shared" si="78"/>
        <v/>
      </c>
      <c r="I365" s="59" t="str">
        <f t="shared" si="78"/>
        <v/>
      </c>
      <c r="J365" s="59" t="str">
        <f t="shared" si="78"/>
        <v/>
      </c>
      <c r="K365" s="59" t="str">
        <f t="shared" si="78"/>
        <v/>
      </c>
      <c r="L365" s="59" t="str">
        <f t="shared" si="78"/>
        <v/>
      </c>
      <c r="M365" s="59" t="str">
        <f t="shared" si="78"/>
        <v/>
      </c>
      <c r="N365" s="59" t="str">
        <f t="shared" si="78"/>
        <v/>
      </c>
      <c r="O365" s="59" t="str">
        <f t="shared" si="78"/>
        <v/>
      </c>
      <c r="P365" s="59" t="str">
        <f t="shared" si="78"/>
        <v/>
      </c>
      <c r="Q365" s="59" t="str">
        <f t="shared" si="78"/>
        <v/>
      </c>
      <c r="R365" s="59" t="str">
        <f t="shared" si="78"/>
        <v/>
      </c>
      <c r="S365" s="59" t="str">
        <f t="shared" si="78"/>
        <v/>
      </c>
      <c r="T365" s="59" t="str">
        <f t="shared" si="78"/>
        <v/>
      </c>
      <c r="U365" s="59" t="str">
        <f t="shared" si="78"/>
        <v/>
      </c>
      <c r="V365" s="59" t="str">
        <f t="shared" si="78"/>
        <v/>
      </c>
      <c r="W365" s="59" t="str">
        <f t="shared" si="78"/>
        <v/>
      </c>
      <c r="X365" s="59" t="str">
        <f t="shared" si="78"/>
        <v/>
      </c>
      <c r="Y365" s="59" t="str">
        <f t="shared" si="78"/>
        <v/>
      </c>
      <c r="Z365" s="59" t="str">
        <f t="shared" si="78"/>
        <v/>
      </c>
      <c r="AA365" s="59" t="str">
        <f t="shared" si="78"/>
        <v/>
      </c>
      <c r="AB365" s="59" t="str">
        <f t="shared" si="78"/>
        <v/>
      </c>
      <c r="AC365" s="59" t="str">
        <f t="shared" si="78"/>
        <v/>
      </c>
      <c r="AD365" s="59" t="str">
        <f t="shared" si="78"/>
        <v/>
      </c>
      <c r="AE365" s="59" t="str">
        <f t="shared" si="78"/>
        <v/>
      </c>
      <c r="AF365" s="59" t="str">
        <f t="shared" si="78"/>
        <v/>
      </c>
      <c r="AG365" s="59" t="str">
        <f t="shared" si="78"/>
        <v/>
      </c>
      <c r="AH365" s="59" t="str">
        <f t="shared" si="78"/>
        <v/>
      </c>
      <c r="AI365" s="59" t="str">
        <f t="shared" si="78"/>
        <v/>
      </c>
    </row>
    <row r="366">
      <c r="B366" s="140" t="s">
        <v>291</v>
      </c>
      <c r="C366" s="58" t="str">
        <f t="shared" ref="C366:AI366" si="79">IF(ISBLANK(C324),  ,  IF(C327="Pyro", 1.5 * (1 +  (2.78 * ($J260 +C345 ) / (($J260 +C345 ) + 1400)) + $J317%), IF(C327="Hydro", 2 * (1 +  (2.78 * ($J260 +C345 ) / (($J260 +C345 ) + 1400)) + $J317%), 0)) + C352%)</f>
        <v/>
      </c>
      <c r="D366" s="59" t="str">
        <f t="shared" si="79"/>
        <v/>
      </c>
      <c r="E366" s="59" t="str">
        <f t="shared" si="79"/>
        <v/>
      </c>
      <c r="F366" s="59" t="str">
        <f t="shared" si="79"/>
        <v/>
      </c>
      <c r="G366" s="59" t="str">
        <f t="shared" si="79"/>
        <v/>
      </c>
      <c r="H366" s="59" t="str">
        <f t="shared" si="79"/>
        <v/>
      </c>
      <c r="I366" s="59" t="str">
        <f t="shared" si="79"/>
        <v/>
      </c>
      <c r="J366" s="59" t="str">
        <f t="shared" si="79"/>
        <v/>
      </c>
      <c r="K366" s="59" t="str">
        <f t="shared" si="79"/>
        <v/>
      </c>
      <c r="L366" s="59" t="str">
        <f t="shared" si="79"/>
        <v/>
      </c>
      <c r="M366" s="59" t="str">
        <f t="shared" si="79"/>
        <v/>
      </c>
      <c r="N366" s="59" t="str">
        <f t="shared" si="79"/>
        <v/>
      </c>
      <c r="O366" s="59" t="str">
        <f t="shared" si="79"/>
        <v/>
      </c>
      <c r="P366" s="59" t="str">
        <f t="shared" si="79"/>
        <v/>
      </c>
      <c r="Q366" s="59" t="str">
        <f t="shared" si="79"/>
        <v/>
      </c>
      <c r="R366" s="59" t="str">
        <f t="shared" si="79"/>
        <v/>
      </c>
      <c r="S366" s="59" t="str">
        <f t="shared" si="79"/>
        <v/>
      </c>
      <c r="T366" s="59" t="str">
        <f t="shared" si="79"/>
        <v/>
      </c>
      <c r="U366" s="59" t="str">
        <f t="shared" si="79"/>
        <v/>
      </c>
      <c r="V366" s="59" t="str">
        <f t="shared" si="79"/>
        <v/>
      </c>
      <c r="W366" s="59" t="str">
        <f t="shared" si="79"/>
        <v/>
      </c>
      <c r="X366" s="59" t="str">
        <f t="shared" si="79"/>
        <v/>
      </c>
      <c r="Y366" s="59" t="str">
        <f t="shared" si="79"/>
        <v/>
      </c>
      <c r="Z366" s="59" t="str">
        <f t="shared" si="79"/>
        <v/>
      </c>
      <c r="AA366" s="59" t="str">
        <f t="shared" si="79"/>
        <v/>
      </c>
      <c r="AB366" s="59" t="str">
        <f t="shared" si="79"/>
        <v/>
      </c>
      <c r="AC366" s="59" t="str">
        <f t="shared" si="79"/>
        <v/>
      </c>
      <c r="AD366" s="59" t="str">
        <f t="shared" si="79"/>
        <v/>
      </c>
      <c r="AE366" s="59" t="str">
        <f t="shared" si="79"/>
        <v/>
      </c>
      <c r="AF366" s="59" t="str">
        <f t="shared" si="79"/>
        <v/>
      </c>
      <c r="AG366" s="59" t="str">
        <f t="shared" si="79"/>
        <v/>
      </c>
      <c r="AH366" s="59" t="str">
        <f t="shared" si="79"/>
        <v/>
      </c>
      <c r="AI366" s="59" t="str">
        <f t="shared" si="79"/>
        <v/>
      </c>
    </row>
    <row r="367">
      <c r="B367" s="140" t="s">
        <v>292</v>
      </c>
      <c r="C367" s="159" t="str">
        <f t="shared" ref="C367:AI367" si="80">IF(ISBLANK(C324),  ,  C366  * C359)</f>
        <v/>
      </c>
      <c r="D367" s="59" t="str">
        <f t="shared" si="80"/>
        <v/>
      </c>
      <c r="E367" s="59" t="str">
        <f t="shared" si="80"/>
        <v/>
      </c>
      <c r="F367" s="59" t="str">
        <f t="shared" si="80"/>
        <v/>
      </c>
      <c r="G367" s="59" t="str">
        <f t="shared" si="80"/>
        <v/>
      </c>
      <c r="H367" s="59" t="str">
        <f t="shared" si="80"/>
        <v/>
      </c>
      <c r="I367" s="59" t="str">
        <f t="shared" si="80"/>
        <v/>
      </c>
      <c r="J367" s="59" t="str">
        <f t="shared" si="80"/>
        <v/>
      </c>
      <c r="K367" s="59" t="str">
        <f t="shared" si="80"/>
        <v/>
      </c>
      <c r="L367" s="59" t="str">
        <f t="shared" si="80"/>
        <v/>
      </c>
      <c r="M367" s="59" t="str">
        <f t="shared" si="80"/>
        <v/>
      </c>
      <c r="N367" s="59" t="str">
        <f t="shared" si="80"/>
        <v/>
      </c>
      <c r="O367" s="59" t="str">
        <f t="shared" si="80"/>
        <v/>
      </c>
      <c r="P367" s="59" t="str">
        <f t="shared" si="80"/>
        <v/>
      </c>
      <c r="Q367" s="59" t="str">
        <f t="shared" si="80"/>
        <v/>
      </c>
      <c r="R367" s="59" t="str">
        <f t="shared" si="80"/>
        <v/>
      </c>
      <c r="S367" s="59" t="str">
        <f t="shared" si="80"/>
        <v/>
      </c>
      <c r="T367" s="59" t="str">
        <f t="shared" si="80"/>
        <v/>
      </c>
      <c r="U367" s="59" t="str">
        <f t="shared" si="80"/>
        <v/>
      </c>
      <c r="V367" s="59" t="str">
        <f t="shared" si="80"/>
        <v/>
      </c>
      <c r="W367" s="59" t="str">
        <f t="shared" si="80"/>
        <v/>
      </c>
      <c r="X367" s="59" t="str">
        <f t="shared" si="80"/>
        <v/>
      </c>
      <c r="Y367" s="59" t="str">
        <f t="shared" si="80"/>
        <v/>
      </c>
      <c r="Z367" s="59" t="str">
        <f t="shared" si="80"/>
        <v/>
      </c>
      <c r="AA367" s="59" t="str">
        <f t="shared" si="80"/>
        <v/>
      </c>
      <c r="AB367" s="59" t="str">
        <f t="shared" si="80"/>
        <v/>
      </c>
      <c r="AC367" s="59" t="str">
        <f t="shared" si="80"/>
        <v/>
      </c>
      <c r="AD367" s="59" t="str">
        <f t="shared" si="80"/>
        <v/>
      </c>
      <c r="AE367" s="59" t="str">
        <f t="shared" si="80"/>
        <v/>
      </c>
      <c r="AF367" s="59" t="str">
        <f t="shared" si="80"/>
        <v/>
      </c>
      <c r="AG367" s="59" t="str">
        <f t="shared" si="80"/>
        <v/>
      </c>
      <c r="AH367" s="59" t="str">
        <f t="shared" si="80"/>
        <v/>
      </c>
      <c r="AI367" s="59" t="str">
        <f t="shared" si="80"/>
        <v/>
      </c>
    </row>
    <row r="368">
      <c r="B368" s="140" t="s">
        <v>293</v>
      </c>
      <c r="C368" s="159" t="str">
        <f t="shared" ref="C368:AI368" si="81">IF(ISBLANK(C324),  ,  C366  * C360)</f>
        <v/>
      </c>
      <c r="D368" s="59" t="str">
        <f t="shared" si="81"/>
        <v/>
      </c>
      <c r="E368" s="59" t="str">
        <f t="shared" si="81"/>
        <v/>
      </c>
      <c r="F368" s="59" t="str">
        <f t="shared" si="81"/>
        <v/>
      </c>
      <c r="G368" s="59" t="str">
        <f t="shared" si="81"/>
        <v/>
      </c>
      <c r="H368" s="59" t="str">
        <f t="shared" si="81"/>
        <v/>
      </c>
      <c r="I368" s="59" t="str">
        <f t="shared" si="81"/>
        <v/>
      </c>
      <c r="J368" s="59" t="str">
        <f t="shared" si="81"/>
        <v/>
      </c>
      <c r="K368" s="59" t="str">
        <f t="shared" si="81"/>
        <v/>
      </c>
      <c r="L368" s="59" t="str">
        <f t="shared" si="81"/>
        <v/>
      </c>
      <c r="M368" s="59" t="str">
        <f t="shared" si="81"/>
        <v/>
      </c>
      <c r="N368" s="59" t="str">
        <f t="shared" si="81"/>
        <v/>
      </c>
      <c r="O368" s="59" t="str">
        <f t="shared" si="81"/>
        <v/>
      </c>
      <c r="P368" s="59" t="str">
        <f t="shared" si="81"/>
        <v/>
      </c>
      <c r="Q368" s="59" t="str">
        <f t="shared" si="81"/>
        <v/>
      </c>
      <c r="R368" s="59" t="str">
        <f t="shared" si="81"/>
        <v/>
      </c>
      <c r="S368" s="59" t="str">
        <f t="shared" si="81"/>
        <v/>
      </c>
      <c r="T368" s="59" t="str">
        <f t="shared" si="81"/>
        <v/>
      </c>
      <c r="U368" s="59" t="str">
        <f t="shared" si="81"/>
        <v/>
      </c>
      <c r="V368" s="59" t="str">
        <f t="shared" si="81"/>
        <v/>
      </c>
      <c r="W368" s="59" t="str">
        <f t="shared" si="81"/>
        <v/>
      </c>
      <c r="X368" s="59" t="str">
        <f t="shared" si="81"/>
        <v/>
      </c>
      <c r="Y368" s="59" t="str">
        <f t="shared" si="81"/>
        <v/>
      </c>
      <c r="Z368" s="59" t="str">
        <f t="shared" si="81"/>
        <v/>
      </c>
      <c r="AA368" s="59" t="str">
        <f t="shared" si="81"/>
        <v/>
      </c>
      <c r="AB368" s="59" t="str">
        <f t="shared" si="81"/>
        <v/>
      </c>
      <c r="AC368" s="59" t="str">
        <f t="shared" si="81"/>
        <v/>
      </c>
      <c r="AD368" s="59" t="str">
        <f t="shared" si="81"/>
        <v/>
      </c>
      <c r="AE368" s="59" t="str">
        <f t="shared" si="81"/>
        <v/>
      </c>
      <c r="AF368" s="59" t="str">
        <f t="shared" si="81"/>
        <v/>
      </c>
      <c r="AG368" s="59" t="str">
        <f t="shared" si="81"/>
        <v/>
      </c>
      <c r="AH368" s="59" t="str">
        <f t="shared" si="81"/>
        <v/>
      </c>
      <c r="AI368" s="59" t="str">
        <f t="shared" si="81"/>
        <v/>
      </c>
    </row>
    <row r="369">
      <c r="B369" s="140" t="s">
        <v>294</v>
      </c>
      <c r="C369" s="159" t="str">
        <f t="shared" ref="C369:AI369" si="82">IF(ISBLANK(C324),  ,  C366  * C361)</f>
        <v/>
      </c>
      <c r="D369" s="59" t="str">
        <f t="shared" si="82"/>
        <v/>
      </c>
      <c r="E369" s="59" t="str">
        <f t="shared" si="82"/>
        <v/>
      </c>
      <c r="F369" s="59" t="str">
        <f t="shared" si="82"/>
        <v/>
      </c>
      <c r="G369" s="59" t="str">
        <f t="shared" si="82"/>
        <v/>
      </c>
      <c r="H369" s="59" t="str">
        <f t="shared" si="82"/>
        <v/>
      </c>
      <c r="I369" s="59" t="str">
        <f t="shared" si="82"/>
        <v/>
      </c>
      <c r="J369" s="59" t="str">
        <f t="shared" si="82"/>
        <v/>
      </c>
      <c r="K369" s="59" t="str">
        <f t="shared" si="82"/>
        <v/>
      </c>
      <c r="L369" s="59" t="str">
        <f t="shared" si="82"/>
        <v/>
      </c>
      <c r="M369" s="59" t="str">
        <f t="shared" si="82"/>
        <v/>
      </c>
      <c r="N369" s="59" t="str">
        <f t="shared" si="82"/>
        <v/>
      </c>
      <c r="O369" s="59" t="str">
        <f t="shared" si="82"/>
        <v/>
      </c>
      <c r="P369" s="59" t="str">
        <f t="shared" si="82"/>
        <v/>
      </c>
      <c r="Q369" s="59" t="str">
        <f t="shared" si="82"/>
        <v/>
      </c>
      <c r="R369" s="59" t="str">
        <f t="shared" si="82"/>
        <v/>
      </c>
      <c r="S369" s="59" t="str">
        <f t="shared" si="82"/>
        <v/>
      </c>
      <c r="T369" s="59" t="str">
        <f t="shared" si="82"/>
        <v/>
      </c>
      <c r="U369" s="59" t="str">
        <f t="shared" si="82"/>
        <v/>
      </c>
      <c r="V369" s="59" t="str">
        <f t="shared" si="82"/>
        <v/>
      </c>
      <c r="W369" s="59" t="str">
        <f t="shared" si="82"/>
        <v/>
      </c>
      <c r="X369" s="59" t="str">
        <f t="shared" si="82"/>
        <v/>
      </c>
      <c r="Y369" s="59" t="str">
        <f t="shared" si="82"/>
        <v/>
      </c>
      <c r="Z369" s="59" t="str">
        <f t="shared" si="82"/>
        <v/>
      </c>
      <c r="AA369" s="59" t="str">
        <f t="shared" si="82"/>
        <v/>
      </c>
      <c r="AB369" s="59" t="str">
        <f t="shared" si="82"/>
        <v/>
      </c>
      <c r="AC369" s="59" t="str">
        <f t="shared" si="82"/>
        <v/>
      </c>
      <c r="AD369" s="59" t="str">
        <f t="shared" si="82"/>
        <v/>
      </c>
      <c r="AE369" s="59" t="str">
        <f t="shared" si="82"/>
        <v/>
      </c>
      <c r="AF369" s="59" t="str">
        <f t="shared" si="82"/>
        <v/>
      </c>
      <c r="AG369" s="59" t="str">
        <f t="shared" si="82"/>
        <v/>
      </c>
      <c r="AH369" s="59" t="str">
        <f t="shared" si="82"/>
        <v/>
      </c>
      <c r="AI369" s="59" t="str">
        <f t="shared" si="82"/>
        <v/>
      </c>
    </row>
    <row r="370">
      <c r="B370" s="140" t="s">
        <v>295</v>
      </c>
      <c r="C370" s="58" t="str">
        <f t="shared" ref="C370:AI370" si="83">IF(ISBLANK(C324),  ,  IF(C327="Dendro", 1 + (5 * ($J260 + C345)  / (($J260 + C345) + 1200)), IF(C327="Electro", 1 + (5 * ($J260 + C345) / (($J260 + C345) + 1200)), 0)) + $J319% + C352%)</f>
        <v/>
      </c>
      <c r="D370" s="59" t="str">
        <f t="shared" si="83"/>
        <v/>
      </c>
      <c r="E370" s="59" t="str">
        <f t="shared" si="83"/>
        <v/>
      </c>
      <c r="F370" s="59" t="str">
        <f t="shared" si="83"/>
        <v/>
      </c>
      <c r="G370" s="59" t="str">
        <f t="shared" si="83"/>
        <v/>
      </c>
      <c r="H370" s="59" t="str">
        <f t="shared" si="83"/>
        <v/>
      </c>
      <c r="I370" s="59" t="str">
        <f t="shared" si="83"/>
        <v/>
      </c>
      <c r="J370" s="59" t="str">
        <f t="shared" si="83"/>
        <v/>
      </c>
      <c r="K370" s="59" t="str">
        <f t="shared" si="83"/>
        <v/>
      </c>
      <c r="L370" s="59" t="str">
        <f t="shared" si="83"/>
        <v/>
      </c>
      <c r="M370" s="59" t="str">
        <f t="shared" si="83"/>
        <v/>
      </c>
      <c r="N370" s="59" t="str">
        <f t="shared" si="83"/>
        <v/>
      </c>
      <c r="O370" s="59" t="str">
        <f t="shared" si="83"/>
        <v/>
      </c>
      <c r="P370" s="59" t="str">
        <f t="shared" si="83"/>
        <v/>
      </c>
      <c r="Q370" s="59" t="str">
        <f t="shared" si="83"/>
        <v/>
      </c>
      <c r="R370" s="59" t="str">
        <f t="shared" si="83"/>
        <v/>
      </c>
      <c r="S370" s="59" t="str">
        <f t="shared" si="83"/>
        <v/>
      </c>
      <c r="T370" s="59" t="str">
        <f t="shared" si="83"/>
        <v/>
      </c>
      <c r="U370" s="59" t="str">
        <f t="shared" si="83"/>
        <v/>
      </c>
      <c r="V370" s="59" t="str">
        <f t="shared" si="83"/>
        <v/>
      </c>
      <c r="W370" s="59" t="str">
        <f t="shared" si="83"/>
        <v/>
      </c>
      <c r="X370" s="59" t="str">
        <f t="shared" si="83"/>
        <v/>
      </c>
      <c r="Y370" s="59" t="str">
        <f t="shared" si="83"/>
        <v/>
      </c>
      <c r="Z370" s="59" t="str">
        <f t="shared" si="83"/>
        <v/>
      </c>
      <c r="AA370" s="59" t="str">
        <f t="shared" si="83"/>
        <v/>
      </c>
      <c r="AB370" s="59" t="str">
        <f t="shared" si="83"/>
        <v/>
      </c>
      <c r="AC370" s="59" t="str">
        <f t="shared" si="83"/>
        <v/>
      </c>
      <c r="AD370" s="59" t="str">
        <f t="shared" si="83"/>
        <v/>
      </c>
      <c r="AE370" s="59" t="str">
        <f t="shared" si="83"/>
        <v/>
      </c>
      <c r="AF370" s="59" t="str">
        <f t="shared" si="83"/>
        <v/>
      </c>
      <c r="AG370" s="59" t="str">
        <f t="shared" si="83"/>
        <v/>
      </c>
      <c r="AH370" s="59" t="str">
        <f t="shared" si="83"/>
        <v/>
      </c>
      <c r="AI370" s="59" t="str">
        <f t="shared" si="83"/>
        <v/>
      </c>
    </row>
    <row r="371">
      <c r="B371" s="140" t="s">
        <v>296</v>
      </c>
      <c r="C371" s="65" t="str">
        <f t="shared" ref="C371:P371" si="84">IF(ISBLANK(C324),  ,  IF(C327="Dendro", 1808 * C370, IF(C327="Electro", 1664 * C370, 0)))</f>
        <v/>
      </c>
      <c r="D371" s="59" t="str">
        <f t="shared" si="84"/>
        <v/>
      </c>
      <c r="E371" s="59" t="str">
        <f t="shared" si="84"/>
        <v/>
      </c>
      <c r="F371" s="59" t="str">
        <f t="shared" si="84"/>
        <v/>
      </c>
      <c r="G371" s="59" t="str">
        <f t="shared" si="84"/>
        <v/>
      </c>
      <c r="H371" s="59" t="str">
        <f t="shared" si="84"/>
        <v/>
      </c>
      <c r="I371" s="59" t="str">
        <f t="shared" si="84"/>
        <v/>
      </c>
      <c r="J371" s="59" t="str">
        <f t="shared" si="84"/>
        <v/>
      </c>
      <c r="K371" s="59" t="str">
        <f t="shared" si="84"/>
        <v/>
      </c>
      <c r="L371" s="59" t="str">
        <f t="shared" si="84"/>
        <v/>
      </c>
      <c r="M371" s="59" t="str">
        <f t="shared" si="84"/>
        <v/>
      </c>
      <c r="N371" s="59" t="str">
        <f t="shared" si="84"/>
        <v/>
      </c>
      <c r="O371" s="59" t="str">
        <f t="shared" si="84"/>
        <v/>
      </c>
      <c r="P371" s="59" t="str">
        <f t="shared" si="84"/>
        <v/>
      </c>
      <c r="Q371" s="59"/>
      <c r="R371" s="59"/>
      <c r="S371" s="59"/>
      <c r="T371" s="59"/>
      <c r="U371" s="59"/>
      <c r="V371" s="59"/>
      <c r="W371" s="59"/>
      <c r="X371" s="59"/>
      <c r="Y371" s="59"/>
      <c r="Z371" s="59"/>
      <c r="AA371" s="59"/>
      <c r="AB371" s="59"/>
      <c r="AC371" s="59"/>
      <c r="AD371" s="59"/>
      <c r="AE371" s="59"/>
      <c r="AF371" s="59"/>
      <c r="AG371" s="59"/>
      <c r="AH371" s="59"/>
      <c r="AI371" s="59"/>
    </row>
    <row r="372">
      <c r="B372" s="140" t="s">
        <v>297</v>
      </c>
      <c r="C372" s="159" t="str">
        <f t="shared" ref="C372:AI372" si="85">IF(ISBLANK(C324),  ,  ((C328% * (($C253 + $D253) * (1 + $J254% + C340%) + C339 + SUM($E253:$G253) + $I253) + C329% * (($C257 * (1 + $J258% + C342%)) + C341 + SUM($D257:$G257) + $I257) + C330% * ($C261 * (1 + $J262% + C344%) + C343 + SUM($D261:$G261) + $I261) + C331% * ($J260 + C345)) * C337 + (C332% * (($C253 + $D253) * (1 + $J254% + C340%) + C339 + SUM($E253:$G253) + $I253) + C333% * (($C257 * (1 + $J258% + C342%)) + C341 + SUM($D257:$G257) + $I257) + C334% * ($C261 * (1 + $J262% + C344%) + C343 + SUM($D261:$G261) + $I261) + C335% * ($J260 + C345)) + C336 + C371) * C354 * C355 * C358)</f>
        <v/>
      </c>
      <c r="D372" s="59" t="str">
        <f t="shared" si="85"/>
        <v/>
      </c>
      <c r="E372" s="59" t="str">
        <f t="shared" si="85"/>
        <v/>
      </c>
      <c r="F372" s="59" t="str">
        <f t="shared" si="85"/>
        <v/>
      </c>
      <c r="G372" s="59" t="str">
        <f t="shared" si="85"/>
        <v/>
      </c>
      <c r="H372" s="59" t="str">
        <f t="shared" si="85"/>
        <v/>
      </c>
      <c r="I372" s="59" t="str">
        <f t="shared" si="85"/>
        <v/>
      </c>
      <c r="J372" s="59" t="str">
        <f t="shared" si="85"/>
        <v/>
      </c>
      <c r="K372" s="59" t="str">
        <f t="shared" si="85"/>
        <v/>
      </c>
      <c r="L372" s="59" t="str">
        <f t="shared" si="85"/>
        <v/>
      </c>
      <c r="M372" s="59" t="str">
        <f t="shared" si="85"/>
        <v/>
      </c>
      <c r="N372" s="59" t="str">
        <f t="shared" si="85"/>
        <v/>
      </c>
      <c r="O372" s="59" t="str">
        <f t="shared" si="85"/>
        <v/>
      </c>
      <c r="P372" s="59" t="str">
        <f t="shared" si="85"/>
        <v/>
      </c>
      <c r="Q372" s="59" t="str">
        <f t="shared" si="85"/>
        <v/>
      </c>
      <c r="R372" s="59" t="str">
        <f t="shared" si="85"/>
        <v/>
      </c>
      <c r="S372" s="59" t="str">
        <f t="shared" si="85"/>
        <v/>
      </c>
      <c r="T372" s="59" t="str">
        <f t="shared" si="85"/>
        <v/>
      </c>
      <c r="U372" s="59" t="str">
        <f t="shared" si="85"/>
        <v/>
      </c>
      <c r="V372" s="59" t="str">
        <f t="shared" si="85"/>
        <v/>
      </c>
      <c r="W372" s="59" t="str">
        <f t="shared" si="85"/>
        <v/>
      </c>
      <c r="X372" s="59" t="str">
        <f t="shared" si="85"/>
        <v/>
      </c>
      <c r="Y372" s="59" t="str">
        <f t="shared" si="85"/>
        <v/>
      </c>
      <c r="Z372" s="59" t="str">
        <f t="shared" si="85"/>
        <v/>
      </c>
      <c r="AA372" s="59" t="str">
        <f t="shared" si="85"/>
        <v/>
      </c>
      <c r="AB372" s="59" t="str">
        <f t="shared" si="85"/>
        <v/>
      </c>
      <c r="AC372" s="59" t="str">
        <f t="shared" si="85"/>
        <v/>
      </c>
      <c r="AD372" s="59" t="str">
        <f t="shared" si="85"/>
        <v/>
      </c>
      <c r="AE372" s="59" t="str">
        <f t="shared" si="85"/>
        <v/>
      </c>
      <c r="AF372" s="59" t="str">
        <f t="shared" si="85"/>
        <v/>
      </c>
      <c r="AG372" s="59" t="str">
        <f t="shared" si="85"/>
        <v/>
      </c>
      <c r="AH372" s="59" t="str">
        <f t="shared" si="85"/>
        <v/>
      </c>
      <c r="AI372" s="59" t="str">
        <f t="shared" si="85"/>
        <v/>
      </c>
    </row>
    <row r="373">
      <c r="B373" s="140" t="s">
        <v>298</v>
      </c>
      <c r="C373" s="159" t="str">
        <f t="shared" ref="C373:AI373" si="86">IF(ISBLANK(C324),  ,  (C356 * C374) + ((1 - C356) * C372))</f>
        <v/>
      </c>
      <c r="D373" s="59" t="str">
        <f t="shared" si="86"/>
        <v/>
      </c>
      <c r="E373" s="59" t="str">
        <f t="shared" si="86"/>
        <v/>
      </c>
      <c r="F373" s="59" t="str">
        <f t="shared" si="86"/>
        <v/>
      </c>
      <c r="G373" s="59" t="str">
        <f t="shared" si="86"/>
        <v/>
      </c>
      <c r="H373" s="59" t="str">
        <f t="shared" si="86"/>
        <v/>
      </c>
      <c r="I373" s="59" t="str">
        <f t="shared" si="86"/>
        <v/>
      </c>
      <c r="J373" s="59" t="str">
        <f t="shared" si="86"/>
        <v/>
      </c>
      <c r="K373" s="59" t="str">
        <f t="shared" si="86"/>
        <v/>
      </c>
      <c r="L373" s="59" t="str">
        <f t="shared" si="86"/>
        <v/>
      </c>
      <c r="M373" s="59" t="str">
        <f t="shared" si="86"/>
        <v/>
      </c>
      <c r="N373" s="59" t="str">
        <f t="shared" si="86"/>
        <v/>
      </c>
      <c r="O373" s="59" t="str">
        <f t="shared" si="86"/>
        <v/>
      </c>
      <c r="P373" s="59" t="str">
        <f t="shared" si="86"/>
        <v/>
      </c>
      <c r="Q373" s="59" t="str">
        <f t="shared" si="86"/>
        <v/>
      </c>
      <c r="R373" s="59" t="str">
        <f t="shared" si="86"/>
        <v/>
      </c>
      <c r="S373" s="59" t="str">
        <f t="shared" si="86"/>
        <v/>
      </c>
      <c r="T373" s="59" t="str">
        <f t="shared" si="86"/>
        <v/>
      </c>
      <c r="U373" s="59" t="str">
        <f t="shared" si="86"/>
        <v/>
      </c>
      <c r="V373" s="59" t="str">
        <f t="shared" si="86"/>
        <v/>
      </c>
      <c r="W373" s="59" t="str">
        <f t="shared" si="86"/>
        <v/>
      </c>
      <c r="X373" s="59" t="str">
        <f t="shared" si="86"/>
        <v/>
      </c>
      <c r="Y373" s="59" t="str">
        <f t="shared" si="86"/>
        <v/>
      </c>
      <c r="Z373" s="59" t="str">
        <f t="shared" si="86"/>
        <v/>
      </c>
      <c r="AA373" s="59" t="str">
        <f t="shared" si="86"/>
        <v/>
      </c>
      <c r="AB373" s="59" t="str">
        <f t="shared" si="86"/>
        <v/>
      </c>
      <c r="AC373" s="59" t="str">
        <f t="shared" si="86"/>
        <v/>
      </c>
      <c r="AD373" s="59" t="str">
        <f t="shared" si="86"/>
        <v/>
      </c>
      <c r="AE373" s="59" t="str">
        <f t="shared" si="86"/>
        <v/>
      </c>
      <c r="AF373" s="59" t="str">
        <f t="shared" si="86"/>
        <v/>
      </c>
      <c r="AG373" s="59" t="str">
        <f t="shared" si="86"/>
        <v/>
      </c>
      <c r="AH373" s="59" t="str">
        <f t="shared" si="86"/>
        <v/>
      </c>
      <c r="AI373" s="59" t="str">
        <f t="shared" si="86"/>
        <v/>
      </c>
    </row>
    <row r="374">
      <c r="B374" s="140" t="s">
        <v>299</v>
      </c>
      <c r="C374" s="159" t="str">
        <f t="shared" ref="C374:P374" si="87">IF(ISBLANK(C324),  ,  C372  * C357)</f>
        <v/>
      </c>
      <c r="D374" s="59" t="str">
        <f t="shared" si="87"/>
        <v/>
      </c>
      <c r="E374" s="59" t="str">
        <f t="shared" si="87"/>
        <v/>
      </c>
      <c r="F374" s="59" t="str">
        <f t="shared" si="87"/>
        <v/>
      </c>
      <c r="G374" s="59" t="str">
        <f t="shared" si="87"/>
        <v/>
      </c>
      <c r="H374" s="59" t="str">
        <f t="shared" si="87"/>
        <v/>
      </c>
      <c r="I374" s="59" t="str">
        <f t="shared" si="87"/>
        <v/>
      </c>
      <c r="J374" s="59" t="str">
        <f t="shared" si="87"/>
        <v/>
      </c>
      <c r="K374" s="59" t="str">
        <f t="shared" si="87"/>
        <v/>
      </c>
      <c r="L374" s="59" t="str">
        <f t="shared" si="87"/>
        <v/>
      </c>
      <c r="M374" s="59" t="str">
        <f t="shared" si="87"/>
        <v/>
      </c>
      <c r="N374" s="59" t="str">
        <f t="shared" si="87"/>
        <v/>
      </c>
      <c r="O374" s="59" t="str">
        <f t="shared" si="87"/>
        <v/>
      </c>
      <c r="P374" s="59" t="str">
        <f t="shared" si="87"/>
        <v/>
      </c>
      <c r="Q374" s="59"/>
      <c r="R374" s="59"/>
      <c r="S374" s="59"/>
      <c r="T374" s="59"/>
      <c r="U374" s="59"/>
      <c r="V374" s="59"/>
      <c r="W374" s="59"/>
      <c r="X374" s="59"/>
      <c r="Y374" s="59"/>
      <c r="Z374" s="59"/>
      <c r="AA374" s="59"/>
      <c r="AB374" s="59"/>
      <c r="AC374" s="59"/>
      <c r="AD374" s="59"/>
      <c r="AE374" s="59"/>
      <c r="AF374" s="59"/>
      <c r="AG374" s="59"/>
      <c r="AH374" s="59"/>
      <c r="AI374" s="59"/>
    </row>
    <row r="375">
      <c r="B375" s="59"/>
      <c r="C375" s="59"/>
    </row>
    <row r="376">
      <c r="B376" s="140" t="s">
        <v>300</v>
      </c>
      <c r="C376" s="70"/>
      <c r="H376" s="59"/>
      <c r="I376" s="59"/>
      <c r="J376" s="59"/>
      <c r="K376" s="59"/>
      <c r="L376" s="59"/>
      <c r="M376" s="59"/>
      <c r="N376" s="59"/>
    </row>
    <row r="377">
      <c r="B377" s="140" t="s">
        <v>251</v>
      </c>
      <c r="C377" s="158"/>
    </row>
    <row r="378">
      <c r="B378" s="140" t="s">
        <v>301</v>
      </c>
      <c r="C378" s="71"/>
    </row>
    <row r="379">
      <c r="B379" s="140" t="s">
        <v>152</v>
      </c>
      <c r="C379" s="70"/>
    </row>
    <row r="380">
      <c r="B380" s="140" t="s">
        <v>120</v>
      </c>
      <c r="C380" s="70"/>
    </row>
    <row r="381">
      <c r="B381" s="140" t="s">
        <v>153</v>
      </c>
      <c r="C381" s="158"/>
    </row>
    <row r="382">
      <c r="B382" s="140" t="s">
        <v>165</v>
      </c>
      <c r="C382" s="70"/>
    </row>
    <row r="383">
      <c r="B383" s="140" t="s">
        <v>115</v>
      </c>
      <c r="C383" s="70"/>
    </row>
    <row r="384">
      <c r="B384" s="140" t="s">
        <v>302</v>
      </c>
      <c r="C384" s="70"/>
    </row>
    <row r="385">
      <c r="B385" s="140" t="s">
        <v>303</v>
      </c>
      <c r="C385" s="65" t="str">
        <f t="shared" ref="C385:L385" si="88">IF(ISBLANK(C376),  ,  IF(C378 = "Crystallize", 1 + 4.44 * (J260 / (J260 + 1400)) , 1) * (1 + IF(C378 = "Heal", $J271% + $J322%, $J272%)))</f>
        <v/>
      </c>
      <c r="D385" s="59" t="str">
        <f t="shared" si="88"/>
        <v/>
      </c>
      <c r="E385" s="59" t="str">
        <f t="shared" si="88"/>
        <v/>
      </c>
      <c r="F385" s="59" t="str">
        <f t="shared" si="88"/>
        <v/>
      </c>
      <c r="G385" s="59" t="str">
        <f t="shared" si="88"/>
        <v/>
      </c>
      <c r="H385" s="59" t="str">
        <f t="shared" si="88"/>
        <v/>
      </c>
      <c r="I385" s="59" t="str">
        <f t="shared" si="88"/>
        <v/>
      </c>
      <c r="J385" s="59" t="str">
        <f t="shared" si="88"/>
        <v/>
      </c>
      <c r="K385" s="59" t="str">
        <f t="shared" si="88"/>
        <v/>
      </c>
      <c r="L385" s="59" t="str">
        <f t="shared" si="88"/>
        <v/>
      </c>
      <c r="M385" s="59" t="str">
        <f>IF(ISBLANK(M376),  ,  IF(M378 = "Crystallize", 1 + 4.44 * (AJ260 / (AJ260 + 1400)) , 1) * (1 + IF(M378 = "Heal", $J271% + $J322%, $J272%)))</f>
        <v/>
      </c>
      <c r="N385" s="59" t="str">
        <f t="shared" ref="N385:P385" si="89">IF(ISBLANK(N$200),  ,  IF(N378 = "Crystallize", 1 + 4.44 * (AK260 / (AK260 + 1400)) , 1) * (1 + IF(N378 = "Heal", $J271% + $J322%, $J272%)))</f>
        <v/>
      </c>
      <c r="O385" s="59" t="str">
        <f t="shared" si="89"/>
        <v/>
      </c>
      <c r="P385" s="59" t="str">
        <f t="shared" si="89"/>
        <v/>
      </c>
    </row>
    <row r="386">
      <c r="B386" s="140" t="s">
        <v>304</v>
      </c>
      <c r="C386" s="159" t="str">
        <f t="shared" ref="C386:M386" si="90">IF(ISBLANK(C376),  ,  (C379% * $J253 + C380% * $J257 + C381% * $J261 + C383 + C382% * $J260) * C385)</f>
        <v/>
      </c>
      <c r="D386" s="59" t="str">
        <f t="shared" si="90"/>
        <v/>
      </c>
      <c r="E386" s="59" t="str">
        <f t="shared" si="90"/>
        <v/>
      </c>
      <c r="F386" s="59" t="str">
        <f t="shared" si="90"/>
        <v/>
      </c>
      <c r="G386" s="59" t="str">
        <f t="shared" si="90"/>
        <v/>
      </c>
      <c r="H386" s="59" t="str">
        <f t="shared" si="90"/>
        <v/>
      </c>
      <c r="I386" s="59" t="str">
        <f t="shared" si="90"/>
        <v/>
      </c>
      <c r="J386" s="59" t="str">
        <f t="shared" si="90"/>
        <v/>
      </c>
      <c r="K386" s="59" t="str">
        <f t="shared" si="90"/>
        <v/>
      </c>
      <c r="L386" s="59" t="str">
        <f t="shared" si="90"/>
        <v/>
      </c>
      <c r="M386" s="59" t="str">
        <f t="shared" si="90"/>
        <v/>
      </c>
      <c r="N386" s="59" t="str">
        <f t="shared" ref="N386:P386" si="91">IF(ISBLANK(N$200),  ,  (N379% * $J253 + N380% * $J257 + N381% * $J261 + N383 + N382% * $J260) * N385)</f>
        <v/>
      </c>
      <c r="O386" s="59" t="str">
        <f t="shared" si="91"/>
        <v/>
      </c>
      <c r="P386" s="59" t="str">
        <f t="shared" si="91"/>
        <v/>
      </c>
      <c r="Q386" s="59"/>
      <c r="R386" s="59"/>
      <c r="S386" s="59"/>
      <c r="T386" s="59"/>
      <c r="U386" s="59"/>
      <c r="V386" s="59"/>
      <c r="W386" s="59"/>
      <c r="X386" s="59"/>
      <c r="Y386" s="59"/>
      <c r="Z386" s="59"/>
      <c r="AA386" s="59"/>
      <c r="AB386" s="59"/>
      <c r="AC386" s="59"/>
      <c r="AD386" s="59"/>
      <c r="AE386" s="59"/>
      <c r="AF386" s="59"/>
      <c r="AG386" s="59"/>
      <c r="AH386" s="59"/>
      <c r="AI386" s="59"/>
    </row>
    <row r="387">
      <c r="B387" s="140" t="s">
        <v>305</v>
      </c>
      <c r="C387" s="159" t="str">
        <f t="shared" ref="C387:M387" si="92">IF(ISBLANK(C376),  ,  C386  * C384)</f>
        <v/>
      </c>
      <c r="D387" s="59" t="str">
        <f t="shared" si="92"/>
        <v/>
      </c>
      <c r="E387" s="59" t="str">
        <f t="shared" si="92"/>
        <v/>
      </c>
      <c r="F387" s="59" t="str">
        <f t="shared" si="92"/>
        <v/>
      </c>
      <c r="G387" s="59" t="str">
        <f t="shared" si="92"/>
        <v/>
      </c>
      <c r="H387" s="59" t="str">
        <f t="shared" si="92"/>
        <v/>
      </c>
      <c r="I387" s="59" t="str">
        <f t="shared" si="92"/>
        <v/>
      </c>
      <c r="J387" s="59" t="str">
        <f t="shared" si="92"/>
        <v/>
      </c>
      <c r="K387" s="59" t="str">
        <f t="shared" si="92"/>
        <v/>
      </c>
      <c r="L387" s="59" t="str">
        <f t="shared" si="92"/>
        <v/>
      </c>
      <c r="M387" s="59" t="str">
        <f t="shared" si="92"/>
        <v/>
      </c>
      <c r="N387" s="59" t="str">
        <f t="shared" ref="N387:P387" si="93">IF(ISBLANK(N$200),  ,  N386  * N384)</f>
        <v/>
      </c>
      <c r="O387" s="59" t="str">
        <f t="shared" si="93"/>
        <v/>
      </c>
      <c r="P387" s="59" t="str">
        <f t="shared" si="93"/>
        <v/>
      </c>
      <c r="Q387" s="59"/>
      <c r="R387" s="59"/>
      <c r="S387" s="59"/>
      <c r="T387" s="59"/>
      <c r="U387" s="59"/>
      <c r="V387" s="59"/>
      <c r="W387" s="59"/>
      <c r="X387" s="59"/>
      <c r="Y387" s="59"/>
      <c r="Z387" s="59"/>
      <c r="AA387" s="59"/>
      <c r="AB387" s="59"/>
      <c r="AC387" s="59"/>
      <c r="AD387" s="59"/>
      <c r="AE387" s="59"/>
      <c r="AF387" s="59"/>
      <c r="AG387" s="59"/>
      <c r="AH387" s="59"/>
      <c r="AI387" s="59"/>
    </row>
    <row r="388">
      <c r="B388" s="59"/>
      <c r="C388" s="59"/>
    </row>
    <row r="389">
      <c r="B389" s="140" t="s">
        <v>306</v>
      </c>
      <c r="C389" s="71"/>
    </row>
    <row r="390">
      <c r="B390" s="140" t="s">
        <v>307</v>
      </c>
      <c r="C390" s="71"/>
    </row>
    <row r="391">
      <c r="B391" s="140" t="s">
        <v>252</v>
      </c>
      <c r="C391" s="70" t="str">
        <f>IF(ISBLANK(C389), , IF(C390="other", "Physical", IF(OR(C390="overload", C390="burning", C390="swirl (pyro)"), "Pyro", IF(OR(C390="superconduct", C390="swirl (cryo)"), "Cryo", IF(OR(C390="electro-charged", C390="swirl (electro)"), "Electro", IF(C390="swirl (hydro)", "Hydro", IF(C390="shatter", "Physical", IF(OR(C390 = "bloom", C390 = "hyperbloom", C390 = "burgeon"), "Dendro"))))))))</f>
        <v/>
      </c>
    </row>
    <row r="392">
      <c r="B392" s="140" t="s">
        <v>308</v>
      </c>
      <c r="C392" s="70" t="str">
        <f>IF(ISBLANK(C389), , IF(C390="superconduct", 723, IF(OR(C390="overload", C390 = "bloom"), 2894, IF(C390="shatter", 2176, IF(C390="electro-charged", 1736, IF(C390="burning", 362, IF(LEFT(C390, 5)="swirl", 868, IF(OR(C390 = "hyperbloom", C390 = "burgeon"), 4340, 0))))))))</f>
        <v/>
      </c>
    </row>
    <row r="393">
      <c r="B393" s="140" t="s">
        <v>270</v>
      </c>
      <c r="C393" s="71"/>
    </row>
    <row r="394">
      <c r="B394" s="140" t="s">
        <v>274</v>
      </c>
      <c r="C394" s="71"/>
    </row>
    <row r="395">
      <c r="B395" s="140" t="s">
        <v>271</v>
      </c>
      <c r="C395" s="71"/>
    </row>
    <row r="396">
      <c r="B396" s="140" t="s">
        <v>280</v>
      </c>
      <c r="C396" s="65" t="str">
        <f>IF(ISBLANK(C389),  ,  IF(C391="Geo", (IF(($E$12 + C394) &lt; 0, (1 - (($E$12 + C394) / 200)), IF(($E$12 + C394) &gt; 75, (100 / (100 + (4 * ($E$12 + C394)))), (100 - ($E$12 + C394)) / 100))), IF(C391="Anemo", (IF(($E$13 + C394) &lt; 0, (1 - (($E$13 + C394) / 200)), IF(($E$13 + C394) &gt; 75, (100 / (100 + (4 * ($E$13 + C394)))), (100 - ($E$13 + C394)) / 100))), IF(C391="Cryo", (IF(($E$14 + C394) &lt; 0, (1 - (($E$14 + C394) / 200)), IF(($E$14 + C394) &gt; 75, (100 / (100 + (4 * ($E$14 + C394)))), (100 - ($E$14 + C394)) / 100))), IF(C391="Hydro", (IF(($E$15 + C394) &lt; 0, (1 - (($E$15 + C394) / 200)), IF(($E$15 + C394) &gt; 75, (100 / (100 + (4 * ($E$15 + C394)))), (100 - ($E$15 + C394)) / 100))), IF(C391="Pyro", (IF(($E$16 + C394) &lt; 0, (1 - (($E$16 + C394) / 200)), IF(($E$16 + C394) &gt; 75, (100 / (100 + (4 * ($E$16 + C394)))), (100 - ($E$16 + C394)) / 100))), IF(C391="Electro", (IF(($E$17 + C394) &lt; 0, (1 - (($E$17 + C394) / 200)), IF(($E$17 + C394) &gt; 75, (100 / (100 + (4 * ($E$17 + C394)))), (100 - ($E$17 + C394)) / 100))), IF(C391="Dendro", (IF(($E$18 + C394) &lt; 0, (1 - (($E$18 + C394) / 200)), IF(($E$18 + C394) &gt; 75, (100 / (100 + (4 * ($E$18 + C394)))), (100 - ($E$18 + C394)) / 100))), IF(C391="Physical", (IF(($E$19 + C394) &lt; 0, (1 - (($E$19 + C394) / 200)), IF(($E$19 + C394) &gt; 75, (100 / (100 + (4 * ($E$19 + C394)))), (100 - ($E$19 + C394)) / 100))), 0)))))))))</f>
        <v/>
      </c>
    </row>
    <row r="397">
      <c r="B397" s="140" t="s">
        <v>309</v>
      </c>
      <c r="C397" s="65" t="str">
        <f>IF(ISBLANK(C389), , 1 + (16 * ($J260 +C393 ) / (($J260 +C393 ) + 2000)) + IF(LEFT(C390, 5)="swirl", $J309%, IF(C390="overload", $J310%, IF(C390="superconduct", $J311%, IF(C390="electro-charged", $J312%, IF(C390="burning", $J313%, IF(C390 = "burgeon", $J315%, IF(C390 = "hyperbloom", $J316%, IF(C390 = "bloom", $J314%, 0))))   )))) + C395%)</f>
        <v/>
      </c>
    </row>
    <row r="398">
      <c r="B398" s="140" t="s">
        <v>310</v>
      </c>
      <c r="C398" s="65" t="str">
        <f>IF(ISBLANK(C389), , IF($O$6 = true, IF(OR(C390="burning", C390="burgeon", C390="bloom", C390="hyperbloom"), 0.2, 0), 0))</f>
        <v/>
      </c>
    </row>
    <row r="399">
      <c r="B399" s="140" t="s">
        <v>311</v>
      </c>
      <c r="C399" s="65" t="str">
        <f>IF(ISBLANK(C389), , IF($O$6 = true, 2, 1))</f>
        <v/>
      </c>
    </row>
    <row r="400">
      <c r="B400" s="140" t="s">
        <v>312</v>
      </c>
      <c r="C400" s="159" t="str">
        <f>IF(ISBLANK(C389), , ((C392 * C396)) * C397)</f>
        <v/>
      </c>
    </row>
    <row r="401">
      <c r="B401" s="140" t="s">
        <v>285</v>
      </c>
      <c r="C401" s="159" t="str">
        <f>IF(ISBLANK(C389), , C402 * C398 + C400 * (1 - C398))</f>
        <v/>
      </c>
    </row>
    <row r="402">
      <c r="B402" s="140" t="s">
        <v>313</v>
      </c>
      <c r="C402" s="159" t="str">
        <f>IF(ISBLANK(C389),  ,  C400  * C399)</f>
        <v/>
      </c>
    </row>
    <row r="403">
      <c r="B403" s="140" t="s">
        <v>287</v>
      </c>
      <c r="C403" s="65" t="str">
        <f>IF(ISBLANK(C389), , IF(LEFT(C390, 5)="swirl", IF(C391="Pyro", 2 * (1 +  (2.78 * ($J260 +C393 ) / (($J260 +C393 ) + 1400)) + $J318%), IF(C391="Cryo", 1.5 * (1 +  (2.78 * ($J260 +C393 ) / (($J260 +C393 ) + 1400)) + $J318%), 0)), ))</f>
        <v/>
      </c>
    </row>
    <row r="404">
      <c r="B404" s="140" t="s">
        <v>314</v>
      </c>
      <c r="C404" s="159" t="str">
        <f>IF(ISBLANK(C389),  ,  C403  * C400)</f>
        <v/>
      </c>
    </row>
    <row r="405">
      <c r="B405" s="140" t="s">
        <v>291</v>
      </c>
      <c r="C405" s="65" t="str">
        <f>IF(ISBLANK(C389), , IF(LEFT(C390, 5)="swirl", IF(C391="Pyro", 1.5 * (1 +  (2.78 * ($J260 +C393 ) / (($J260 +C393 ) + 1400)) + $J317%), IF(C391="Hydro", 2 * (1 +  (2.78 * ($J260 +C393 ) / (($J260 +C393 ) + 1400)) + $J317%), 0)), ))</f>
        <v/>
      </c>
    </row>
    <row r="406">
      <c r="B406" s="140" t="s">
        <v>315</v>
      </c>
      <c r="C406" s="159" t="str">
        <f>IF(ISBLANK(C389),  ,  C405  * C400)</f>
        <v/>
      </c>
    </row>
    <row r="407">
      <c r="B407" s="140" t="s">
        <v>295</v>
      </c>
      <c r="C407" s="65" t="str">
        <f>IF(ISBLANK(C389), , IF(C390 = "swirl (electro)", 1 + (5 * ($J260 + C393) / (($J260 + C393) + 1200)) + $J319%, 0))</f>
        <v/>
      </c>
    </row>
    <row r="408">
      <c r="B408" s="140" t="s">
        <v>296</v>
      </c>
      <c r="C408" s="65" t="str">
        <f>IF(ISBLANK(C389), , 1664 * C407)</f>
        <v/>
      </c>
    </row>
    <row r="409">
      <c r="B409" s="140" t="s">
        <v>316</v>
      </c>
      <c r="C409" s="159" t="str">
        <f>IF(ISBLANK(C389), , IF(C390 = "swirl (electro)", ((C392 * C397) + C408) * C396, 0))</f>
        <v/>
      </c>
    </row>
    <row r="411">
      <c r="A411" s="169"/>
      <c r="B411" s="170" t="str">
        <f>CONCAT(B5, CONCAT(" | ", CONCAT(C5, CONCAT(" | ", D5))))</f>
        <v> C0 |  R1 |   HP%/HP%/HP%</v>
      </c>
    </row>
    <row r="413">
      <c r="B413" s="107" t="s">
        <v>138</v>
      </c>
      <c r="C413" s="108">
        <f>IF(C416="KQM", 20 - (COUNTIF(I414:M414, "4*") * 2), IF(C416="Jam", 24 - (COUNTIF(I414:M414, "4*") * 2) - (COUNTIF(L415:M415, "EM") * 3) - (2 * (COUNTIF(M415, "CR%") + COUNTIF(M415, "CD%") + COUNTIF(M415, "HB%"))) - (2 * (COUNTIF(K415, "ER%") + COUNTIF(K415, "EM"))) - (IF(OR(L415 = "ATK%", L415 = "DEF%", L415 = "HP%", L415 = "EM"), 0, 2)), 25))</f>
        <v>20</v>
      </c>
      <c r="E413" s="109" t="s">
        <v>139</v>
      </c>
      <c r="F413" s="108">
        <v>90.0</v>
      </c>
      <c r="H413" s="110" t="s">
        <v>105</v>
      </c>
      <c r="I413" s="110" t="s">
        <v>140</v>
      </c>
      <c r="J413" s="110" t="s">
        <v>141</v>
      </c>
      <c r="K413" s="110" t="s">
        <v>142</v>
      </c>
      <c r="L413" s="110" t="s">
        <v>143</v>
      </c>
      <c r="M413" s="110" t="s">
        <v>144</v>
      </c>
    </row>
    <row r="414">
      <c r="B414" s="107" t="s">
        <v>145</v>
      </c>
      <c r="C414" s="108">
        <f>IF(C416="KQM", 10, IF(C416 = "Jam", 12 - (COUNTIF(L415:M415, "EM") * 2) - (1 * (COUNTIF(M415, "CR%") + COUNTIF(M415, "CD%") + COUNTIF(M415, "HB%"))) - (1 * (COUNTIF(K415, "ER%") + COUNTIF(K415, "EM"))) - (IF(OR(L415 = "ATK%", L415 = "DEF%", L415 = "HP%", L415 = "EM"), 0, 1)), 15))</f>
        <v>10</v>
      </c>
      <c r="E414" s="109" t="s">
        <v>146</v>
      </c>
      <c r="F414" s="111">
        <v>9.0</v>
      </c>
      <c r="H414" s="110" t="s">
        <v>147</v>
      </c>
      <c r="I414" s="112" t="s">
        <v>148</v>
      </c>
      <c r="J414" s="113" t="s">
        <v>148</v>
      </c>
      <c r="K414" s="113" t="s">
        <v>148</v>
      </c>
      <c r="L414" s="113" t="s">
        <v>148</v>
      </c>
      <c r="M414" s="114" t="s">
        <v>148</v>
      </c>
    </row>
    <row r="415">
      <c r="B415" s="107" t="s">
        <v>149</v>
      </c>
      <c r="C415" s="108">
        <f>IF(C416 = "KQM", IF(COUNTIF(I414:M414, "4*") &gt; 0, 0.8, 1), 1 - (COUNTIF(I414:M414, "4*") * 0.04))</f>
        <v>1</v>
      </c>
      <c r="E415" s="109" t="s">
        <v>150</v>
      </c>
      <c r="F415" s="111">
        <v>9.0</v>
      </c>
      <c r="H415" s="110" t="s">
        <v>151</v>
      </c>
      <c r="I415" s="115" t="s">
        <v>152</v>
      </c>
      <c r="J415" s="116" t="s">
        <v>153</v>
      </c>
      <c r="K415" s="117" t="s">
        <v>154</v>
      </c>
      <c r="L415" s="117" t="s">
        <v>154</v>
      </c>
      <c r="M415" s="118" t="s">
        <v>154</v>
      </c>
    </row>
    <row r="416">
      <c r="B416" s="107" t="s">
        <v>155</v>
      </c>
      <c r="C416" s="111" t="s">
        <v>156</v>
      </c>
      <c r="E416" s="109" t="s">
        <v>157</v>
      </c>
      <c r="F416" s="111">
        <v>9.0</v>
      </c>
      <c r="H416" s="110" t="s">
        <v>158</v>
      </c>
      <c r="I416" s="119">
        <f>IF(I414 = "5*", 311, 232)</f>
        <v>311</v>
      </c>
      <c r="J416" s="120">
        <f>IF(J414 = "5*", 4780, 3571)</f>
        <v>4780</v>
      </c>
      <c r="K416" s="121">
        <f>IF(K414 = "5*", IF(OR(K415 = "HP%", K415 = "ATK%"), 46.6, IF(K415 = "DEF%", 58.3, IF(K415 = "ER%", 51.8, IF(K415 = "EM", 187)))), IF(OR(K415 = "HP%", K415 = "ATK%"), 34.8, IF(K415 = "DEF%", 43.5, IF(K415 = "ER%", 38.7, IF(K415 = "EM", 139)))))</f>
        <v>46.6</v>
      </c>
      <c r="L416" s="121">
        <f>IF(L414 = "5*", IF(OR(L415 = "HP%", L415 = "ATK%"), 46.6, IF(L415 = "DEF%", 58.3, IF(L415 = "Phys%", 58.3, IF(L415 = "EM", 187, 46.6)))), IF(OR(L415 = "HP%", L415 = "ATK%"), 34.8, IF(L415 = "DEF%", 43.5, IF(L415 = "Phys%", 43.5, IF(L415 = "EM", 139, 34.8)))))</f>
        <v>46.6</v>
      </c>
      <c r="M416" s="122">
        <f>IF(M414 = "5*", IF(OR(M415 = "HP%", M415 = "ATK%"), 46.6, IF(M415 = "DEF%", 58.3, IF(M415 = "EM", 187, IF(M415 = "CR%", 31.1, IF(M415 = "CD%", 62.2, 35.9))))), IF(OR(M415 = "HP%", M415 = "ATK%"), 34.8, IF(M415 = "DEF%", 45.3, IF(M415 = "EM", 139, IF(M415 = "CR%", 23.2, IF(M415 = "CD%", 46.4, 26.8))))))</f>
        <v>46.6</v>
      </c>
    </row>
    <row r="417">
      <c r="B417" s="123"/>
    </row>
    <row r="418">
      <c r="B418" s="110" t="s">
        <v>159</v>
      </c>
      <c r="C418" s="110" t="s">
        <v>152</v>
      </c>
      <c r="D418" s="110" t="s">
        <v>160</v>
      </c>
      <c r="E418" s="110" t="s">
        <v>153</v>
      </c>
      <c r="F418" s="110" t="s">
        <v>154</v>
      </c>
      <c r="G418" s="110" t="s">
        <v>120</v>
      </c>
      <c r="H418" s="110" t="s">
        <v>161</v>
      </c>
      <c r="I418" s="110" t="s">
        <v>162</v>
      </c>
      <c r="J418" s="110" t="s">
        <v>163</v>
      </c>
      <c r="K418" s="110" t="s">
        <v>164</v>
      </c>
      <c r="L418" s="110" t="s">
        <v>165</v>
      </c>
      <c r="M418" s="124" t="s">
        <v>73</v>
      </c>
    </row>
    <row r="419">
      <c r="B419" s="110" t="s">
        <v>166</v>
      </c>
      <c r="C419" s="125">
        <f>ROUND(16.54 * $C415, 2)</f>
        <v>16.54</v>
      </c>
      <c r="D419" s="125">
        <f>ROUND(4.96 * $C415, 2)</f>
        <v>4.96</v>
      </c>
      <c r="E419" s="125">
        <f>ROUND(253.94 * $C415, 2)</f>
        <v>253.94</v>
      </c>
      <c r="F419" s="125">
        <f>ROUND(4.96 * $C415, 2)</f>
        <v>4.96</v>
      </c>
      <c r="G419" s="125">
        <f>ROUND(19.68 * $C415, 2)</f>
        <v>19.68</v>
      </c>
      <c r="H419" s="125">
        <f>ROUND(6.2 * $C415, 2)</f>
        <v>6.2</v>
      </c>
      <c r="I419" s="125">
        <f>ROUND(3.31 * $C415, 2)</f>
        <v>3.31</v>
      </c>
      <c r="J419" s="125">
        <f>ROUND(6.62 * $C415, 2)</f>
        <v>6.62</v>
      </c>
      <c r="K419" s="125">
        <f>ROUND(5.51 * $C415, 2)</f>
        <v>5.51</v>
      </c>
      <c r="L419" s="125">
        <f>ROUND(19.82 * $C415, 2)</f>
        <v>19.82</v>
      </c>
      <c r="M419" s="126"/>
    </row>
    <row r="420">
      <c r="B420" s="110" t="s">
        <v>167</v>
      </c>
      <c r="C420" s="125">
        <f t="shared" ref="C420:L420" si="94">IF(OR($C416="KQM", $C416="Jam"), 2, 0)</f>
        <v>2</v>
      </c>
      <c r="D420" s="125">
        <f t="shared" si="94"/>
        <v>2</v>
      </c>
      <c r="E420" s="125">
        <f t="shared" si="94"/>
        <v>2</v>
      </c>
      <c r="F420" s="125">
        <f t="shared" si="94"/>
        <v>2</v>
      </c>
      <c r="G420" s="125">
        <f t="shared" si="94"/>
        <v>2</v>
      </c>
      <c r="H420" s="125">
        <f t="shared" si="94"/>
        <v>2</v>
      </c>
      <c r="I420" s="125">
        <f t="shared" si="94"/>
        <v>2</v>
      </c>
      <c r="J420" s="125">
        <f t="shared" si="94"/>
        <v>2</v>
      </c>
      <c r="K420" s="125">
        <f t="shared" si="94"/>
        <v>2</v>
      </c>
      <c r="L420" s="125">
        <f t="shared" si="94"/>
        <v>2</v>
      </c>
      <c r="M420" s="127">
        <f>SUM(C420:L420)</f>
        <v>20</v>
      </c>
    </row>
    <row r="421">
      <c r="B421" s="110" t="s">
        <v>168</v>
      </c>
      <c r="C421" s="171">
        <f t="shared" ref="C421:L421" si="95">$C414 - (COUNTIF($I415:$M415, C418) * 2)</f>
        <v>8</v>
      </c>
      <c r="D421" s="171">
        <f t="shared" si="95"/>
        <v>10</v>
      </c>
      <c r="E421" s="171">
        <f t="shared" si="95"/>
        <v>8</v>
      </c>
      <c r="F421" s="171">
        <f t="shared" si="95"/>
        <v>4</v>
      </c>
      <c r="G421" s="171">
        <f t="shared" si="95"/>
        <v>10</v>
      </c>
      <c r="H421" s="171">
        <f t="shared" si="95"/>
        <v>10</v>
      </c>
      <c r="I421" s="171">
        <f t="shared" si="95"/>
        <v>10</v>
      </c>
      <c r="J421" s="171">
        <f t="shared" si="95"/>
        <v>10</v>
      </c>
      <c r="K421" s="171">
        <f t="shared" si="95"/>
        <v>10</v>
      </c>
      <c r="L421" s="171">
        <f t="shared" si="95"/>
        <v>10</v>
      </c>
      <c r="M421" s="108">
        <f>C413</f>
        <v>20</v>
      </c>
    </row>
    <row r="422">
      <c r="B422" s="110" t="s">
        <v>169</v>
      </c>
      <c r="C422" s="162">
        <v>0.0</v>
      </c>
      <c r="D422" s="163">
        <v>0.0</v>
      </c>
      <c r="E422" s="163">
        <v>0.0</v>
      </c>
      <c r="F422" s="163">
        <v>0.0</v>
      </c>
      <c r="G422" s="162">
        <v>0.0</v>
      </c>
      <c r="H422" s="162">
        <v>0.0</v>
      </c>
      <c r="I422" s="163">
        <v>0.0</v>
      </c>
      <c r="J422" s="163">
        <v>0.0</v>
      </c>
      <c r="K422" s="163">
        <v>0.0</v>
      </c>
      <c r="L422" s="163">
        <v>0.0</v>
      </c>
      <c r="M422" s="164">
        <f>SUM(C422:L422)</f>
        <v>0</v>
      </c>
    </row>
    <row r="423">
      <c r="B423" s="110" t="s">
        <v>73</v>
      </c>
      <c r="C423" s="125">
        <f t="shared" ref="C423:M423" si="96">C420 + C422</f>
        <v>2</v>
      </c>
      <c r="D423" s="125">
        <f t="shared" si="96"/>
        <v>2</v>
      </c>
      <c r="E423" s="125">
        <f t="shared" si="96"/>
        <v>2</v>
      </c>
      <c r="F423" s="125">
        <f t="shared" si="96"/>
        <v>2</v>
      </c>
      <c r="G423" s="125">
        <f t="shared" si="96"/>
        <v>2</v>
      </c>
      <c r="H423" s="125">
        <f t="shared" si="96"/>
        <v>2</v>
      </c>
      <c r="I423" s="125">
        <f t="shared" si="96"/>
        <v>2</v>
      </c>
      <c r="J423" s="125">
        <f t="shared" si="96"/>
        <v>2</v>
      </c>
      <c r="K423" s="125">
        <f t="shared" si="96"/>
        <v>2</v>
      </c>
      <c r="L423" s="125">
        <f t="shared" si="96"/>
        <v>2</v>
      </c>
      <c r="M423" s="165">
        <f t="shared" si="96"/>
        <v>20</v>
      </c>
    </row>
    <row r="424">
      <c r="B424" s="110" t="s">
        <v>170</v>
      </c>
      <c r="C424" s="172">
        <f t="shared" ref="C424:L424" si="97">ROUND(C419 * C423, 2)</f>
        <v>33.08</v>
      </c>
      <c r="D424" s="172">
        <f t="shared" si="97"/>
        <v>9.92</v>
      </c>
      <c r="E424" s="172">
        <f t="shared" si="97"/>
        <v>507.88</v>
      </c>
      <c r="F424" s="172">
        <f t="shared" si="97"/>
        <v>9.92</v>
      </c>
      <c r="G424" s="172">
        <f t="shared" si="97"/>
        <v>39.36</v>
      </c>
      <c r="H424" s="172">
        <f t="shared" si="97"/>
        <v>12.4</v>
      </c>
      <c r="I424" s="172">
        <f t="shared" si="97"/>
        <v>6.62</v>
      </c>
      <c r="J424" s="172">
        <f t="shared" si="97"/>
        <v>13.24</v>
      </c>
      <c r="K424" s="172">
        <f t="shared" si="97"/>
        <v>11.02</v>
      </c>
      <c r="L424" s="173">
        <f t="shared" si="97"/>
        <v>39.64</v>
      </c>
      <c r="M424" s="134"/>
    </row>
    <row r="426">
      <c r="B426" s="135" t="s">
        <v>171</v>
      </c>
      <c r="C426" s="135" t="s">
        <v>68</v>
      </c>
      <c r="D426" s="135" t="s">
        <v>69</v>
      </c>
      <c r="E426" s="135" t="s">
        <v>172</v>
      </c>
      <c r="F426" s="135" t="s">
        <v>173</v>
      </c>
      <c r="G426" s="135" t="s">
        <v>174</v>
      </c>
      <c r="H426" s="135" t="s">
        <v>175</v>
      </c>
      <c r="I426" s="135" t="s">
        <v>176</v>
      </c>
      <c r="J426" s="135" t="s">
        <v>73</v>
      </c>
      <c r="L426" s="135" t="s">
        <v>177</v>
      </c>
      <c r="M426" s="135" t="s">
        <v>152</v>
      </c>
      <c r="N426" s="135" t="s">
        <v>120</v>
      </c>
      <c r="O426" s="135" t="s">
        <v>153</v>
      </c>
      <c r="P426" s="135" t="s">
        <v>165</v>
      </c>
    </row>
    <row r="427">
      <c r="B427" s="136" t="s">
        <v>178</v>
      </c>
      <c r="C427" s="137"/>
      <c r="D427" s="137"/>
      <c r="E427" s="137"/>
      <c r="F427" s="138" t="s">
        <v>179</v>
      </c>
      <c r="G427" s="166"/>
      <c r="H427" s="167"/>
      <c r="I427" s="166"/>
      <c r="J427" s="139"/>
      <c r="L427" s="140" t="s">
        <v>180</v>
      </c>
      <c r="M427" s="141"/>
      <c r="N427" s="142"/>
      <c r="O427" s="142"/>
      <c r="P427" s="143"/>
    </row>
    <row r="428">
      <c r="B428" s="144" t="b">
        <v>0</v>
      </c>
      <c r="C428" s="137" t="s">
        <v>181</v>
      </c>
      <c r="D428" s="137" t="s">
        <v>182</v>
      </c>
      <c r="E428" s="137"/>
      <c r="F428" s="37"/>
      <c r="G428" s="37"/>
      <c r="H428" s="37"/>
      <c r="I428" s="37"/>
      <c r="J428" s="37"/>
      <c r="L428" s="140" t="s">
        <v>183</v>
      </c>
      <c r="M428" s="145"/>
      <c r="N428" s="65"/>
      <c r="O428" s="65"/>
      <c r="P428" s="146"/>
    </row>
    <row r="429">
      <c r="B429" s="140" t="s">
        <v>152</v>
      </c>
      <c r="C429" s="58"/>
      <c r="D429" s="58"/>
      <c r="E429" s="65"/>
      <c r="F429" s="58">
        <f>I416 + C424</f>
        <v>344.08</v>
      </c>
      <c r="G429" s="70"/>
      <c r="H429" s="65">
        <f>ROUND((C429 + D429) * (1 + J430%) + E429 + F429 + G429, 0)</f>
        <v>344</v>
      </c>
      <c r="I429" s="147"/>
      <c r="J429" s="148">
        <f t="shared" ref="J429:J433" si="98">H429+I429</f>
        <v>344</v>
      </c>
      <c r="L429" s="140" t="s">
        <v>184</v>
      </c>
      <c r="M429" s="145"/>
      <c r="N429" s="65"/>
      <c r="O429" s="65"/>
      <c r="P429" s="146"/>
    </row>
    <row r="430">
      <c r="B430" s="140" t="s">
        <v>160</v>
      </c>
      <c r="C430" s="58"/>
      <c r="D430" s="58"/>
      <c r="E430" s="65"/>
      <c r="F430" s="58">
        <f>D424 + (IF(K415 = "ATK%", K416)) + (IF(L415 = "ATK%", L416)) + (IF(M415 = "ATK%", M416))</f>
        <v>9.92</v>
      </c>
      <c r="G430" s="71"/>
      <c r="H430" s="65">
        <f>sum(C430:G430)</f>
        <v>9.92</v>
      </c>
      <c r="I430" s="65"/>
      <c r="J430" s="148">
        <f t="shared" si="98"/>
        <v>9.92</v>
      </c>
      <c r="L430" s="140" t="s">
        <v>185</v>
      </c>
      <c r="M430" s="149"/>
      <c r="N430" s="65"/>
      <c r="O430" s="65"/>
      <c r="P430" s="146"/>
    </row>
    <row r="431">
      <c r="B431" s="140" t="s">
        <v>162</v>
      </c>
      <c r="C431" s="58"/>
      <c r="D431" s="58"/>
      <c r="E431" s="65"/>
      <c r="F431" s="65">
        <f>I424 + IF(M415 = "CR%", M416)</f>
        <v>6.62</v>
      </c>
      <c r="G431" s="70"/>
      <c r="H431" s="65">
        <f t="shared" ref="H431:H432" si="99">C431 + D431 + E431 + F431 + G431</f>
        <v>6.62</v>
      </c>
      <c r="I431" s="65"/>
      <c r="J431" s="148">
        <f t="shared" si="98"/>
        <v>6.62</v>
      </c>
      <c r="L431" s="140" t="s">
        <v>186</v>
      </c>
      <c r="M431" s="150"/>
      <c r="N431" s="151"/>
      <c r="O431" s="151"/>
      <c r="P431" s="152"/>
    </row>
    <row r="432">
      <c r="B432" s="140" t="s">
        <v>163</v>
      </c>
      <c r="C432" s="58"/>
      <c r="D432" s="58"/>
      <c r="E432" s="65"/>
      <c r="F432" s="65">
        <f>J424 + IF(M415 = "CD%", M416)</f>
        <v>13.24</v>
      </c>
      <c r="G432" s="70"/>
      <c r="H432" s="65">
        <f t="shared" si="99"/>
        <v>13.24</v>
      </c>
      <c r="I432" s="65"/>
      <c r="J432" s="148">
        <f t="shared" si="98"/>
        <v>13.24</v>
      </c>
    </row>
    <row r="433">
      <c r="B433" s="140" t="s">
        <v>120</v>
      </c>
      <c r="C433" s="58"/>
      <c r="D433" s="58"/>
      <c r="E433" s="65"/>
      <c r="F433" s="58">
        <f>G424</f>
        <v>39.36</v>
      </c>
      <c r="G433" s="70"/>
      <c r="H433" s="65">
        <f>ROUND((C433) * (1 + J434%) + D433 + E433 + F433 + G433, 0)</f>
        <v>39</v>
      </c>
      <c r="I433" s="65"/>
      <c r="J433" s="148">
        <f t="shared" si="98"/>
        <v>39</v>
      </c>
      <c r="L433" s="45" t="s">
        <v>187</v>
      </c>
      <c r="M433" s="153"/>
    </row>
    <row r="434">
      <c r="B434" s="140" t="s">
        <v>161</v>
      </c>
      <c r="C434" s="58"/>
      <c r="D434" s="58"/>
      <c r="E434" s="65"/>
      <c r="F434" s="58">
        <f>H424 + (IF(K415 = "DEF%", K416)) + (IF(L415 = "DEF%", L416)) + (IF(M415 = "DEF%", M416))</f>
        <v>12.4</v>
      </c>
      <c r="G434" s="70"/>
      <c r="H434" s="65">
        <f t="shared" ref="H434:H435" si="100">sum(C434:G434)</f>
        <v>12.4</v>
      </c>
      <c r="I434" s="65"/>
      <c r="J434" s="148">
        <f>H434 + I434</f>
        <v>12.4</v>
      </c>
      <c r="L434" s="45" t="s">
        <v>108</v>
      </c>
      <c r="M434" s="168"/>
    </row>
    <row r="435">
      <c r="B435" s="140" t="s">
        <v>164</v>
      </c>
      <c r="C435" s="58"/>
      <c r="D435" s="58"/>
      <c r="E435" s="65"/>
      <c r="F435" s="58">
        <f>K424 + IF(K415 = "ER%", K416)</f>
        <v>11.02</v>
      </c>
      <c r="G435" s="70"/>
      <c r="H435" s="65">
        <f t="shared" si="100"/>
        <v>11.02</v>
      </c>
      <c r="I435" s="65"/>
      <c r="J435" s="148">
        <f t="shared" ref="J435:J437" si="101">H435+I435</f>
        <v>11.02</v>
      </c>
    </row>
    <row r="436">
      <c r="B436" s="140" t="s">
        <v>165</v>
      </c>
      <c r="C436" s="58"/>
      <c r="D436" s="58"/>
      <c r="E436" s="65"/>
      <c r="F436" s="58">
        <f>L424 +  (IF(K415 = "EM", K416)) + (IF(L415 = "EM", L416)) + (IF(M415 = "EM", M416))</f>
        <v>39.64</v>
      </c>
      <c r="G436" s="70"/>
      <c r="H436" s="65">
        <f>ROUND(sum(C436:G436),0)</f>
        <v>40</v>
      </c>
      <c r="I436" s="65"/>
      <c r="J436" s="148">
        <f t="shared" si="101"/>
        <v>40</v>
      </c>
      <c r="L436" s="154" t="s">
        <v>188</v>
      </c>
      <c r="M436" s="17"/>
    </row>
    <row r="437">
      <c r="B437" s="140" t="s">
        <v>153</v>
      </c>
      <c r="C437" s="58"/>
      <c r="D437" s="58"/>
      <c r="E437" s="65"/>
      <c r="F437" s="58">
        <f>E424 + J416</f>
        <v>5287.88</v>
      </c>
      <c r="G437" s="70"/>
      <c r="H437" s="65">
        <f>ROUND((C437) * (1 + J438%) + SUM(D437:G437), 0)</f>
        <v>5288</v>
      </c>
      <c r="I437" s="65"/>
      <c r="J437" s="148">
        <f t="shared" si="101"/>
        <v>5288</v>
      </c>
      <c r="L437" s="28"/>
      <c r="M437" s="14"/>
    </row>
    <row r="438">
      <c r="B438" s="140" t="s">
        <v>154</v>
      </c>
      <c r="C438" s="58"/>
      <c r="D438" s="58"/>
      <c r="E438" s="65"/>
      <c r="F438" s="58">
        <f>F424 + (IF(K415 = "HP%", K416)) + (IF(L415 = "HP%", L416)) + (IF(M415 = "HP%", M416))</f>
        <v>149.72</v>
      </c>
      <c r="G438" s="70"/>
      <c r="H438" s="65">
        <f t="shared" ref="H438:H498" si="102">sum(C438:G438)</f>
        <v>149.72</v>
      </c>
      <c r="I438" s="65"/>
      <c r="J438" s="148">
        <f>H438 + I438</f>
        <v>149.72</v>
      </c>
    </row>
    <row r="439">
      <c r="B439" s="140" t="s">
        <v>189</v>
      </c>
      <c r="C439" s="58"/>
      <c r="D439" s="58"/>
      <c r="E439" s="65"/>
      <c r="F439" s="65">
        <f>IF(L415="Geo%", L416, 0)</f>
        <v>0</v>
      </c>
      <c r="G439" s="70"/>
      <c r="H439" s="65">
        <f t="shared" si="102"/>
        <v>0</v>
      </c>
      <c r="I439" s="65"/>
      <c r="J439" s="148">
        <f t="shared" ref="J439:J498" si="103">H439+I439</f>
        <v>0</v>
      </c>
    </row>
    <row r="440">
      <c r="B440" s="140" t="s">
        <v>190</v>
      </c>
      <c r="C440" s="58"/>
      <c r="D440" s="58"/>
      <c r="E440" s="65"/>
      <c r="F440" s="65">
        <f>IF(L415="Cryo%", L416, 0)</f>
        <v>0</v>
      </c>
      <c r="G440" s="70"/>
      <c r="H440" s="65">
        <f t="shared" si="102"/>
        <v>0</v>
      </c>
      <c r="I440" s="65"/>
      <c r="J440" s="148">
        <f t="shared" si="103"/>
        <v>0</v>
      </c>
    </row>
    <row r="441">
      <c r="B441" s="140" t="s">
        <v>191</v>
      </c>
      <c r="C441" s="58"/>
      <c r="D441" s="58"/>
      <c r="E441" s="65"/>
      <c r="F441" s="65">
        <f>IF(L415="Anemo%", L416, 0)</f>
        <v>0</v>
      </c>
      <c r="G441" s="70"/>
      <c r="H441" s="65">
        <f t="shared" si="102"/>
        <v>0</v>
      </c>
      <c r="I441" s="65"/>
      <c r="J441" s="148">
        <f t="shared" si="103"/>
        <v>0</v>
      </c>
    </row>
    <row r="442">
      <c r="B442" s="140" t="s">
        <v>192</v>
      </c>
      <c r="C442" s="58"/>
      <c r="D442" s="58"/>
      <c r="E442" s="65"/>
      <c r="F442" s="65">
        <f>IF(L415="Hydro%", L416, 0)</f>
        <v>0</v>
      </c>
      <c r="G442" s="70"/>
      <c r="H442" s="65">
        <f t="shared" si="102"/>
        <v>0</v>
      </c>
      <c r="I442" s="65"/>
      <c r="J442" s="148">
        <f t="shared" si="103"/>
        <v>0</v>
      </c>
    </row>
    <row r="443">
      <c r="B443" s="140" t="s">
        <v>193</v>
      </c>
      <c r="C443" s="58"/>
      <c r="D443" s="58"/>
      <c r="E443" s="65"/>
      <c r="F443" s="65">
        <f>IF(L415="Pyro%", L416, 0)</f>
        <v>0</v>
      </c>
      <c r="G443" s="70"/>
      <c r="H443" s="65">
        <f t="shared" si="102"/>
        <v>0</v>
      </c>
      <c r="I443" s="65"/>
      <c r="J443" s="148">
        <f t="shared" si="103"/>
        <v>0</v>
      </c>
    </row>
    <row r="444">
      <c r="B444" s="140" t="s">
        <v>194</v>
      </c>
      <c r="C444" s="58"/>
      <c r="D444" s="58"/>
      <c r="E444" s="65"/>
      <c r="F444" s="65">
        <f>IF(L415="Electro%", L416, 0)</f>
        <v>0</v>
      </c>
      <c r="G444" s="70"/>
      <c r="H444" s="65">
        <f t="shared" si="102"/>
        <v>0</v>
      </c>
      <c r="I444" s="65"/>
      <c r="J444" s="148">
        <f t="shared" si="103"/>
        <v>0</v>
      </c>
    </row>
    <row r="445">
      <c r="B445" s="140" t="s">
        <v>195</v>
      </c>
      <c r="C445" s="58"/>
      <c r="D445" s="58"/>
      <c r="E445" s="65"/>
      <c r="F445" s="65">
        <f>IF(L415="Dendro%", L416, 0)</f>
        <v>0</v>
      </c>
      <c r="G445" s="70"/>
      <c r="H445" s="65">
        <f t="shared" si="102"/>
        <v>0</v>
      </c>
      <c r="I445" s="65"/>
      <c r="J445" s="148">
        <f t="shared" si="103"/>
        <v>0</v>
      </c>
    </row>
    <row r="446">
      <c r="B446" s="140" t="s">
        <v>196</v>
      </c>
      <c r="C446" s="58"/>
      <c r="D446" s="58"/>
      <c r="E446" s="65"/>
      <c r="F446" s="65">
        <f>IF(L415="Phys%", L416, 0)</f>
        <v>0</v>
      </c>
      <c r="G446" s="70"/>
      <c r="H446" s="65">
        <f t="shared" si="102"/>
        <v>0</v>
      </c>
      <c r="I446" s="65"/>
      <c r="J446" s="148">
        <f t="shared" si="103"/>
        <v>0</v>
      </c>
    </row>
    <row r="447">
      <c r="B447" s="140" t="s">
        <v>197</v>
      </c>
      <c r="C447" s="58"/>
      <c r="D447" s="58"/>
      <c r="E447" s="65"/>
      <c r="F447" s="65">
        <f>IF(M415="HB%", M416, 0)</f>
        <v>0</v>
      </c>
      <c r="G447" s="70"/>
      <c r="H447" s="65">
        <f t="shared" si="102"/>
        <v>0</v>
      </c>
      <c r="I447" s="65"/>
      <c r="J447" s="148">
        <f t="shared" si="103"/>
        <v>0</v>
      </c>
    </row>
    <row r="448">
      <c r="B448" s="140" t="s">
        <v>198</v>
      </c>
      <c r="C448" s="58"/>
      <c r="D448" s="58"/>
      <c r="E448" s="65"/>
      <c r="F448" s="58">
        <v>0.0</v>
      </c>
      <c r="G448" s="70"/>
      <c r="H448" s="65">
        <f t="shared" si="102"/>
        <v>0</v>
      </c>
      <c r="I448" s="65"/>
      <c r="J448" s="148">
        <f t="shared" si="103"/>
        <v>0</v>
      </c>
    </row>
    <row r="449">
      <c r="B449" s="140" t="s">
        <v>199</v>
      </c>
      <c r="C449" s="58"/>
      <c r="D449" s="58"/>
      <c r="E449" s="65"/>
      <c r="F449" s="65">
        <v>0.0</v>
      </c>
      <c r="G449" s="70"/>
      <c r="H449" s="65">
        <f t="shared" si="102"/>
        <v>0</v>
      </c>
      <c r="I449" s="65"/>
      <c r="J449" s="148">
        <f t="shared" si="103"/>
        <v>0</v>
      </c>
    </row>
    <row r="450">
      <c r="B450" s="140" t="s">
        <v>200</v>
      </c>
      <c r="C450" s="58"/>
      <c r="D450" s="58"/>
      <c r="E450" s="65"/>
      <c r="F450" s="65">
        <v>0.0</v>
      </c>
      <c r="G450" s="70"/>
      <c r="H450" s="65">
        <f t="shared" si="102"/>
        <v>0</v>
      </c>
      <c r="I450" s="65"/>
      <c r="J450" s="148">
        <f t="shared" si="103"/>
        <v>0</v>
      </c>
    </row>
    <row r="451">
      <c r="B451" s="140" t="s">
        <v>201</v>
      </c>
      <c r="C451" s="58"/>
      <c r="D451" s="58"/>
      <c r="E451" s="65"/>
      <c r="F451" s="65">
        <v>0.0</v>
      </c>
      <c r="G451" s="70"/>
      <c r="H451" s="65">
        <f t="shared" si="102"/>
        <v>0</v>
      </c>
      <c r="I451" s="65"/>
      <c r="J451" s="148">
        <f t="shared" si="103"/>
        <v>0</v>
      </c>
    </row>
    <row r="452">
      <c r="B452" s="140" t="s">
        <v>202</v>
      </c>
      <c r="C452" s="58"/>
      <c r="D452" s="58"/>
      <c r="E452" s="65"/>
      <c r="F452" s="65">
        <v>0.0</v>
      </c>
      <c r="G452" s="70"/>
      <c r="H452" s="65">
        <f t="shared" si="102"/>
        <v>0</v>
      </c>
      <c r="I452" s="65"/>
      <c r="J452" s="148">
        <f t="shared" si="103"/>
        <v>0</v>
      </c>
    </row>
    <row r="453">
      <c r="B453" s="140" t="s">
        <v>203</v>
      </c>
      <c r="C453" s="58"/>
      <c r="D453" s="58"/>
      <c r="E453" s="65"/>
      <c r="F453" s="65">
        <v>0.0</v>
      </c>
      <c r="G453" s="70"/>
      <c r="H453" s="65">
        <f t="shared" si="102"/>
        <v>0</v>
      </c>
      <c r="I453" s="65"/>
      <c r="J453" s="148">
        <f t="shared" si="103"/>
        <v>0</v>
      </c>
    </row>
    <row r="454">
      <c r="B454" s="140" t="s">
        <v>204</v>
      </c>
      <c r="C454" s="58"/>
      <c r="D454" s="58"/>
      <c r="E454" s="65"/>
      <c r="F454" s="65">
        <v>0.0</v>
      </c>
      <c r="G454" s="70"/>
      <c r="H454" s="65">
        <f t="shared" si="102"/>
        <v>0</v>
      </c>
      <c r="I454" s="65"/>
      <c r="J454" s="148">
        <f t="shared" si="103"/>
        <v>0</v>
      </c>
    </row>
    <row r="455">
      <c r="B455" s="140" t="s">
        <v>205</v>
      </c>
      <c r="C455" s="58"/>
      <c r="D455" s="58"/>
      <c r="E455" s="65"/>
      <c r="F455" s="65">
        <v>0.0</v>
      </c>
      <c r="G455" s="70"/>
      <c r="H455" s="65">
        <f t="shared" si="102"/>
        <v>0</v>
      </c>
      <c r="I455" s="65"/>
      <c r="J455" s="148">
        <f t="shared" si="103"/>
        <v>0</v>
      </c>
    </row>
    <row r="456">
      <c r="B456" s="140" t="s">
        <v>206</v>
      </c>
      <c r="C456" s="58"/>
      <c r="D456" s="58"/>
      <c r="E456" s="65"/>
      <c r="F456" s="65">
        <v>0.0</v>
      </c>
      <c r="G456" s="70"/>
      <c r="H456" s="65">
        <f t="shared" si="102"/>
        <v>0</v>
      </c>
      <c r="I456" s="65"/>
      <c r="J456" s="148">
        <f t="shared" si="103"/>
        <v>0</v>
      </c>
    </row>
    <row r="457">
      <c r="B457" s="140" t="s">
        <v>207</v>
      </c>
      <c r="C457" s="58"/>
      <c r="D457" s="58"/>
      <c r="E457" s="65"/>
      <c r="F457" s="65">
        <v>0.0</v>
      </c>
      <c r="G457" s="70"/>
      <c r="H457" s="65">
        <f t="shared" si="102"/>
        <v>0</v>
      </c>
      <c r="I457" s="65"/>
      <c r="J457" s="148">
        <f t="shared" si="103"/>
        <v>0</v>
      </c>
    </row>
    <row r="458">
      <c r="B458" s="140" t="s">
        <v>208</v>
      </c>
      <c r="C458" s="58"/>
      <c r="D458" s="58"/>
      <c r="E458" s="65"/>
      <c r="F458" s="65">
        <v>0.0</v>
      </c>
      <c r="G458" s="70"/>
      <c r="H458" s="65">
        <f t="shared" si="102"/>
        <v>0</v>
      </c>
      <c r="I458" s="65"/>
      <c r="J458" s="148">
        <f t="shared" si="103"/>
        <v>0</v>
      </c>
    </row>
    <row r="459">
      <c r="B459" s="140" t="s">
        <v>209</v>
      </c>
      <c r="C459" s="58"/>
      <c r="D459" s="58"/>
      <c r="E459" s="65"/>
      <c r="F459" s="65">
        <v>0.0</v>
      </c>
      <c r="G459" s="70"/>
      <c r="H459" s="65">
        <f t="shared" si="102"/>
        <v>0</v>
      </c>
      <c r="I459" s="65"/>
      <c r="J459" s="148">
        <f t="shared" si="103"/>
        <v>0</v>
      </c>
    </row>
    <row r="460">
      <c r="B460" s="140" t="s">
        <v>210</v>
      </c>
      <c r="C460" s="58"/>
      <c r="D460" s="58"/>
      <c r="E460" s="65"/>
      <c r="F460" s="65">
        <v>0.0</v>
      </c>
      <c r="G460" s="70"/>
      <c r="H460" s="65">
        <f t="shared" si="102"/>
        <v>0</v>
      </c>
      <c r="I460" s="65"/>
      <c r="J460" s="148">
        <f t="shared" si="103"/>
        <v>0</v>
      </c>
    </row>
    <row r="461">
      <c r="B461" s="140" t="s">
        <v>211</v>
      </c>
      <c r="C461" s="58"/>
      <c r="D461" s="58"/>
      <c r="E461" s="65"/>
      <c r="F461" s="65">
        <v>0.0</v>
      </c>
      <c r="G461" s="70"/>
      <c r="H461" s="65">
        <f t="shared" si="102"/>
        <v>0</v>
      </c>
      <c r="I461" s="65"/>
      <c r="J461" s="148">
        <f t="shared" si="103"/>
        <v>0</v>
      </c>
    </row>
    <row r="462">
      <c r="B462" s="140" t="s">
        <v>212</v>
      </c>
      <c r="C462" s="58"/>
      <c r="D462" s="58"/>
      <c r="E462" s="65"/>
      <c r="F462" s="58">
        <v>0.0</v>
      </c>
      <c r="G462" s="70"/>
      <c r="H462" s="65">
        <f t="shared" si="102"/>
        <v>0</v>
      </c>
      <c r="I462" s="65"/>
      <c r="J462" s="148">
        <f t="shared" si="103"/>
        <v>0</v>
      </c>
    </row>
    <row r="463">
      <c r="B463" s="140" t="s">
        <v>213</v>
      </c>
      <c r="C463" s="58"/>
      <c r="D463" s="58"/>
      <c r="E463" s="65"/>
      <c r="F463" s="65">
        <v>0.0</v>
      </c>
      <c r="G463" s="70"/>
      <c r="H463" s="65">
        <f t="shared" si="102"/>
        <v>0</v>
      </c>
      <c r="I463" s="65"/>
      <c r="J463" s="148">
        <f t="shared" si="103"/>
        <v>0</v>
      </c>
    </row>
    <row r="464">
      <c r="B464" s="140" t="s">
        <v>214</v>
      </c>
      <c r="C464" s="58"/>
      <c r="D464" s="58"/>
      <c r="E464" s="65"/>
      <c r="F464" s="65">
        <v>0.0</v>
      </c>
      <c r="G464" s="70"/>
      <c r="H464" s="65">
        <f t="shared" si="102"/>
        <v>0</v>
      </c>
      <c r="I464" s="65"/>
      <c r="J464" s="148">
        <f t="shared" si="103"/>
        <v>0</v>
      </c>
    </row>
    <row r="465">
      <c r="B465" s="140" t="s">
        <v>215</v>
      </c>
      <c r="C465" s="58"/>
      <c r="D465" s="58"/>
      <c r="E465" s="65"/>
      <c r="F465" s="65">
        <v>0.0</v>
      </c>
      <c r="G465" s="70"/>
      <c r="H465" s="65">
        <f t="shared" si="102"/>
        <v>0</v>
      </c>
      <c r="I465" s="65"/>
      <c r="J465" s="148">
        <f t="shared" si="103"/>
        <v>0</v>
      </c>
    </row>
    <row r="466">
      <c r="B466" s="140" t="s">
        <v>216</v>
      </c>
      <c r="C466" s="58"/>
      <c r="D466" s="58"/>
      <c r="E466" s="65"/>
      <c r="F466" s="65">
        <v>0.0</v>
      </c>
      <c r="G466" s="70"/>
      <c r="H466" s="65">
        <f t="shared" si="102"/>
        <v>0</v>
      </c>
      <c r="I466" s="65"/>
      <c r="J466" s="148">
        <f t="shared" si="103"/>
        <v>0</v>
      </c>
    </row>
    <row r="467">
      <c r="B467" s="140" t="s">
        <v>217</v>
      </c>
      <c r="C467" s="58"/>
      <c r="D467" s="58"/>
      <c r="E467" s="65"/>
      <c r="F467" s="65">
        <v>0.0</v>
      </c>
      <c r="G467" s="70"/>
      <c r="H467" s="65">
        <f t="shared" si="102"/>
        <v>0</v>
      </c>
      <c r="I467" s="65"/>
      <c r="J467" s="148">
        <f t="shared" si="103"/>
        <v>0</v>
      </c>
    </row>
    <row r="468">
      <c r="B468" s="140" t="s">
        <v>218</v>
      </c>
      <c r="C468" s="58"/>
      <c r="D468" s="58"/>
      <c r="E468" s="65"/>
      <c r="F468" s="65">
        <v>0.0</v>
      </c>
      <c r="G468" s="70"/>
      <c r="H468" s="65">
        <f t="shared" si="102"/>
        <v>0</v>
      </c>
      <c r="I468" s="65"/>
      <c r="J468" s="148">
        <f t="shared" si="103"/>
        <v>0</v>
      </c>
    </row>
    <row r="469">
      <c r="B469" s="140" t="s">
        <v>219</v>
      </c>
      <c r="C469" s="58"/>
      <c r="D469" s="58"/>
      <c r="E469" s="65"/>
      <c r="F469" s="65">
        <v>0.0</v>
      </c>
      <c r="G469" s="70"/>
      <c r="H469" s="65">
        <f t="shared" si="102"/>
        <v>0</v>
      </c>
      <c r="I469" s="65"/>
      <c r="J469" s="148">
        <f t="shared" si="103"/>
        <v>0</v>
      </c>
    </row>
    <row r="470">
      <c r="B470" s="140" t="s">
        <v>220</v>
      </c>
      <c r="C470" s="58"/>
      <c r="D470" s="58"/>
      <c r="E470" s="65"/>
      <c r="F470" s="65">
        <v>0.0</v>
      </c>
      <c r="G470" s="70"/>
      <c r="H470" s="65">
        <f t="shared" si="102"/>
        <v>0</v>
      </c>
      <c r="I470" s="65"/>
      <c r="J470" s="148">
        <f t="shared" si="103"/>
        <v>0</v>
      </c>
    </row>
    <row r="471">
      <c r="B471" s="140" t="s">
        <v>221</v>
      </c>
      <c r="C471" s="58"/>
      <c r="D471" s="58"/>
      <c r="E471" s="65"/>
      <c r="F471" s="65">
        <v>0.0</v>
      </c>
      <c r="G471" s="70"/>
      <c r="H471" s="65">
        <f t="shared" si="102"/>
        <v>0</v>
      </c>
      <c r="I471" s="65"/>
      <c r="J471" s="148">
        <f t="shared" si="103"/>
        <v>0</v>
      </c>
    </row>
    <row r="472">
      <c r="B472" s="140" t="s">
        <v>222</v>
      </c>
      <c r="C472" s="58"/>
      <c r="D472" s="58"/>
      <c r="E472" s="65"/>
      <c r="F472" s="65">
        <v>0.0</v>
      </c>
      <c r="G472" s="70"/>
      <c r="H472" s="65">
        <f t="shared" si="102"/>
        <v>0</v>
      </c>
      <c r="I472" s="65"/>
      <c r="J472" s="148">
        <f t="shared" si="103"/>
        <v>0</v>
      </c>
    </row>
    <row r="473">
      <c r="B473" s="140" t="s">
        <v>223</v>
      </c>
      <c r="C473" s="58"/>
      <c r="D473" s="58"/>
      <c r="E473" s="65"/>
      <c r="F473" s="65">
        <v>0.0</v>
      </c>
      <c r="G473" s="70"/>
      <c r="H473" s="65">
        <f t="shared" si="102"/>
        <v>0</v>
      </c>
      <c r="I473" s="65"/>
      <c r="J473" s="148">
        <f t="shared" si="103"/>
        <v>0</v>
      </c>
    </row>
    <row r="474">
      <c r="B474" s="140" t="s">
        <v>224</v>
      </c>
      <c r="C474" s="58"/>
      <c r="D474" s="58"/>
      <c r="E474" s="65"/>
      <c r="F474" s="65">
        <v>0.0</v>
      </c>
      <c r="G474" s="70"/>
      <c r="H474" s="65">
        <f t="shared" si="102"/>
        <v>0</v>
      </c>
      <c r="I474" s="65"/>
      <c r="J474" s="148">
        <f t="shared" si="103"/>
        <v>0</v>
      </c>
    </row>
    <row r="475">
      <c r="B475" s="140" t="s">
        <v>225</v>
      </c>
      <c r="C475" s="58"/>
      <c r="D475" s="58"/>
      <c r="E475" s="65"/>
      <c r="F475" s="65">
        <v>0.0</v>
      </c>
      <c r="G475" s="71"/>
      <c r="H475" s="65">
        <f t="shared" si="102"/>
        <v>0</v>
      </c>
      <c r="I475" s="65"/>
      <c r="J475" s="148">
        <f t="shared" si="103"/>
        <v>0</v>
      </c>
    </row>
    <row r="476">
      <c r="B476" s="140" t="s">
        <v>226</v>
      </c>
      <c r="C476" s="58"/>
      <c r="D476" s="58"/>
      <c r="E476" s="65"/>
      <c r="F476" s="65">
        <v>0.0</v>
      </c>
      <c r="G476" s="70"/>
      <c r="H476" s="65">
        <f t="shared" si="102"/>
        <v>0</v>
      </c>
      <c r="I476" s="65"/>
      <c r="J476" s="148">
        <f t="shared" si="103"/>
        <v>0</v>
      </c>
    </row>
    <row r="477">
      <c r="B477" s="140" t="s">
        <v>227</v>
      </c>
      <c r="C477" s="58"/>
      <c r="D477" s="58"/>
      <c r="E477" s="65"/>
      <c r="F477" s="65">
        <v>0.0</v>
      </c>
      <c r="G477" s="70"/>
      <c r="H477" s="65">
        <f t="shared" si="102"/>
        <v>0</v>
      </c>
      <c r="I477" s="65"/>
      <c r="J477" s="148">
        <f t="shared" si="103"/>
        <v>0</v>
      </c>
    </row>
    <row r="478">
      <c r="B478" s="140" t="s">
        <v>228</v>
      </c>
      <c r="C478" s="58"/>
      <c r="D478" s="58"/>
      <c r="E478" s="65"/>
      <c r="F478" s="65">
        <v>0.0</v>
      </c>
      <c r="G478" s="70"/>
      <c r="H478" s="65">
        <f t="shared" si="102"/>
        <v>0</v>
      </c>
      <c r="I478" s="65"/>
      <c r="J478" s="148">
        <f t="shared" si="103"/>
        <v>0</v>
      </c>
    </row>
    <row r="479">
      <c r="B479" s="140" t="s">
        <v>229</v>
      </c>
      <c r="C479" s="58"/>
      <c r="D479" s="58"/>
      <c r="E479" s="65"/>
      <c r="F479" s="65">
        <v>0.0</v>
      </c>
      <c r="G479" s="70"/>
      <c r="H479" s="65">
        <f t="shared" si="102"/>
        <v>0</v>
      </c>
      <c r="I479" s="65"/>
      <c r="J479" s="148">
        <f t="shared" si="103"/>
        <v>0</v>
      </c>
    </row>
    <row r="480">
      <c r="B480" s="140" t="s">
        <v>230</v>
      </c>
      <c r="C480" s="58"/>
      <c r="D480" s="58"/>
      <c r="E480" s="65"/>
      <c r="F480" s="65">
        <v>0.0</v>
      </c>
      <c r="G480" s="70"/>
      <c r="H480" s="65">
        <f t="shared" si="102"/>
        <v>0</v>
      </c>
      <c r="I480" s="65"/>
      <c r="J480" s="148">
        <f t="shared" si="103"/>
        <v>0</v>
      </c>
    </row>
    <row r="481">
      <c r="B481" s="140" t="s">
        <v>231</v>
      </c>
      <c r="C481" s="58"/>
      <c r="D481" s="58"/>
      <c r="E481" s="65"/>
      <c r="F481" s="65">
        <v>0.0</v>
      </c>
      <c r="G481" s="70"/>
      <c r="H481" s="65">
        <f t="shared" si="102"/>
        <v>0</v>
      </c>
      <c r="I481" s="65"/>
      <c r="J481" s="148">
        <f t="shared" si="103"/>
        <v>0</v>
      </c>
    </row>
    <row r="482">
      <c r="B482" s="140" t="s">
        <v>232</v>
      </c>
      <c r="C482" s="58"/>
      <c r="D482" s="58"/>
      <c r="E482" s="65"/>
      <c r="F482" s="65">
        <v>0.0</v>
      </c>
      <c r="G482" s="70"/>
      <c r="H482" s="65">
        <f t="shared" si="102"/>
        <v>0</v>
      </c>
      <c r="I482" s="65"/>
      <c r="J482" s="148">
        <f t="shared" si="103"/>
        <v>0</v>
      </c>
    </row>
    <row r="483">
      <c r="B483" s="140" t="s">
        <v>233</v>
      </c>
      <c r="C483" s="58"/>
      <c r="D483" s="58"/>
      <c r="E483" s="65"/>
      <c r="F483" s="65">
        <v>0.0</v>
      </c>
      <c r="G483" s="70"/>
      <c r="H483" s="65">
        <f t="shared" si="102"/>
        <v>0</v>
      </c>
      <c r="I483" s="65"/>
      <c r="J483" s="148">
        <f t="shared" si="103"/>
        <v>0</v>
      </c>
    </row>
    <row r="484">
      <c r="B484" s="140" t="s">
        <v>234</v>
      </c>
      <c r="C484" s="58"/>
      <c r="D484" s="58"/>
      <c r="E484" s="65"/>
      <c r="F484" s="65">
        <v>0.0</v>
      </c>
      <c r="G484" s="71"/>
      <c r="H484" s="65">
        <f t="shared" si="102"/>
        <v>0</v>
      </c>
      <c r="I484" s="65"/>
      <c r="J484" s="148">
        <f t="shared" si="103"/>
        <v>0</v>
      </c>
    </row>
    <row r="485">
      <c r="B485" s="140" t="s">
        <v>235</v>
      </c>
      <c r="C485" s="58"/>
      <c r="D485" s="58"/>
      <c r="E485" s="65"/>
      <c r="F485" s="65">
        <v>0.0</v>
      </c>
      <c r="G485" s="70"/>
      <c r="H485" s="65">
        <f t="shared" si="102"/>
        <v>0</v>
      </c>
      <c r="I485" s="65"/>
      <c r="J485" s="148">
        <f t="shared" si="103"/>
        <v>0</v>
      </c>
    </row>
    <row r="486">
      <c r="B486" s="140" t="s">
        <v>236</v>
      </c>
      <c r="C486" s="58"/>
      <c r="D486" s="58"/>
      <c r="E486" s="65"/>
      <c r="F486" s="65">
        <v>0.0</v>
      </c>
      <c r="G486" s="70"/>
      <c r="H486" s="65">
        <f t="shared" si="102"/>
        <v>0</v>
      </c>
      <c r="I486" s="65"/>
      <c r="J486" s="148">
        <f t="shared" si="103"/>
        <v>0</v>
      </c>
    </row>
    <row r="487">
      <c r="B487" s="140" t="s">
        <v>237</v>
      </c>
      <c r="C487" s="58"/>
      <c r="D487" s="58"/>
      <c r="E487" s="65"/>
      <c r="F487" s="65">
        <v>0.0</v>
      </c>
      <c r="G487" s="70"/>
      <c r="H487" s="65">
        <f t="shared" si="102"/>
        <v>0</v>
      </c>
      <c r="I487" s="65"/>
      <c r="J487" s="148">
        <f t="shared" si="103"/>
        <v>0</v>
      </c>
    </row>
    <row r="488">
      <c r="B488" s="140" t="s">
        <v>238</v>
      </c>
      <c r="C488" s="58"/>
      <c r="D488" s="58"/>
      <c r="E488" s="65"/>
      <c r="F488" s="65">
        <v>0.0</v>
      </c>
      <c r="G488" s="70"/>
      <c r="H488" s="65">
        <f t="shared" si="102"/>
        <v>0</v>
      </c>
      <c r="I488" s="65"/>
      <c r="J488" s="148">
        <f t="shared" si="103"/>
        <v>0</v>
      </c>
    </row>
    <row r="489">
      <c r="B489" s="140" t="s">
        <v>239</v>
      </c>
      <c r="C489" s="58"/>
      <c r="D489" s="58"/>
      <c r="E489" s="65"/>
      <c r="F489" s="65">
        <v>0.0</v>
      </c>
      <c r="G489" s="70"/>
      <c r="H489" s="65">
        <f t="shared" si="102"/>
        <v>0</v>
      </c>
      <c r="I489" s="65"/>
      <c r="J489" s="148">
        <f t="shared" si="103"/>
        <v>0</v>
      </c>
    </row>
    <row r="490">
      <c r="B490" s="140" t="s">
        <v>240</v>
      </c>
      <c r="C490" s="58"/>
      <c r="D490" s="58"/>
      <c r="E490" s="65"/>
      <c r="F490" s="65">
        <f>0</f>
        <v>0</v>
      </c>
      <c r="G490" s="70"/>
      <c r="H490" s="65">
        <f t="shared" si="102"/>
        <v>0</v>
      </c>
      <c r="I490" s="65"/>
      <c r="J490" s="148">
        <f t="shared" si="103"/>
        <v>0</v>
      </c>
    </row>
    <row r="491">
      <c r="B491" s="140" t="s">
        <v>241</v>
      </c>
      <c r="C491" s="58"/>
      <c r="D491" s="58"/>
      <c r="E491" s="65"/>
      <c r="F491" s="58">
        <v>0.0</v>
      </c>
      <c r="G491" s="70"/>
      <c r="H491" s="65">
        <f t="shared" si="102"/>
        <v>0</v>
      </c>
      <c r="I491" s="65"/>
      <c r="J491" s="148">
        <f t="shared" si="103"/>
        <v>0</v>
      </c>
    </row>
    <row r="492">
      <c r="B492" s="140" t="s">
        <v>242</v>
      </c>
      <c r="C492" s="58"/>
      <c r="D492" s="58"/>
      <c r="E492" s="65"/>
      <c r="F492" s="58">
        <v>0.0</v>
      </c>
      <c r="G492" s="70"/>
      <c r="H492" s="65">
        <f t="shared" si="102"/>
        <v>0</v>
      </c>
      <c r="I492" s="65"/>
      <c r="J492" s="148">
        <f t="shared" si="103"/>
        <v>0</v>
      </c>
    </row>
    <row r="493">
      <c r="B493" s="140" t="s">
        <v>243</v>
      </c>
      <c r="C493" s="58"/>
      <c r="D493" s="58"/>
      <c r="E493" s="65"/>
      <c r="F493" s="65">
        <v>0.0</v>
      </c>
      <c r="G493" s="70"/>
      <c r="H493" s="65">
        <f t="shared" si="102"/>
        <v>0</v>
      </c>
      <c r="I493" s="65"/>
      <c r="J493" s="148">
        <f t="shared" si="103"/>
        <v>0</v>
      </c>
    </row>
    <row r="494">
      <c r="B494" s="140" t="s">
        <v>244</v>
      </c>
      <c r="C494" s="58"/>
      <c r="D494" s="58"/>
      <c r="E494" s="65"/>
      <c r="F494" s="65">
        <v>0.0</v>
      </c>
      <c r="G494" s="70"/>
      <c r="H494" s="65">
        <f t="shared" si="102"/>
        <v>0</v>
      </c>
      <c r="I494" s="65"/>
      <c r="J494" s="148">
        <f t="shared" si="103"/>
        <v>0</v>
      </c>
    </row>
    <row r="495">
      <c r="B495" s="140" t="s">
        <v>245</v>
      </c>
      <c r="C495" s="58"/>
      <c r="D495" s="58"/>
      <c r="E495" s="65"/>
      <c r="F495" s="58">
        <v>0.0</v>
      </c>
      <c r="G495" s="70"/>
      <c r="H495" s="65">
        <f t="shared" si="102"/>
        <v>0</v>
      </c>
      <c r="I495" s="65"/>
      <c r="J495" s="148">
        <f t="shared" si="103"/>
        <v>0</v>
      </c>
    </row>
    <row r="496">
      <c r="B496" s="140" t="s">
        <v>246</v>
      </c>
      <c r="C496" s="58"/>
      <c r="D496" s="58"/>
      <c r="E496" s="65"/>
      <c r="F496" s="58">
        <v>0.0</v>
      </c>
      <c r="G496" s="68"/>
      <c r="H496" s="65">
        <f t="shared" si="102"/>
        <v>0</v>
      </c>
      <c r="I496" s="155"/>
      <c r="J496" s="148">
        <f t="shared" si="103"/>
        <v>0</v>
      </c>
    </row>
    <row r="497">
      <c r="B497" s="140" t="s">
        <v>247</v>
      </c>
      <c r="C497" s="58"/>
      <c r="D497" s="58"/>
      <c r="E497" s="65"/>
      <c r="F497" s="58">
        <v>0.0</v>
      </c>
      <c r="G497" s="68"/>
      <c r="H497" s="65">
        <f t="shared" si="102"/>
        <v>0</v>
      </c>
      <c r="I497" s="155"/>
      <c r="J497" s="148">
        <f t="shared" si="103"/>
        <v>0</v>
      </c>
    </row>
    <row r="498">
      <c r="B498" s="140" t="s">
        <v>248</v>
      </c>
      <c r="C498" s="72"/>
      <c r="D498" s="72"/>
      <c r="E498" s="151"/>
      <c r="F498" s="72">
        <v>0.0</v>
      </c>
      <c r="G498" s="76"/>
      <c r="H498" s="151">
        <f t="shared" si="102"/>
        <v>0</v>
      </c>
      <c r="I498" s="156"/>
      <c r="J498" s="148">
        <f t="shared" si="103"/>
        <v>0</v>
      </c>
    </row>
    <row r="499">
      <c r="B499" s="59"/>
    </row>
    <row r="500">
      <c r="B500" s="140" t="s">
        <v>249</v>
      </c>
      <c r="C500" s="70"/>
      <c r="D500" s="59"/>
      <c r="E500" s="59"/>
      <c r="F500" s="59"/>
      <c r="G500" s="59"/>
      <c r="H500" s="59"/>
      <c r="I500" s="59"/>
      <c r="J500" s="59"/>
      <c r="K500" s="59"/>
      <c r="L500" s="59"/>
      <c r="M500" s="59"/>
      <c r="N500" s="59"/>
      <c r="O500" s="59"/>
      <c r="P500" s="59"/>
    </row>
    <row r="501">
      <c r="B501" s="140" t="s">
        <v>250</v>
      </c>
      <c r="C501" s="71"/>
    </row>
    <row r="502">
      <c r="B502" s="140" t="s">
        <v>251</v>
      </c>
      <c r="C502" s="157"/>
    </row>
    <row r="503">
      <c r="B503" s="140" t="s">
        <v>252</v>
      </c>
      <c r="C503" s="71"/>
    </row>
    <row r="504">
      <c r="B504" s="140" t="s">
        <v>253</v>
      </c>
      <c r="C504" s="70"/>
    </row>
    <row r="505">
      <c r="B505" s="140" t="s">
        <v>254</v>
      </c>
      <c r="C505" s="70"/>
    </row>
    <row r="506">
      <c r="B506" s="140" t="s">
        <v>255</v>
      </c>
      <c r="C506" s="70"/>
    </row>
    <row r="507">
      <c r="B507" s="140" t="s">
        <v>256</v>
      </c>
      <c r="C507" s="158"/>
    </row>
    <row r="508">
      <c r="B508" s="140" t="s">
        <v>257</v>
      </c>
      <c r="C508" s="158"/>
    </row>
    <row r="509">
      <c r="B509" s="140" t="s">
        <v>258</v>
      </c>
      <c r="C509" s="70"/>
    </row>
    <row r="510">
      <c r="B510" s="140" t="s">
        <v>259</v>
      </c>
      <c r="C510" s="70"/>
    </row>
    <row r="511">
      <c r="B511" s="140" t="s">
        <v>260</v>
      </c>
      <c r="C511" s="70"/>
    </row>
    <row r="512">
      <c r="B512" s="140" t="s">
        <v>261</v>
      </c>
      <c r="C512" s="70"/>
    </row>
    <row r="513">
      <c r="B513" s="140" t="s">
        <v>262</v>
      </c>
      <c r="C513" s="71"/>
    </row>
    <row r="514">
      <c r="B514" s="140" t="s">
        <v>263</v>
      </c>
      <c r="C514" s="71"/>
    </row>
    <row r="515">
      <c r="B515" s="140" t="s">
        <v>264</v>
      </c>
      <c r="C515" s="70"/>
      <c r="D515" s="59"/>
      <c r="E515" s="59"/>
      <c r="F515" s="59"/>
      <c r="G515" s="59"/>
      <c r="H515" s="59"/>
      <c r="I515" s="59"/>
      <c r="J515" s="59"/>
      <c r="K515" s="59"/>
      <c r="L515" s="59"/>
      <c r="M515" s="59"/>
      <c r="N515" s="59"/>
      <c r="O515" s="59"/>
      <c r="P515" s="59"/>
    </row>
    <row r="516">
      <c r="B516" s="140" t="s">
        <v>265</v>
      </c>
      <c r="C516" s="70"/>
      <c r="D516" s="59"/>
      <c r="E516" s="59"/>
      <c r="F516" s="59"/>
      <c r="G516" s="59"/>
      <c r="H516" s="59"/>
      <c r="I516" s="59"/>
      <c r="J516" s="59"/>
      <c r="K516" s="59"/>
      <c r="L516" s="59"/>
      <c r="M516" s="59"/>
      <c r="N516" s="59"/>
      <c r="O516" s="59"/>
      <c r="P516" s="59"/>
    </row>
    <row r="517">
      <c r="B517" s="140" t="s">
        <v>266</v>
      </c>
      <c r="C517" s="70"/>
      <c r="D517" s="59"/>
      <c r="E517" s="59"/>
      <c r="F517" s="59"/>
      <c r="G517" s="59"/>
      <c r="H517" s="59"/>
      <c r="I517" s="59"/>
      <c r="J517" s="59"/>
      <c r="K517" s="59"/>
      <c r="L517" s="59"/>
      <c r="M517" s="59"/>
      <c r="N517" s="59"/>
      <c r="O517" s="59"/>
      <c r="P517" s="59"/>
    </row>
    <row r="518">
      <c r="B518" s="140" t="s">
        <v>267</v>
      </c>
      <c r="C518" s="70"/>
      <c r="D518" s="59"/>
      <c r="E518" s="59"/>
      <c r="F518" s="59"/>
      <c r="G518" s="59"/>
      <c r="H518" s="59"/>
      <c r="I518" s="59"/>
      <c r="J518" s="59"/>
      <c r="K518" s="59"/>
      <c r="L518" s="59"/>
      <c r="M518" s="59"/>
      <c r="N518" s="59"/>
      <c r="O518" s="59"/>
      <c r="P518" s="59"/>
    </row>
    <row r="519">
      <c r="B519" s="140" t="s">
        <v>268</v>
      </c>
      <c r="C519" s="70"/>
      <c r="D519" s="59"/>
      <c r="E519" s="59"/>
      <c r="F519" s="59"/>
      <c r="G519" s="59"/>
      <c r="H519" s="59"/>
      <c r="I519" s="59"/>
      <c r="J519" s="59"/>
      <c r="K519" s="59"/>
      <c r="L519" s="59"/>
      <c r="M519" s="59"/>
      <c r="N519" s="59"/>
      <c r="O519" s="59"/>
      <c r="P519" s="59"/>
    </row>
    <row r="520">
      <c r="B520" s="140" t="s">
        <v>269</v>
      </c>
      <c r="C520" s="70"/>
      <c r="D520" s="59"/>
      <c r="E520" s="59"/>
      <c r="F520" s="59"/>
      <c r="G520" s="59"/>
      <c r="H520" s="59"/>
      <c r="I520" s="59"/>
      <c r="J520" s="59"/>
      <c r="K520" s="59"/>
      <c r="L520" s="59"/>
      <c r="M520" s="59"/>
      <c r="N520" s="59"/>
      <c r="O520" s="59"/>
      <c r="P520" s="59"/>
    </row>
    <row r="521">
      <c r="B521" s="140" t="s">
        <v>270</v>
      </c>
      <c r="C521" s="70"/>
      <c r="D521" s="59"/>
      <c r="E521" s="59"/>
      <c r="F521" s="59"/>
      <c r="G521" s="59"/>
      <c r="H521" s="59"/>
      <c r="I521" s="59"/>
      <c r="J521" s="59"/>
      <c r="K521" s="59"/>
      <c r="L521" s="59"/>
      <c r="M521" s="59"/>
      <c r="N521" s="59"/>
      <c r="O521" s="59"/>
      <c r="P521" s="59"/>
    </row>
    <row r="522">
      <c r="B522" s="140" t="s">
        <v>271</v>
      </c>
      <c r="C522" s="70"/>
      <c r="D522" s="59"/>
      <c r="E522" s="59"/>
      <c r="F522" s="59"/>
      <c r="G522" s="59"/>
      <c r="H522" s="59"/>
      <c r="I522" s="59"/>
      <c r="J522" s="59"/>
      <c r="K522" s="59"/>
      <c r="L522" s="59"/>
      <c r="M522" s="59"/>
      <c r="N522" s="59"/>
      <c r="O522" s="59"/>
      <c r="P522" s="59"/>
    </row>
    <row r="523">
      <c r="B523" s="140" t="s">
        <v>272</v>
      </c>
      <c r="C523" s="70"/>
      <c r="D523" s="59"/>
      <c r="E523" s="59"/>
      <c r="F523" s="59"/>
      <c r="G523" s="59"/>
      <c r="H523" s="59"/>
      <c r="I523" s="59"/>
      <c r="J523" s="59"/>
      <c r="K523" s="59"/>
      <c r="L523" s="59"/>
      <c r="M523" s="59"/>
      <c r="N523" s="59"/>
      <c r="O523" s="59"/>
      <c r="P523" s="59"/>
    </row>
    <row r="524">
      <c r="B524" s="140" t="s">
        <v>273</v>
      </c>
      <c r="C524" s="70"/>
      <c r="D524" s="59"/>
      <c r="E524" s="59"/>
      <c r="F524" s="59"/>
      <c r="G524" s="59"/>
      <c r="H524" s="59"/>
      <c r="I524" s="59"/>
      <c r="J524" s="59"/>
      <c r="K524" s="59"/>
      <c r="L524" s="59"/>
      <c r="M524" s="59"/>
      <c r="N524" s="59"/>
      <c r="O524" s="59"/>
      <c r="P524" s="59"/>
    </row>
    <row r="525">
      <c r="B525" s="140" t="s">
        <v>274</v>
      </c>
      <c r="C525" s="70"/>
      <c r="D525" s="59"/>
      <c r="E525" s="59"/>
      <c r="F525" s="59"/>
      <c r="G525" s="59"/>
      <c r="H525" s="59"/>
      <c r="I525" s="59"/>
      <c r="J525" s="59"/>
      <c r="K525" s="59"/>
      <c r="L525" s="59"/>
      <c r="M525" s="59"/>
      <c r="N525" s="59"/>
      <c r="O525" s="59"/>
      <c r="P525" s="59"/>
    </row>
    <row r="526">
      <c r="B526" s="140" t="s">
        <v>275</v>
      </c>
      <c r="C526" s="71"/>
      <c r="D526" s="46"/>
      <c r="E526" s="46"/>
      <c r="F526" s="46"/>
      <c r="G526" s="46"/>
      <c r="H526" s="46"/>
      <c r="I526" s="46"/>
      <c r="J526" s="46"/>
      <c r="K526" s="46"/>
      <c r="L526" s="46"/>
      <c r="M526" s="46"/>
      <c r="N526" s="46"/>
      <c r="O526" s="46"/>
      <c r="P526" s="46"/>
    </row>
    <row r="527">
      <c r="B527" s="140" t="s">
        <v>276</v>
      </c>
      <c r="C527" s="71"/>
      <c r="D527" s="46"/>
      <c r="E527" s="46"/>
      <c r="F527" s="46"/>
      <c r="G527" s="46"/>
      <c r="H527" s="46"/>
      <c r="I527" s="46"/>
      <c r="J527" s="46"/>
      <c r="K527" s="46"/>
      <c r="L527" s="46"/>
      <c r="M527" s="46"/>
      <c r="N527" s="46"/>
      <c r="O527" s="46"/>
      <c r="P527" s="46"/>
    </row>
    <row r="528">
      <c r="B528" s="140" t="s">
        <v>277</v>
      </c>
      <c r="C528" s="70"/>
      <c r="D528" s="59"/>
      <c r="E528" s="59"/>
      <c r="F528" s="59"/>
      <c r="G528" s="59"/>
      <c r="H528" s="59"/>
      <c r="I528" s="59"/>
      <c r="J528" s="59"/>
      <c r="K528" s="59"/>
      <c r="L528" s="59"/>
      <c r="M528" s="59"/>
      <c r="N528" s="59"/>
      <c r="O528" s="59"/>
      <c r="P528" s="59"/>
    </row>
    <row r="529">
      <c r="B529" s="140" t="s">
        <v>278</v>
      </c>
      <c r="C529" s="65" t="str">
        <f t="shared" ref="C529:P529" si="104">IF(ISBLANK(C500),  ,  $C$11*(1 + ($D$11 - C526%)) * (1 - (C514% + C527%)))</f>
        <v/>
      </c>
      <c r="D529" s="59" t="str">
        <f t="shared" si="104"/>
        <v/>
      </c>
      <c r="E529" s="59" t="str">
        <f t="shared" si="104"/>
        <v/>
      </c>
      <c r="F529" s="59" t="str">
        <f t="shared" si="104"/>
        <v/>
      </c>
      <c r="G529" s="59" t="str">
        <f t="shared" si="104"/>
        <v/>
      </c>
      <c r="H529" s="59" t="str">
        <f t="shared" si="104"/>
        <v/>
      </c>
      <c r="I529" s="59" t="str">
        <f t="shared" si="104"/>
        <v/>
      </c>
      <c r="J529" s="59" t="str">
        <f t="shared" si="104"/>
        <v/>
      </c>
      <c r="K529" s="59" t="str">
        <f t="shared" si="104"/>
        <v/>
      </c>
      <c r="L529" s="59" t="str">
        <f t="shared" si="104"/>
        <v/>
      </c>
      <c r="M529" s="59" t="str">
        <f t="shared" si="104"/>
        <v/>
      </c>
      <c r="N529" s="59" t="str">
        <f t="shared" si="104"/>
        <v/>
      </c>
      <c r="O529" s="59" t="str">
        <f t="shared" si="104"/>
        <v/>
      </c>
      <c r="P529" s="59" t="str">
        <f t="shared" si="104"/>
        <v/>
      </c>
    </row>
    <row r="530">
      <c r="B530" s="140" t="s">
        <v>279</v>
      </c>
      <c r="C530" s="65" t="str">
        <f t="shared" ref="C530:P530" si="105">IF(ISBLANK(C500),  ,  (1 - (C529 / (C529 + (5 * 90) + 500))))</f>
        <v/>
      </c>
      <c r="D530" s="59" t="str">
        <f t="shared" si="105"/>
        <v/>
      </c>
      <c r="E530" s="59" t="str">
        <f t="shared" si="105"/>
        <v/>
      </c>
      <c r="F530" s="59" t="str">
        <f t="shared" si="105"/>
        <v/>
      </c>
      <c r="G530" s="59" t="str">
        <f t="shared" si="105"/>
        <v/>
      </c>
      <c r="H530" s="59" t="str">
        <f t="shared" si="105"/>
        <v/>
      </c>
      <c r="I530" s="59" t="str">
        <f t="shared" si="105"/>
        <v/>
      </c>
      <c r="J530" s="59" t="str">
        <f t="shared" si="105"/>
        <v/>
      </c>
      <c r="K530" s="59" t="str">
        <f t="shared" si="105"/>
        <v/>
      </c>
      <c r="L530" s="59" t="str">
        <f t="shared" si="105"/>
        <v/>
      </c>
      <c r="M530" s="59" t="str">
        <f t="shared" si="105"/>
        <v/>
      </c>
      <c r="N530" s="59" t="str">
        <f t="shared" si="105"/>
        <v/>
      </c>
      <c r="O530" s="59" t="str">
        <f t="shared" si="105"/>
        <v/>
      </c>
      <c r="P530" s="59" t="str">
        <f t="shared" si="105"/>
        <v/>
      </c>
    </row>
    <row r="531">
      <c r="B531" s="140" t="s">
        <v>280</v>
      </c>
      <c r="C531" s="65" t="str">
        <f t="shared" ref="C531:P531" si="106">IF(ISBLANK(C500),  ,  IF(C503="Geo", (IF(($E$12 + C525) &lt; 0, (1 - (($E$12 + C525) / 200)), IF(($E$12 + C525) &gt; 75, (100 / (100 + (4 * ($E$12 + C525)))), (100 - ($E$12 + C525)) / 100))), IF(C503="Anemo", (IF(($E$13 + C525) &lt; 0, (1 - (($E$13 + C525) / 200)), IF(($E$13 + C525) &gt; 75, (100 / (100 + (4 * ($E$13 + C525)))), (100 - ($E$13 + C525)) / 100))), IF(C503="Cryo", (IF(($E$14 + C525) &lt; 0, (1 - (($E$14 + C525) / 200)), IF(($E$14 + C525) &gt; 75, (100 / (100 + (4 * ($E$14 + C525)))), (100 - ($E$14 + C525)) / 100))), IF(C503="Hydro", (IF(($E$15 + C525) &lt; 0, (1 - (($E$15 + C525) / 200)), IF(($E$15 + C525) &gt; 75, (100 / (100 + (4 * ($E$15 + C525)))), (100 - ($E$15 + C525)) / 100))), IF(C503="Pyro", (IF(($E$16 + C525) &lt; 0, (1 - (($E$16 + C525) / 200)), IF(($E$16 + C525) &gt; 75, (100 / (100 + (4 * ($E$16 + C525)))), (100 - ($E$16 + C525)) / 100))), IF(C503="Electro", (IF(($E$17 + C525) &lt; 0, (1 - (($E$17 + C525) / 200)), IF(($E$17 + C525) &gt; 75, (100 / (100 + (4 * ($E$17 + C525)))), (100 - ($E$17 + C525)) / 100))), IF(C503="Dendro", (IF(($E$18 + C525) &lt; 0, (1 - (($E$18 + C525) / 200)), IF(($E$18 + C525) &gt; 75, (100 / (100 + (4 * ($E$18 + C525)))), (100 - ($E$18 + C525)) / 100))), IF(C503="Physical", (IF(($E$19 + C525) &lt; 0, (1 - (($E$19 + C525) / 200)), IF(($E$19 + C525) &gt; 75, (100 / (100 + (4 * ($E$19 + C525)))), (100 - ($E$19 + C525)) / 100))), 0)))))))))</f>
        <v/>
      </c>
      <c r="D531" s="59" t="str">
        <f t="shared" si="106"/>
        <v/>
      </c>
      <c r="E531" s="59" t="str">
        <f t="shared" si="106"/>
        <v/>
      </c>
      <c r="F531" s="59" t="str">
        <f t="shared" si="106"/>
        <v/>
      </c>
      <c r="G531" s="59" t="str">
        <f t="shared" si="106"/>
        <v/>
      </c>
      <c r="H531" s="59" t="str">
        <f t="shared" si="106"/>
        <v/>
      </c>
      <c r="I531" s="59" t="str">
        <f t="shared" si="106"/>
        <v/>
      </c>
      <c r="J531" s="59" t="str">
        <f t="shared" si="106"/>
        <v/>
      </c>
      <c r="K531" s="59" t="str">
        <f t="shared" si="106"/>
        <v/>
      </c>
      <c r="L531" s="59" t="str">
        <f t="shared" si="106"/>
        <v/>
      </c>
      <c r="M531" s="59" t="str">
        <f t="shared" si="106"/>
        <v/>
      </c>
      <c r="N531" s="59" t="str">
        <f t="shared" si="106"/>
        <v/>
      </c>
      <c r="O531" s="59" t="str">
        <f t="shared" si="106"/>
        <v/>
      </c>
      <c r="P531" s="59" t="str">
        <f t="shared" si="106"/>
        <v/>
      </c>
    </row>
    <row r="532">
      <c r="B532" s="140" t="s">
        <v>281</v>
      </c>
      <c r="C532" s="65" t="str">
        <f t="shared" ref="C532:AI532" si="107">IF(ISBLANK(C500),  ,  MAX(0, MIN(1, $J431% + IF(C501="skill", $J470%, IF(C501="burst", $J472%, IF(C501="normal", $J464%, IF(C501="charged", $J466%, IF(C501="plunging", $J468%, 0))))) + IF($E$10="Cryo", $J475%, IF($E$10="Hydro", $J477%, IF($E$10="Electro", $J479%, 
 IF($E$10="Dendro", $J481%, IF($E$10="Pyro", $J483%, IF($E$10="Frozen", $J484%  + $J475%, 0)))))) + C523% + IF(AND(C501="normal", OR($E$10 = "Cryo", $E$10="Frozen")), $J496%, 0))))</f>
        <v/>
      </c>
      <c r="D532" s="59" t="str">
        <f t="shared" si="107"/>
        <v/>
      </c>
      <c r="E532" s="59" t="str">
        <f t="shared" si="107"/>
        <v/>
      </c>
      <c r="F532" s="59" t="str">
        <f t="shared" si="107"/>
        <v/>
      </c>
      <c r="G532" s="59" t="str">
        <f t="shared" si="107"/>
        <v/>
      </c>
      <c r="H532" s="59" t="str">
        <f t="shared" si="107"/>
        <v/>
      </c>
      <c r="I532" s="59" t="str">
        <f t="shared" si="107"/>
        <v/>
      </c>
      <c r="J532" s="59" t="str">
        <f t="shared" si="107"/>
        <v/>
      </c>
      <c r="K532" s="59" t="str">
        <f t="shared" si="107"/>
        <v/>
      </c>
      <c r="L532" s="59" t="str">
        <f t="shared" si="107"/>
        <v/>
      </c>
      <c r="M532" s="59" t="str">
        <f t="shared" si="107"/>
        <v/>
      </c>
      <c r="N532" s="59" t="str">
        <f t="shared" si="107"/>
        <v/>
      </c>
      <c r="O532" s="59" t="str">
        <f t="shared" si="107"/>
        <v/>
      </c>
      <c r="P532" s="59" t="str">
        <f t="shared" si="107"/>
        <v/>
      </c>
      <c r="Q532" s="59" t="str">
        <f t="shared" si="107"/>
        <v/>
      </c>
      <c r="R532" s="59" t="str">
        <f t="shared" si="107"/>
        <v/>
      </c>
      <c r="S532" s="59" t="str">
        <f t="shared" si="107"/>
        <v/>
      </c>
      <c r="T532" s="59" t="str">
        <f t="shared" si="107"/>
        <v/>
      </c>
      <c r="U532" s="59" t="str">
        <f t="shared" si="107"/>
        <v/>
      </c>
      <c r="V532" s="59" t="str">
        <f t="shared" si="107"/>
        <v/>
      </c>
      <c r="W532" s="59" t="str">
        <f t="shared" si="107"/>
        <v/>
      </c>
      <c r="X532" s="59" t="str">
        <f t="shared" si="107"/>
        <v/>
      </c>
      <c r="Y532" s="59" t="str">
        <f t="shared" si="107"/>
        <v/>
      </c>
      <c r="Z532" s="59" t="str">
        <f t="shared" si="107"/>
        <v/>
      </c>
      <c r="AA532" s="59" t="str">
        <f t="shared" si="107"/>
        <v/>
      </c>
      <c r="AB532" s="59" t="str">
        <f t="shared" si="107"/>
        <v/>
      </c>
      <c r="AC532" s="59" t="str">
        <f t="shared" si="107"/>
        <v/>
      </c>
      <c r="AD532" s="59" t="str">
        <f t="shared" si="107"/>
        <v/>
      </c>
      <c r="AE532" s="59" t="str">
        <f t="shared" si="107"/>
        <v/>
      </c>
      <c r="AF532" s="59" t="str">
        <f t="shared" si="107"/>
        <v/>
      </c>
      <c r="AG532" s="59" t="str">
        <f t="shared" si="107"/>
        <v/>
      </c>
      <c r="AH532" s="59" t="str">
        <f t="shared" si="107"/>
        <v/>
      </c>
      <c r="AI532" s="59" t="str">
        <f t="shared" si="107"/>
        <v/>
      </c>
    </row>
    <row r="533">
      <c r="B533" s="140" t="s">
        <v>282</v>
      </c>
      <c r="C533" s="65" t="str">
        <f t="shared" ref="C533:AI533" si="108">IF(ISBLANK(C500),  ,  1 + $J432% + IF(C501="skill", $J471%, IF(C501="burst", $J473%, IF(C501="normal", $J465%, IF(C501="charged", $J467%, IF(C501="plunging", $J469%, 0))))) + IF(C503="Geo", $J456%, IF(C503="Anemo", $J458%, IF(C503="Hydro", $J459%, IF(C503="Pyro", $J460%, IF(C503="Electro", $J462%, IF(C503="Dendro", $J461%, IF(C503="Physical", $J463%, IF(C503="Cryo", $J457%, 0)))))))) + C524%)</f>
        <v/>
      </c>
      <c r="D533" s="59" t="str">
        <f t="shared" si="108"/>
        <v/>
      </c>
      <c r="E533" s="59" t="str">
        <f t="shared" si="108"/>
        <v/>
      </c>
      <c r="F533" s="59" t="str">
        <f t="shared" si="108"/>
        <v/>
      </c>
      <c r="G533" s="59" t="str">
        <f t="shared" si="108"/>
        <v/>
      </c>
      <c r="H533" s="59" t="str">
        <f t="shared" si="108"/>
        <v/>
      </c>
      <c r="I533" s="59" t="str">
        <f t="shared" si="108"/>
        <v/>
      </c>
      <c r="J533" s="59" t="str">
        <f t="shared" si="108"/>
        <v/>
      </c>
      <c r="K533" s="59" t="str">
        <f t="shared" si="108"/>
        <v/>
      </c>
      <c r="L533" s="59" t="str">
        <f t="shared" si="108"/>
        <v/>
      </c>
      <c r="M533" s="59" t="str">
        <f t="shared" si="108"/>
        <v/>
      </c>
      <c r="N533" s="59" t="str">
        <f t="shared" si="108"/>
        <v/>
      </c>
      <c r="O533" s="59" t="str">
        <f t="shared" si="108"/>
        <v/>
      </c>
      <c r="P533" s="59" t="str">
        <f t="shared" si="108"/>
        <v/>
      </c>
      <c r="Q533" s="59" t="str">
        <f t="shared" si="108"/>
        <v/>
      </c>
      <c r="R533" s="59" t="str">
        <f t="shared" si="108"/>
        <v/>
      </c>
      <c r="S533" s="59" t="str">
        <f t="shared" si="108"/>
        <v/>
      </c>
      <c r="T533" s="59" t="str">
        <f t="shared" si="108"/>
        <v/>
      </c>
      <c r="U533" s="59" t="str">
        <f t="shared" si="108"/>
        <v/>
      </c>
      <c r="V533" s="59" t="str">
        <f t="shared" si="108"/>
        <v/>
      </c>
      <c r="W533" s="59" t="str">
        <f t="shared" si="108"/>
        <v/>
      </c>
      <c r="X533" s="59" t="str">
        <f t="shared" si="108"/>
        <v/>
      </c>
      <c r="Y533" s="59" t="str">
        <f t="shared" si="108"/>
        <v/>
      </c>
      <c r="Z533" s="59" t="str">
        <f t="shared" si="108"/>
        <v/>
      </c>
      <c r="AA533" s="59" t="str">
        <f t="shared" si="108"/>
        <v/>
      </c>
      <c r="AB533" s="59" t="str">
        <f t="shared" si="108"/>
        <v/>
      </c>
      <c r="AC533" s="59" t="str">
        <f t="shared" si="108"/>
        <v/>
      </c>
      <c r="AD533" s="59" t="str">
        <f t="shared" si="108"/>
        <v/>
      </c>
      <c r="AE533" s="59" t="str">
        <f t="shared" si="108"/>
        <v/>
      </c>
      <c r="AF533" s="59" t="str">
        <f t="shared" si="108"/>
        <v/>
      </c>
      <c r="AG533" s="59" t="str">
        <f t="shared" si="108"/>
        <v/>
      </c>
      <c r="AH533" s="59" t="str">
        <f t="shared" si="108"/>
        <v/>
      </c>
      <c r="AI533" s="59" t="str">
        <f t="shared" si="108"/>
        <v/>
      </c>
    </row>
    <row r="534">
      <c r="B534" s="140" t="s">
        <v>283</v>
      </c>
      <c r="C534" s="65" t="str">
        <f t="shared" ref="C534:AI534" si="109">IF(ISBLANK(C500),  ,  1 + $J449% + IF(C503="Physical", 0, $J455%) + IF(C501="skill", $J450%, IF(C501="burst", $J451%, IF(C501="normal", $J452%, IF(C501="charged", $J453%, IF(C501="plunging", $J454%, 0))))) + IF(C503="Geo", $J439%, IF(C503="Anemo", $J441%, IF(C503="Hydro", $J442%, IF(C503="Pyro", $J443%, IF(C503="Electro", $J444%, IF(C503="Dendro", $J445%, IF(C503="Physical", $J446%, IF(C503="Cryo", $J440%, 0)))))))) + IF(OR($E$10 ="Cryo", $E$10 = "Frozen"), $J474%, 0) + IF(OR($E$10="Hydro", $E$10="Electro-Charged", $E$10="Frozen"), $J476%, 0) +  IF(OR($E$10="Electro", $E$10="Electro-Charged", $E$10="Quicken"), $J478%, 0) + IF(OR($E$10="Dendro", $E$10="Quicken", $E$10="Burning"), $J480%, 0) + IF(OR($E$10="Pyro", $E$10="Burning"), $J482%, 0) + C522% + IF(AND(OR($E$10 = "Cryo", $E$10 = "Frozen"), OR(C501="normal", C501="charged")), $J497%, 0))</f>
        <v/>
      </c>
      <c r="D534" s="59" t="str">
        <f t="shared" si="109"/>
        <v/>
      </c>
      <c r="E534" s="59" t="str">
        <f t="shared" si="109"/>
        <v/>
      </c>
      <c r="F534" s="59" t="str">
        <f t="shared" si="109"/>
        <v/>
      </c>
      <c r="G534" s="59" t="str">
        <f t="shared" si="109"/>
        <v/>
      </c>
      <c r="H534" s="59" t="str">
        <f t="shared" si="109"/>
        <v/>
      </c>
      <c r="I534" s="59" t="str">
        <f t="shared" si="109"/>
        <v/>
      </c>
      <c r="J534" s="59" t="str">
        <f t="shared" si="109"/>
        <v/>
      </c>
      <c r="K534" s="59" t="str">
        <f t="shared" si="109"/>
        <v/>
      </c>
      <c r="L534" s="59" t="str">
        <f t="shared" si="109"/>
        <v/>
      </c>
      <c r="M534" s="59" t="str">
        <f t="shared" si="109"/>
        <v/>
      </c>
      <c r="N534" s="59" t="str">
        <f t="shared" si="109"/>
        <v/>
      </c>
      <c r="O534" s="59" t="str">
        <f t="shared" si="109"/>
        <v/>
      </c>
      <c r="P534" s="59" t="str">
        <f t="shared" si="109"/>
        <v/>
      </c>
      <c r="Q534" s="59" t="str">
        <f t="shared" si="109"/>
        <v/>
      </c>
      <c r="R534" s="59" t="str">
        <f t="shared" si="109"/>
        <v/>
      </c>
      <c r="S534" s="59" t="str">
        <f t="shared" si="109"/>
        <v/>
      </c>
      <c r="T534" s="59" t="str">
        <f t="shared" si="109"/>
        <v/>
      </c>
      <c r="U534" s="59" t="str">
        <f t="shared" si="109"/>
        <v/>
      </c>
      <c r="V534" s="59" t="str">
        <f t="shared" si="109"/>
        <v/>
      </c>
      <c r="W534" s="59" t="str">
        <f t="shared" si="109"/>
        <v/>
      </c>
      <c r="X534" s="59" t="str">
        <f t="shared" si="109"/>
        <v/>
      </c>
      <c r="Y534" s="59" t="str">
        <f t="shared" si="109"/>
        <v/>
      </c>
      <c r="Z534" s="59" t="str">
        <f t="shared" si="109"/>
        <v/>
      </c>
      <c r="AA534" s="59" t="str">
        <f t="shared" si="109"/>
        <v/>
      </c>
      <c r="AB534" s="59" t="str">
        <f t="shared" si="109"/>
        <v/>
      </c>
      <c r="AC534" s="59" t="str">
        <f t="shared" si="109"/>
        <v/>
      </c>
      <c r="AD534" s="59" t="str">
        <f t="shared" si="109"/>
        <v/>
      </c>
      <c r="AE534" s="59" t="str">
        <f t="shared" si="109"/>
        <v/>
      </c>
      <c r="AF534" s="59" t="str">
        <f t="shared" si="109"/>
        <v/>
      </c>
      <c r="AG534" s="59" t="str">
        <f t="shared" si="109"/>
        <v/>
      </c>
      <c r="AH534" s="59" t="str">
        <f t="shared" si="109"/>
        <v/>
      </c>
      <c r="AI534" s="59" t="str">
        <f t="shared" si="109"/>
        <v/>
      </c>
    </row>
    <row r="535">
      <c r="B535" s="140" t="s">
        <v>284</v>
      </c>
      <c r="C535" s="159" t="str">
        <f t="shared" ref="C535:AI535" si="110">IF(ISBLANK(C500),  ,  ((C504% * (($C429 + $D429) * (1 + $J430% + C516%) + C515 + SUM($E429:$G429) + $I429) + C505% * (($C433 * (1 + $J434% + C518%)) + C517 + SUM($D433:$G433) + $I433) + C506% * ($C437 * (1 + $J438% + C520%) + C519 + SUM($D437:$G437) + $I437) + C507% * ($J436 + C521)) * C513 + (C508% * (($C429 + $D429) * (1 + $J430% + C516%) + C515 + SUM($E429:$G429) + $I429) + C509% * (($C433 * (1 + $J434% + C518%)) + C517 + SUM($D433:$G433) + $I433) + C510% * ($C437 * (1 + $J438% + C520%) + C519 + SUM($D437:$G437) + $I437) + C511% * ($J436 + C521)) + C512) * C530 * C531 * C534)</f>
        <v/>
      </c>
      <c r="D535" s="59" t="str">
        <f t="shared" si="110"/>
        <v/>
      </c>
      <c r="E535" s="59" t="str">
        <f t="shared" si="110"/>
        <v/>
      </c>
      <c r="F535" s="59" t="str">
        <f t="shared" si="110"/>
        <v/>
      </c>
      <c r="G535" s="59" t="str">
        <f t="shared" si="110"/>
        <v/>
      </c>
      <c r="H535" s="59" t="str">
        <f t="shared" si="110"/>
        <v/>
      </c>
      <c r="I535" s="59" t="str">
        <f t="shared" si="110"/>
        <v/>
      </c>
      <c r="J535" s="59" t="str">
        <f t="shared" si="110"/>
        <v/>
      </c>
      <c r="K535" s="59" t="str">
        <f t="shared" si="110"/>
        <v/>
      </c>
      <c r="L535" s="59" t="str">
        <f t="shared" si="110"/>
        <v/>
      </c>
      <c r="M535" s="59" t="str">
        <f t="shared" si="110"/>
        <v/>
      </c>
      <c r="N535" s="59" t="str">
        <f t="shared" si="110"/>
        <v/>
      </c>
      <c r="O535" s="59" t="str">
        <f t="shared" si="110"/>
        <v/>
      </c>
      <c r="P535" s="59" t="str">
        <f t="shared" si="110"/>
        <v/>
      </c>
      <c r="Q535" s="59" t="str">
        <f t="shared" si="110"/>
        <v/>
      </c>
      <c r="R535" s="59" t="str">
        <f t="shared" si="110"/>
        <v/>
      </c>
      <c r="S535" s="59" t="str">
        <f t="shared" si="110"/>
        <v/>
      </c>
      <c r="T535" s="59" t="str">
        <f t="shared" si="110"/>
        <v/>
      </c>
      <c r="U535" s="59" t="str">
        <f t="shared" si="110"/>
        <v/>
      </c>
      <c r="V535" s="59" t="str">
        <f t="shared" si="110"/>
        <v/>
      </c>
      <c r="W535" s="59" t="str">
        <f t="shared" si="110"/>
        <v/>
      </c>
      <c r="X535" s="59" t="str">
        <f t="shared" si="110"/>
        <v/>
      </c>
      <c r="Y535" s="59" t="str">
        <f t="shared" si="110"/>
        <v/>
      </c>
      <c r="Z535" s="59" t="str">
        <f t="shared" si="110"/>
        <v/>
      </c>
      <c r="AA535" s="59" t="str">
        <f t="shared" si="110"/>
        <v/>
      </c>
      <c r="AB535" s="59" t="str">
        <f t="shared" si="110"/>
        <v/>
      </c>
      <c r="AC535" s="59" t="str">
        <f t="shared" si="110"/>
        <v/>
      </c>
      <c r="AD535" s="59" t="str">
        <f t="shared" si="110"/>
        <v/>
      </c>
      <c r="AE535" s="59" t="str">
        <f t="shared" si="110"/>
        <v/>
      </c>
      <c r="AF535" s="59" t="str">
        <f t="shared" si="110"/>
        <v/>
      </c>
      <c r="AG535" s="59" t="str">
        <f t="shared" si="110"/>
        <v/>
      </c>
      <c r="AH535" s="59" t="str">
        <f t="shared" si="110"/>
        <v/>
      </c>
      <c r="AI535" s="59" t="str">
        <f t="shared" si="110"/>
        <v/>
      </c>
    </row>
    <row r="536">
      <c r="B536" s="140" t="s">
        <v>285</v>
      </c>
      <c r="C536" s="159" t="str">
        <f t="shared" ref="C536:AI536" si="111">IF(ISBLANK(C500)
,  ,  (C535 * (1 - C532)) + C537 * C532)</f>
        <v/>
      </c>
      <c r="D536" s="59" t="str">
        <f t="shared" si="111"/>
        <v/>
      </c>
      <c r="E536" s="59" t="str">
        <f t="shared" si="111"/>
        <v/>
      </c>
      <c r="F536" s="59" t="str">
        <f t="shared" si="111"/>
        <v/>
      </c>
      <c r="G536" s="59" t="str">
        <f t="shared" si="111"/>
        <v/>
      </c>
      <c r="H536" s="59" t="str">
        <f t="shared" si="111"/>
        <v/>
      </c>
      <c r="I536" s="59" t="str">
        <f t="shared" si="111"/>
        <v/>
      </c>
      <c r="J536" s="59" t="str">
        <f t="shared" si="111"/>
        <v/>
      </c>
      <c r="K536" s="59" t="str">
        <f t="shared" si="111"/>
        <v/>
      </c>
      <c r="L536" s="59" t="str">
        <f t="shared" si="111"/>
        <v/>
      </c>
      <c r="M536" s="59" t="str">
        <f t="shared" si="111"/>
        <v/>
      </c>
      <c r="N536" s="59" t="str">
        <f t="shared" si="111"/>
        <v/>
      </c>
      <c r="O536" s="59" t="str">
        <f t="shared" si="111"/>
        <v/>
      </c>
      <c r="P536" s="59" t="str">
        <f t="shared" si="111"/>
        <v/>
      </c>
      <c r="Q536" s="59" t="str">
        <f t="shared" si="111"/>
        <v/>
      </c>
      <c r="R536" s="59" t="str">
        <f t="shared" si="111"/>
        <v/>
      </c>
      <c r="S536" s="59" t="str">
        <f t="shared" si="111"/>
        <v/>
      </c>
      <c r="T536" s="59" t="str">
        <f t="shared" si="111"/>
        <v/>
      </c>
      <c r="U536" s="59" t="str">
        <f t="shared" si="111"/>
        <v/>
      </c>
      <c r="V536" s="59" t="str">
        <f t="shared" si="111"/>
        <v/>
      </c>
      <c r="W536" s="59" t="str">
        <f t="shared" si="111"/>
        <v/>
      </c>
      <c r="X536" s="59" t="str">
        <f t="shared" si="111"/>
        <v/>
      </c>
      <c r="Y536" s="59" t="str">
        <f t="shared" si="111"/>
        <v/>
      </c>
      <c r="Z536" s="59" t="str">
        <f t="shared" si="111"/>
        <v/>
      </c>
      <c r="AA536" s="59" t="str">
        <f t="shared" si="111"/>
        <v/>
      </c>
      <c r="AB536" s="59" t="str">
        <f t="shared" si="111"/>
        <v/>
      </c>
      <c r="AC536" s="59" t="str">
        <f t="shared" si="111"/>
        <v/>
      </c>
      <c r="AD536" s="59" t="str">
        <f t="shared" si="111"/>
        <v/>
      </c>
      <c r="AE536" s="59" t="str">
        <f t="shared" si="111"/>
        <v/>
      </c>
      <c r="AF536" s="59" t="str">
        <f t="shared" si="111"/>
        <v/>
      </c>
      <c r="AG536" s="59" t="str">
        <f t="shared" si="111"/>
        <v/>
      </c>
      <c r="AH536" s="59" t="str">
        <f t="shared" si="111"/>
        <v/>
      </c>
      <c r="AI536" s="59" t="str">
        <f t="shared" si="111"/>
        <v/>
      </c>
    </row>
    <row r="537">
      <c r="B537" s="140" t="s">
        <v>286</v>
      </c>
      <c r="C537" s="159" t="str">
        <f t="shared" ref="C537:AI537" si="112">IF(ISBLANK(C500),  ,  C535  * C533)</f>
        <v/>
      </c>
      <c r="D537" s="59" t="str">
        <f t="shared" si="112"/>
        <v/>
      </c>
      <c r="E537" s="59" t="str">
        <f t="shared" si="112"/>
        <v/>
      </c>
      <c r="F537" s="59" t="str">
        <f t="shared" si="112"/>
        <v/>
      </c>
      <c r="G537" s="59" t="str">
        <f t="shared" si="112"/>
        <v/>
      </c>
      <c r="H537" s="59" t="str">
        <f t="shared" si="112"/>
        <v/>
      </c>
      <c r="I537" s="59" t="str">
        <f t="shared" si="112"/>
        <v/>
      </c>
      <c r="J537" s="59" t="str">
        <f t="shared" si="112"/>
        <v/>
      </c>
      <c r="K537" s="59" t="str">
        <f t="shared" si="112"/>
        <v/>
      </c>
      <c r="L537" s="59" t="str">
        <f t="shared" si="112"/>
        <v/>
      </c>
      <c r="M537" s="59" t="str">
        <f t="shared" si="112"/>
        <v/>
      </c>
      <c r="N537" s="59" t="str">
        <f t="shared" si="112"/>
        <v/>
      </c>
      <c r="O537" s="59" t="str">
        <f t="shared" si="112"/>
        <v/>
      </c>
      <c r="P537" s="59" t="str">
        <f t="shared" si="112"/>
        <v/>
      </c>
      <c r="Q537" s="59" t="str">
        <f t="shared" si="112"/>
        <v/>
      </c>
      <c r="R537" s="59" t="str">
        <f t="shared" si="112"/>
        <v/>
      </c>
      <c r="S537" s="59" t="str">
        <f t="shared" si="112"/>
        <v/>
      </c>
      <c r="T537" s="59" t="str">
        <f t="shared" si="112"/>
        <v/>
      </c>
      <c r="U537" s="59" t="str">
        <f t="shared" si="112"/>
        <v/>
      </c>
      <c r="V537" s="59" t="str">
        <f t="shared" si="112"/>
        <v/>
      </c>
      <c r="W537" s="59" t="str">
        <f t="shared" si="112"/>
        <v/>
      </c>
      <c r="X537" s="59" t="str">
        <f t="shared" si="112"/>
        <v/>
      </c>
      <c r="Y537" s="59" t="str">
        <f t="shared" si="112"/>
        <v/>
      </c>
      <c r="Z537" s="59" t="str">
        <f t="shared" si="112"/>
        <v/>
      </c>
      <c r="AA537" s="59" t="str">
        <f t="shared" si="112"/>
        <v/>
      </c>
      <c r="AB537" s="59" t="str">
        <f t="shared" si="112"/>
        <v/>
      </c>
      <c r="AC537" s="59" t="str">
        <f t="shared" si="112"/>
        <v/>
      </c>
      <c r="AD537" s="59" t="str">
        <f t="shared" si="112"/>
        <v/>
      </c>
      <c r="AE537" s="59" t="str">
        <f t="shared" si="112"/>
        <v/>
      </c>
      <c r="AF537" s="59" t="str">
        <f t="shared" si="112"/>
        <v/>
      </c>
      <c r="AG537" s="59" t="str">
        <f t="shared" si="112"/>
        <v/>
      </c>
      <c r="AH537" s="59" t="str">
        <f t="shared" si="112"/>
        <v/>
      </c>
      <c r="AI537" s="59" t="str">
        <f t="shared" si="112"/>
        <v/>
      </c>
    </row>
    <row r="538">
      <c r="B538" s="140" t="s">
        <v>287</v>
      </c>
      <c r="C538" s="58" t="str">
        <f t="shared" ref="C538:AI538" si="113">IF(ISBLANK(C500),  ,  IF(C503="Pyro", 2 * (1 +  (2.78 * ($J436 +C521 ) / (($J436 +C521 ) + 1400)) + $J494%), IF(C503="Cryo", 1.5 * (1 +  (2.78 * ($J436 +C521 ) / (($J436 +C521 ) + 1400)) + $J494%), 0)) + C528%)</f>
        <v/>
      </c>
      <c r="D538" s="59" t="str">
        <f t="shared" si="113"/>
        <v/>
      </c>
      <c r="E538" s="59" t="str">
        <f t="shared" si="113"/>
        <v/>
      </c>
      <c r="F538" s="59" t="str">
        <f t="shared" si="113"/>
        <v/>
      </c>
      <c r="G538" s="59" t="str">
        <f t="shared" si="113"/>
        <v/>
      </c>
      <c r="H538" s="59" t="str">
        <f t="shared" si="113"/>
        <v/>
      </c>
      <c r="I538" s="59" t="str">
        <f t="shared" si="113"/>
        <v/>
      </c>
      <c r="J538" s="59" t="str">
        <f t="shared" si="113"/>
        <v/>
      </c>
      <c r="K538" s="59" t="str">
        <f t="shared" si="113"/>
        <v/>
      </c>
      <c r="L538" s="59" t="str">
        <f t="shared" si="113"/>
        <v/>
      </c>
      <c r="M538" s="59" t="str">
        <f t="shared" si="113"/>
        <v/>
      </c>
      <c r="N538" s="59" t="str">
        <f t="shared" si="113"/>
        <v/>
      </c>
      <c r="O538" s="59" t="str">
        <f t="shared" si="113"/>
        <v/>
      </c>
      <c r="P538" s="59" t="str">
        <f t="shared" si="113"/>
        <v/>
      </c>
      <c r="Q538" s="59" t="str">
        <f t="shared" si="113"/>
        <v/>
      </c>
      <c r="R538" s="59" t="str">
        <f t="shared" si="113"/>
        <v/>
      </c>
      <c r="S538" s="59" t="str">
        <f t="shared" si="113"/>
        <v/>
      </c>
      <c r="T538" s="59" t="str">
        <f t="shared" si="113"/>
        <v/>
      </c>
      <c r="U538" s="59" t="str">
        <f t="shared" si="113"/>
        <v/>
      </c>
      <c r="V538" s="59" t="str">
        <f t="shared" si="113"/>
        <v/>
      </c>
      <c r="W538" s="59" t="str">
        <f t="shared" si="113"/>
        <v/>
      </c>
      <c r="X538" s="59" t="str">
        <f t="shared" si="113"/>
        <v/>
      </c>
      <c r="Y538" s="59" t="str">
        <f t="shared" si="113"/>
        <v/>
      </c>
      <c r="Z538" s="59" t="str">
        <f t="shared" si="113"/>
        <v/>
      </c>
      <c r="AA538" s="59" t="str">
        <f t="shared" si="113"/>
        <v/>
      </c>
      <c r="AB538" s="59" t="str">
        <f t="shared" si="113"/>
        <v/>
      </c>
      <c r="AC538" s="59" t="str">
        <f t="shared" si="113"/>
        <v/>
      </c>
      <c r="AD538" s="59" t="str">
        <f t="shared" si="113"/>
        <v/>
      </c>
      <c r="AE538" s="59" t="str">
        <f t="shared" si="113"/>
        <v/>
      </c>
      <c r="AF538" s="59" t="str">
        <f t="shared" si="113"/>
        <v/>
      </c>
      <c r="AG538" s="59" t="str">
        <f t="shared" si="113"/>
        <v/>
      </c>
      <c r="AH538" s="59" t="str">
        <f t="shared" si="113"/>
        <v/>
      </c>
      <c r="AI538" s="59" t="str">
        <f t="shared" si="113"/>
        <v/>
      </c>
    </row>
    <row r="539">
      <c r="B539" s="140" t="s">
        <v>288</v>
      </c>
      <c r="C539" s="159" t="str">
        <f t="shared" ref="C539:AI539" si="114">IF(ISBLANK(C500),  ,  C538  * C535)</f>
        <v/>
      </c>
      <c r="D539" s="59" t="str">
        <f t="shared" si="114"/>
        <v/>
      </c>
      <c r="E539" s="59" t="str">
        <f t="shared" si="114"/>
        <v/>
      </c>
      <c r="F539" s="59" t="str">
        <f t="shared" si="114"/>
        <v/>
      </c>
      <c r="G539" s="59" t="str">
        <f t="shared" si="114"/>
        <v/>
      </c>
      <c r="H539" s="59" t="str">
        <f t="shared" si="114"/>
        <v/>
      </c>
      <c r="I539" s="59" t="str">
        <f t="shared" si="114"/>
        <v/>
      </c>
      <c r="J539" s="59" t="str">
        <f t="shared" si="114"/>
        <v/>
      </c>
      <c r="K539" s="59" t="str">
        <f t="shared" si="114"/>
        <v/>
      </c>
      <c r="L539" s="59" t="str">
        <f t="shared" si="114"/>
        <v/>
      </c>
      <c r="M539" s="59" t="str">
        <f t="shared" si="114"/>
        <v/>
      </c>
      <c r="N539" s="59" t="str">
        <f t="shared" si="114"/>
        <v/>
      </c>
      <c r="O539" s="59" t="str">
        <f t="shared" si="114"/>
        <v/>
      </c>
      <c r="P539" s="59" t="str">
        <f t="shared" si="114"/>
        <v/>
      </c>
      <c r="Q539" s="59" t="str">
        <f t="shared" si="114"/>
        <v/>
      </c>
      <c r="R539" s="59" t="str">
        <f t="shared" si="114"/>
        <v/>
      </c>
      <c r="S539" s="59" t="str">
        <f t="shared" si="114"/>
        <v/>
      </c>
      <c r="T539" s="59" t="str">
        <f t="shared" si="114"/>
        <v/>
      </c>
      <c r="U539" s="59" t="str">
        <f t="shared" si="114"/>
        <v/>
      </c>
      <c r="V539" s="59" t="str">
        <f t="shared" si="114"/>
        <v/>
      </c>
      <c r="W539" s="59" t="str">
        <f t="shared" si="114"/>
        <v/>
      </c>
      <c r="X539" s="59" t="str">
        <f t="shared" si="114"/>
        <v/>
      </c>
      <c r="Y539" s="59" t="str">
        <f t="shared" si="114"/>
        <v/>
      </c>
      <c r="Z539" s="59" t="str">
        <f t="shared" si="114"/>
        <v/>
      </c>
      <c r="AA539" s="59" t="str">
        <f t="shared" si="114"/>
        <v/>
      </c>
      <c r="AB539" s="59" t="str">
        <f t="shared" si="114"/>
        <v/>
      </c>
      <c r="AC539" s="59" t="str">
        <f t="shared" si="114"/>
        <v/>
      </c>
      <c r="AD539" s="59" t="str">
        <f t="shared" si="114"/>
        <v/>
      </c>
      <c r="AE539" s="59" t="str">
        <f t="shared" si="114"/>
        <v/>
      </c>
      <c r="AF539" s="59" t="str">
        <f t="shared" si="114"/>
        <v/>
      </c>
      <c r="AG539" s="59" t="str">
        <f t="shared" si="114"/>
        <v/>
      </c>
      <c r="AH539" s="59" t="str">
        <f t="shared" si="114"/>
        <v/>
      </c>
      <c r="AI539" s="59" t="str">
        <f t="shared" si="114"/>
        <v/>
      </c>
    </row>
    <row r="540">
      <c r="B540" s="140" t="s">
        <v>289</v>
      </c>
      <c r="C540" s="159" t="str">
        <f t="shared" ref="C540:AI540" si="115">IF(ISBLANK(C500),  ,  C538  * C536)</f>
        <v/>
      </c>
      <c r="D540" s="59" t="str">
        <f t="shared" si="115"/>
        <v/>
      </c>
      <c r="E540" s="59" t="str">
        <f t="shared" si="115"/>
        <v/>
      </c>
      <c r="F540" s="59" t="str">
        <f t="shared" si="115"/>
        <v/>
      </c>
      <c r="G540" s="59" t="str">
        <f t="shared" si="115"/>
        <v/>
      </c>
      <c r="H540" s="59" t="str">
        <f t="shared" si="115"/>
        <v/>
      </c>
      <c r="I540" s="59" t="str">
        <f t="shared" si="115"/>
        <v/>
      </c>
      <c r="J540" s="59" t="str">
        <f t="shared" si="115"/>
        <v/>
      </c>
      <c r="K540" s="59" t="str">
        <f t="shared" si="115"/>
        <v/>
      </c>
      <c r="L540" s="59" t="str">
        <f t="shared" si="115"/>
        <v/>
      </c>
      <c r="M540" s="59" t="str">
        <f t="shared" si="115"/>
        <v/>
      </c>
      <c r="N540" s="59" t="str">
        <f t="shared" si="115"/>
        <v/>
      </c>
      <c r="O540" s="59" t="str">
        <f t="shared" si="115"/>
        <v/>
      </c>
      <c r="P540" s="59" t="str">
        <f t="shared" si="115"/>
        <v/>
      </c>
      <c r="Q540" s="59" t="str">
        <f t="shared" si="115"/>
        <v/>
      </c>
      <c r="R540" s="59" t="str">
        <f t="shared" si="115"/>
        <v/>
      </c>
      <c r="S540" s="59" t="str">
        <f t="shared" si="115"/>
        <v/>
      </c>
      <c r="T540" s="59" t="str">
        <f t="shared" si="115"/>
        <v/>
      </c>
      <c r="U540" s="59" t="str">
        <f t="shared" si="115"/>
        <v/>
      </c>
      <c r="V540" s="59" t="str">
        <f t="shared" si="115"/>
        <v/>
      </c>
      <c r="W540" s="59" t="str">
        <f t="shared" si="115"/>
        <v/>
      </c>
      <c r="X540" s="59" t="str">
        <f t="shared" si="115"/>
        <v/>
      </c>
      <c r="Y540" s="59" t="str">
        <f t="shared" si="115"/>
        <v/>
      </c>
      <c r="Z540" s="59" t="str">
        <f t="shared" si="115"/>
        <v/>
      </c>
      <c r="AA540" s="59" t="str">
        <f t="shared" si="115"/>
        <v/>
      </c>
      <c r="AB540" s="59" t="str">
        <f t="shared" si="115"/>
        <v/>
      </c>
      <c r="AC540" s="59" t="str">
        <f t="shared" si="115"/>
        <v/>
      </c>
      <c r="AD540" s="59" t="str">
        <f t="shared" si="115"/>
        <v/>
      </c>
      <c r="AE540" s="59" t="str">
        <f t="shared" si="115"/>
        <v/>
      </c>
      <c r="AF540" s="59" t="str">
        <f t="shared" si="115"/>
        <v/>
      </c>
      <c r="AG540" s="59" t="str">
        <f t="shared" si="115"/>
        <v/>
      </c>
      <c r="AH540" s="59" t="str">
        <f t="shared" si="115"/>
        <v/>
      </c>
      <c r="AI540" s="59" t="str">
        <f t="shared" si="115"/>
        <v/>
      </c>
    </row>
    <row r="541">
      <c r="B541" s="140" t="s">
        <v>290</v>
      </c>
      <c r="C541" s="159" t="str">
        <f t="shared" ref="C541:AI541" si="116">IF(ISBLANK(C500),  ,  C538  * C537)</f>
        <v/>
      </c>
      <c r="D541" s="59" t="str">
        <f t="shared" si="116"/>
        <v/>
      </c>
      <c r="E541" s="59" t="str">
        <f t="shared" si="116"/>
        <v/>
      </c>
      <c r="F541" s="59" t="str">
        <f t="shared" si="116"/>
        <v/>
      </c>
      <c r="G541" s="59" t="str">
        <f t="shared" si="116"/>
        <v/>
      </c>
      <c r="H541" s="59" t="str">
        <f t="shared" si="116"/>
        <v/>
      </c>
      <c r="I541" s="59" t="str">
        <f t="shared" si="116"/>
        <v/>
      </c>
      <c r="J541" s="59" t="str">
        <f t="shared" si="116"/>
        <v/>
      </c>
      <c r="K541" s="59" t="str">
        <f t="shared" si="116"/>
        <v/>
      </c>
      <c r="L541" s="59" t="str">
        <f t="shared" si="116"/>
        <v/>
      </c>
      <c r="M541" s="59" t="str">
        <f t="shared" si="116"/>
        <v/>
      </c>
      <c r="N541" s="59" t="str">
        <f t="shared" si="116"/>
        <v/>
      </c>
      <c r="O541" s="59" t="str">
        <f t="shared" si="116"/>
        <v/>
      </c>
      <c r="P541" s="59" t="str">
        <f t="shared" si="116"/>
        <v/>
      </c>
      <c r="Q541" s="59" t="str">
        <f t="shared" si="116"/>
        <v/>
      </c>
      <c r="R541" s="59" t="str">
        <f t="shared" si="116"/>
        <v/>
      </c>
      <c r="S541" s="59" t="str">
        <f t="shared" si="116"/>
        <v/>
      </c>
      <c r="T541" s="59" t="str">
        <f t="shared" si="116"/>
        <v/>
      </c>
      <c r="U541" s="59" t="str">
        <f t="shared" si="116"/>
        <v/>
      </c>
      <c r="V541" s="59" t="str">
        <f t="shared" si="116"/>
        <v/>
      </c>
      <c r="W541" s="59" t="str">
        <f t="shared" si="116"/>
        <v/>
      </c>
      <c r="X541" s="59" t="str">
        <f t="shared" si="116"/>
        <v/>
      </c>
      <c r="Y541" s="59" t="str">
        <f t="shared" si="116"/>
        <v/>
      </c>
      <c r="Z541" s="59" t="str">
        <f t="shared" si="116"/>
        <v/>
      </c>
      <c r="AA541" s="59" t="str">
        <f t="shared" si="116"/>
        <v/>
      </c>
      <c r="AB541" s="59" t="str">
        <f t="shared" si="116"/>
        <v/>
      </c>
      <c r="AC541" s="59" t="str">
        <f t="shared" si="116"/>
        <v/>
      </c>
      <c r="AD541" s="59" t="str">
        <f t="shared" si="116"/>
        <v/>
      </c>
      <c r="AE541" s="59" t="str">
        <f t="shared" si="116"/>
        <v/>
      </c>
      <c r="AF541" s="59" t="str">
        <f t="shared" si="116"/>
        <v/>
      </c>
      <c r="AG541" s="59" t="str">
        <f t="shared" si="116"/>
        <v/>
      </c>
      <c r="AH541" s="59" t="str">
        <f t="shared" si="116"/>
        <v/>
      </c>
      <c r="AI541" s="59" t="str">
        <f t="shared" si="116"/>
        <v/>
      </c>
    </row>
    <row r="542">
      <c r="B542" s="140" t="s">
        <v>291</v>
      </c>
      <c r="C542" s="58" t="str">
        <f t="shared" ref="C542:AI542" si="117">IF(ISBLANK(C500),  ,  IF(C503="Pyro", 1.5 * (1 +  (2.78 * ($J436 +C521 ) / (($J436 +C521 ) + 1400)) + $J493%), IF(C503="Hydro", 2 * (1 +  (2.78 * ($J436 +C521 ) / (($J436 +C521 ) + 1400)) + $J493%), 0)) + C528%)</f>
        <v/>
      </c>
      <c r="D542" s="59" t="str">
        <f t="shared" si="117"/>
        <v/>
      </c>
      <c r="E542" s="59" t="str">
        <f t="shared" si="117"/>
        <v/>
      </c>
      <c r="F542" s="59" t="str">
        <f t="shared" si="117"/>
        <v/>
      </c>
      <c r="G542" s="59" t="str">
        <f t="shared" si="117"/>
        <v/>
      </c>
      <c r="H542" s="59" t="str">
        <f t="shared" si="117"/>
        <v/>
      </c>
      <c r="I542" s="59" t="str">
        <f t="shared" si="117"/>
        <v/>
      </c>
      <c r="J542" s="59" t="str">
        <f t="shared" si="117"/>
        <v/>
      </c>
      <c r="K542" s="59" t="str">
        <f t="shared" si="117"/>
        <v/>
      </c>
      <c r="L542" s="59" t="str">
        <f t="shared" si="117"/>
        <v/>
      </c>
      <c r="M542" s="59" t="str">
        <f t="shared" si="117"/>
        <v/>
      </c>
      <c r="N542" s="59" t="str">
        <f t="shared" si="117"/>
        <v/>
      </c>
      <c r="O542" s="59" t="str">
        <f t="shared" si="117"/>
        <v/>
      </c>
      <c r="P542" s="59" t="str">
        <f t="shared" si="117"/>
        <v/>
      </c>
      <c r="Q542" s="59" t="str">
        <f t="shared" si="117"/>
        <v/>
      </c>
      <c r="R542" s="59" t="str">
        <f t="shared" si="117"/>
        <v/>
      </c>
      <c r="S542" s="59" t="str">
        <f t="shared" si="117"/>
        <v/>
      </c>
      <c r="T542" s="59" t="str">
        <f t="shared" si="117"/>
        <v/>
      </c>
      <c r="U542" s="59" t="str">
        <f t="shared" si="117"/>
        <v/>
      </c>
      <c r="V542" s="59" t="str">
        <f t="shared" si="117"/>
        <v/>
      </c>
      <c r="W542" s="59" t="str">
        <f t="shared" si="117"/>
        <v/>
      </c>
      <c r="X542" s="59" t="str">
        <f t="shared" si="117"/>
        <v/>
      </c>
      <c r="Y542" s="59" t="str">
        <f t="shared" si="117"/>
        <v/>
      </c>
      <c r="Z542" s="59" t="str">
        <f t="shared" si="117"/>
        <v/>
      </c>
      <c r="AA542" s="59" t="str">
        <f t="shared" si="117"/>
        <v/>
      </c>
      <c r="AB542" s="59" t="str">
        <f t="shared" si="117"/>
        <v/>
      </c>
      <c r="AC542" s="59" t="str">
        <f t="shared" si="117"/>
        <v/>
      </c>
      <c r="AD542" s="59" t="str">
        <f t="shared" si="117"/>
        <v/>
      </c>
      <c r="AE542" s="59" t="str">
        <f t="shared" si="117"/>
        <v/>
      </c>
      <c r="AF542" s="59" t="str">
        <f t="shared" si="117"/>
        <v/>
      </c>
      <c r="AG542" s="59" t="str">
        <f t="shared" si="117"/>
        <v/>
      </c>
      <c r="AH542" s="59" t="str">
        <f t="shared" si="117"/>
        <v/>
      </c>
      <c r="AI542" s="59" t="str">
        <f t="shared" si="117"/>
        <v/>
      </c>
    </row>
    <row r="543">
      <c r="B543" s="140" t="s">
        <v>292</v>
      </c>
      <c r="C543" s="159" t="str">
        <f t="shared" ref="C543:AI543" si="118">IF(ISBLANK(C500),  ,  C542  * C535)</f>
        <v/>
      </c>
      <c r="D543" s="59" t="str">
        <f t="shared" si="118"/>
        <v/>
      </c>
      <c r="E543" s="59" t="str">
        <f t="shared" si="118"/>
        <v/>
      </c>
      <c r="F543" s="59" t="str">
        <f t="shared" si="118"/>
        <v/>
      </c>
      <c r="G543" s="59" t="str">
        <f t="shared" si="118"/>
        <v/>
      </c>
      <c r="H543" s="59" t="str">
        <f t="shared" si="118"/>
        <v/>
      </c>
      <c r="I543" s="59" t="str">
        <f t="shared" si="118"/>
        <v/>
      </c>
      <c r="J543" s="59" t="str">
        <f t="shared" si="118"/>
        <v/>
      </c>
      <c r="K543" s="59" t="str">
        <f t="shared" si="118"/>
        <v/>
      </c>
      <c r="L543" s="59" t="str">
        <f t="shared" si="118"/>
        <v/>
      </c>
      <c r="M543" s="59" t="str">
        <f t="shared" si="118"/>
        <v/>
      </c>
      <c r="N543" s="59" t="str">
        <f t="shared" si="118"/>
        <v/>
      </c>
      <c r="O543" s="59" t="str">
        <f t="shared" si="118"/>
        <v/>
      </c>
      <c r="P543" s="59" t="str">
        <f t="shared" si="118"/>
        <v/>
      </c>
      <c r="Q543" s="59" t="str">
        <f t="shared" si="118"/>
        <v/>
      </c>
      <c r="R543" s="59" t="str">
        <f t="shared" si="118"/>
        <v/>
      </c>
      <c r="S543" s="59" t="str">
        <f t="shared" si="118"/>
        <v/>
      </c>
      <c r="T543" s="59" t="str">
        <f t="shared" si="118"/>
        <v/>
      </c>
      <c r="U543" s="59" t="str">
        <f t="shared" si="118"/>
        <v/>
      </c>
      <c r="V543" s="59" t="str">
        <f t="shared" si="118"/>
        <v/>
      </c>
      <c r="W543" s="59" t="str">
        <f t="shared" si="118"/>
        <v/>
      </c>
      <c r="X543" s="59" t="str">
        <f t="shared" si="118"/>
        <v/>
      </c>
      <c r="Y543" s="59" t="str">
        <f t="shared" si="118"/>
        <v/>
      </c>
      <c r="Z543" s="59" t="str">
        <f t="shared" si="118"/>
        <v/>
      </c>
      <c r="AA543" s="59" t="str">
        <f t="shared" si="118"/>
        <v/>
      </c>
      <c r="AB543" s="59" t="str">
        <f t="shared" si="118"/>
        <v/>
      </c>
      <c r="AC543" s="59" t="str">
        <f t="shared" si="118"/>
        <v/>
      </c>
      <c r="AD543" s="59" t="str">
        <f t="shared" si="118"/>
        <v/>
      </c>
      <c r="AE543" s="59" t="str">
        <f t="shared" si="118"/>
        <v/>
      </c>
      <c r="AF543" s="59" t="str">
        <f t="shared" si="118"/>
        <v/>
      </c>
      <c r="AG543" s="59" t="str">
        <f t="shared" si="118"/>
        <v/>
      </c>
      <c r="AH543" s="59" t="str">
        <f t="shared" si="118"/>
        <v/>
      </c>
      <c r="AI543" s="59" t="str">
        <f t="shared" si="118"/>
        <v/>
      </c>
    </row>
    <row r="544">
      <c r="B544" s="140" t="s">
        <v>293</v>
      </c>
      <c r="C544" s="159" t="str">
        <f t="shared" ref="C544:AI544" si="119">IF(ISBLANK(C500),  ,  C542  * C536)</f>
        <v/>
      </c>
      <c r="D544" s="59" t="str">
        <f t="shared" si="119"/>
        <v/>
      </c>
      <c r="E544" s="59" t="str">
        <f t="shared" si="119"/>
        <v/>
      </c>
      <c r="F544" s="59" t="str">
        <f t="shared" si="119"/>
        <v/>
      </c>
      <c r="G544" s="59" t="str">
        <f t="shared" si="119"/>
        <v/>
      </c>
      <c r="H544" s="59" t="str">
        <f t="shared" si="119"/>
        <v/>
      </c>
      <c r="I544" s="59" t="str">
        <f t="shared" si="119"/>
        <v/>
      </c>
      <c r="J544" s="59" t="str">
        <f t="shared" si="119"/>
        <v/>
      </c>
      <c r="K544" s="59" t="str">
        <f t="shared" si="119"/>
        <v/>
      </c>
      <c r="L544" s="59" t="str">
        <f t="shared" si="119"/>
        <v/>
      </c>
      <c r="M544" s="59" t="str">
        <f t="shared" si="119"/>
        <v/>
      </c>
      <c r="N544" s="59" t="str">
        <f t="shared" si="119"/>
        <v/>
      </c>
      <c r="O544" s="59" t="str">
        <f t="shared" si="119"/>
        <v/>
      </c>
      <c r="P544" s="59" t="str">
        <f t="shared" si="119"/>
        <v/>
      </c>
      <c r="Q544" s="59" t="str">
        <f t="shared" si="119"/>
        <v/>
      </c>
      <c r="R544" s="59" t="str">
        <f t="shared" si="119"/>
        <v/>
      </c>
      <c r="S544" s="59" t="str">
        <f t="shared" si="119"/>
        <v/>
      </c>
      <c r="T544" s="59" t="str">
        <f t="shared" si="119"/>
        <v/>
      </c>
      <c r="U544" s="59" t="str">
        <f t="shared" si="119"/>
        <v/>
      </c>
      <c r="V544" s="59" t="str">
        <f t="shared" si="119"/>
        <v/>
      </c>
      <c r="W544" s="59" t="str">
        <f t="shared" si="119"/>
        <v/>
      </c>
      <c r="X544" s="59" t="str">
        <f t="shared" si="119"/>
        <v/>
      </c>
      <c r="Y544" s="59" t="str">
        <f t="shared" si="119"/>
        <v/>
      </c>
      <c r="Z544" s="59" t="str">
        <f t="shared" si="119"/>
        <v/>
      </c>
      <c r="AA544" s="59" t="str">
        <f t="shared" si="119"/>
        <v/>
      </c>
      <c r="AB544" s="59" t="str">
        <f t="shared" si="119"/>
        <v/>
      </c>
      <c r="AC544" s="59" t="str">
        <f t="shared" si="119"/>
        <v/>
      </c>
      <c r="AD544" s="59" t="str">
        <f t="shared" si="119"/>
        <v/>
      </c>
      <c r="AE544" s="59" t="str">
        <f t="shared" si="119"/>
        <v/>
      </c>
      <c r="AF544" s="59" t="str">
        <f t="shared" si="119"/>
        <v/>
      </c>
      <c r="AG544" s="59" t="str">
        <f t="shared" si="119"/>
        <v/>
      </c>
      <c r="AH544" s="59" t="str">
        <f t="shared" si="119"/>
        <v/>
      </c>
      <c r="AI544" s="59" t="str">
        <f t="shared" si="119"/>
        <v/>
      </c>
    </row>
    <row r="545">
      <c r="B545" s="140" t="s">
        <v>294</v>
      </c>
      <c r="C545" s="159" t="str">
        <f t="shared" ref="C545:AI545" si="120">IF(ISBLANK(C500),  ,  C542  * C537)</f>
        <v/>
      </c>
      <c r="D545" s="59" t="str">
        <f t="shared" si="120"/>
        <v/>
      </c>
      <c r="E545" s="59" t="str">
        <f t="shared" si="120"/>
        <v/>
      </c>
      <c r="F545" s="59" t="str">
        <f t="shared" si="120"/>
        <v/>
      </c>
      <c r="G545" s="59" t="str">
        <f t="shared" si="120"/>
        <v/>
      </c>
      <c r="H545" s="59" t="str">
        <f t="shared" si="120"/>
        <v/>
      </c>
      <c r="I545" s="59" t="str">
        <f t="shared" si="120"/>
        <v/>
      </c>
      <c r="J545" s="59" t="str">
        <f t="shared" si="120"/>
        <v/>
      </c>
      <c r="K545" s="59" t="str">
        <f t="shared" si="120"/>
        <v/>
      </c>
      <c r="L545" s="59" t="str">
        <f t="shared" si="120"/>
        <v/>
      </c>
      <c r="M545" s="59" t="str">
        <f t="shared" si="120"/>
        <v/>
      </c>
      <c r="N545" s="59" t="str">
        <f t="shared" si="120"/>
        <v/>
      </c>
      <c r="O545" s="59" t="str">
        <f t="shared" si="120"/>
        <v/>
      </c>
      <c r="P545" s="59" t="str">
        <f t="shared" si="120"/>
        <v/>
      </c>
      <c r="Q545" s="59" t="str">
        <f t="shared" si="120"/>
        <v/>
      </c>
      <c r="R545" s="59" t="str">
        <f t="shared" si="120"/>
        <v/>
      </c>
      <c r="S545" s="59" t="str">
        <f t="shared" si="120"/>
        <v/>
      </c>
      <c r="T545" s="59" t="str">
        <f t="shared" si="120"/>
        <v/>
      </c>
      <c r="U545" s="59" t="str">
        <f t="shared" si="120"/>
        <v/>
      </c>
      <c r="V545" s="59" t="str">
        <f t="shared" si="120"/>
        <v/>
      </c>
      <c r="W545" s="59" t="str">
        <f t="shared" si="120"/>
        <v/>
      </c>
      <c r="X545" s="59" t="str">
        <f t="shared" si="120"/>
        <v/>
      </c>
      <c r="Y545" s="59" t="str">
        <f t="shared" si="120"/>
        <v/>
      </c>
      <c r="Z545" s="59" t="str">
        <f t="shared" si="120"/>
        <v/>
      </c>
      <c r="AA545" s="59" t="str">
        <f t="shared" si="120"/>
        <v/>
      </c>
      <c r="AB545" s="59" t="str">
        <f t="shared" si="120"/>
        <v/>
      </c>
      <c r="AC545" s="59" t="str">
        <f t="shared" si="120"/>
        <v/>
      </c>
      <c r="AD545" s="59" t="str">
        <f t="shared" si="120"/>
        <v/>
      </c>
      <c r="AE545" s="59" t="str">
        <f t="shared" si="120"/>
        <v/>
      </c>
      <c r="AF545" s="59" t="str">
        <f t="shared" si="120"/>
        <v/>
      </c>
      <c r="AG545" s="59" t="str">
        <f t="shared" si="120"/>
        <v/>
      </c>
      <c r="AH545" s="59" t="str">
        <f t="shared" si="120"/>
        <v/>
      </c>
      <c r="AI545" s="59" t="str">
        <f t="shared" si="120"/>
        <v/>
      </c>
    </row>
    <row r="546">
      <c r="B546" s="140" t="s">
        <v>295</v>
      </c>
      <c r="C546" s="58" t="str">
        <f t="shared" ref="C546:AI546" si="121">IF(ISBLANK(C500),  ,  IF(C503="Dendro", 1 + (5 * ($J436 + C521)  / (($J436 + C521) + 1200)), IF(C503="Electro", 1 + (5 * ($J436 + C521) / (($J436 + C521) + 1200)), 0)) + $J495% + C528%)</f>
        <v/>
      </c>
      <c r="D546" s="59" t="str">
        <f t="shared" si="121"/>
        <v/>
      </c>
      <c r="E546" s="59" t="str">
        <f t="shared" si="121"/>
        <v/>
      </c>
      <c r="F546" s="59" t="str">
        <f t="shared" si="121"/>
        <v/>
      </c>
      <c r="G546" s="59" t="str">
        <f t="shared" si="121"/>
        <v/>
      </c>
      <c r="H546" s="59" t="str">
        <f t="shared" si="121"/>
        <v/>
      </c>
      <c r="I546" s="59" t="str">
        <f t="shared" si="121"/>
        <v/>
      </c>
      <c r="J546" s="59" t="str">
        <f t="shared" si="121"/>
        <v/>
      </c>
      <c r="K546" s="59" t="str">
        <f t="shared" si="121"/>
        <v/>
      </c>
      <c r="L546" s="59" t="str">
        <f t="shared" si="121"/>
        <v/>
      </c>
      <c r="M546" s="59" t="str">
        <f t="shared" si="121"/>
        <v/>
      </c>
      <c r="N546" s="59" t="str">
        <f t="shared" si="121"/>
        <v/>
      </c>
      <c r="O546" s="59" t="str">
        <f t="shared" si="121"/>
        <v/>
      </c>
      <c r="P546" s="59" t="str">
        <f t="shared" si="121"/>
        <v/>
      </c>
      <c r="Q546" s="59" t="str">
        <f t="shared" si="121"/>
        <v/>
      </c>
      <c r="R546" s="59" t="str">
        <f t="shared" si="121"/>
        <v/>
      </c>
      <c r="S546" s="59" t="str">
        <f t="shared" si="121"/>
        <v/>
      </c>
      <c r="T546" s="59" t="str">
        <f t="shared" si="121"/>
        <v/>
      </c>
      <c r="U546" s="59" t="str">
        <f t="shared" si="121"/>
        <v/>
      </c>
      <c r="V546" s="59" t="str">
        <f t="shared" si="121"/>
        <v/>
      </c>
      <c r="W546" s="59" t="str">
        <f t="shared" si="121"/>
        <v/>
      </c>
      <c r="X546" s="59" t="str">
        <f t="shared" si="121"/>
        <v/>
      </c>
      <c r="Y546" s="59" t="str">
        <f t="shared" si="121"/>
        <v/>
      </c>
      <c r="Z546" s="59" t="str">
        <f t="shared" si="121"/>
        <v/>
      </c>
      <c r="AA546" s="59" t="str">
        <f t="shared" si="121"/>
        <v/>
      </c>
      <c r="AB546" s="59" t="str">
        <f t="shared" si="121"/>
        <v/>
      </c>
      <c r="AC546" s="59" t="str">
        <f t="shared" si="121"/>
        <v/>
      </c>
      <c r="AD546" s="59" t="str">
        <f t="shared" si="121"/>
        <v/>
      </c>
      <c r="AE546" s="59" t="str">
        <f t="shared" si="121"/>
        <v/>
      </c>
      <c r="AF546" s="59" t="str">
        <f t="shared" si="121"/>
        <v/>
      </c>
      <c r="AG546" s="59" t="str">
        <f t="shared" si="121"/>
        <v/>
      </c>
      <c r="AH546" s="59" t="str">
        <f t="shared" si="121"/>
        <v/>
      </c>
      <c r="AI546" s="59" t="str">
        <f t="shared" si="121"/>
        <v/>
      </c>
    </row>
    <row r="547">
      <c r="B547" s="140" t="s">
        <v>296</v>
      </c>
      <c r="C547" s="65" t="str">
        <f t="shared" ref="C547:P547" si="122">IF(ISBLANK(C500),  ,  IF(C503="Dendro", 1808 * C546, IF(C503="Electro", 1664 * C546, 0)))</f>
        <v/>
      </c>
      <c r="D547" s="59" t="str">
        <f t="shared" si="122"/>
        <v/>
      </c>
      <c r="E547" s="59" t="str">
        <f t="shared" si="122"/>
        <v/>
      </c>
      <c r="F547" s="59" t="str">
        <f t="shared" si="122"/>
        <v/>
      </c>
      <c r="G547" s="59" t="str">
        <f t="shared" si="122"/>
        <v/>
      </c>
      <c r="H547" s="59" t="str">
        <f t="shared" si="122"/>
        <v/>
      </c>
      <c r="I547" s="59" t="str">
        <f t="shared" si="122"/>
        <v/>
      </c>
      <c r="J547" s="59" t="str">
        <f t="shared" si="122"/>
        <v/>
      </c>
      <c r="K547" s="59" t="str">
        <f t="shared" si="122"/>
        <v/>
      </c>
      <c r="L547" s="59" t="str">
        <f t="shared" si="122"/>
        <v/>
      </c>
      <c r="M547" s="59" t="str">
        <f t="shared" si="122"/>
        <v/>
      </c>
      <c r="N547" s="59" t="str">
        <f t="shared" si="122"/>
        <v/>
      </c>
      <c r="O547" s="59" t="str">
        <f t="shared" si="122"/>
        <v/>
      </c>
      <c r="P547" s="59" t="str">
        <f t="shared" si="122"/>
        <v/>
      </c>
      <c r="Q547" s="59"/>
      <c r="R547" s="59"/>
      <c r="S547" s="59"/>
      <c r="T547" s="59"/>
      <c r="U547" s="59"/>
      <c r="V547" s="59"/>
      <c r="W547" s="59"/>
      <c r="X547" s="59"/>
      <c r="Y547" s="59"/>
      <c r="Z547" s="59"/>
      <c r="AA547" s="59"/>
      <c r="AB547" s="59"/>
      <c r="AC547" s="59"/>
      <c r="AD547" s="59"/>
      <c r="AE547" s="59"/>
      <c r="AF547" s="59"/>
      <c r="AG547" s="59"/>
      <c r="AH547" s="59"/>
      <c r="AI547" s="59"/>
    </row>
    <row r="548">
      <c r="B548" s="140" t="s">
        <v>297</v>
      </c>
      <c r="C548" s="159" t="str">
        <f t="shared" ref="C548:AI548" si="123">IF(ISBLANK(C500),  ,  ((C504% * (($C429 + $D429) * (1 + $J430% + C516%) + C515 + SUM($E429:$G429) + $I429) + C505% * (($C433 * (1 + $J434% + C518%)) + C517 + SUM($D433:$G433) + $I433) + C506% * ($C437 * (1 + $J438% + C520%) + C519 + SUM($D437:$G437) + $I437) + C507% * ($J436 + C521)) * C513 + (C508% * (($C429 + $D429) * (1 + $J430% + C516%) + C515 + SUM($E429:$G429) + $I429) + C509% * (($C433 * (1 + $J434% + C518%)) + C517 + SUM($D433:$G433) + $I433) + C510% * ($C437 * (1 + $J438% + C520%) + C519 + SUM($D437:$G437) + $I437) + C511% * ($J436 + C521)) + C512 + C547) * C530 * C531 * C534)</f>
        <v/>
      </c>
      <c r="D548" s="59" t="str">
        <f t="shared" si="123"/>
        <v/>
      </c>
      <c r="E548" s="59" t="str">
        <f t="shared" si="123"/>
        <v/>
      </c>
      <c r="F548" s="59" t="str">
        <f t="shared" si="123"/>
        <v/>
      </c>
      <c r="G548" s="59" t="str">
        <f t="shared" si="123"/>
        <v/>
      </c>
      <c r="H548" s="59" t="str">
        <f t="shared" si="123"/>
        <v/>
      </c>
      <c r="I548" s="59" t="str">
        <f t="shared" si="123"/>
        <v/>
      </c>
      <c r="J548" s="59" t="str">
        <f t="shared" si="123"/>
        <v/>
      </c>
      <c r="K548" s="59" t="str">
        <f t="shared" si="123"/>
        <v/>
      </c>
      <c r="L548" s="59" t="str">
        <f t="shared" si="123"/>
        <v/>
      </c>
      <c r="M548" s="59" t="str">
        <f t="shared" si="123"/>
        <v/>
      </c>
      <c r="N548" s="59" t="str">
        <f t="shared" si="123"/>
        <v/>
      </c>
      <c r="O548" s="59" t="str">
        <f t="shared" si="123"/>
        <v/>
      </c>
      <c r="P548" s="59" t="str">
        <f t="shared" si="123"/>
        <v/>
      </c>
      <c r="Q548" s="59" t="str">
        <f t="shared" si="123"/>
        <v/>
      </c>
      <c r="R548" s="59" t="str">
        <f t="shared" si="123"/>
        <v/>
      </c>
      <c r="S548" s="59" t="str">
        <f t="shared" si="123"/>
        <v/>
      </c>
      <c r="T548" s="59" t="str">
        <f t="shared" si="123"/>
        <v/>
      </c>
      <c r="U548" s="59" t="str">
        <f t="shared" si="123"/>
        <v/>
      </c>
      <c r="V548" s="59" t="str">
        <f t="shared" si="123"/>
        <v/>
      </c>
      <c r="W548" s="59" t="str">
        <f t="shared" si="123"/>
        <v/>
      </c>
      <c r="X548" s="59" t="str">
        <f t="shared" si="123"/>
        <v/>
      </c>
      <c r="Y548" s="59" t="str">
        <f t="shared" si="123"/>
        <v/>
      </c>
      <c r="Z548" s="59" t="str">
        <f t="shared" si="123"/>
        <v/>
      </c>
      <c r="AA548" s="59" t="str">
        <f t="shared" si="123"/>
        <v/>
      </c>
      <c r="AB548" s="59" t="str">
        <f t="shared" si="123"/>
        <v/>
      </c>
      <c r="AC548" s="59" t="str">
        <f t="shared" si="123"/>
        <v/>
      </c>
      <c r="AD548" s="59" t="str">
        <f t="shared" si="123"/>
        <v/>
      </c>
      <c r="AE548" s="59" t="str">
        <f t="shared" si="123"/>
        <v/>
      </c>
      <c r="AF548" s="59" t="str">
        <f t="shared" si="123"/>
        <v/>
      </c>
      <c r="AG548" s="59" t="str">
        <f t="shared" si="123"/>
        <v/>
      </c>
      <c r="AH548" s="59" t="str">
        <f t="shared" si="123"/>
        <v/>
      </c>
      <c r="AI548" s="59" t="str">
        <f t="shared" si="123"/>
        <v/>
      </c>
    </row>
    <row r="549">
      <c r="B549" s="140" t="s">
        <v>298</v>
      </c>
      <c r="C549" s="159" t="str">
        <f t="shared" ref="C549:AI549" si="124">IF(ISBLANK(C500),  ,  (C532 * C550) + ((1 - C532) * C548))</f>
        <v/>
      </c>
      <c r="D549" s="59" t="str">
        <f t="shared" si="124"/>
        <v/>
      </c>
      <c r="E549" s="59" t="str">
        <f t="shared" si="124"/>
        <v/>
      </c>
      <c r="F549" s="59" t="str">
        <f t="shared" si="124"/>
        <v/>
      </c>
      <c r="G549" s="59" t="str">
        <f t="shared" si="124"/>
        <v/>
      </c>
      <c r="H549" s="59" t="str">
        <f t="shared" si="124"/>
        <v/>
      </c>
      <c r="I549" s="59" t="str">
        <f t="shared" si="124"/>
        <v/>
      </c>
      <c r="J549" s="59" t="str">
        <f t="shared" si="124"/>
        <v/>
      </c>
      <c r="K549" s="59" t="str">
        <f t="shared" si="124"/>
        <v/>
      </c>
      <c r="L549" s="59" t="str">
        <f t="shared" si="124"/>
        <v/>
      </c>
      <c r="M549" s="59" t="str">
        <f t="shared" si="124"/>
        <v/>
      </c>
      <c r="N549" s="59" t="str">
        <f t="shared" si="124"/>
        <v/>
      </c>
      <c r="O549" s="59" t="str">
        <f t="shared" si="124"/>
        <v/>
      </c>
      <c r="P549" s="59" t="str">
        <f t="shared" si="124"/>
        <v/>
      </c>
      <c r="Q549" s="59" t="str">
        <f t="shared" si="124"/>
        <v/>
      </c>
      <c r="R549" s="59" t="str">
        <f t="shared" si="124"/>
        <v/>
      </c>
      <c r="S549" s="59" t="str">
        <f t="shared" si="124"/>
        <v/>
      </c>
      <c r="T549" s="59" t="str">
        <f t="shared" si="124"/>
        <v/>
      </c>
      <c r="U549" s="59" t="str">
        <f t="shared" si="124"/>
        <v/>
      </c>
      <c r="V549" s="59" t="str">
        <f t="shared" si="124"/>
        <v/>
      </c>
      <c r="W549" s="59" t="str">
        <f t="shared" si="124"/>
        <v/>
      </c>
      <c r="X549" s="59" t="str">
        <f t="shared" si="124"/>
        <v/>
      </c>
      <c r="Y549" s="59" t="str">
        <f t="shared" si="124"/>
        <v/>
      </c>
      <c r="Z549" s="59" t="str">
        <f t="shared" si="124"/>
        <v/>
      </c>
      <c r="AA549" s="59" t="str">
        <f t="shared" si="124"/>
        <v/>
      </c>
      <c r="AB549" s="59" t="str">
        <f t="shared" si="124"/>
        <v/>
      </c>
      <c r="AC549" s="59" t="str">
        <f t="shared" si="124"/>
        <v/>
      </c>
      <c r="AD549" s="59" t="str">
        <f t="shared" si="124"/>
        <v/>
      </c>
      <c r="AE549" s="59" t="str">
        <f t="shared" si="124"/>
        <v/>
      </c>
      <c r="AF549" s="59" t="str">
        <f t="shared" si="124"/>
        <v/>
      </c>
      <c r="AG549" s="59" t="str">
        <f t="shared" si="124"/>
        <v/>
      </c>
      <c r="AH549" s="59" t="str">
        <f t="shared" si="124"/>
        <v/>
      </c>
      <c r="AI549" s="59" t="str">
        <f t="shared" si="124"/>
        <v/>
      </c>
    </row>
    <row r="550">
      <c r="B550" s="140" t="s">
        <v>299</v>
      </c>
      <c r="C550" s="159" t="str">
        <f t="shared" ref="C550:P550" si="125">IF(ISBLANK(C500),  ,  C548  * C533)</f>
        <v/>
      </c>
      <c r="D550" s="59" t="str">
        <f t="shared" si="125"/>
        <v/>
      </c>
      <c r="E550" s="59" t="str">
        <f t="shared" si="125"/>
        <v/>
      </c>
      <c r="F550" s="59" t="str">
        <f t="shared" si="125"/>
        <v/>
      </c>
      <c r="G550" s="59" t="str">
        <f t="shared" si="125"/>
        <v/>
      </c>
      <c r="H550" s="59" t="str">
        <f t="shared" si="125"/>
        <v/>
      </c>
      <c r="I550" s="59" t="str">
        <f t="shared" si="125"/>
        <v/>
      </c>
      <c r="J550" s="59" t="str">
        <f t="shared" si="125"/>
        <v/>
      </c>
      <c r="K550" s="59" t="str">
        <f t="shared" si="125"/>
        <v/>
      </c>
      <c r="L550" s="59" t="str">
        <f t="shared" si="125"/>
        <v/>
      </c>
      <c r="M550" s="59" t="str">
        <f t="shared" si="125"/>
        <v/>
      </c>
      <c r="N550" s="59" t="str">
        <f t="shared" si="125"/>
        <v/>
      </c>
      <c r="O550" s="59" t="str">
        <f t="shared" si="125"/>
        <v/>
      </c>
      <c r="P550" s="59" t="str">
        <f t="shared" si="125"/>
        <v/>
      </c>
      <c r="Q550" s="59"/>
      <c r="R550" s="59"/>
      <c r="S550" s="59"/>
      <c r="T550" s="59"/>
      <c r="U550" s="59"/>
      <c r="V550" s="59"/>
      <c r="W550" s="59"/>
      <c r="X550" s="59"/>
      <c r="Y550" s="59"/>
      <c r="Z550" s="59"/>
      <c r="AA550" s="59"/>
      <c r="AB550" s="59"/>
      <c r="AC550" s="59"/>
      <c r="AD550" s="59"/>
      <c r="AE550" s="59"/>
      <c r="AF550" s="59"/>
      <c r="AG550" s="59"/>
      <c r="AH550" s="59"/>
      <c r="AI550" s="59"/>
    </row>
    <row r="551">
      <c r="B551" s="59"/>
      <c r="C551" s="59"/>
    </row>
    <row r="552">
      <c r="B552" s="140" t="s">
        <v>300</v>
      </c>
      <c r="C552" s="70"/>
      <c r="H552" s="59"/>
      <c r="I552" s="59"/>
      <c r="J552" s="59"/>
      <c r="K552" s="59"/>
      <c r="L552" s="59"/>
      <c r="M552" s="59"/>
      <c r="N552" s="59"/>
    </row>
    <row r="553">
      <c r="B553" s="140" t="s">
        <v>251</v>
      </c>
      <c r="C553" s="158"/>
    </row>
    <row r="554">
      <c r="B554" s="140" t="s">
        <v>301</v>
      </c>
      <c r="C554" s="71"/>
    </row>
    <row r="555">
      <c r="B555" s="140" t="s">
        <v>152</v>
      </c>
      <c r="C555" s="70"/>
    </row>
    <row r="556">
      <c r="B556" s="140" t="s">
        <v>120</v>
      </c>
      <c r="C556" s="70"/>
    </row>
    <row r="557">
      <c r="B557" s="140" t="s">
        <v>153</v>
      </c>
      <c r="C557" s="158"/>
    </row>
    <row r="558">
      <c r="B558" s="140" t="s">
        <v>165</v>
      </c>
      <c r="C558" s="70"/>
    </row>
    <row r="559">
      <c r="B559" s="140" t="s">
        <v>115</v>
      </c>
      <c r="C559" s="70"/>
    </row>
    <row r="560">
      <c r="B560" s="140" t="s">
        <v>302</v>
      </c>
      <c r="C560" s="70"/>
    </row>
    <row r="561">
      <c r="B561" s="140" t="s">
        <v>303</v>
      </c>
      <c r="C561" s="65" t="str">
        <f t="shared" ref="C561:L561" si="126">IF(ISBLANK(C552),  ,  IF(C554 = "Crystallize", 1 + 4.44 * (J436 / (J436 + 1400)) , 1) * (1 + IF(C554 = "Heal", $J447% + $J498%, $J448%)))</f>
        <v/>
      </c>
      <c r="D561" s="59" t="str">
        <f t="shared" si="126"/>
        <v/>
      </c>
      <c r="E561" s="59" t="str">
        <f t="shared" si="126"/>
        <v/>
      </c>
      <c r="F561" s="59" t="str">
        <f t="shared" si="126"/>
        <v/>
      </c>
      <c r="G561" s="59" t="str">
        <f t="shared" si="126"/>
        <v/>
      </c>
      <c r="H561" s="59" t="str">
        <f t="shared" si="126"/>
        <v/>
      </c>
      <c r="I561" s="59" t="str">
        <f t="shared" si="126"/>
        <v/>
      </c>
      <c r="J561" s="59" t="str">
        <f t="shared" si="126"/>
        <v/>
      </c>
      <c r="K561" s="59" t="str">
        <f t="shared" si="126"/>
        <v/>
      </c>
      <c r="L561" s="59" t="str">
        <f t="shared" si="126"/>
        <v/>
      </c>
      <c r="M561" s="59" t="str">
        <f>IF(ISBLANK(M552),  ,  IF(M554 = "Crystallize", 1 + 4.44 * (AJ436 / (AJ436 + 1400)) , 1) * (1 + IF(M554 = "Heal", $J447% + $J498%, $J448%)))</f>
        <v/>
      </c>
      <c r="N561" s="59" t="str">
        <f t="shared" ref="N561:P561" si="127">IF(ISBLANK(N$200),  ,  IF(N554 = "Crystallize", 1 + 4.44 * (AK436 / (AK436 + 1400)) , 1) * (1 + IF(N554 = "Heal", $J447% + $J498%, $J448%)))</f>
        <v/>
      </c>
      <c r="O561" s="59" t="str">
        <f t="shared" si="127"/>
        <v/>
      </c>
      <c r="P561" s="59" t="str">
        <f t="shared" si="127"/>
        <v/>
      </c>
    </row>
    <row r="562">
      <c r="B562" s="140" t="s">
        <v>304</v>
      </c>
      <c r="C562" s="159" t="str">
        <f t="shared" ref="C562:M562" si="128">IF(ISBLANK(C552),  ,  (C555% * $J429 + C556% * $J433 + C557% * $J437 + C559 + C558% * $J436) * C561)</f>
        <v/>
      </c>
      <c r="D562" s="59" t="str">
        <f t="shared" si="128"/>
        <v/>
      </c>
      <c r="E562" s="59" t="str">
        <f t="shared" si="128"/>
        <v/>
      </c>
      <c r="F562" s="59" t="str">
        <f t="shared" si="128"/>
        <v/>
      </c>
      <c r="G562" s="59" t="str">
        <f t="shared" si="128"/>
        <v/>
      </c>
      <c r="H562" s="59" t="str">
        <f t="shared" si="128"/>
        <v/>
      </c>
      <c r="I562" s="59" t="str">
        <f t="shared" si="128"/>
        <v/>
      </c>
      <c r="J562" s="59" t="str">
        <f t="shared" si="128"/>
        <v/>
      </c>
      <c r="K562" s="59" t="str">
        <f t="shared" si="128"/>
        <v/>
      </c>
      <c r="L562" s="59" t="str">
        <f t="shared" si="128"/>
        <v/>
      </c>
      <c r="M562" s="59" t="str">
        <f t="shared" si="128"/>
        <v/>
      </c>
      <c r="N562" s="59" t="str">
        <f t="shared" ref="N562:P562" si="129">IF(ISBLANK(N$200),  ,  (N555% * $J429 + N556% * $J433 + N557% * $J437 + N559 + N558% * $J436) * N561)</f>
        <v/>
      </c>
      <c r="O562" s="59" t="str">
        <f t="shared" si="129"/>
        <v/>
      </c>
      <c r="P562" s="59" t="str">
        <f t="shared" si="129"/>
        <v/>
      </c>
      <c r="Q562" s="59"/>
      <c r="R562" s="59"/>
      <c r="S562" s="59"/>
      <c r="T562" s="59"/>
      <c r="U562" s="59"/>
      <c r="V562" s="59"/>
      <c r="W562" s="59"/>
      <c r="X562" s="59"/>
      <c r="Y562" s="59"/>
      <c r="Z562" s="59"/>
      <c r="AA562" s="59"/>
      <c r="AB562" s="59"/>
      <c r="AC562" s="59"/>
      <c r="AD562" s="59"/>
      <c r="AE562" s="59"/>
      <c r="AF562" s="59"/>
      <c r="AG562" s="59"/>
      <c r="AH562" s="59"/>
      <c r="AI562" s="59"/>
    </row>
    <row r="563">
      <c r="B563" s="140" t="s">
        <v>305</v>
      </c>
      <c r="C563" s="159" t="str">
        <f t="shared" ref="C563:M563" si="130">IF(ISBLANK(C552),  ,  C562  * C560)</f>
        <v/>
      </c>
      <c r="D563" s="59" t="str">
        <f t="shared" si="130"/>
        <v/>
      </c>
      <c r="E563" s="59" t="str">
        <f t="shared" si="130"/>
        <v/>
      </c>
      <c r="F563" s="59" t="str">
        <f t="shared" si="130"/>
        <v/>
      </c>
      <c r="G563" s="59" t="str">
        <f t="shared" si="130"/>
        <v/>
      </c>
      <c r="H563" s="59" t="str">
        <f t="shared" si="130"/>
        <v/>
      </c>
      <c r="I563" s="59" t="str">
        <f t="shared" si="130"/>
        <v/>
      </c>
      <c r="J563" s="59" t="str">
        <f t="shared" si="130"/>
        <v/>
      </c>
      <c r="K563" s="59" t="str">
        <f t="shared" si="130"/>
        <v/>
      </c>
      <c r="L563" s="59" t="str">
        <f t="shared" si="130"/>
        <v/>
      </c>
      <c r="M563" s="59" t="str">
        <f t="shared" si="130"/>
        <v/>
      </c>
      <c r="N563" s="59" t="str">
        <f t="shared" ref="N563:P563" si="131">IF(ISBLANK(N$200),  ,  N562  * N560)</f>
        <v/>
      </c>
      <c r="O563" s="59" t="str">
        <f t="shared" si="131"/>
        <v/>
      </c>
      <c r="P563" s="59" t="str">
        <f t="shared" si="131"/>
        <v/>
      </c>
      <c r="Q563" s="59"/>
      <c r="R563" s="59"/>
      <c r="S563" s="59"/>
      <c r="T563" s="59"/>
      <c r="U563" s="59"/>
      <c r="V563" s="59"/>
      <c r="W563" s="59"/>
      <c r="X563" s="59"/>
      <c r="Y563" s="59"/>
      <c r="Z563" s="59"/>
      <c r="AA563" s="59"/>
      <c r="AB563" s="59"/>
      <c r="AC563" s="59"/>
      <c r="AD563" s="59"/>
      <c r="AE563" s="59"/>
      <c r="AF563" s="59"/>
      <c r="AG563" s="59"/>
      <c r="AH563" s="59"/>
      <c r="AI563" s="59"/>
    </row>
    <row r="564">
      <c r="B564" s="59"/>
      <c r="C564" s="59"/>
    </row>
    <row r="565">
      <c r="B565" s="140" t="s">
        <v>306</v>
      </c>
      <c r="C565" s="71"/>
    </row>
    <row r="566">
      <c r="B566" s="140" t="s">
        <v>307</v>
      </c>
      <c r="C566" s="71"/>
    </row>
    <row r="567">
      <c r="B567" s="140" t="s">
        <v>252</v>
      </c>
      <c r="C567" s="70" t="str">
        <f>IF(ISBLANK(C565), , IF(C566="other", "Physical", IF(OR(C566="overload", C566="burning", C566="swirl (pyro)"), "Pyro", IF(OR(C566="superconduct", C566="swirl (cryo)"), "Cryo", IF(OR(C566="electro-charged", C566="swirl (electro)"), "Electro", IF(C566="swirl (hydro)", "Hydro", IF(C566="shatter", "Physical", IF(OR(C566 = "bloom", C566 = "hyperbloom", C566 = "burgeon"), "Dendro"))))))))</f>
        <v/>
      </c>
    </row>
    <row r="568">
      <c r="B568" s="140" t="s">
        <v>308</v>
      </c>
      <c r="C568" s="70" t="str">
        <f>IF(ISBLANK(C565), , IF(C566="superconduct", 723, IF(OR(C566="overload", C566 = "bloom"), 2894, IF(C566="shatter", 2176, IF(C566="electro-charged", 1736, IF(C566="burning", 362, IF(LEFT(C566, 5)="swirl", 868, IF(OR(C566 = "hyperbloom", C566 = "burgeon"), 4340, 0))))))))</f>
        <v/>
      </c>
    </row>
    <row r="569">
      <c r="B569" s="140" t="s">
        <v>270</v>
      </c>
      <c r="C569" s="71"/>
    </row>
    <row r="570">
      <c r="B570" s="140" t="s">
        <v>274</v>
      </c>
      <c r="C570" s="71"/>
    </row>
    <row r="571">
      <c r="B571" s="140" t="s">
        <v>271</v>
      </c>
      <c r="C571" s="71"/>
    </row>
    <row r="572">
      <c r="B572" s="140" t="s">
        <v>280</v>
      </c>
      <c r="C572" s="65" t="str">
        <f>IF(ISBLANK(C565),  ,  IF(C567="Geo", (IF(($E$12 + C570) &lt; 0, (1 - (($E$12 + C570) / 200)), IF(($E$12 + C570) &gt; 75, (100 / (100 + (4 * ($E$12 + C570)))), (100 - ($E$12 + C570)) / 100))), IF(C567="Anemo", (IF(($E$13 + C570) &lt; 0, (1 - (($E$13 + C570) / 200)), IF(($E$13 + C570) &gt; 75, (100 / (100 + (4 * ($E$13 + C570)))), (100 - ($E$13 + C570)) / 100))), IF(C567="Cryo", (IF(($E$14 + C570) &lt; 0, (1 - (($E$14 + C570) / 200)), IF(($E$14 + C570) &gt; 75, (100 / (100 + (4 * ($E$14 + C570)))), (100 - ($E$14 + C570)) / 100))), IF(C567="Hydro", (IF(($E$15 + C570) &lt; 0, (1 - (($E$15 + C570) / 200)), IF(($E$15 + C570) &gt; 75, (100 / (100 + (4 * ($E$15 + C570)))), (100 - ($E$15 + C570)) / 100))), IF(C567="Pyro", (IF(($E$16 + C570) &lt; 0, (1 - (($E$16 + C570) / 200)), IF(($E$16 + C570) &gt; 75, (100 / (100 + (4 * ($E$16 + C570)))), (100 - ($E$16 + C570)) / 100))), IF(C567="Electro", (IF(($E$17 + C570) &lt; 0, (1 - (($E$17 + C570) / 200)), IF(($E$17 + C570) &gt; 75, (100 / (100 + (4 * ($E$17 + C570)))), (100 - ($E$17 + C570)) / 100))), IF(C567="Dendro", (IF(($E$18 + C570) &lt; 0, (1 - (($E$18 + C570) / 200)), IF(($E$18 + C570) &gt; 75, (100 / (100 + (4 * ($E$18 + C570)))), (100 - ($E$18 + C570)) / 100))), IF(C567="Physical", (IF(($E$19 + C570) &lt; 0, (1 - (($E$19 + C570) / 200)), IF(($E$19 + C570) &gt; 75, (100 / (100 + (4 * ($E$19 + C570)))), (100 - ($E$19 + C570)) / 100))), 0)))))))))</f>
        <v/>
      </c>
    </row>
    <row r="573">
      <c r="B573" s="140" t="s">
        <v>309</v>
      </c>
      <c r="C573" s="65" t="str">
        <f>IF(ISBLANK(C565), , 1 + (16 * ($J436 +C569 ) / (($J436 +C569 ) + 2000)) + IF(LEFT(C566, 5)="swirl", $J485%, IF(C566="overload", $J486%, IF(C566="superconduct", $J487%, IF(C566="electro-charged", $J488%, IF(C566="burning", $J489%, IF(C566 = "burgeon", $J491%, IF(C566 = "hyperbloom", $J492%, IF(C566 = "bloom", $J490%, 0))))   )))) + C571%)</f>
        <v/>
      </c>
    </row>
    <row r="574">
      <c r="B574" s="140" t="s">
        <v>310</v>
      </c>
      <c r="C574" s="65" t="str">
        <f>IF(ISBLANK(C565), , IF($O$6 = true, IF(OR(C566="burning", C566="burgeon", C566="bloom", C566="hyperbloom"), 0.2, 0), 0))</f>
        <v/>
      </c>
    </row>
    <row r="575">
      <c r="B575" s="140" t="s">
        <v>311</v>
      </c>
      <c r="C575" s="65" t="str">
        <f>IF(ISBLANK(C565), , IF($O$6 = true, 2, 1))</f>
        <v/>
      </c>
    </row>
    <row r="576">
      <c r="B576" s="140" t="s">
        <v>312</v>
      </c>
      <c r="C576" s="159" t="str">
        <f>IF(ISBLANK(C565), , ((C568 * C572)) * C573)</f>
        <v/>
      </c>
    </row>
    <row r="577">
      <c r="B577" s="140" t="s">
        <v>285</v>
      </c>
      <c r="C577" s="159" t="str">
        <f>IF(ISBLANK(C565), , C578 * C574 + C576 * (1 - C574))</f>
        <v/>
      </c>
    </row>
    <row r="578">
      <c r="B578" s="140" t="s">
        <v>313</v>
      </c>
      <c r="C578" s="159" t="str">
        <f>IF(ISBLANK(C565),  ,  C576  * C575)</f>
        <v/>
      </c>
    </row>
    <row r="579">
      <c r="B579" s="140" t="s">
        <v>287</v>
      </c>
      <c r="C579" s="65" t="str">
        <f>IF(ISBLANK(C565), , IF(LEFT(C566, 5)="swirl", IF(C567="Pyro", 2 * (1 +  (2.78 * ($J436 +C569 ) / (($J436 +C569 ) + 1400)) + $J494%), IF(C567="Cryo", 1.5 * (1 +  (2.78 * ($J436 +C569 ) / (($J436 +C569 ) + 1400)) + $J494%), 0)), ))</f>
        <v/>
      </c>
    </row>
    <row r="580">
      <c r="B580" s="140" t="s">
        <v>314</v>
      </c>
      <c r="C580" s="159" t="str">
        <f>IF(ISBLANK(C565),  ,  C579  * C576)</f>
        <v/>
      </c>
    </row>
    <row r="581">
      <c r="B581" s="140" t="s">
        <v>291</v>
      </c>
      <c r="C581" s="65" t="str">
        <f>IF(ISBLANK(C565), , IF(LEFT(C566, 5)="swirl", IF(C567="Pyro", 1.5 * (1 +  (2.78 * ($J436 +C569 ) / (($J436 +C569 ) + 1400)) + $J493%), IF(C567="Hydro", 2 * (1 +  (2.78 * ($J436 +C569 ) / (($J436 +C569 ) + 1400)) + $J493%), 0)), ))</f>
        <v/>
      </c>
    </row>
    <row r="582">
      <c r="B582" s="140" t="s">
        <v>315</v>
      </c>
      <c r="C582" s="159" t="str">
        <f>IF(ISBLANK(C565),  ,  C581  * C576)</f>
        <v/>
      </c>
    </row>
    <row r="583">
      <c r="B583" s="140" t="s">
        <v>295</v>
      </c>
      <c r="C583" s="65" t="str">
        <f>IF(ISBLANK(C565), , IF(C566 = "swirl (electro)", 1 + (5 * ($J436 + C569) / (($J436 + C569) + 1200)) + $J495%, 0))</f>
        <v/>
      </c>
    </row>
    <row r="584">
      <c r="B584" s="140" t="s">
        <v>296</v>
      </c>
      <c r="C584" s="65" t="str">
        <f>IF(ISBLANK(C565), , 1664 * C583)</f>
        <v/>
      </c>
    </row>
    <row r="585">
      <c r="B585" s="140" t="s">
        <v>316</v>
      </c>
      <c r="C585" s="159" t="str">
        <f>IF(ISBLANK(C565), , IF(C566 = "swirl (electro)", ((C568 * C573) + C584) * C572, 0))</f>
        <v/>
      </c>
    </row>
    <row r="587">
      <c r="A587" s="174"/>
      <c r="B587" s="175" t="str">
        <f>CONCAT(B6, CONCAT(" | ", CONCAT(C6, CONCAT(" | ", D6))))</f>
        <v> C0 |  R1 |   HP%/HP%/HP%</v>
      </c>
    </row>
    <row r="589">
      <c r="B589" s="107" t="s">
        <v>138</v>
      </c>
      <c r="C589" s="108">
        <f>IF(C592="KQM", 20 - (COUNTIF(I590:M590, "4*") * 2), IF(C592="Jam", 24 - (COUNTIF(I590:M590, "4*") * 2) - (COUNTIF(L591:M591, "EM") * 3) - (2 * (COUNTIF(M591, "CR%") + COUNTIF(M591, "CD%") + COUNTIF(M591, "HB%"))) - (2 * (COUNTIF(K591, "ER%") + COUNTIF(K591, "EM"))) - (IF(OR(L591 = "ATK%", L591 = "DEF%", L591 = "HP%", L591 = "EM"), 0, 2)), 25))</f>
        <v>20</v>
      </c>
      <c r="E589" s="109" t="s">
        <v>139</v>
      </c>
      <c r="F589" s="108">
        <v>90.0</v>
      </c>
      <c r="H589" s="110" t="s">
        <v>105</v>
      </c>
      <c r="I589" s="110" t="s">
        <v>140</v>
      </c>
      <c r="J589" s="110" t="s">
        <v>141</v>
      </c>
      <c r="K589" s="110" t="s">
        <v>142</v>
      </c>
      <c r="L589" s="110" t="s">
        <v>143</v>
      </c>
      <c r="M589" s="110" t="s">
        <v>144</v>
      </c>
    </row>
    <row r="590">
      <c r="B590" s="107" t="s">
        <v>145</v>
      </c>
      <c r="C590" s="108">
        <f>IF(C592="KQM", 10, IF(C592 = "Jam", 12 - (COUNTIF(L591:M591, "EM") * 2) - (1 * (COUNTIF(M591, "CR%") + COUNTIF(M591, "CD%") + COUNTIF(M591, "HB%"))) - (1 * (COUNTIF(K591, "ER%") + COUNTIF(K591, "EM"))) - (IF(OR(L591 = "ATK%", L591 = "DEF%", L591 = "HP%", L591 = "EM"), 0, 1)), 15))</f>
        <v>10</v>
      </c>
      <c r="E590" s="109" t="s">
        <v>146</v>
      </c>
      <c r="F590" s="111">
        <v>9.0</v>
      </c>
      <c r="H590" s="110" t="s">
        <v>147</v>
      </c>
      <c r="I590" s="112" t="s">
        <v>148</v>
      </c>
      <c r="J590" s="113" t="s">
        <v>148</v>
      </c>
      <c r="K590" s="113" t="s">
        <v>148</v>
      </c>
      <c r="L590" s="113" t="s">
        <v>148</v>
      </c>
      <c r="M590" s="114" t="s">
        <v>148</v>
      </c>
    </row>
    <row r="591">
      <c r="B591" s="107" t="s">
        <v>149</v>
      </c>
      <c r="C591" s="108">
        <f>IF(C592 = "KQM", IF(COUNTIF(I590:M590, "4*") &gt; 0, 0.8, 1), 1 - (COUNTIF(I590:M590, "4*") * 0.04))</f>
        <v>1</v>
      </c>
      <c r="E591" s="109" t="s">
        <v>150</v>
      </c>
      <c r="F591" s="111">
        <v>9.0</v>
      </c>
      <c r="H591" s="110" t="s">
        <v>151</v>
      </c>
      <c r="I591" s="115" t="s">
        <v>152</v>
      </c>
      <c r="J591" s="116" t="s">
        <v>153</v>
      </c>
      <c r="K591" s="117" t="s">
        <v>154</v>
      </c>
      <c r="L591" s="117" t="s">
        <v>154</v>
      </c>
      <c r="M591" s="118" t="s">
        <v>154</v>
      </c>
    </row>
    <row r="592">
      <c r="B592" s="107" t="s">
        <v>155</v>
      </c>
      <c r="C592" s="111" t="s">
        <v>156</v>
      </c>
      <c r="E592" s="109" t="s">
        <v>157</v>
      </c>
      <c r="F592" s="111">
        <v>9.0</v>
      </c>
      <c r="H592" s="110" t="s">
        <v>158</v>
      </c>
      <c r="I592" s="119">
        <f>IF(I590 = "5*", 311, 232)</f>
        <v>311</v>
      </c>
      <c r="J592" s="120">
        <f>IF(J590 = "5*", 4780, 3571)</f>
        <v>4780</v>
      </c>
      <c r="K592" s="121">
        <f>IF(K590 = "5*", IF(OR(K591 = "HP%", K591 = "ATK%"), 46.6, IF(K591 = "DEF%", 58.3, IF(K591 = "ER%", 51.8, IF(K591 = "EM", 187)))), IF(OR(K591 = "HP%", K591 = "ATK%"), 34.8, IF(K591 = "DEF%", 43.5, IF(K591 = "ER%", 38.7, IF(K591 = "EM", 139)))))</f>
        <v>46.6</v>
      </c>
      <c r="L592" s="121">
        <f>IF(L590 = "5*", IF(OR(L591 = "HP%", L591 = "ATK%"), 46.6, IF(L591 = "DEF%", 58.3, IF(L591 = "Phys%", 58.3, IF(L591 = "EM", 187, 46.6)))), IF(OR(L591 = "HP%", L591 = "ATK%"), 34.8, IF(L591 = "DEF%", 43.5, IF(L591 = "Phys%", 43.5, IF(L591 = "EM", 139, 34.8)))))</f>
        <v>46.6</v>
      </c>
      <c r="M592" s="122">
        <f>IF(M590 = "5*", IF(OR(M591 = "HP%", M591 = "ATK%"), 46.6, IF(M591 = "DEF%", 58.3, IF(M591 = "EM", 187, IF(M591 = "CR%", 31.1, IF(M591 = "CD%", 62.2, 35.9))))), IF(OR(M591 = "HP%", M591 = "ATK%"), 34.8, IF(M591 = "DEF%", 45.3, IF(M591 = "EM", 139, IF(M591 = "CR%", 23.2, IF(M591 = "CD%", 46.4, 26.8))))))</f>
        <v>46.6</v>
      </c>
    </row>
    <row r="593">
      <c r="B593" s="123"/>
    </row>
    <row r="594">
      <c r="B594" s="110" t="s">
        <v>159</v>
      </c>
      <c r="C594" s="110" t="s">
        <v>152</v>
      </c>
      <c r="D594" s="110" t="s">
        <v>160</v>
      </c>
      <c r="E594" s="110" t="s">
        <v>153</v>
      </c>
      <c r="F594" s="110" t="s">
        <v>154</v>
      </c>
      <c r="G594" s="110" t="s">
        <v>120</v>
      </c>
      <c r="H594" s="110" t="s">
        <v>161</v>
      </c>
      <c r="I594" s="110" t="s">
        <v>162</v>
      </c>
      <c r="J594" s="110" t="s">
        <v>163</v>
      </c>
      <c r="K594" s="110" t="s">
        <v>164</v>
      </c>
      <c r="L594" s="110" t="s">
        <v>165</v>
      </c>
      <c r="M594" s="124" t="s">
        <v>73</v>
      </c>
    </row>
    <row r="595">
      <c r="B595" s="110" t="s">
        <v>166</v>
      </c>
      <c r="C595" s="128">
        <f>ROUND(16.54 * $C591, 2)</f>
        <v>16.54</v>
      </c>
      <c r="D595" s="128">
        <f>ROUND(4.96 * $C591, 2)</f>
        <v>4.96</v>
      </c>
      <c r="E595" s="128">
        <f>ROUND(253.94 * $C591, 2)</f>
        <v>253.94</v>
      </c>
      <c r="F595" s="128">
        <f>ROUND(4.96 * $C591, 2)</f>
        <v>4.96</v>
      </c>
      <c r="G595" s="128">
        <f>ROUND(19.68 * $C591, 2)</f>
        <v>19.68</v>
      </c>
      <c r="H595" s="128">
        <f>ROUND(6.2 * $C591, 2)</f>
        <v>6.2</v>
      </c>
      <c r="I595" s="128">
        <f>ROUND(3.31 * $C591, 2)</f>
        <v>3.31</v>
      </c>
      <c r="J595" s="128">
        <f>ROUND(6.62 * $C591, 2)</f>
        <v>6.62</v>
      </c>
      <c r="K595" s="128">
        <f>ROUND(5.51 * $C591, 2)</f>
        <v>5.51</v>
      </c>
      <c r="L595" s="128">
        <f>ROUND(19.82 * $C591, 2)</f>
        <v>19.82</v>
      </c>
      <c r="M595" s="126"/>
    </row>
    <row r="596">
      <c r="B596" s="110" t="s">
        <v>167</v>
      </c>
      <c r="C596" s="128">
        <f t="shared" ref="C596:L596" si="132">IF(OR($C592="KQM", $C592="Jam"), 2, 0)</f>
        <v>2</v>
      </c>
      <c r="D596" s="128">
        <f t="shared" si="132"/>
        <v>2</v>
      </c>
      <c r="E596" s="128">
        <f t="shared" si="132"/>
        <v>2</v>
      </c>
      <c r="F596" s="128">
        <f t="shared" si="132"/>
        <v>2</v>
      </c>
      <c r="G596" s="128">
        <f t="shared" si="132"/>
        <v>2</v>
      </c>
      <c r="H596" s="128">
        <f t="shared" si="132"/>
        <v>2</v>
      </c>
      <c r="I596" s="128">
        <f t="shared" si="132"/>
        <v>2</v>
      </c>
      <c r="J596" s="128">
        <f t="shared" si="132"/>
        <v>2</v>
      </c>
      <c r="K596" s="128">
        <f t="shared" si="132"/>
        <v>2</v>
      </c>
      <c r="L596" s="128">
        <f t="shared" si="132"/>
        <v>2</v>
      </c>
      <c r="M596" s="127">
        <f>SUM(C596:L596)</f>
        <v>20</v>
      </c>
    </row>
    <row r="597">
      <c r="B597" s="110" t="s">
        <v>168</v>
      </c>
      <c r="C597" s="128">
        <f t="shared" ref="C597:L597" si="133">$C590 - (COUNTIF($I591:$M591, C594) * 2)</f>
        <v>8</v>
      </c>
      <c r="D597" s="128">
        <f t="shared" si="133"/>
        <v>10</v>
      </c>
      <c r="E597" s="128">
        <f t="shared" si="133"/>
        <v>8</v>
      </c>
      <c r="F597" s="128">
        <f t="shared" si="133"/>
        <v>4</v>
      </c>
      <c r="G597" s="128">
        <f t="shared" si="133"/>
        <v>10</v>
      </c>
      <c r="H597" s="128">
        <f t="shared" si="133"/>
        <v>10</v>
      </c>
      <c r="I597" s="128">
        <f t="shared" si="133"/>
        <v>10</v>
      </c>
      <c r="J597" s="128">
        <f t="shared" si="133"/>
        <v>10</v>
      </c>
      <c r="K597" s="128">
        <f t="shared" si="133"/>
        <v>10</v>
      </c>
      <c r="L597" s="128">
        <f t="shared" si="133"/>
        <v>10</v>
      </c>
      <c r="M597" s="108">
        <f>C589</f>
        <v>20</v>
      </c>
    </row>
    <row r="598">
      <c r="B598" s="110" t="s">
        <v>169</v>
      </c>
      <c r="C598" s="162">
        <v>0.0</v>
      </c>
      <c r="D598" s="163">
        <v>0.0</v>
      </c>
      <c r="E598" s="163">
        <v>0.0</v>
      </c>
      <c r="F598" s="163">
        <v>0.0</v>
      </c>
      <c r="G598" s="162">
        <v>0.0</v>
      </c>
      <c r="H598" s="162">
        <v>0.0</v>
      </c>
      <c r="I598" s="163">
        <v>0.0</v>
      </c>
      <c r="J598" s="163">
        <v>0.0</v>
      </c>
      <c r="K598" s="163">
        <v>0.0</v>
      </c>
      <c r="L598" s="163">
        <v>0.0</v>
      </c>
      <c r="M598" s="164">
        <f>SUM(C598:L598)</f>
        <v>0</v>
      </c>
    </row>
    <row r="599">
      <c r="B599" s="110" t="s">
        <v>73</v>
      </c>
      <c r="C599" s="125">
        <f t="shared" ref="C599:M599" si="134">C596 + C598</f>
        <v>2</v>
      </c>
      <c r="D599" s="125">
        <f t="shared" si="134"/>
        <v>2</v>
      </c>
      <c r="E599" s="125">
        <f t="shared" si="134"/>
        <v>2</v>
      </c>
      <c r="F599" s="125">
        <f t="shared" si="134"/>
        <v>2</v>
      </c>
      <c r="G599" s="125">
        <f t="shared" si="134"/>
        <v>2</v>
      </c>
      <c r="H599" s="125">
        <f t="shared" si="134"/>
        <v>2</v>
      </c>
      <c r="I599" s="125">
        <f t="shared" si="134"/>
        <v>2</v>
      </c>
      <c r="J599" s="125">
        <f t="shared" si="134"/>
        <v>2</v>
      </c>
      <c r="K599" s="125">
        <f t="shared" si="134"/>
        <v>2</v>
      </c>
      <c r="L599" s="125">
        <f t="shared" si="134"/>
        <v>2</v>
      </c>
      <c r="M599" s="165">
        <f t="shared" si="134"/>
        <v>20</v>
      </c>
    </row>
    <row r="600">
      <c r="B600" s="110" t="s">
        <v>170</v>
      </c>
      <c r="C600" s="176">
        <f t="shared" ref="C600:L600" si="135">ROUND(C595 * C599, 2)</f>
        <v>33.08</v>
      </c>
      <c r="D600" s="176">
        <f t="shared" si="135"/>
        <v>9.92</v>
      </c>
      <c r="E600" s="176">
        <f t="shared" si="135"/>
        <v>507.88</v>
      </c>
      <c r="F600" s="176">
        <f t="shared" si="135"/>
        <v>9.92</v>
      </c>
      <c r="G600" s="176">
        <f t="shared" si="135"/>
        <v>39.36</v>
      </c>
      <c r="H600" s="176">
        <f t="shared" si="135"/>
        <v>12.4</v>
      </c>
      <c r="I600" s="176">
        <f t="shared" si="135"/>
        <v>6.62</v>
      </c>
      <c r="J600" s="176">
        <f t="shared" si="135"/>
        <v>13.24</v>
      </c>
      <c r="K600" s="176">
        <f t="shared" si="135"/>
        <v>11.02</v>
      </c>
      <c r="L600" s="177">
        <f t="shared" si="135"/>
        <v>39.64</v>
      </c>
      <c r="M600" s="134"/>
    </row>
    <row r="602">
      <c r="B602" s="135" t="s">
        <v>171</v>
      </c>
      <c r="C602" s="135" t="s">
        <v>68</v>
      </c>
      <c r="D602" s="135" t="s">
        <v>69</v>
      </c>
      <c r="E602" s="135" t="s">
        <v>172</v>
      </c>
      <c r="F602" s="135" t="s">
        <v>173</v>
      </c>
      <c r="G602" s="135" t="s">
        <v>174</v>
      </c>
      <c r="H602" s="135" t="s">
        <v>175</v>
      </c>
      <c r="I602" s="135" t="s">
        <v>176</v>
      </c>
      <c r="J602" s="135" t="s">
        <v>73</v>
      </c>
      <c r="L602" s="135" t="s">
        <v>177</v>
      </c>
      <c r="M602" s="135" t="s">
        <v>152</v>
      </c>
      <c r="N602" s="135" t="s">
        <v>120</v>
      </c>
      <c r="O602" s="135" t="s">
        <v>153</v>
      </c>
      <c r="P602" s="135" t="s">
        <v>165</v>
      </c>
    </row>
    <row r="603">
      <c r="B603" s="136" t="s">
        <v>178</v>
      </c>
      <c r="C603" s="137"/>
      <c r="D603" s="137"/>
      <c r="E603" s="137"/>
      <c r="F603" s="138" t="s">
        <v>179</v>
      </c>
      <c r="G603" s="166"/>
      <c r="H603" s="167"/>
      <c r="I603" s="166"/>
      <c r="J603" s="167"/>
      <c r="L603" s="140" t="s">
        <v>180</v>
      </c>
      <c r="M603" s="141"/>
      <c r="N603" s="142"/>
      <c r="O603" s="142"/>
      <c r="P603" s="143"/>
    </row>
    <row r="604">
      <c r="B604" s="144" t="b">
        <v>0</v>
      </c>
      <c r="C604" s="137" t="s">
        <v>181</v>
      </c>
      <c r="D604" s="137" t="s">
        <v>182</v>
      </c>
      <c r="E604" s="137"/>
      <c r="F604" s="37"/>
      <c r="G604" s="37"/>
      <c r="H604" s="37"/>
      <c r="I604" s="37"/>
      <c r="J604" s="37"/>
      <c r="L604" s="140" t="s">
        <v>183</v>
      </c>
      <c r="M604" s="145"/>
      <c r="N604" s="65"/>
      <c r="O604" s="65"/>
      <c r="P604" s="146"/>
    </row>
    <row r="605">
      <c r="B605" s="140" t="s">
        <v>152</v>
      </c>
      <c r="C605" s="58"/>
      <c r="D605" s="58"/>
      <c r="E605" s="65"/>
      <c r="F605" s="58">
        <f>I592 + C600</f>
        <v>344.08</v>
      </c>
      <c r="G605" s="70"/>
      <c r="H605" s="65">
        <f>ROUND((C605 + D605) * (1 + J606%) + E605 + F605 + G605, 0)</f>
        <v>344</v>
      </c>
      <c r="I605" s="147"/>
      <c r="J605" s="148">
        <f t="shared" ref="J605:J609" si="136">H605+I605</f>
        <v>344</v>
      </c>
      <c r="L605" s="140" t="s">
        <v>184</v>
      </c>
      <c r="M605" s="145"/>
      <c r="N605" s="65"/>
      <c r="O605" s="65"/>
      <c r="P605" s="146"/>
    </row>
    <row r="606">
      <c r="B606" s="140" t="s">
        <v>160</v>
      </c>
      <c r="C606" s="58"/>
      <c r="D606" s="58"/>
      <c r="E606" s="65"/>
      <c r="F606" s="58">
        <f>D600 + (IF(K591 = "ATK%", K592)) + (IF(L591 = "ATK%", L592)) + (IF(M591 = "ATK%", M592))</f>
        <v>9.92</v>
      </c>
      <c r="G606" s="71"/>
      <c r="H606" s="65">
        <f>sum(C606:G606)</f>
        <v>9.92</v>
      </c>
      <c r="I606" s="65"/>
      <c r="J606" s="148">
        <f t="shared" si="136"/>
        <v>9.92</v>
      </c>
      <c r="L606" s="140" t="s">
        <v>185</v>
      </c>
      <c r="M606" s="149"/>
      <c r="N606" s="65"/>
      <c r="O606" s="65"/>
      <c r="P606" s="146"/>
    </row>
    <row r="607">
      <c r="B607" s="140" t="s">
        <v>162</v>
      </c>
      <c r="C607" s="58"/>
      <c r="D607" s="58"/>
      <c r="E607" s="65"/>
      <c r="F607" s="65">
        <f>I600 + IF(M591 = "CR%", M592)</f>
        <v>6.62</v>
      </c>
      <c r="G607" s="70"/>
      <c r="H607" s="65">
        <f t="shared" ref="H607:H608" si="137">C607 + D607 + E607 + F607 + G607</f>
        <v>6.62</v>
      </c>
      <c r="I607" s="65"/>
      <c r="J607" s="148">
        <f t="shared" si="136"/>
        <v>6.62</v>
      </c>
      <c r="L607" s="140" t="s">
        <v>186</v>
      </c>
      <c r="M607" s="150"/>
      <c r="N607" s="151"/>
      <c r="O607" s="151"/>
      <c r="P607" s="152"/>
    </row>
    <row r="608">
      <c r="B608" s="140" t="s">
        <v>163</v>
      </c>
      <c r="C608" s="58"/>
      <c r="D608" s="58"/>
      <c r="E608" s="65"/>
      <c r="F608" s="65">
        <f>J600 + IF(M591 = "CD%", M592)</f>
        <v>13.24</v>
      </c>
      <c r="G608" s="70"/>
      <c r="H608" s="65">
        <f t="shared" si="137"/>
        <v>13.24</v>
      </c>
      <c r="I608" s="65"/>
      <c r="J608" s="148">
        <f t="shared" si="136"/>
        <v>13.24</v>
      </c>
    </row>
    <row r="609">
      <c r="B609" s="140" t="s">
        <v>120</v>
      </c>
      <c r="C609" s="58"/>
      <c r="D609" s="58"/>
      <c r="E609" s="65"/>
      <c r="F609" s="58">
        <f>G600</f>
        <v>39.36</v>
      </c>
      <c r="G609" s="70"/>
      <c r="H609" s="65">
        <f>ROUND((C609) * (1 + J610%) + D609 + E609 + F609 + G609, 0)</f>
        <v>39</v>
      </c>
      <c r="I609" s="65"/>
      <c r="J609" s="148">
        <f t="shared" si="136"/>
        <v>39</v>
      </c>
      <c r="L609" s="45" t="s">
        <v>187</v>
      </c>
      <c r="M609" s="153"/>
    </row>
    <row r="610">
      <c r="B610" s="140" t="s">
        <v>161</v>
      </c>
      <c r="C610" s="58"/>
      <c r="D610" s="58"/>
      <c r="E610" s="65"/>
      <c r="F610" s="58">
        <f>H600 + (IF(K591 = "DEF%", K592)) + (IF(L591 = "DEF%", L592)) + (IF(M591 = "DEF%", M592))</f>
        <v>12.4</v>
      </c>
      <c r="G610" s="70"/>
      <c r="H610" s="65">
        <f t="shared" ref="H610:H611" si="138">sum(C610:G610)</f>
        <v>12.4</v>
      </c>
      <c r="I610" s="65"/>
      <c r="J610" s="148">
        <f>H610 + I610</f>
        <v>12.4</v>
      </c>
      <c r="L610" s="45" t="s">
        <v>108</v>
      </c>
      <c r="M610" s="168"/>
    </row>
    <row r="611">
      <c r="B611" s="140" t="s">
        <v>164</v>
      </c>
      <c r="C611" s="58"/>
      <c r="D611" s="58"/>
      <c r="E611" s="65"/>
      <c r="F611" s="58">
        <f>K600 + IF(K591 = "ER%", K592)</f>
        <v>11.02</v>
      </c>
      <c r="G611" s="70"/>
      <c r="H611" s="65">
        <f t="shared" si="138"/>
        <v>11.02</v>
      </c>
      <c r="I611" s="65"/>
      <c r="J611" s="148">
        <f t="shared" ref="J611:J613" si="139">H611+I611</f>
        <v>11.02</v>
      </c>
    </row>
    <row r="612">
      <c r="B612" s="140" t="s">
        <v>165</v>
      </c>
      <c r="C612" s="58"/>
      <c r="D612" s="58"/>
      <c r="E612" s="65"/>
      <c r="F612" s="58">
        <f>L600 +  (IF(K591 = "EM", K592)) + (IF(L591 = "EM", L592)) + (IF(M591 = "EM", M592))</f>
        <v>39.64</v>
      </c>
      <c r="G612" s="70"/>
      <c r="H612" s="65">
        <f>ROUND(sum(C612:G612),0)</f>
        <v>40</v>
      </c>
      <c r="I612" s="65"/>
      <c r="J612" s="148">
        <f t="shared" si="139"/>
        <v>40</v>
      </c>
      <c r="L612" s="154" t="s">
        <v>188</v>
      </c>
      <c r="M612" s="17"/>
    </row>
    <row r="613">
      <c r="B613" s="140" t="s">
        <v>153</v>
      </c>
      <c r="C613" s="58"/>
      <c r="D613" s="58"/>
      <c r="E613" s="65"/>
      <c r="F613" s="58">
        <f>E600 + J592</f>
        <v>5287.88</v>
      </c>
      <c r="G613" s="70"/>
      <c r="H613" s="65">
        <f>ROUND((C613) * (1 + J614%) + SUM(D613:G613), 0)</f>
        <v>5288</v>
      </c>
      <c r="I613" s="65"/>
      <c r="J613" s="148">
        <f t="shared" si="139"/>
        <v>5288</v>
      </c>
      <c r="L613" s="28"/>
      <c r="M613" s="14"/>
    </row>
    <row r="614">
      <c r="B614" s="140" t="s">
        <v>154</v>
      </c>
      <c r="C614" s="58"/>
      <c r="D614" s="58"/>
      <c r="E614" s="65"/>
      <c r="F614" s="58">
        <f>F600 + (IF(K591 = "HP%", K592)) + (IF(L591 = "HP%", L592)) + (IF(M591 = "HP%", M592))</f>
        <v>149.72</v>
      </c>
      <c r="G614" s="70"/>
      <c r="H614" s="65">
        <f t="shared" ref="H614:H674" si="140">sum(C614:G614)</f>
        <v>149.72</v>
      </c>
      <c r="I614" s="65"/>
      <c r="J614" s="148">
        <f>H614 + I614</f>
        <v>149.72</v>
      </c>
    </row>
    <row r="615">
      <c r="B615" s="140" t="s">
        <v>189</v>
      </c>
      <c r="C615" s="58"/>
      <c r="D615" s="58"/>
      <c r="E615" s="65"/>
      <c r="F615" s="65">
        <f>IF(L591="Geo%", L592, 0)</f>
        <v>0</v>
      </c>
      <c r="G615" s="70"/>
      <c r="H615" s="65">
        <f t="shared" si="140"/>
        <v>0</v>
      </c>
      <c r="I615" s="65"/>
      <c r="J615" s="148">
        <f t="shared" ref="J615:J674" si="141">H615+I615</f>
        <v>0</v>
      </c>
    </row>
    <row r="616">
      <c r="B616" s="140" t="s">
        <v>190</v>
      </c>
      <c r="C616" s="58"/>
      <c r="D616" s="58"/>
      <c r="E616" s="65"/>
      <c r="F616" s="65">
        <f>IF(L591="Cryo%", L592, 0)</f>
        <v>0</v>
      </c>
      <c r="G616" s="70"/>
      <c r="H616" s="65">
        <f t="shared" si="140"/>
        <v>0</v>
      </c>
      <c r="I616" s="65"/>
      <c r="J616" s="148">
        <f t="shared" si="141"/>
        <v>0</v>
      </c>
    </row>
    <row r="617">
      <c r="B617" s="140" t="s">
        <v>191</v>
      </c>
      <c r="C617" s="58"/>
      <c r="D617" s="58"/>
      <c r="E617" s="65"/>
      <c r="F617" s="65">
        <f>IF(L591="Anemo%", L592, 0)</f>
        <v>0</v>
      </c>
      <c r="G617" s="70"/>
      <c r="H617" s="65">
        <f t="shared" si="140"/>
        <v>0</v>
      </c>
      <c r="I617" s="65"/>
      <c r="J617" s="148">
        <f t="shared" si="141"/>
        <v>0</v>
      </c>
    </row>
    <row r="618">
      <c r="B618" s="140" t="s">
        <v>192</v>
      </c>
      <c r="C618" s="58"/>
      <c r="D618" s="58"/>
      <c r="E618" s="65"/>
      <c r="F618" s="65">
        <f>IF(L591="Hydro%", L592, 0)</f>
        <v>0</v>
      </c>
      <c r="G618" s="70"/>
      <c r="H618" s="65">
        <f t="shared" si="140"/>
        <v>0</v>
      </c>
      <c r="I618" s="65"/>
      <c r="J618" s="148">
        <f t="shared" si="141"/>
        <v>0</v>
      </c>
    </row>
    <row r="619">
      <c r="B619" s="140" t="s">
        <v>193</v>
      </c>
      <c r="C619" s="58"/>
      <c r="D619" s="58"/>
      <c r="E619" s="65"/>
      <c r="F619" s="65">
        <f>IF(L591="Pyro%", L592, 0)</f>
        <v>0</v>
      </c>
      <c r="G619" s="70"/>
      <c r="H619" s="65">
        <f t="shared" si="140"/>
        <v>0</v>
      </c>
      <c r="I619" s="65"/>
      <c r="J619" s="148">
        <f t="shared" si="141"/>
        <v>0</v>
      </c>
    </row>
    <row r="620">
      <c r="B620" s="140" t="s">
        <v>194</v>
      </c>
      <c r="C620" s="58"/>
      <c r="D620" s="58"/>
      <c r="E620" s="65"/>
      <c r="F620" s="65">
        <f>IF(L591="Electro%", L592, 0)</f>
        <v>0</v>
      </c>
      <c r="G620" s="70"/>
      <c r="H620" s="65">
        <f t="shared" si="140"/>
        <v>0</v>
      </c>
      <c r="I620" s="65"/>
      <c r="J620" s="148">
        <f t="shared" si="141"/>
        <v>0</v>
      </c>
    </row>
    <row r="621">
      <c r="B621" s="140" t="s">
        <v>195</v>
      </c>
      <c r="C621" s="58"/>
      <c r="D621" s="58"/>
      <c r="E621" s="65"/>
      <c r="F621" s="65">
        <f>IF(L591="Dendro%", L592, 0)</f>
        <v>0</v>
      </c>
      <c r="G621" s="70"/>
      <c r="H621" s="65">
        <f t="shared" si="140"/>
        <v>0</v>
      </c>
      <c r="I621" s="65"/>
      <c r="J621" s="148">
        <f t="shared" si="141"/>
        <v>0</v>
      </c>
    </row>
    <row r="622">
      <c r="B622" s="140" t="s">
        <v>196</v>
      </c>
      <c r="C622" s="58"/>
      <c r="D622" s="58"/>
      <c r="E622" s="65"/>
      <c r="F622" s="65">
        <f>IF(L591="Phys%", L592, 0)</f>
        <v>0</v>
      </c>
      <c r="G622" s="70"/>
      <c r="H622" s="65">
        <f t="shared" si="140"/>
        <v>0</v>
      </c>
      <c r="I622" s="65"/>
      <c r="J622" s="148">
        <f t="shared" si="141"/>
        <v>0</v>
      </c>
    </row>
    <row r="623">
      <c r="B623" s="140" t="s">
        <v>197</v>
      </c>
      <c r="C623" s="58"/>
      <c r="D623" s="58"/>
      <c r="E623" s="65"/>
      <c r="F623" s="65">
        <f>IF(M591="HB%", M592, 0)</f>
        <v>0</v>
      </c>
      <c r="G623" s="70"/>
      <c r="H623" s="65">
        <f t="shared" si="140"/>
        <v>0</v>
      </c>
      <c r="I623" s="65"/>
      <c r="J623" s="148">
        <f t="shared" si="141"/>
        <v>0</v>
      </c>
    </row>
    <row r="624">
      <c r="B624" s="140" t="s">
        <v>198</v>
      </c>
      <c r="C624" s="58"/>
      <c r="D624" s="58"/>
      <c r="E624" s="65"/>
      <c r="F624" s="58">
        <v>0.0</v>
      </c>
      <c r="G624" s="70"/>
      <c r="H624" s="65">
        <f t="shared" si="140"/>
        <v>0</v>
      </c>
      <c r="I624" s="65"/>
      <c r="J624" s="148">
        <f t="shared" si="141"/>
        <v>0</v>
      </c>
    </row>
    <row r="625">
      <c r="B625" s="140" t="s">
        <v>199</v>
      </c>
      <c r="C625" s="58"/>
      <c r="D625" s="58"/>
      <c r="E625" s="65"/>
      <c r="F625" s="65">
        <v>0.0</v>
      </c>
      <c r="G625" s="70"/>
      <c r="H625" s="65">
        <f t="shared" si="140"/>
        <v>0</v>
      </c>
      <c r="I625" s="65"/>
      <c r="J625" s="148">
        <f t="shared" si="141"/>
        <v>0</v>
      </c>
    </row>
    <row r="626">
      <c r="B626" s="140" t="s">
        <v>200</v>
      </c>
      <c r="C626" s="58"/>
      <c r="D626" s="58"/>
      <c r="E626" s="65"/>
      <c r="F626" s="65">
        <v>0.0</v>
      </c>
      <c r="G626" s="70"/>
      <c r="H626" s="65">
        <f t="shared" si="140"/>
        <v>0</v>
      </c>
      <c r="I626" s="65"/>
      <c r="J626" s="148">
        <f t="shared" si="141"/>
        <v>0</v>
      </c>
    </row>
    <row r="627">
      <c r="B627" s="140" t="s">
        <v>201</v>
      </c>
      <c r="C627" s="58"/>
      <c r="D627" s="58"/>
      <c r="E627" s="65"/>
      <c r="F627" s="65">
        <v>0.0</v>
      </c>
      <c r="G627" s="70"/>
      <c r="H627" s="65">
        <f t="shared" si="140"/>
        <v>0</v>
      </c>
      <c r="I627" s="65"/>
      <c r="J627" s="148">
        <f t="shared" si="141"/>
        <v>0</v>
      </c>
    </row>
    <row r="628">
      <c r="B628" s="140" t="s">
        <v>202</v>
      </c>
      <c r="C628" s="58"/>
      <c r="D628" s="58"/>
      <c r="E628" s="65"/>
      <c r="F628" s="65">
        <v>0.0</v>
      </c>
      <c r="G628" s="70"/>
      <c r="H628" s="65">
        <f t="shared" si="140"/>
        <v>0</v>
      </c>
      <c r="I628" s="65"/>
      <c r="J628" s="148">
        <f t="shared" si="141"/>
        <v>0</v>
      </c>
    </row>
    <row r="629">
      <c r="B629" s="140" t="s">
        <v>203</v>
      </c>
      <c r="C629" s="58"/>
      <c r="D629" s="58"/>
      <c r="E629" s="65"/>
      <c r="F629" s="65">
        <v>0.0</v>
      </c>
      <c r="G629" s="70"/>
      <c r="H629" s="65">
        <f t="shared" si="140"/>
        <v>0</v>
      </c>
      <c r="I629" s="65"/>
      <c r="J629" s="148">
        <f t="shared" si="141"/>
        <v>0</v>
      </c>
    </row>
    <row r="630">
      <c r="B630" s="140" t="s">
        <v>204</v>
      </c>
      <c r="C630" s="58"/>
      <c r="D630" s="58"/>
      <c r="E630" s="65"/>
      <c r="F630" s="65">
        <v>0.0</v>
      </c>
      <c r="G630" s="70"/>
      <c r="H630" s="65">
        <f t="shared" si="140"/>
        <v>0</v>
      </c>
      <c r="I630" s="65"/>
      <c r="J630" s="148">
        <f t="shared" si="141"/>
        <v>0</v>
      </c>
    </row>
    <row r="631">
      <c r="B631" s="140" t="s">
        <v>205</v>
      </c>
      <c r="C631" s="58"/>
      <c r="D631" s="58"/>
      <c r="E631" s="65"/>
      <c r="F631" s="65">
        <v>0.0</v>
      </c>
      <c r="G631" s="70"/>
      <c r="H631" s="65">
        <f t="shared" si="140"/>
        <v>0</v>
      </c>
      <c r="I631" s="65"/>
      <c r="J631" s="148">
        <f t="shared" si="141"/>
        <v>0</v>
      </c>
    </row>
    <row r="632">
      <c r="B632" s="140" t="s">
        <v>206</v>
      </c>
      <c r="C632" s="58"/>
      <c r="D632" s="58"/>
      <c r="E632" s="65"/>
      <c r="F632" s="65">
        <v>0.0</v>
      </c>
      <c r="G632" s="70"/>
      <c r="H632" s="65">
        <f t="shared" si="140"/>
        <v>0</v>
      </c>
      <c r="I632" s="65"/>
      <c r="J632" s="148">
        <f t="shared" si="141"/>
        <v>0</v>
      </c>
    </row>
    <row r="633">
      <c r="B633" s="140" t="s">
        <v>207</v>
      </c>
      <c r="C633" s="58"/>
      <c r="D633" s="58"/>
      <c r="E633" s="65"/>
      <c r="F633" s="65">
        <v>0.0</v>
      </c>
      <c r="G633" s="70"/>
      <c r="H633" s="65">
        <f t="shared" si="140"/>
        <v>0</v>
      </c>
      <c r="I633" s="65"/>
      <c r="J633" s="148">
        <f t="shared" si="141"/>
        <v>0</v>
      </c>
    </row>
    <row r="634">
      <c r="B634" s="140" t="s">
        <v>208</v>
      </c>
      <c r="C634" s="58"/>
      <c r="D634" s="58"/>
      <c r="E634" s="65"/>
      <c r="F634" s="65">
        <v>0.0</v>
      </c>
      <c r="G634" s="70"/>
      <c r="H634" s="65">
        <f t="shared" si="140"/>
        <v>0</v>
      </c>
      <c r="I634" s="65"/>
      <c r="J634" s="148">
        <f t="shared" si="141"/>
        <v>0</v>
      </c>
    </row>
    <row r="635">
      <c r="B635" s="140" t="s">
        <v>209</v>
      </c>
      <c r="C635" s="58"/>
      <c r="D635" s="58"/>
      <c r="E635" s="65"/>
      <c r="F635" s="65">
        <v>0.0</v>
      </c>
      <c r="G635" s="70"/>
      <c r="H635" s="65">
        <f t="shared" si="140"/>
        <v>0</v>
      </c>
      <c r="I635" s="65"/>
      <c r="J635" s="148">
        <f t="shared" si="141"/>
        <v>0</v>
      </c>
    </row>
    <row r="636">
      <c r="B636" s="140" t="s">
        <v>210</v>
      </c>
      <c r="C636" s="58"/>
      <c r="D636" s="58"/>
      <c r="E636" s="65"/>
      <c r="F636" s="65">
        <v>0.0</v>
      </c>
      <c r="G636" s="70"/>
      <c r="H636" s="65">
        <f t="shared" si="140"/>
        <v>0</v>
      </c>
      <c r="I636" s="65"/>
      <c r="J636" s="148">
        <f t="shared" si="141"/>
        <v>0</v>
      </c>
    </row>
    <row r="637">
      <c r="B637" s="140" t="s">
        <v>211</v>
      </c>
      <c r="C637" s="58"/>
      <c r="D637" s="58"/>
      <c r="E637" s="65"/>
      <c r="F637" s="65">
        <v>0.0</v>
      </c>
      <c r="G637" s="70"/>
      <c r="H637" s="65">
        <f t="shared" si="140"/>
        <v>0</v>
      </c>
      <c r="I637" s="65"/>
      <c r="J637" s="148">
        <f t="shared" si="141"/>
        <v>0</v>
      </c>
    </row>
    <row r="638">
      <c r="B638" s="140" t="s">
        <v>212</v>
      </c>
      <c r="C638" s="58"/>
      <c r="D638" s="58"/>
      <c r="E638" s="65"/>
      <c r="F638" s="58">
        <v>0.0</v>
      </c>
      <c r="G638" s="70"/>
      <c r="H638" s="65">
        <f t="shared" si="140"/>
        <v>0</v>
      </c>
      <c r="I638" s="65"/>
      <c r="J638" s="148">
        <f t="shared" si="141"/>
        <v>0</v>
      </c>
    </row>
    <row r="639">
      <c r="B639" s="140" t="s">
        <v>213</v>
      </c>
      <c r="C639" s="58"/>
      <c r="D639" s="58"/>
      <c r="E639" s="65"/>
      <c r="F639" s="65">
        <v>0.0</v>
      </c>
      <c r="G639" s="70"/>
      <c r="H639" s="65">
        <f t="shared" si="140"/>
        <v>0</v>
      </c>
      <c r="I639" s="65"/>
      <c r="J639" s="148">
        <f t="shared" si="141"/>
        <v>0</v>
      </c>
    </row>
    <row r="640">
      <c r="B640" s="140" t="s">
        <v>214</v>
      </c>
      <c r="C640" s="58"/>
      <c r="D640" s="58"/>
      <c r="E640" s="65"/>
      <c r="F640" s="65">
        <v>0.0</v>
      </c>
      <c r="G640" s="70"/>
      <c r="H640" s="65">
        <f t="shared" si="140"/>
        <v>0</v>
      </c>
      <c r="I640" s="65"/>
      <c r="J640" s="148">
        <f t="shared" si="141"/>
        <v>0</v>
      </c>
    </row>
    <row r="641">
      <c r="B641" s="140" t="s">
        <v>215</v>
      </c>
      <c r="C641" s="58"/>
      <c r="D641" s="58"/>
      <c r="E641" s="65"/>
      <c r="F641" s="65">
        <v>0.0</v>
      </c>
      <c r="G641" s="70"/>
      <c r="H641" s="65">
        <f t="shared" si="140"/>
        <v>0</v>
      </c>
      <c r="I641" s="65"/>
      <c r="J641" s="148">
        <f t="shared" si="141"/>
        <v>0</v>
      </c>
    </row>
    <row r="642">
      <c r="B642" s="140" t="s">
        <v>216</v>
      </c>
      <c r="C642" s="58"/>
      <c r="D642" s="58"/>
      <c r="E642" s="65"/>
      <c r="F642" s="65">
        <v>0.0</v>
      </c>
      <c r="G642" s="70"/>
      <c r="H642" s="65">
        <f t="shared" si="140"/>
        <v>0</v>
      </c>
      <c r="I642" s="65"/>
      <c r="J642" s="148">
        <f t="shared" si="141"/>
        <v>0</v>
      </c>
    </row>
    <row r="643">
      <c r="B643" s="140" t="s">
        <v>217</v>
      </c>
      <c r="C643" s="58"/>
      <c r="D643" s="58"/>
      <c r="E643" s="65"/>
      <c r="F643" s="65">
        <v>0.0</v>
      </c>
      <c r="G643" s="70"/>
      <c r="H643" s="65">
        <f t="shared" si="140"/>
        <v>0</v>
      </c>
      <c r="I643" s="65"/>
      <c r="J643" s="148">
        <f t="shared" si="141"/>
        <v>0</v>
      </c>
    </row>
    <row r="644">
      <c r="B644" s="140" t="s">
        <v>218</v>
      </c>
      <c r="C644" s="58"/>
      <c r="D644" s="58"/>
      <c r="E644" s="65"/>
      <c r="F644" s="65">
        <v>0.0</v>
      </c>
      <c r="G644" s="70"/>
      <c r="H644" s="65">
        <f t="shared" si="140"/>
        <v>0</v>
      </c>
      <c r="I644" s="65"/>
      <c r="J644" s="148">
        <f t="shared" si="141"/>
        <v>0</v>
      </c>
    </row>
    <row r="645">
      <c r="B645" s="140" t="s">
        <v>219</v>
      </c>
      <c r="C645" s="58"/>
      <c r="D645" s="58"/>
      <c r="E645" s="65"/>
      <c r="F645" s="65">
        <v>0.0</v>
      </c>
      <c r="G645" s="70"/>
      <c r="H645" s="65">
        <f t="shared" si="140"/>
        <v>0</v>
      </c>
      <c r="I645" s="65"/>
      <c r="J645" s="148">
        <f t="shared" si="141"/>
        <v>0</v>
      </c>
    </row>
    <row r="646">
      <c r="B646" s="140" t="s">
        <v>220</v>
      </c>
      <c r="C646" s="58"/>
      <c r="D646" s="58"/>
      <c r="E646" s="65"/>
      <c r="F646" s="65">
        <v>0.0</v>
      </c>
      <c r="G646" s="70"/>
      <c r="H646" s="65">
        <f t="shared" si="140"/>
        <v>0</v>
      </c>
      <c r="I646" s="65"/>
      <c r="J646" s="148">
        <f t="shared" si="141"/>
        <v>0</v>
      </c>
    </row>
    <row r="647">
      <c r="B647" s="140" t="s">
        <v>221</v>
      </c>
      <c r="C647" s="58"/>
      <c r="D647" s="58"/>
      <c r="E647" s="65"/>
      <c r="F647" s="65">
        <v>0.0</v>
      </c>
      <c r="G647" s="70"/>
      <c r="H647" s="65">
        <f t="shared" si="140"/>
        <v>0</v>
      </c>
      <c r="I647" s="65"/>
      <c r="J647" s="148">
        <f t="shared" si="141"/>
        <v>0</v>
      </c>
    </row>
    <row r="648">
      <c r="B648" s="140" t="s">
        <v>222</v>
      </c>
      <c r="C648" s="58"/>
      <c r="D648" s="58"/>
      <c r="E648" s="65"/>
      <c r="F648" s="65">
        <v>0.0</v>
      </c>
      <c r="G648" s="70"/>
      <c r="H648" s="65">
        <f t="shared" si="140"/>
        <v>0</v>
      </c>
      <c r="I648" s="65"/>
      <c r="J648" s="148">
        <f t="shared" si="141"/>
        <v>0</v>
      </c>
    </row>
    <row r="649">
      <c r="B649" s="140" t="s">
        <v>223</v>
      </c>
      <c r="C649" s="58"/>
      <c r="D649" s="58"/>
      <c r="E649" s="65"/>
      <c r="F649" s="65">
        <v>0.0</v>
      </c>
      <c r="G649" s="70"/>
      <c r="H649" s="65">
        <f t="shared" si="140"/>
        <v>0</v>
      </c>
      <c r="I649" s="65"/>
      <c r="J649" s="148">
        <f t="shared" si="141"/>
        <v>0</v>
      </c>
    </row>
    <row r="650">
      <c r="B650" s="140" t="s">
        <v>224</v>
      </c>
      <c r="C650" s="58"/>
      <c r="D650" s="58"/>
      <c r="E650" s="65"/>
      <c r="F650" s="65">
        <v>0.0</v>
      </c>
      <c r="G650" s="70"/>
      <c r="H650" s="65">
        <f t="shared" si="140"/>
        <v>0</v>
      </c>
      <c r="I650" s="65"/>
      <c r="J650" s="148">
        <f t="shared" si="141"/>
        <v>0</v>
      </c>
    </row>
    <row r="651">
      <c r="B651" s="140" t="s">
        <v>225</v>
      </c>
      <c r="C651" s="58"/>
      <c r="D651" s="58"/>
      <c r="E651" s="65"/>
      <c r="F651" s="65">
        <v>0.0</v>
      </c>
      <c r="G651" s="71"/>
      <c r="H651" s="65">
        <f t="shared" si="140"/>
        <v>0</v>
      </c>
      <c r="I651" s="65"/>
      <c r="J651" s="148">
        <f t="shared" si="141"/>
        <v>0</v>
      </c>
    </row>
    <row r="652">
      <c r="B652" s="140" t="s">
        <v>226</v>
      </c>
      <c r="C652" s="58"/>
      <c r="D652" s="58"/>
      <c r="E652" s="65"/>
      <c r="F652" s="65">
        <v>0.0</v>
      </c>
      <c r="G652" s="70"/>
      <c r="H652" s="65">
        <f t="shared" si="140"/>
        <v>0</v>
      </c>
      <c r="I652" s="65"/>
      <c r="J652" s="148">
        <f t="shared" si="141"/>
        <v>0</v>
      </c>
    </row>
    <row r="653">
      <c r="B653" s="140" t="s">
        <v>227</v>
      </c>
      <c r="C653" s="58"/>
      <c r="D653" s="58"/>
      <c r="E653" s="65"/>
      <c r="F653" s="65">
        <v>0.0</v>
      </c>
      <c r="G653" s="70"/>
      <c r="H653" s="65">
        <f t="shared" si="140"/>
        <v>0</v>
      </c>
      <c r="I653" s="65"/>
      <c r="J653" s="148">
        <f t="shared" si="141"/>
        <v>0</v>
      </c>
    </row>
    <row r="654">
      <c r="B654" s="140" t="s">
        <v>228</v>
      </c>
      <c r="C654" s="58"/>
      <c r="D654" s="58"/>
      <c r="E654" s="65"/>
      <c r="F654" s="65">
        <v>0.0</v>
      </c>
      <c r="G654" s="70"/>
      <c r="H654" s="65">
        <f t="shared" si="140"/>
        <v>0</v>
      </c>
      <c r="I654" s="65"/>
      <c r="J654" s="148">
        <f t="shared" si="141"/>
        <v>0</v>
      </c>
    </row>
    <row r="655">
      <c r="B655" s="140" t="s">
        <v>229</v>
      </c>
      <c r="C655" s="58"/>
      <c r="D655" s="58"/>
      <c r="E655" s="65"/>
      <c r="F655" s="65">
        <v>0.0</v>
      </c>
      <c r="G655" s="70"/>
      <c r="H655" s="65">
        <f t="shared" si="140"/>
        <v>0</v>
      </c>
      <c r="I655" s="65"/>
      <c r="J655" s="148">
        <f t="shared" si="141"/>
        <v>0</v>
      </c>
    </row>
    <row r="656">
      <c r="B656" s="140" t="s">
        <v>230</v>
      </c>
      <c r="C656" s="58"/>
      <c r="D656" s="58"/>
      <c r="E656" s="65"/>
      <c r="F656" s="65">
        <v>0.0</v>
      </c>
      <c r="G656" s="70"/>
      <c r="H656" s="65">
        <f t="shared" si="140"/>
        <v>0</v>
      </c>
      <c r="I656" s="65"/>
      <c r="J656" s="148">
        <f t="shared" si="141"/>
        <v>0</v>
      </c>
    </row>
    <row r="657">
      <c r="B657" s="140" t="s">
        <v>231</v>
      </c>
      <c r="C657" s="58"/>
      <c r="D657" s="58"/>
      <c r="E657" s="65"/>
      <c r="F657" s="65">
        <v>0.0</v>
      </c>
      <c r="G657" s="70"/>
      <c r="H657" s="65">
        <f t="shared" si="140"/>
        <v>0</v>
      </c>
      <c r="I657" s="65"/>
      <c r="J657" s="148">
        <f t="shared" si="141"/>
        <v>0</v>
      </c>
    </row>
    <row r="658">
      <c r="B658" s="140" t="s">
        <v>232</v>
      </c>
      <c r="C658" s="58"/>
      <c r="D658" s="58"/>
      <c r="E658" s="65"/>
      <c r="F658" s="65">
        <v>0.0</v>
      </c>
      <c r="G658" s="70"/>
      <c r="H658" s="65">
        <f t="shared" si="140"/>
        <v>0</v>
      </c>
      <c r="I658" s="65"/>
      <c r="J658" s="148">
        <f t="shared" si="141"/>
        <v>0</v>
      </c>
    </row>
    <row r="659">
      <c r="B659" s="140" t="s">
        <v>233</v>
      </c>
      <c r="C659" s="58"/>
      <c r="D659" s="58"/>
      <c r="E659" s="65"/>
      <c r="F659" s="65">
        <v>0.0</v>
      </c>
      <c r="G659" s="70"/>
      <c r="H659" s="65">
        <f t="shared" si="140"/>
        <v>0</v>
      </c>
      <c r="I659" s="65"/>
      <c r="J659" s="148">
        <f t="shared" si="141"/>
        <v>0</v>
      </c>
    </row>
    <row r="660">
      <c r="B660" s="140" t="s">
        <v>234</v>
      </c>
      <c r="C660" s="58"/>
      <c r="D660" s="58"/>
      <c r="E660" s="65"/>
      <c r="F660" s="65">
        <v>0.0</v>
      </c>
      <c r="G660" s="71"/>
      <c r="H660" s="65">
        <f t="shared" si="140"/>
        <v>0</v>
      </c>
      <c r="I660" s="65"/>
      <c r="J660" s="148">
        <f t="shared" si="141"/>
        <v>0</v>
      </c>
    </row>
    <row r="661">
      <c r="B661" s="140" t="s">
        <v>235</v>
      </c>
      <c r="C661" s="58"/>
      <c r="D661" s="58"/>
      <c r="E661" s="65"/>
      <c r="F661" s="65">
        <v>0.0</v>
      </c>
      <c r="G661" s="70"/>
      <c r="H661" s="65">
        <f t="shared" si="140"/>
        <v>0</v>
      </c>
      <c r="I661" s="65"/>
      <c r="J661" s="148">
        <f t="shared" si="141"/>
        <v>0</v>
      </c>
    </row>
    <row r="662">
      <c r="B662" s="140" t="s">
        <v>236</v>
      </c>
      <c r="C662" s="58"/>
      <c r="D662" s="58"/>
      <c r="E662" s="65"/>
      <c r="F662" s="65">
        <v>0.0</v>
      </c>
      <c r="G662" s="70"/>
      <c r="H662" s="65">
        <f t="shared" si="140"/>
        <v>0</v>
      </c>
      <c r="I662" s="65"/>
      <c r="J662" s="148">
        <f t="shared" si="141"/>
        <v>0</v>
      </c>
    </row>
    <row r="663">
      <c r="B663" s="140" t="s">
        <v>237</v>
      </c>
      <c r="C663" s="58"/>
      <c r="D663" s="58"/>
      <c r="E663" s="65"/>
      <c r="F663" s="65">
        <v>0.0</v>
      </c>
      <c r="G663" s="70"/>
      <c r="H663" s="65">
        <f t="shared" si="140"/>
        <v>0</v>
      </c>
      <c r="I663" s="65"/>
      <c r="J663" s="148">
        <f t="shared" si="141"/>
        <v>0</v>
      </c>
    </row>
    <row r="664">
      <c r="B664" s="140" t="s">
        <v>238</v>
      </c>
      <c r="C664" s="58"/>
      <c r="D664" s="58"/>
      <c r="E664" s="65"/>
      <c r="F664" s="65">
        <v>0.0</v>
      </c>
      <c r="G664" s="70"/>
      <c r="H664" s="65">
        <f t="shared" si="140"/>
        <v>0</v>
      </c>
      <c r="I664" s="65"/>
      <c r="J664" s="148">
        <f t="shared" si="141"/>
        <v>0</v>
      </c>
    </row>
    <row r="665">
      <c r="B665" s="140" t="s">
        <v>239</v>
      </c>
      <c r="C665" s="58"/>
      <c r="D665" s="58"/>
      <c r="E665" s="65"/>
      <c r="F665" s="65">
        <v>0.0</v>
      </c>
      <c r="G665" s="70"/>
      <c r="H665" s="65">
        <f t="shared" si="140"/>
        <v>0</v>
      </c>
      <c r="I665" s="65"/>
      <c r="J665" s="148">
        <f t="shared" si="141"/>
        <v>0</v>
      </c>
    </row>
    <row r="666">
      <c r="B666" s="140" t="s">
        <v>240</v>
      </c>
      <c r="C666" s="58"/>
      <c r="D666" s="58"/>
      <c r="E666" s="65"/>
      <c r="F666" s="65">
        <f>0</f>
        <v>0</v>
      </c>
      <c r="G666" s="70"/>
      <c r="H666" s="65">
        <f t="shared" si="140"/>
        <v>0</v>
      </c>
      <c r="I666" s="65"/>
      <c r="J666" s="148">
        <f t="shared" si="141"/>
        <v>0</v>
      </c>
    </row>
    <row r="667">
      <c r="B667" s="140" t="s">
        <v>241</v>
      </c>
      <c r="C667" s="58"/>
      <c r="D667" s="58"/>
      <c r="E667" s="65"/>
      <c r="F667" s="58">
        <v>0.0</v>
      </c>
      <c r="G667" s="70"/>
      <c r="H667" s="65">
        <f t="shared" si="140"/>
        <v>0</v>
      </c>
      <c r="I667" s="65"/>
      <c r="J667" s="148">
        <f t="shared" si="141"/>
        <v>0</v>
      </c>
    </row>
    <row r="668">
      <c r="B668" s="140" t="s">
        <v>242</v>
      </c>
      <c r="C668" s="58"/>
      <c r="D668" s="58"/>
      <c r="E668" s="65"/>
      <c r="F668" s="58">
        <v>0.0</v>
      </c>
      <c r="G668" s="70"/>
      <c r="H668" s="65">
        <f t="shared" si="140"/>
        <v>0</v>
      </c>
      <c r="I668" s="65"/>
      <c r="J668" s="148">
        <f t="shared" si="141"/>
        <v>0</v>
      </c>
    </row>
    <row r="669">
      <c r="B669" s="140" t="s">
        <v>243</v>
      </c>
      <c r="C669" s="58"/>
      <c r="D669" s="58"/>
      <c r="E669" s="65"/>
      <c r="F669" s="65">
        <v>0.0</v>
      </c>
      <c r="G669" s="70"/>
      <c r="H669" s="65">
        <f t="shared" si="140"/>
        <v>0</v>
      </c>
      <c r="I669" s="65"/>
      <c r="J669" s="148">
        <f t="shared" si="141"/>
        <v>0</v>
      </c>
    </row>
    <row r="670">
      <c r="B670" s="140" t="s">
        <v>244</v>
      </c>
      <c r="C670" s="58"/>
      <c r="D670" s="58"/>
      <c r="E670" s="65"/>
      <c r="F670" s="65">
        <v>0.0</v>
      </c>
      <c r="G670" s="70"/>
      <c r="H670" s="65">
        <f t="shared" si="140"/>
        <v>0</v>
      </c>
      <c r="I670" s="65"/>
      <c r="J670" s="148">
        <f t="shared" si="141"/>
        <v>0</v>
      </c>
    </row>
    <row r="671">
      <c r="B671" s="140" t="s">
        <v>245</v>
      </c>
      <c r="C671" s="58"/>
      <c r="D671" s="58"/>
      <c r="E671" s="65"/>
      <c r="F671" s="58">
        <v>0.0</v>
      </c>
      <c r="G671" s="70"/>
      <c r="H671" s="65">
        <f t="shared" si="140"/>
        <v>0</v>
      </c>
      <c r="I671" s="65"/>
      <c r="J671" s="148">
        <f t="shared" si="141"/>
        <v>0</v>
      </c>
    </row>
    <row r="672">
      <c r="B672" s="140" t="s">
        <v>246</v>
      </c>
      <c r="C672" s="58"/>
      <c r="D672" s="58"/>
      <c r="E672" s="65"/>
      <c r="F672" s="58">
        <v>0.0</v>
      </c>
      <c r="G672" s="68"/>
      <c r="H672" s="65">
        <f t="shared" si="140"/>
        <v>0</v>
      </c>
      <c r="I672" s="155"/>
      <c r="J672" s="148">
        <f t="shared" si="141"/>
        <v>0</v>
      </c>
    </row>
    <row r="673">
      <c r="B673" s="140" t="s">
        <v>247</v>
      </c>
      <c r="C673" s="58"/>
      <c r="D673" s="58"/>
      <c r="E673" s="65"/>
      <c r="F673" s="58">
        <v>0.0</v>
      </c>
      <c r="G673" s="68"/>
      <c r="H673" s="65">
        <f t="shared" si="140"/>
        <v>0</v>
      </c>
      <c r="I673" s="155"/>
      <c r="J673" s="148">
        <f t="shared" si="141"/>
        <v>0</v>
      </c>
    </row>
    <row r="674">
      <c r="B674" s="140" t="s">
        <v>248</v>
      </c>
      <c r="C674" s="72"/>
      <c r="D674" s="72"/>
      <c r="E674" s="151"/>
      <c r="F674" s="72">
        <v>0.0</v>
      </c>
      <c r="G674" s="76"/>
      <c r="H674" s="151">
        <f t="shared" si="140"/>
        <v>0</v>
      </c>
      <c r="I674" s="156"/>
      <c r="J674" s="148">
        <f t="shared" si="141"/>
        <v>0</v>
      </c>
    </row>
    <row r="675">
      <c r="B675" s="59"/>
    </row>
    <row r="676">
      <c r="B676" s="140" t="s">
        <v>249</v>
      </c>
      <c r="C676" s="70"/>
      <c r="D676" s="59"/>
      <c r="E676" s="59"/>
      <c r="F676" s="59"/>
      <c r="G676" s="59"/>
      <c r="H676" s="59"/>
      <c r="I676" s="59"/>
      <c r="J676" s="59"/>
      <c r="K676" s="59"/>
      <c r="L676" s="59"/>
      <c r="M676" s="59"/>
      <c r="N676" s="59"/>
      <c r="O676" s="59"/>
      <c r="P676" s="59"/>
    </row>
    <row r="677">
      <c r="B677" s="140" t="s">
        <v>250</v>
      </c>
      <c r="C677" s="71"/>
    </row>
    <row r="678">
      <c r="B678" s="140" t="s">
        <v>251</v>
      </c>
      <c r="C678" s="157"/>
    </row>
    <row r="679">
      <c r="B679" s="140" t="s">
        <v>252</v>
      </c>
      <c r="C679" s="71"/>
    </row>
    <row r="680">
      <c r="B680" s="140" t="s">
        <v>253</v>
      </c>
      <c r="C680" s="70"/>
    </row>
    <row r="681">
      <c r="B681" s="140" t="s">
        <v>254</v>
      </c>
      <c r="C681" s="70"/>
    </row>
    <row r="682">
      <c r="B682" s="140" t="s">
        <v>255</v>
      </c>
      <c r="C682" s="70"/>
    </row>
    <row r="683">
      <c r="B683" s="140" t="s">
        <v>256</v>
      </c>
      <c r="C683" s="158"/>
    </row>
    <row r="684">
      <c r="B684" s="140" t="s">
        <v>257</v>
      </c>
      <c r="C684" s="158"/>
    </row>
    <row r="685">
      <c r="B685" s="140" t="s">
        <v>258</v>
      </c>
      <c r="C685" s="70"/>
    </row>
    <row r="686">
      <c r="B686" s="140" t="s">
        <v>259</v>
      </c>
      <c r="C686" s="70"/>
    </row>
    <row r="687">
      <c r="B687" s="140" t="s">
        <v>260</v>
      </c>
      <c r="C687" s="70"/>
    </row>
    <row r="688">
      <c r="B688" s="140" t="s">
        <v>261</v>
      </c>
      <c r="C688" s="70"/>
    </row>
    <row r="689">
      <c r="B689" s="140" t="s">
        <v>262</v>
      </c>
      <c r="C689" s="71"/>
    </row>
    <row r="690">
      <c r="B690" s="140" t="s">
        <v>263</v>
      </c>
      <c r="C690" s="71"/>
    </row>
    <row r="691">
      <c r="B691" s="140" t="s">
        <v>264</v>
      </c>
      <c r="C691" s="70"/>
      <c r="D691" s="59"/>
      <c r="E691" s="59"/>
      <c r="F691" s="59"/>
      <c r="G691" s="59"/>
      <c r="H691" s="59"/>
      <c r="I691" s="59"/>
      <c r="J691" s="59"/>
      <c r="K691" s="59"/>
      <c r="L691" s="59"/>
      <c r="M691" s="59"/>
      <c r="N691" s="59"/>
      <c r="O691" s="59"/>
      <c r="P691" s="59"/>
    </row>
    <row r="692">
      <c r="B692" s="140" t="s">
        <v>265</v>
      </c>
      <c r="C692" s="70"/>
      <c r="D692" s="59"/>
      <c r="E692" s="59"/>
      <c r="F692" s="59"/>
      <c r="G692" s="59"/>
      <c r="H692" s="59"/>
      <c r="I692" s="59"/>
      <c r="J692" s="59"/>
      <c r="K692" s="59"/>
      <c r="L692" s="59"/>
      <c r="M692" s="59"/>
      <c r="N692" s="59"/>
      <c r="O692" s="59"/>
      <c r="P692" s="59"/>
    </row>
    <row r="693">
      <c r="B693" s="140" t="s">
        <v>266</v>
      </c>
      <c r="C693" s="70"/>
      <c r="D693" s="59"/>
      <c r="E693" s="59"/>
      <c r="F693" s="59"/>
      <c r="G693" s="59"/>
      <c r="H693" s="59"/>
      <c r="I693" s="59"/>
      <c r="J693" s="59"/>
      <c r="K693" s="59"/>
      <c r="L693" s="59"/>
      <c r="M693" s="59"/>
      <c r="N693" s="59"/>
      <c r="O693" s="59"/>
      <c r="P693" s="59"/>
    </row>
    <row r="694">
      <c r="B694" s="140" t="s">
        <v>267</v>
      </c>
      <c r="C694" s="70"/>
      <c r="D694" s="59"/>
      <c r="E694" s="59"/>
      <c r="F694" s="59"/>
      <c r="G694" s="59"/>
      <c r="H694" s="59"/>
      <c r="I694" s="59"/>
      <c r="J694" s="59"/>
      <c r="K694" s="59"/>
      <c r="L694" s="59"/>
      <c r="M694" s="59"/>
      <c r="N694" s="59"/>
      <c r="O694" s="59"/>
      <c r="P694" s="59"/>
    </row>
    <row r="695">
      <c r="B695" s="140" t="s">
        <v>268</v>
      </c>
      <c r="C695" s="70"/>
      <c r="D695" s="59"/>
      <c r="E695" s="59"/>
      <c r="F695" s="59"/>
      <c r="G695" s="59"/>
      <c r="H695" s="59"/>
      <c r="I695" s="59"/>
      <c r="J695" s="59"/>
      <c r="K695" s="59"/>
      <c r="L695" s="59"/>
      <c r="M695" s="59"/>
      <c r="N695" s="59"/>
      <c r="O695" s="59"/>
      <c r="P695" s="59"/>
    </row>
    <row r="696">
      <c r="B696" s="140" t="s">
        <v>269</v>
      </c>
      <c r="C696" s="70"/>
      <c r="D696" s="59"/>
      <c r="E696" s="59"/>
      <c r="F696" s="59"/>
      <c r="G696" s="59"/>
      <c r="H696" s="59"/>
      <c r="I696" s="59"/>
      <c r="J696" s="59"/>
      <c r="K696" s="59"/>
      <c r="L696" s="59"/>
      <c r="M696" s="59"/>
      <c r="N696" s="59"/>
      <c r="O696" s="59"/>
      <c r="P696" s="59"/>
    </row>
    <row r="697">
      <c r="B697" s="140" t="s">
        <v>270</v>
      </c>
      <c r="C697" s="70"/>
      <c r="D697" s="59"/>
      <c r="E697" s="59"/>
      <c r="F697" s="59"/>
      <c r="G697" s="59"/>
      <c r="H697" s="59"/>
      <c r="I697" s="59"/>
      <c r="J697" s="59"/>
      <c r="K697" s="59"/>
      <c r="L697" s="59"/>
      <c r="M697" s="59"/>
      <c r="N697" s="59"/>
      <c r="O697" s="59"/>
      <c r="P697" s="59"/>
    </row>
    <row r="698">
      <c r="B698" s="140" t="s">
        <v>271</v>
      </c>
      <c r="C698" s="70"/>
      <c r="D698" s="59"/>
      <c r="E698" s="59"/>
      <c r="F698" s="59"/>
      <c r="G698" s="59"/>
      <c r="H698" s="59"/>
      <c r="I698" s="59"/>
      <c r="J698" s="59"/>
      <c r="K698" s="59"/>
      <c r="L698" s="59"/>
      <c r="M698" s="59"/>
      <c r="N698" s="59"/>
      <c r="O698" s="59"/>
      <c r="P698" s="59"/>
    </row>
    <row r="699">
      <c r="B699" s="140" t="s">
        <v>272</v>
      </c>
      <c r="C699" s="70"/>
      <c r="D699" s="59"/>
      <c r="E699" s="59"/>
      <c r="F699" s="59"/>
      <c r="G699" s="59"/>
      <c r="H699" s="59"/>
      <c r="I699" s="59"/>
      <c r="J699" s="59"/>
      <c r="K699" s="59"/>
      <c r="L699" s="59"/>
      <c r="M699" s="59"/>
      <c r="N699" s="59"/>
      <c r="O699" s="59"/>
      <c r="P699" s="59"/>
    </row>
    <row r="700">
      <c r="B700" s="140" t="s">
        <v>273</v>
      </c>
      <c r="C700" s="70"/>
      <c r="D700" s="59"/>
      <c r="E700" s="59"/>
      <c r="F700" s="59"/>
      <c r="G700" s="59"/>
      <c r="H700" s="59"/>
      <c r="I700" s="59"/>
      <c r="J700" s="59"/>
      <c r="K700" s="59"/>
      <c r="L700" s="59"/>
      <c r="M700" s="59"/>
      <c r="N700" s="59"/>
      <c r="O700" s="59"/>
      <c r="P700" s="59"/>
    </row>
    <row r="701">
      <c r="B701" s="140" t="s">
        <v>274</v>
      </c>
      <c r="C701" s="70"/>
      <c r="D701" s="59"/>
      <c r="E701" s="59"/>
      <c r="F701" s="59"/>
      <c r="G701" s="59"/>
      <c r="H701" s="59"/>
      <c r="I701" s="59"/>
      <c r="J701" s="59"/>
      <c r="K701" s="59"/>
      <c r="L701" s="59"/>
      <c r="M701" s="59"/>
      <c r="N701" s="59"/>
      <c r="O701" s="59"/>
      <c r="P701" s="59"/>
    </row>
    <row r="702">
      <c r="B702" s="140" t="s">
        <v>275</v>
      </c>
      <c r="C702" s="71"/>
      <c r="D702" s="46"/>
      <c r="E702" s="46"/>
      <c r="F702" s="46"/>
      <c r="G702" s="46"/>
      <c r="H702" s="46"/>
      <c r="I702" s="46"/>
      <c r="J702" s="46"/>
      <c r="K702" s="46"/>
      <c r="L702" s="46"/>
      <c r="M702" s="46"/>
      <c r="N702" s="46"/>
      <c r="O702" s="46"/>
      <c r="P702" s="46"/>
    </row>
    <row r="703">
      <c r="B703" s="140" t="s">
        <v>276</v>
      </c>
      <c r="C703" s="71"/>
      <c r="D703" s="46"/>
      <c r="E703" s="46"/>
      <c r="F703" s="46"/>
      <c r="G703" s="46"/>
      <c r="H703" s="46"/>
      <c r="I703" s="46"/>
      <c r="J703" s="46"/>
      <c r="K703" s="46"/>
      <c r="L703" s="46"/>
      <c r="M703" s="46"/>
      <c r="N703" s="46"/>
      <c r="O703" s="46"/>
      <c r="P703" s="46"/>
    </row>
    <row r="704">
      <c r="B704" s="140" t="s">
        <v>277</v>
      </c>
      <c r="C704" s="70"/>
      <c r="D704" s="59"/>
      <c r="E704" s="59"/>
      <c r="F704" s="59"/>
      <c r="G704" s="59"/>
      <c r="H704" s="59"/>
      <c r="I704" s="59"/>
      <c r="J704" s="59"/>
      <c r="K704" s="59"/>
      <c r="L704" s="59"/>
      <c r="M704" s="59"/>
      <c r="N704" s="59"/>
      <c r="O704" s="59"/>
      <c r="P704" s="59"/>
    </row>
    <row r="705">
      <c r="B705" s="140" t="s">
        <v>278</v>
      </c>
      <c r="C705" s="65" t="str">
        <f t="shared" ref="C705:P705" si="142">IF(ISBLANK(C676),  ,  $C$11*(1 + ($D$11 - C702%)) * (1 - (C690% + C703%)))</f>
        <v/>
      </c>
      <c r="D705" s="59" t="str">
        <f t="shared" si="142"/>
        <v/>
      </c>
      <c r="E705" s="59" t="str">
        <f t="shared" si="142"/>
        <v/>
      </c>
      <c r="F705" s="59" t="str">
        <f t="shared" si="142"/>
        <v/>
      </c>
      <c r="G705" s="59" t="str">
        <f t="shared" si="142"/>
        <v/>
      </c>
      <c r="H705" s="59" t="str">
        <f t="shared" si="142"/>
        <v/>
      </c>
      <c r="I705" s="59" t="str">
        <f t="shared" si="142"/>
        <v/>
      </c>
      <c r="J705" s="59" t="str">
        <f t="shared" si="142"/>
        <v/>
      </c>
      <c r="K705" s="59" t="str">
        <f t="shared" si="142"/>
        <v/>
      </c>
      <c r="L705" s="59" t="str">
        <f t="shared" si="142"/>
        <v/>
      </c>
      <c r="M705" s="59" t="str">
        <f t="shared" si="142"/>
        <v/>
      </c>
      <c r="N705" s="59" t="str">
        <f t="shared" si="142"/>
        <v/>
      </c>
      <c r="O705" s="59" t="str">
        <f t="shared" si="142"/>
        <v/>
      </c>
      <c r="P705" s="59" t="str">
        <f t="shared" si="142"/>
        <v/>
      </c>
    </row>
    <row r="706">
      <c r="B706" s="140" t="s">
        <v>279</v>
      </c>
      <c r="C706" s="65" t="str">
        <f t="shared" ref="C706:P706" si="143">IF(ISBLANK(C676),  ,  (1 - (C705 / (C705 + (5 * 90) + 500))))</f>
        <v/>
      </c>
      <c r="D706" s="59" t="str">
        <f t="shared" si="143"/>
        <v/>
      </c>
      <c r="E706" s="59" t="str">
        <f t="shared" si="143"/>
        <v/>
      </c>
      <c r="F706" s="59" t="str">
        <f t="shared" si="143"/>
        <v/>
      </c>
      <c r="G706" s="59" t="str">
        <f t="shared" si="143"/>
        <v/>
      </c>
      <c r="H706" s="59" t="str">
        <f t="shared" si="143"/>
        <v/>
      </c>
      <c r="I706" s="59" t="str">
        <f t="shared" si="143"/>
        <v/>
      </c>
      <c r="J706" s="59" t="str">
        <f t="shared" si="143"/>
        <v/>
      </c>
      <c r="K706" s="59" t="str">
        <f t="shared" si="143"/>
        <v/>
      </c>
      <c r="L706" s="59" t="str">
        <f t="shared" si="143"/>
        <v/>
      </c>
      <c r="M706" s="59" t="str">
        <f t="shared" si="143"/>
        <v/>
      </c>
      <c r="N706" s="59" t="str">
        <f t="shared" si="143"/>
        <v/>
      </c>
      <c r="O706" s="59" t="str">
        <f t="shared" si="143"/>
        <v/>
      </c>
      <c r="P706" s="59" t="str">
        <f t="shared" si="143"/>
        <v/>
      </c>
    </row>
    <row r="707">
      <c r="B707" s="140" t="s">
        <v>280</v>
      </c>
      <c r="C707" s="65" t="str">
        <f t="shared" ref="C707:P707" si="144">IF(ISBLANK(C676),  ,  IF(C679="Geo", (IF(($E$12 + C701) &lt; 0, (1 - (($E$12 + C701) / 200)), IF(($E$12 + C701) &gt; 75, (100 / (100 + (4 * ($E$12 + C701)))), (100 - ($E$12 + C701)) / 100))), IF(C679="Anemo", (IF(($E$13 + C701) &lt; 0, (1 - (($E$13 + C701) / 200)), IF(($E$13 + C701) &gt; 75, (100 / (100 + (4 * ($E$13 + C701)))), (100 - ($E$13 + C701)) / 100))), IF(C679="Cryo", (IF(($E$14 + C701) &lt; 0, (1 - (($E$14 + C701) / 200)), IF(($E$14 + C701) &gt; 75, (100 / (100 + (4 * ($E$14 + C701)))), (100 - ($E$14 + C701)) / 100))), IF(C679="Hydro", (IF(($E$15 + C701) &lt; 0, (1 - (($E$15 + C701) / 200)), IF(($E$15 + C701) &gt; 75, (100 / (100 + (4 * ($E$15 + C701)))), (100 - ($E$15 + C701)) / 100))), IF(C679="Pyro", (IF(($E$16 + C701) &lt; 0, (1 - (($E$16 + C701) / 200)), IF(($E$16 + C701) &gt; 75, (100 / (100 + (4 * ($E$16 + C701)))), (100 - ($E$16 + C701)) / 100))), IF(C679="Electro", (IF(($E$17 + C701) &lt; 0, (1 - (($E$17 + C701) / 200)), IF(($E$17 + C701) &gt; 75, (100 / (100 + (4 * ($E$17 + C701)))), (100 - ($E$17 + C701)) / 100))), IF(C679="Dendro", (IF(($E$18 + C701) &lt; 0, (1 - (($E$18 + C701) / 200)), IF(($E$18 + C701) &gt; 75, (100 / (100 + (4 * ($E$18 + C701)))), (100 - ($E$18 + C701)) / 100))), IF(C679="Physical", (IF(($E$19 + C701) &lt; 0, (1 - (($E$19 + C701) / 200)), IF(($E$19 + C701) &gt; 75, (100 / (100 + (4 * ($E$19 + C701)))), (100 - ($E$19 + C701)) / 100))), 0)))))))))</f>
        <v/>
      </c>
      <c r="D707" s="59" t="str">
        <f t="shared" si="144"/>
        <v/>
      </c>
      <c r="E707" s="59" t="str">
        <f t="shared" si="144"/>
        <v/>
      </c>
      <c r="F707" s="59" t="str">
        <f t="shared" si="144"/>
        <v/>
      </c>
      <c r="G707" s="59" t="str">
        <f t="shared" si="144"/>
        <v/>
      </c>
      <c r="H707" s="59" t="str">
        <f t="shared" si="144"/>
        <v/>
      </c>
      <c r="I707" s="59" t="str">
        <f t="shared" si="144"/>
        <v/>
      </c>
      <c r="J707" s="59" t="str">
        <f t="shared" si="144"/>
        <v/>
      </c>
      <c r="K707" s="59" t="str">
        <f t="shared" si="144"/>
        <v/>
      </c>
      <c r="L707" s="59" t="str">
        <f t="shared" si="144"/>
        <v/>
      </c>
      <c r="M707" s="59" t="str">
        <f t="shared" si="144"/>
        <v/>
      </c>
      <c r="N707" s="59" t="str">
        <f t="shared" si="144"/>
        <v/>
      </c>
      <c r="O707" s="59" t="str">
        <f t="shared" si="144"/>
        <v/>
      </c>
      <c r="P707" s="59" t="str">
        <f t="shared" si="144"/>
        <v/>
      </c>
    </row>
    <row r="708">
      <c r="B708" s="140" t="s">
        <v>281</v>
      </c>
      <c r="C708" s="65" t="str">
        <f t="shared" ref="C708:AI708" si="145">IF(ISBLANK(C676),  ,  MAX(0, MIN(1, $J607% + IF(C677="skill", $J646%, IF(C677="burst", $J648%, IF(C677="normal", $J640%, IF(C677="charged", $J642%, IF(C677="plunging", $J644%, 0))))) + IF($E$10="Cryo", $J651%, IF($E$10="Hydro", $J653%, IF($E$10="Electro", $J655%, 
 IF($E$10="Dendro", $J657%, IF($E$10="Pyro", $J659%, IF($E$10="Frozen", $J660%  + $J651%, 0)))))) + C699% + IF(AND(C677="normal", OR($E$10 = "Cryo", $E$10="Frozen")), $J672%, 0))))</f>
        <v/>
      </c>
      <c r="D708" s="59" t="str">
        <f t="shared" si="145"/>
        <v/>
      </c>
      <c r="E708" s="59" t="str">
        <f t="shared" si="145"/>
        <v/>
      </c>
      <c r="F708" s="59" t="str">
        <f t="shared" si="145"/>
        <v/>
      </c>
      <c r="G708" s="59" t="str">
        <f t="shared" si="145"/>
        <v/>
      </c>
      <c r="H708" s="59" t="str">
        <f t="shared" si="145"/>
        <v/>
      </c>
      <c r="I708" s="59" t="str">
        <f t="shared" si="145"/>
        <v/>
      </c>
      <c r="J708" s="59" t="str">
        <f t="shared" si="145"/>
        <v/>
      </c>
      <c r="K708" s="59" t="str">
        <f t="shared" si="145"/>
        <v/>
      </c>
      <c r="L708" s="59" t="str">
        <f t="shared" si="145"/>
        <v/>
      </c>
      <c r="M708" s="59" t="str">
        <f t="shared" si="145"/>
        <v/>
      </c>
      <c r="N708" s="59" t="str">
        <f t="shared" si="145"/>
        <v/>
      </c>
      <c r="O708" s="59" t="str">
        <f t="shared" si="145"/>
        <v/>
      </c>
      <c r="P708" s="59" t="str">
        <f t="shared" si="145"/>
        <v/>
      </c>
      <c r="Q708" s="59" t="str">
        <f t="shared" si="145"/>
        <v/>
      </c>
      <c r="R708" s="59" t="str">
        <f t="shared" si="145"/>
        <v/>
      </c>
      <c r="S708" s="59" t="str">
        <f t="shared" si="145"/>
        <v/>
      </c>
      <c r="T708" s="59" t="str">
        <f t="shared" si="145"/>
        <v/>
      </c>
      <c r="U708" s="59" t="str">
        <f t="shared" si="145"/>
        <v/>
      </c>
      <c r="V708" s="59" t="str">
        <f t="shared" si="145"/>
        <v/>
      </c>
      <c r="W708" s="59" t="str">
        <f t="shared" si="145"/>
        <v/>
      </c>
      <c r="X708" s="59" t="str">
        <f t="shared" si="145"/>
        <v/>
      </c>
      <c r="Y708" s="59" t="str">
        <f t="shared" si="145"/>
        <v/>
      </c>
      <c r="Z708" s="59" t="str">
        <f t="shared" si="145"/>
        <v/>
      </c>
      <c r="AA708" s="59" t="str">
        <f t="shared" si="145"/>
        <v/>
      </c>
      <c r="AB708" s="59" t="str">
        <f t="shared" si="145"/>
        <v/>
      </c>
      <c r="AC708" s="59" t="str">
        <f t="shared" si="145"/>
        <v/>
      </c>
      <c r="AD708" s="59" t="str">
        <f t="shared" si="145"/>
        <v/>
      </c>
      <c r="AE708" s="59" t="str">
        <f t="shared" si="145"/>
        <v/>
      </c>
      <c r="AF708" s="59" t="str">
        <f t="shared" si="145"/>
        <v/>
      </c>
      <c r="AG708" s="59" t="str">
        <f t="shared" si="145"/>
        <v/>
      </c>
      <c r="AH708" s="59" t="str">
        <f t="shared" si="145"/>
        <v/>
      </c>
      <c r="AI708" s="59" t="str">
        <f t="shared" si="145"/>
        <v/>
      </c>
    </row>
    <row r="709">
      <c r="B709" s="140" t="s">
        <v>282</v>
      </c>
      <c r="C709" s="65" t="str">
        <f t="shared" ref="C709:AI709" si="146">IF(ISBLANK(C676),  ,  1 + $J608% + IF(C677="skill", $J647%, IF(C677="burst", $J649%, IF(C677="normal", $J641%, IF(C677="charged", $J643%, IF(C677="plunging", $J645%, 0))))) + IF(C679="Geo", $J632%, IF(C679="Anemo", $J634%, IF(C679="Hydro", $J635%, IF(C679="Pyro", $J636%, IF(C679="Electro", $J638%, IF(C679="Dendro", $J637%, IF(C679="Physical", $J639%, IF(C679="Cryo", $J633%, 0)))))))) + C700%)</f>
        <v/>
      </c>
      <c r="D709" s="59" t="str">
        <f t="shared" si="146"/>
        <v/>
      </c>
      <c r="E709" s="59" t="str">
        <f t="shared" si="146"/>
        <v/>
      </c>
      <c r="F709" s="59" t="str">
        <f t="shared" si="146"/>
        <v/>
      </c>
      <c r="G709" s="59" t="str">
        <f t="shared" si="146"/>
        <v/>
      </c>
      <c r="H709" s="59" t="str">
        <f t="shared" si="146"/>
        <v/>
      </c>
      <c r="I709" s="59" t="str">
        <f t="shared" si="146"/>
        <v/>
      </c>
      <c r="J709" s="59" t="str">
        <f t="shared" si="146"/>
        <v/>
      </c>
      <c r="K709" s="59" t="str">
        <f t="shared" si="146"/>
        <v/>
      </c>
      <c r="L709" s="59" t="str">
        <f t="shared" si="146"/>
        <v/>
      </c>
      <c r="M709" s="59" t="str">
        <f t="shared" si="146"/>
        <v/>
      </c>
      <c r="N709" s="59" t="str">
        <f t="shared" si="146"/>
        <v/>
      </c>
      <c r="O709" s="59" t="str">
        <f t="shared" si="146"/>
        <v/>
      </c>
      <c r="P709" s="59" t="str">
        <f t="shared" si="146"/>
        <v/>
      </c>
      <c r="Q709" s="59" t="str">
        <f t="shared" si="146"/>
        <v/>
      </c>
      <c r="R709" s="59" t="str">
        <f t="shared" si="146"/>
        <v/>
      </c>
      <c r="S709" s="59" t="str">
        <f t="shared" si="146"/>
        <v/>
      </c>
      <c r="T709" s="59" t="str">
        <f t="shared" si="146"/>
        <v/>
      </c>
      <c r="U709" s="59" t="str">
        <f t="shared" si="146"/>
        <v/>
      </c>
      <c r="V709" s="59" t="str">
        <f t="shared" si="146"/>
        <v/>
      </c>
      <c r="W709" s="59" t="str">
        <f t="shared" si="146"/>
        <v/>
      </c>
      <c r="X709" s="59" t="str">
        <f t="shared" si="146"/>
        <v/>
      </c>
      <c r="Y709" s="59" t="str">
        <f t="shared" si="146"/>
        <v/>
      </c>
      <c r="Z709" s="59" t="str">
        <f t="shared" si="146"/>
        <v/>
      </c>
      <c r="AA709" s="59" t="str">
        <f t="shared" si="146"/>
        <v/>
      </c>
      <c r="AB709" s="59" t="str">
        <f t="shared" si="146"/>
        <v/>
      </c>
      <c r="AC709" s="59" t="str">
        <f t="shared" si="146"/>
        <v/>
      </c>
      <c r="AD709" s="59" t="str">
        <f t="shared" si="146"/>
        <v/>
      </c>
      <c r="AE709" s="59" t="str">
        <f t="shared" si="146"/>
        <v/>
      </c>
      <c r="AF709" s="59" t="str">
        <f t="shared" si="146"/>
        <v/>
      </c>
      <c r="AG709" s="59" t="str">
        <f t="shared" si="146"/>
        <v/>
      </c>
      <c r="AH709" s="59" t="str">
        <f t="shared" si="146"/>
        <v/>
      </c>
      <c r="AI709" s="59" t="str">
        <f t="shared" si="146"/>
        <v/>
      </c>
    </row>
    <row r="710">
      <c r="B710" s="140" t="s">
        <v>283</v>
      </c>
      <c r="C710" s="65" t="str">
        <f t="shared" ref="C710:AI710" si="147">IF(ISBLANK(C676),  ,  1 + $J625% + IF(C679="Physical", 0, $J631%) + IF(C677="skill", $J626%, IF(C677="burst", $J627%, IF(C677="normal", $J628%, IF(C677="charged", $J629%, IF(C677="plunging", $J630%, 0))))) + IF(C679="Geo", $J615%, IF(C679="Anemo", $J617%, IF(C679="Hydro", $J618%, IF(C679="Pyro", $J619%, IF(C679="Electro", $J620%, IF(C679="Dendro", $J621%, IF(C679="Physical", $J622%, IF(C679="Cryo", $J616%, 0)))))))) + IF(OR($E$10 ="Cryo", $E$10 = "Frozen"), $J650%, 0) + IF(OR($E$10="Hydro", $E$10="Electro-Charged", $E$10="Frozen"), $J652%, 0) +  IF(OR($E$10="Electro", $E$10="Electro-Charged", $E$10="Quicken"), $J654%, 0) + IF(OR($E$10="Dendro", $E$10="Quicken", $E$10="Burning"), $J656%, 0) + IF(OR($E$10="Pyro", $E$10="Burning"), $J658%, 0) + C698% + IF(AND(OR($E$10 = "Cryo", $E$10 = "Frozen"), OR(C677="normal", C677="charged")), $J673%, 0))</f>
        <v/>
      </c>
      <c r="D710" s="59" t="str">
        <f t="shared" si="147"/>
        <v/>
      </c>
      <c r="E710" s="59" t="str">
        <f t="shared" si="147"/>
        <v/>
      </c>
      <c r="F710" s="59" t="str">
        <f t="shared" si="147"/>
        <v/>
      </c>
      <c r="G710" s="59" t="str">
        <f t="shared" si="147"/>
        <v/>
      </c>
      <c r="H710" s="59" t="str">
        <f t="shared" si="147"/>
        <v/>
      </c>
      <c r="I710" s="59" t="str">
        <f t="shared" si="147"/>
        <v/>
      </c>
      <c r="J710" s="59" t="str">
        <f t="shared" si="147"/>
        <v/>
      </c>
      <c r="K710" s="59" t="str">
        <f t="shared" si="147"/>
        <v/>
      </c>
      <c r="L710" s="59" t="str">
        <f t="shared" si="147"/>
        <v/>
      </c>
      <c r="M710" s="59" t="str">
        <f t="shared" si="147"/>
        <v/>
      </c>
      <c r="N710" s="59" t="str">
        <f t="shared" si="147"/>
        <v/>
      </c>
      <c r="O710" s="59" t="str">
        <f t="shared" si="147"/>
        <v/>
      </c>
      <c r="P710" s="59" t="str">
        <f t="shared" si="147"/>
        <v/>
      </c>
      <c r="Q710" s="59" t="str">
        <f t="shared" si="147"/>
        <v/>
      </c>
      <c r="R710" s="59" t="str">
        <f t="shared" si="147"/>
        <v/>
      </c>
      <c r="S710" s="59" t="str">
        <f t="shared" si="147"/>
        <v/>
      </c>
      <c r="T710" s="59" t="str">
        <f t="shared" si="147"/>
        <v/>
      </c>
      <c r="U710" s="59" t="str">
        <f t="shared" si="147"/>
        <v/>
      </c>
      <c r="V710" s="59" t="str">
        <f t="shared" si="147"/>
        <v/>
      </c>
      <c r="W710" s="59" t="str">
        <f t="shared" si="147"/>
        <v/>
      </c>
      <c r="X710" s="59" t="str">
        <f t="shared" si="147"/>
        <v/>
      </c>
      <c r="Y710" s="59" t="str">
        <f t="shared" si="147"/>
        <v/>
      </c>
      <c r="Z710" s="59" t="str">
        <f t="shared" si="147"/>
        <v/>
      </c>
      <c r="AA710" s="59" t="str">
        <f t="shared" si="147"/>
        <v/>
      </c>
      <c r="AB710" s="59" t="str">
        <f t="shared" si="147"/>
        <v/>
      </c>
      <c r="AC710" s="59" t="str">
        <f t="shared" si="147"/>
        <v/>
      </c>
      <c r="AD710" s="59" t="str">
        <f t="shared" si="147"/>
        <v/>
      </c>
      <c r="AE710" s="59" t="str">
        <f t="shared" si="147"/>
        <v/>
      </c>
      <c r="AF710" s="59" t="str">
        <f t="shared" si="147"/>
        <v/>
      </c>
      <c r="AG710" s="59" t="str">
        <f t="shared" si="147"/>
        <v/>
      </c>
      <c r="AH710" s="59" t="str">
        <f t="shared" si="147"/>
        <v/>
      </c>
      <c r="AI710" s="59" t="str">
        <f t="shared" si="147"/>
        <v/>
      </c>
    </row>
    <row r="711">
      <c r="B711" s="140" t="s">
        <v>284</v>
      </c>
      <c r="C711" s="159" t="str">
        <f t="shared" ref="C711:AI711" si="148">IF(ISBLANK(C676),  ,  ((C680% * (($C605 + $D605) * (1 + $J606% + C692%) + C691 + SUM($E605:$G605) + $I605) + C681% * (($C609 * (1 + $J610% + C694%)) + C693 + SUM($D609:$G609) + $I609) + C682% * ($C613 * (1 + $J614% + C696%) + C695 + SUM($D613:$G613) + $I613) + C683% * ($J612 + C697)) * C689 + (C684% * (($C605 + $D605) * (1 + $J606% + C692%) + C691 + SUM($E605:$G605) + $I605) + C685% * (($C609 * (1 + $J610% + C694%)) + C693 + SUM($D609:$G609) + $I609) + C686% * ($C613 * (1 + $J614% + C696%) + C695 + SUM($D613:$G613) + $I613) + C687% * ($J612 + C697)) + C688) * C706 * C707 * C710)</f>
        <v/>
      </c>
      <c r="D711" s="59" t="str">
        <f t="shared" si="148"/>
        <v/>
      </c>
      <c r="E711" s="59" t="str">
        <f t="shared" si="148"/>
        <v/>
      </c>
      <c r="F711" s="59" t="str">
        <f t="shared" si="148"/>
        <v/>
      </c>
      <c r="G711" s="59" t="str">
        <f t="shared" si="148"/>
        <v/>
      </c>
      <c r="H711" s="59" t="str">
        <f t="shared" si="148"/>
        <v/>
      </c>
      <c r="I711" s="59" t="str">
        <f t="shared" si="148"/>
        <v/>
      </c>
      <c r="J711" s="59" t="str">
        <f t="shared" si="148"/>
        <v/>
      </c>
      <c r="K711" s="59" t="str">
        <f t="shared" si="148"/>
        <v/>
      </c>
      <c r="L711" s="59" t="str">
        <f t="shared" si="148"/>
        <v/>
      </c>
      <c r="M711" s="59" t="str">
        <f t="shared" si="148"/>
        <v/>
      </c>
      <c r="N711" s="59" t="str">
        <f t="shared" si="148"/>
        <v/>
      </c>
      <c r="O711" s="59" t="str">
        <f t="shared" si="148"/>
        <v/>
      </c>
      <c r="P711" s="59" t="str">
        <f t="shared" si="148"/>
        <v/>
      </c>
      <c r="Q711" s="59" t="str">
        <f t="shared" si="148"/>
        <v/>
      </c>
      <c r="R711" s="59" t="str">
        <f t="shared" si="148"/>
        <v/>
      </c>
      <c r="S711" s="59" t="str">
        <f t="shared" si="148"/>
        <v/>
      </c>
      <c r="T711" s="59" t="str">
        <f t="shared" si="148"/>
        <v/>
      </c>
      <c r="U711" s="59" t="str">
        <f t="shared" si="148"/>
        <v/>
      </c>
      <c r="V711" s="59" t="str">
        <f t="shared" si="148"/>
        <v/>
      </c>
      <c r="W711" s="59" t="str">
        <f t="shared" si="148"/>
        <v/>
      </c>
      <c r="X711" s="59" t="str">
        <f t="shared" si="148"/>
        <v/>
      </c>
      <c r="Y711" s="59" t="str">
        <f t="shared" si="148"/>
        <v/>
      </c>
      <c r="Z711" s="59" t="str">
        <f t="shared" si="148"/>
        <v/>
      </c>
      <c r="AA711" s="59" t="str">
        <f t="shared" si="148"/>
        <v/>
      </c>
      <c r="AB711" s="59" t="str">
        <f t="shared" si="148"/>
        <v/>
      </c>
      <c r="AC711" s="59" t="str">
        <f t="shared" si="148"/>
        <v/>
      </c>
      <c r="AD711" s="59" t="str">
        <f t="shared" si="148"/>
        <v/>
      </c>
      <c r="AE711" s="59" t="str">
        <f t="shared" si="148"/>
        <v/>
      </c>
      <c r="AF711" s="59" t="str">
        <f t="shared" si="148"/>
        <v/>
      </c>
      <c r="AG711" s="59" t="str">
        <f t="shared" si="148"/>
        <v/>
      </c>
      <c r="AH711" s="59" t="str">
        <f t="shared" si="148"/>
        <v/>
      </c>
      <c r="AI711" s="59" t="str">
        <f t="shared" si="148"/>
        <v/>
      </c>
    </row>
    <row r="712">
      <c r="B712" s="140" t="s">
        <v>285</v>
      </c>
      <c r="C712" s="159" t="str">
        <f t="shared" ref="C712:AI712" si="149">IF(ISBLANK(C676)
,  ,  (C711 * (1 - C708)) + C713 * C708)</f>
        <v/>
      </c>
      <c r="D712" s="59" t="str">
        <f t="shared" si="149"/>
        <v/>
      </c>
      <c r="E712" s="59" t="str">
        <f t="shared" si="149"/>
        <v/>
      </c>
      <c r="F712" s="59" t="str">
        <f t="shared" si="149"/>
        <v/>
      </c>
      <c r="G712" s="59" t="str">
        <f t="shared" si="149"/>
        <v/>
      </c>
      <c r="H712" s="59" t="str">
        <f t="shared" si="149"/>
        <v/>
      </c>
      <c r="I712" s="59" t="str">
        <f t="shared" si="149"/>
        <v/>
      </c>
      <c r="J712" s="59" t="str">
        <f t="shared" si="149"/>
        <v/>
      </c>
      <c r="K712" s="59" t="str">
        <f t="shared" si="149"/>
        <v/>
      </c>
      <c r="L712" s="59" t="str">
        <f t="shared" si="149"/>
        <v/>
      </c>
      <c r="M712" s="59" t="str">
        <f t="shared" si="149"/>
        <v/>
      </c>
      <c r="N712" s="59" t="str">
        <f t="shared" si="149"/>
        <v/>
      </c>
      <c r="O712" s="59" t="str">
        <f t="shared" si="149"/>
        <v/>
      </c>
      <c r="P712" s="59" t="str">
        <f t="shared" si="149"/>
        <v/>
      </c>
      <c r="Q712" s="59" t="str">
        <f t="shared" si="149"/>
        <v/>
      </c>
      <c r="R712" s="59" t="str">
        <f t="shared" si="149"/>
        <v/>
      </c>
      <c r="S712" s="59" t="str">
        <f t="shared" si="149"/>
        <v/>
      </c>
      <c r="T712" s="59" t="str">
        <f t="shared" si="149"/>
        <v/>
      </c>
      <c r="U712" s="59" t="str">
        <f t="shared" si="149"/>
        <v/>
      </c>
      <c r="V712" s="59" t="str">
        <f t="shared" si="149"/>
        <v/>
      </c>
      <c r="W712" s="59" t="str">
        <f t="shared" si="149"/>
        <v/>
      </c>
      <c r="X712" s="59" t="str">
        <f t="shared" si="149"/>
        <v/>
      </c>
      <c r="Y712" s="59" t="str">
        <f t="shared" si="149"/>
        <v/>
      </c>
      <c r="Z712" s="59" t="str">
        <f t="shared" si="149"/>
        <v/>
      </c>
      <c r="AA712" s="59" t="str">
        <f t="shared" si="149"/>
        <v/>
      </c>
      <c r="AB712" s="59" t="str">
        <f t="shared" si="149"/>
        <v/>
      </c>
      <c r="AC712" s="59" t="str">
        <f t="shared" si="149"/>
        <v/>
      </c>
      <c r="AD712" s="59" t="str">
        <f t="shared" si="149"/>
        <v/>
      </c>
      <c r="AE712" s="59" t="str">
        <f t="shared" si="149"/>
        <v/>
      </c>
      <c r="AF712" s="59" t="str">
        <f t="shared" si="149"/>
        <v/>
      </c>
      <c r="AG712" s="59" t="str">
        <f t="shared" si="149"/>
        <v/>
      </c>
      <c r="AH712" s="59" t="str">
        <f t="shared" si="149"/>
        <v/>
      </c>
      <c r="AI712" s="59" t="str">
        <f t="shared" si="149"/>
        <v/>
      </c>
    </row>
    <row r="713">
      <c r="B713" s="140" t="s">
        <v>286</v>
      </c>
      <c r="C713" s="159" t="str">
        <f t="shared" ref="C713:AI713" si="150">IF(ISBLANK(C676),  ,  C711  * C709)</f>
        <v/>
      </c>
      <c r="D713" s="59" t="str">
        <f t="shared" si="150"/>
        <v/>
      </c>
      <c r="E713" s="59" t="str">
        <f t="shared" si="150"/>
        <v/>
      </c>
      <c r="F713" s="59" t="str">
        <f t="shared" si="150"/>
        <v/>
      </c>
      <c r="G713" s="59" t="str">
        <f t="shared" si="150"/>
        <v/>
      </c>
      <c r="H713" s="59" t="str">
        <f t="shared" si="150"/>
        <v/>
      </c>
      <c r="I713" s="59" t="str">
        <f t="shared" si="150"/>
        <v/>
      </c>
      <c r="J713" s="59" t="str">
        <f t="shared" si="150"/>
        <v/>
      </c>
      <c r="K713" s="59" t="str">
        <f t="shared" si="150"/>
        <v/>
      </c>
      <c r="L713" s="59" t="str">
        <f t="shared" si="150"/>
        <v/>
      </c>
      <c r="M713" s="59" t="str">
        <f t="shared" si="150"/>
        <v/>
      </c>
      <c r="N713" s="59" t="str">
        <f t="shared" si="150"/>
        <v/>
      </c>
      <c r="O713" s="59" t="str">
        <f t="shared" si="150"/>
        <v/>
      </c>
      <c r="P713" s="59" t="str">
        <f t="shared" si="150"/>
        <v/>
      </c>
      <c r="Q713" s="59" t="str">
        <f t="shared" si="150"/>
        <v/>
      </c>
      <c r="R713" s="59" t="str">
        <f t="shared" si="150"/>
        <v/>
      </c>
      <c r="S713" s="59" t="str">
        <f t="shared" si="150"/>
        <v/>
      </c>
      <c r="T713" s="59" t="str">
        <f t="shared" si="150"/>
        <v/>
      </c>
      <c r="U713" s="59" t="str">
        <f t="shared" si="150"/>
        <v/>
      </c>
      <c r="V713" s="59" t="str">
        <f t="shared" si="150"/>
        <v/>
      </c>
      <c r="W713" s="59" t="str">
        <f t="shared" si="150"/>
        <v/>
      </c>
      <c r="X713" s="59" t="str">
        <f t="shared" si="150"/>
        <v/>
      </c>
      <c r="Y713" s="59" t="str">
        <f t="shared" si="150"/>
        <v/>
      </c>
      <c r="Z713" s="59" t="str">
        <f t="shared" si="150"/>
        <v/>
      </c>
      <c r="AA713" s="59" t="str">
        <f t="shared" si="150"/>
        <v/>
      </c>
      <c r="AB713" s="59" t="str">
        <f t="shared" si="150"/>
        <v/>
      </c>
      <c r="AC713" s="59" t="str">
        <f t="shared" si="150"/>
        <v/>
      </c>
      <c r="AD713" s="59" t="str">
        <f t="shared" si="150"/>
        <v/>
      </c>
      <c r="AE713" s="59" t="str">
        <f t="shared" si="150"/>
        <v/>
      </c>
      <c r="AF713" s="59" t="str">
        <f t="shared" si="150"/>
        <v/>
      </c>
      <c r="AG713" s="59" t="str">
        <f t="shared" si="150"/>
        <v/>
      </c>
      <c r="AH713" s="59" t="str">
        <f t="shared" si="150"/>
        <v/>
      </c>
      <c r="AI713" s="59" t="str">
        <f t="shared" si="150"/>
        <v/>
      </c>
    </row>
    <row r="714">
      <c r="B714" s="140" t="s">
        <v>287</v>
      </c>
      <c r="C714" s="58" t="str">
        <f t="shared" ref="C714:AI714" si="151">IF(ISBLANK(C676),  ,  IF(C679="Pyro", 2 * (1 +  (2.78 * ($J612 +C697 ) / (($J612 +C697 ) + 1400)) + $J670%), IF(C679="Cryo", 1.5 * (1 +  (2.78 * ($J612 +C697 ) / (($J612 +C697 ) + 1400)) + $J670%), 0)) + C704%)</f>
        <v/>
      </c>
      <c r="D714" s="59" t="str">
        <f t="shared" si="151"/>
        <v/>
      </c>
      <c r="E714" s="59" t="str">
        <f t="shared" si="151"/>
        <v/>
      </c>
      <c r="F714" s="59" t="str">
        <f t="shared" si="151"/>
        <v/>
      </c>
      <c r="G714" s="59" t="str">
        <f t="shared" si="151"/>
        <v/>
      </c>
      <c r="H714" s="59" t="str">
        <f t="shared" si="151"/>
        <v/>
      </c>
      <c r="I714" s="59" t="str">
        <f t="shared" si="151"/>
        <v/>
      </c>
      <c r="J714" s="59" t="str">
        <f t="shared" si="151"/>
        <v/>
      </c>
      <c r="K714" s="59" t="str">
        <f t="shared" si="151"/>
        <v/>
      </c>
      <c r="L714" s="59" t="str">
        <f t="shared" si="151"/>
        <v/>
      </c>
      <c r="M714" s="59" t="str">
        <f t="shared" si="151"/>
        <v/>
      </c>
      <c r="N714" s="59" t="str">
        <f t="shared" si="151"/>
        <v/>
      </c>
      <c r="O714" s="59" t="str">
        <f t="shared" si="151"/>
        <v/>
      </c>
      <c r="P714" s="59" t="str">
        <f t="shared" si="151"/>
        <v/>
      </c>
      <c r="Q714" s="59" t="str">
        <f t="shared" si="151"/>
        <v/>
      </c>
      <c r="R714" s="59" t="str">
        <f t="shared" si="151"/>
        <v/>
      </c>
      <c r="S714" s="59" t="str">
        <f t="shared" si="151"/>
        <v/>
      </c>
      <c r="T714" s="59" t="str">
        <f t="shared" si="151"/>
        <v/>
      </c>
      <c r="U714" s="59" t="str">
        <f t="shared" si="151"/>
        <v/>
      </c>
      <c r="V714" s="59" t="str">
        <f t="shared" si="151"/>
        <v/>
      </c>
      <c r="W714" s="59" t="str">
        <f t="shared" si="151"/>
        <v/>
      </c>
      <c r="X714" s="59" t="str">
        <f t="shared" si="151"/>
        <v/>
      </c>
      <c r="Y714" s="59" t="str">
        <f t="shared" si="151"/>
        <v/>
      </c>
      <c r="Z714" s="59" t="str">
        <f t="shared" si="151"/>
        <v/>
      </c>
      <c r="AA714" s="59" t="str">
        <f t="shared" si="151"/>
        <v/>
      </c>
      <c r="AB714" s="59" t="str">
        <f t="shared" si="151"/>
        <v/>
      </c>
      <c r="AC714" s="59" t="str">
        <f t="shared" si="151"/>
        <v/>
      </c>
      <c r="AD714" s="59" t="str">
        <f t="shared" si="151"/>
        <v/>
      </c>
      <c r="AE714" s="59" t="str">
        <f t="shared" si="151"/>
        <v/>
      </c>
      <c r="AF714" s="59" t="str">
        <f t="shared" si="151"/>
        <v/>
      </c>
      <c r="AG714" s="59" t="str">
        <f t="shared" si="151"/>
        <v/>
      </c>
      <c r="AH714" s="59" t="str">
        <f t="shared" si="151"/>
        <v/>
      </c>
      <c r="AI714" s="59" t="str">
        <f t="shared" si="151"/>
        <v/>
      </c>
    </row>
    <row r="715">
      <c r="B715" s="140" t="s">
        <v>288</v>
      </c>
      <c r="C715" s="159" t="str">
        <f t="shared" ref="C715:AI715" si="152">IF(ISBLANK(C676),  ,  C714  * C711)</f>
        <v/>
      </c>
      <c r="D715" s="59" t="str">
        <f t="shared" si="152"/>
        <v/>
      </c>
      <c r="E715" s="59" t="str">
        <f t="shared" si="152"/>
        <v/>
      </c>
      <c r="F715" s="59" t="str">
        <f t="shared" si="152"/>
        <v/>
      </c>
      <c r="G715" s="59" t="str">
        <f t="shared" si="152"/>
        <v/>
      </c>
      <c r="H715" s="59" t="str">
        <f t="shared" si="152"/>
        <v/>
      </c>
      <c r="I715" s="59" t="str">
        <f t="shared" si="152"/>
        <v/>
      </c>
      <c r="J715" s="59" t="str">
        <f t="shared" si="152"/>
        <v/>
      </c>
      <c r="K715" s="59" t="str">
        <f t="shared" si="152"/>
        <v/>
      </c>
      <c r="L715" s="59" t="str">
        <f t="shared" si="152"/>
        <v/>
      </c>
      <c r="M715" s="59" t="str">
        <f t="shared" si="152"/>
        <v/>
      </c>
      <c r="N715" s="59" t="str">
        <f t="shared" si="152"/>
        <v/>
      </c>
      <c r="O715" s="59" t="str">
        <f t="shared" si="152"/>
        <v/>
      </c>
      <c r="P715" s="59" t="str">
        <f t="shared" si="152"/>
        <v/>
      </c>
      <c r="Q715" s="59" t="str">
        <f t="shared" si="152"/>
        <v/>
      </c>
      <c r="R715" s="59" t="str">
        <f t="shared" si="152"/>
        <v/>
      </c>
      <c r="S715" s="59" t="str">
        <f t="shared" si="152"/>
        <v/>
      </c>
      <c r="T715" s="59" t="str">
        <f t="shared" si="152"/>
        <v/>
      </c>
      <c r="U715" s="59" t="str">
        <f t="shared" si="152"/>
        <v/>
      </c>
      <c r="V715" s="59" t="str">
        <f t="shared" si="152"/>
        <v/>
      </c>
      <c r="W715" s="59" t="str">
        <f t="shared" si="152"/>
        <v/>
      </c>
      <c r="X715" s="59" t="str">
        <f t="shared" si="152"/>
        <v/>
      </c>
      <c r="Y715" s="59" t="str">
        <f t="shared" si="152"/>
        <v/>
      </c>
      <c r="Z715" s="59" t="str">
        <f t="shared" si="152"/>
        <v/>
      </c>
      <c r="AA715" s="59" t="str">
        <f t="shared" si="152"/>
        <v/>
      </c>
      <c r="AB715" s="59" t="str">
        <f t="shared" si="152"/>
        <v/>
      </c>
      <c r="AC715" s="59" t="str">
        <f t="shared" si="152"/>
        <v/>
      </c>
      <c r="AD715" s="59" t="str">
        <f t="shared" si="152"/>
        <v/>
      </c>
      <c r="AE715" s="59" t="str">
        <f t="shared" si="152"/>
        <v/>
      </c>
      <c r="AF715" s="59" t="str">
        <f t="shared" si="152"/>
        <v/>
      </c>
      <c r="AG715" s="59" t="str">
        <f t="shared" si="152"/>
        <v/>
      </c>
      <c r="AH715" s="59" t="str">
        <f t="shared" si="152"/>
        <v/>
      </c>
      <c r="AI715" s="59" t="str">
        <f t="shared" si="152"/>
        <v/>
      </c>
    </row>
    <row r="716">
      <c r="B716" s="140" t="s">
        <v>289</v>
      </c>
      <c r="C716" s="159" t="str">
        <f t="shared" ref="C716:AI716" si="153">IF(ISBLANK(C676),  ,  C714  * C712)</f>
        <v/>
      </c>
      <c r="D716" s="59" t="str">
        <f t="shared" si="153"/>
        <v/>
      </c>
      <c r="E716" s="59" t="str">
        <f t="shared" si="153"/>
        <v/>
      </c>
      <c r="F716" s="59" t="str">
        <f t="shared" si="153"/>
        <v/>
      </c>
      <c r="G716" s="59" t="str">
        <f t="shared" si="153"/>
        <v/>
      </c>
      <c r="H716" s="59" t="str">
        <f t="shared" si="153"/>
        <v/>
      </c>
      <c r="I716" s="59" t="str">
        <f t="shared" si="153"/>
        <v/>
      </c>
      <c r="J716" s="59" t="str">
        <f t="shared" si="153"/>
        <v/>
      </c>
      <c r="K716" s="59" t="str">
        <f t="shared" si="153"/>
        <v/>
      </c>
      <c r="L716" s="59" t="str">
        <f t="shared" si="153"/>
        <v/>
      </c>
      <c r="M716" s="59" t="str">
        <f t="shared" si="153"/>
        <v/>
      </c>
      <c r="N716" s="59" t="str">
        <f t="shared" si="153"/>
        <v/>
      </c>
      <c r="O716" s="59" t="str">
        <f t="shared" si="153"/>
        <v/>
      </c>
      <c r="P716" s="59" t="str">
        <f t="shared" si="153"/>
        <v/>
      </c>
      <c r="Q716" s="59" t="str">
        <f t="shared" si="153"/>
        <v/>
      </c>
      <c r="R716" s="59" t="str">
        <f t="shared" si="153"/>
        <v/>
      </c>
      <c r="S716" s="59" t="str">
        <f t="shared" si="153"/>
        <v/>
      </c>
      <c r="T716" s="59" t="str">
        <f t="shared" si="153"/>
        <v/>
      </c>
      <c r="U716" s="59" t="str">
        <f t="shared" si="153"/>
        <v/>
      </c>
      <c r="V716" s="59" t="str">
        <f t="shared" si="153"/>
        <v/>
      </c>
      <c r="W716" s="59" t="str">
        <f t="shared" si="153"/>
        <v/>
      </c>
      <c r="X716" s="59" t="str">
        <f t="shared" si="153"/>
        <v/>
      </c>
      <c r="Y716" s="59" t="str">
        <f t="shared" si="153"/>
        <v/>
      </c>
      <c r="Z716" s="59" t="str">
        <f t="shared" si="153"/>
        <v/>
      </c>
      <c r="AA716" s="59" t="str">
        <f t="shared" si="153"/>
        <v/>
      </c>
      <c r="AB716" s="59" t="str">
        <f t="shared" si="153"/>
        <v/>
      </c>
      <c r="AC716" s="59" t="str">
        <f t="shared" si="153"/>
        <v/>
      </c>
      <c r="AD716" s="59" t="str">
        <f t="shared" si="153"/>
        <v/>
      </c>
      <c r="AE716" s="59" t="str">
        <f t="shared" si="153"/>
        <v/>
      </c>
      <c r="AF716" s="59" t="str">
        <f t="shared" si="153"/>
        <v/>
      </c>
      <c r="AG716" s="59" t="str">
        <f t="shared" si="153"/>
        <v/>
      </c>
      <c r="AH716" s="59" t="str">
        <f t="shared" si="153"/>
        <v/>
      </c>
      <c r="AI716" s="59" t="str">
        <f t="shared" si="153"/>
        <v/>
      </c>
    </row>
    <row r="717">
      <c r="B717" s="140" t="s">
        <v>290</v>
      </c>
      <c r="C717" s="159" t="str">
        <f t="shared" ref="C717:AI717" si="154">IF(ISBLANK(C676),  ,  C714  * C713)</f>
        <v/>
      </c>
      <c r="D717" s="59" t="str">
        <f t="shared" si="154"/>
        <v/>
      </c>
      <c r="E717" s="59" t="str">
        <f t="shared" si="154"/>
        <v/>
      </c>
      <c r="F717" s="59" t="str">
        <f t="shared" si="154"/>
        <v/>
      </c>
      <c r="G717" s="59" t="str">
        <f t="shared" si="154"/>
        <v/>
      </c>
      <c r="H717" s="59" t="str">
        <f t="shared" si="154"/>
        <v/>
      </c>
      <c r="I717" s="59" t="str">
        <f t="shared" si="154"/>
        <v/>
      </c>
      <c r="J717" s="59" t="str">
        <f t="shared" si="154"/>
        <v/>
      </c>
      <c r="K717" s="59" t="str">
        <f t="shared" si="154"/>
        <v/>
      </c>
      <c r="L717" s="59" t="str">
        <f t="shared" si="154"/>
        <v/>
      </c>
      <c r="M717" s="59" t="str">
        <f t="shared" si="154"/>
        <v/>
      </c>
      <c r="N717" s="59" t="str">
        <f t="shared" si="154"/>
        <v/>
      </c>
      <c r="O717" s="59" t="str">
        <f t="shared" si="154"/>
        <v/>
      </c>
      <c r="P717" s="59" t="str">
        <f t="shared" si="154"/>
        <v/>
      </c>
      <c r="Q717" s="59" t="str">
        <f t="shared" si="154"/>
        <v/>
      </c>
      <c r="R717" s="59" t="str">
        <f t="shared" si="154"/>
        <v/>
      </c>
      <c r="S717" s="59" t="str">
        <f t="shared" si="154"/>
        <v/>
      </c>
      <c r="T717" s="59" t="str">
        <f t="shared" si="154"/>
        <v/>
      </c>
      <c r="U717" s="59" t="str">
        <f t="shared" si="154"/>
        <v/>
      </c>
      <c r="V717" s="59" t="str">
        <f t="shared" si="154"/>
        <v/>
      </c>
      <c r="W717" s="59" t="str">
        <f t="shared" si="154"/>
        <v/>
      </c>
      <c r="X717" s="59" t="str">
        <f t="shared" si="154"/>
        <v/>
      </c>
      <c r="Y717" s="59" t="str">
        <f t="shared" si="154"/>
        <v/>
      </c>
      <c r="Z717" s="59" t="str">
        <f t="shared" si="154"/>
        <v/>
      </c>
      <c r="AA717" s="59" t="str">
        <f t="shared" si="154"/>
        <v/>
      </c>
      <c r="AB717" s="59" t="str">
        <f t="shared" si="154"/>
        <v/>
      </c>
      <c r="AC717" s="59" t="str">
        <f t="shared" si="154"/>
        <v/>
      </c>
      <c r="AD717" s="59" t="str">
        <f t="shared" si="154"/>
        <v/>
      </c>
      <c r="AE717" s="59" t="str">
        <f t="shared" si="154"/>
        <v/>
      </c>
      <c r="AF717" s="59" t="str">
        <f t="shared" si="154"/>
        <v/>
      </c>
      <c r="AG717" s="59" t="str">
        <f t="shared" si="154"/>
        <v/>
      </c>
      <c r="AH717" s="59" t="str">
        <f t="shared" si="154"/>
        <v/>
      </c>
      <c r="AI717" s="59" t="str">
        <f t="shared" si="154"/>
        <v/>
      </c>
    </row>
    <row r="718">
      <c r="B718" s="140" t="s">
        <v>291</v>
      </c>
      <c r="C718" s="58" t="str">
        <f t="shared" ref="C718:AI718" si="155">IF(ISBLANK(C676),  ,  IF(C679="Pyro", 1.5 * (1 +  (2.78 * ($J612 +C697 ) / (($J612 +C697 ) + 1400)) + $J669%), IF(C679="Hydro", 2 * (1 +  (2.78 * ($J612 +C697 ) / (($J612 +C697 ) + 1400)) + $J669%), 0)) + C704%)</f>
        <v/>
      </c>
      <c r="D718" s="59" t="str">
        <f t="shared" si="155"/>
        <v/>
      </c>
      <c r="E718" s="59" t="str">
        <f t="shared" si="155"/>
        <v/>
      </c>
      <c r="F718" s="59" t="str">
        <f t="shared" si="155"/>
        <v/>
      </c>
      <c r="G718" s="59" t="str">
        <f t="shared" si="155"/>
        <v/>
      </c>
      <c r="H718" s="59" t="str">
        <f t="shared" si="155"/>
        <v/>
      </c>
      <c r="I718" s="59" t="str">
        <f t="shared" si="155"/>
        <v/>
      </c>
      <c r="J718" s="59" t="str">
        <f t="shared" si="155"/>
        <v/>
      </c>
      <c r="K718" s="59" t="str">
        <f t="shared" si="155"/>
        <v/>
      </c>
      <c r="L718" s="59" t="str">
        <f t="shared" si="155"/>
        <v/>
      </c>
      <c r="M718" s="59" t="str">
        <f t="shared" si="155"/>
        <v/>
      </c>
      <c r="N718" s="59" t="str">
        <f t="shared" si="155"/>
        <v/>
      </c>
      <c r="O718" s="59" t="str">
        <f t="shared" si="155"/>
        <v/>
      </c>
      <c r="P718" s="59" t="str">
        <f t="shared" si="155"/>
        <v/>
      </c>
      <c r="Q718" s="59" t="str">
        <f t="shared" si="155"/>
        <v/>
      </c>
      <c r="R718" s="59" t="str">
        <f t="shared" si="155"/>
        <v/>
      </c>
      <c r="S718" s="59" t="str">
        <f t="shared" si="155"/>
        <v/>
      </c>
      <c r="T718" s="59" t="str">
        <f t="shared" si="155"/>
        <v/>
      </c>
      <c r="U718" s="59" t="str">
        <f t="shared" si="155"/>
        <v/>
      </c>
      <c r="V718" s="59" t="str">
        <f t="shared" si="155"/>
        <v/>
      </c>
      <c r="W718" s="59" t="str">
        <f t="shared" si="155"/>
        <v/>
      </c>
      <c r="X718" s="59" t="str">
        <f t="shared" si="155"/>
        <v/>
      </c>
      <c r="Y718" s="59" t="str">
        <f t="shared" si="155"/>
        <v/>
      </c>
      <c r="Z718" s="59" t="str">
        <f t="shared" si="155"/>
        <v/>
      </c>
      <c r="AA718" s="59" t="str">
        <f t="shared" si="155"/>
        <v/>
      </c>
      <c r="AB718" s="59" t="str">
        <f t="shared" si="155"/>
        <v/>
      </c>
      <c r="AC718" s="59" t="str">
        <f t="shared" si="155"/>
        <v/>
      </c>
      <c r="AD718" s="59" t="str">
        <f t="shared" si="155"/>
        <v/>
      </c>
      <c r="AE718" s="59" t="str">
        <f t="shared" si="155"/>
        <v/>
      </c>
      <c r="AF718" s="59" t="str">
        <f t="shared" si="155"/>
        <v/>
      </c>
      <c r="AG718" s="59" t="str">
        <f t="shared" si="155"/>
        <v/>
      </c>
      <c r="AH718" s="59" t="str">
        <f t="shared" si="155"/>
        <v/>
      </c>
      <c r="AI718" s="59" t="str">
        <f t="shared" si="155"/>
        <v/>
      </c>
    </row>
    <row r="719">
      <c r="B719" s="140" t="s">
        <v>292</v>
      </c>
      <c r="C719" s="159" t="str">
        <f t="shared" ref="C719:AI719" si="156">IF(ISBLANK(C676),  ,  C718  * C711)</f>
        <v/>
      </c>
      <c r="D719" s="59" t="str">
        <f t="shared" si="156"/>
        <v/>
      </c>
      <c r="E719" s="59" t="str">
        <f t="shared" si="156"/>
        <v/>
      </c>
      <c r="F719" s="59" t="str">
        <f t="shared" si="156"/>
        <v/>
      </c>
      <c r="G719" s="59" t="str">
        <f t="shared" si="156"/>
        <v/>
      </c>
      <c r="H719" s="59" t="str">
        <f t="shared" si="156"/>
        <v/>
      </c>
      <c r="I719" s="59" t="str">
        <f t="shared" si="156"/>
        <v/>
      </c>
      <c r="J719" s="59" t="str">
        <f t="shared" si="156"/>
        <v/>
      </c>
      <c r="K719" s="59" t="str">
        <f t="shared" si="156"/>
        <v/>
      </c>
      <c r="L719" s="59" t="str">
        <f t="shared" si="156"/>
        <v/>
      </c>
      <c r="M719" s="59" t="str">
        <f t="shared" si="156"/>
        <v/>
      </c>
      <c r="N719" s="59" t="str">
        <f t="shared" si="156"/>
        <v/>
      </c>
      <c r="O719" s="59" t="str">
        <f t="shared" si="156"/>
        <v/>
      </c>
      <c r="P719" s="59" t="str">
        <f t="shared" si="156"/>
        <v/>
      </c>
      <c r="Q719" s="59" t="str">
        <f t="shared" si="156"/>
        <v/>
      </c>
      <c r="R719" s="59" t="str">
        <f t="shared" si="156"/>
        <v/>
      </c>
      <c r="S719" s="59" t="str">
        <f t="shared" si="156"/>
        <v/>
      </c>
      <c r="T719" s="59" t="str">
        <f t="shared" si="156"/>
        <v/>
      </c>
      <c r="U719" s="59" t="str">
        <f t="shared" si="156"/>
        <v/>
      </c>
      <c r="V719" s="59" t="str">
        <f t="shared" si="156"/>
        <v/>
      </c>
      <c r="W719" s="59" t="str">
        <f t="shared" si="156"/>
        <v/>
      </c>
      <c r="X719" s="59" t="str">
        <f t="shared" si="156"/>
        <v/>
      </c>
      <c r="Y719" s="59" t="str">
        <f t="shared" si="156"/>
        <v/>
      </c>
      <c r="Z719" s="59" t="str">
        <f t="shared" si="156"/>
        <v/>
      </c>
      <c r="AA719" s="59" t="str">
        <f t="shared" si="156"/>
        <v/>
      </c>
      <c r="AB719" s="59" t="str">
        <f t="shared" si="156"/>
        <v/>
      </c>
      <c r="AC719" s="59" t="str">
        <f t="shared" si="156"/>
        <v/>
      </c>
      <c r="AD719" s="59" t="str">
        <f t="shared" si="156"/>
        <v/>
      </c>
      <c r="AE719" s="59" t="str">
        <f t="shared" si="156"/>
        <v/>
      </c>
      <c r="AF719" s="59" t="str">
        <f t="shared" si="156"/>
        <v/>
      </c>
      <c r="AG719" s="59" t="str">
        <f t="shared" si="156"/>
        <v/>
      </c>
      <c r="AH719" s="59" t="str">
        <f t="shared" si="156"/>
        <v/>
      </c>
      <c r="AI719" s="59" t="str">
        <f t="shared" si="156"/>
        <v/>
      </c>
    </row>
    <row r="720">
      <c r="B720" s="140" t="s">
        <v>293</v>
      </c>
      <c r="C720" s="159" t="str">
        <f t="shared" ref="C720:AI720" si="157">IF(ISBLANK(C676),  ,  C718  * C712)</f>
        <v/>
      </c>
      <c r="D720" s="59" t="str">
        <f t="shared" si="157"/>
        <v/>
      </c>
      <c r="E720" s="59" t="str">
        <f t="shared" si="157"/>
        <v/>
      </c>
      <c r="F720" s="59" t="str">
        <f t="shared" si="157"/>
        <v/>
      </c>
      <c r="G720" s="59" t="str">
        <f t="shared" si="157"/>
        <v/>
      </c>
      <c r="H720" s="59" t="str">
        <f t="shared" si="157"/>
        <v/>
      </c>
      <c r="I720" s="59" t="str">
        <f t="shared" si="157"/>
        <v/>
      </c>
      <c r="J720" s="59" t="str">
        <f t="shared" si="157"/>
        <v/>
      </c>
      <c r="K720" s="59" t="str">
        <f t="shared" si="157"/>
        <v/>
      </c>
      <c r="L720" s="59" t="str">
        <f t="shared" si="157"/>
        <v/>
      </c>
      <c r="M720" s="59" t="str">
        <f t="shared" si="157"/>
        <v/>
      </c>
      <c r="N720" s="59" t="str">
        <f t="shared" si="157"/>
        <v/>
      </c>
      <c r="O720" s="59" t="str">
        <f t="shared" si="157"/>
        <v/>
      </c>
      <c r="P720" s="59" t="str">
        <f t="shared" si="157"/>
        <v/>
      </c>
      <c r="Q720" s="59" t="str">
        <f t="shared" si="157"/>
        <v/>
      </c>
      <c r="R720" s="59" t="str">
        <f t="shared" si="157"/>
        <v/>
      </c>
      <c r="S720" s="59" t="str">
        <f t="shared" si="157"/>
        <v/>
      </c>
      <c r="T720" s="59" t="str">
        <f t="shared" si="157"/>
        <v/>
      </c>
      <c r="U720" s="59" t="str">
        <f t="shared" si="157"/>
        <v/>
      </c>
      <c r="V720" s="59" t="str">
        <f t="shared" si="157"/>
        <v/>
      </c>
      <c r="W720" s="59" t="str">
        <f t="shared" si="157"/>
        <v/>
      </c>
      <c r="X720" s="59" t="str">
        <f t="shared" si="157"/>
        <v/>
      </c>
      <c r="Y720" s="59" t="str">
        <f t="shared" si="157"/>
        <v/>
      </c>
      <c r="Z720" s="59" t="str">
        <f t="shared" si="157"/>
        <v/>
      </c>
      <c r="AA720" s="59" t="str">
        <f t="shared" si="157"/>
        <v/>
      </c>
      <c r="AB720" s="59" t="str">
        <f t="shared" si="157"/>
        <v/>
      </c>
      <c r="AC720" s="59" t="str">
        <f t="shared" si="157"/>
        <v/>
      </c>
      <c r="AD720" s="59" t="str">
        <f t="shared" si="157"/>
        <v/>
      </c>
      <c r="AE720" s="59" t="str">
        <f t="shared" si="157"/>
        <v/>
      </c>
      <c r="AF720" s="59" t="str">
        <f t="shared" si="157"/>
        <v/>
      </c>
      <c r="AG720" s="59" t="str">
        <f t="shared" si="157"/>
        <v/>
      </c>
      <c r="AH720" s="59" t="str">
        <f t="shared" si="157"/>
        <v/>
      </c>
      <c r="AI720" s="59" t="str">
        <f t="shared" si="157"/>
        <v/>
      </c>
    </row>
    <row r="721">
      <c r="B721" s="140" t="s">
        <v>294</v>
      </c>
      <c r="C721" s="159" t="str">
        <f t="shared" ref="C721:AI721" si="158">IF(ISBLANK(C676),  ,  C718  * C713)</f>
        <v/>
      </c>
      <c r="D721" s="59" t="str">
        <f t="shared" si="158"/>
        <v/>
      </c>
      <c r="E721" s="59" t="str">
        <f t="shared" si="158"/>
        <v/>
      </c>
      <c r="F721" s="59" t="str">
        <f t="shared" si="158"/>
        <v/>
      </c>
      <c r="G721" s="59" t="str">
        <f t="shared" si="158"/>
        <v/>
      </c>
      <c r="H721" s="59" t="str">
        <f t="shared" si="158"/>
        <v/>
      </c>
      <c r="I721" s="59" t="str">
        <f t="shared" si="158"/>
        <v/>
      </c>
      <c r="J721" s="59" t="str">
        <f t="shared" si="158"/>
        <v/>
      </c>
      <c r="K721" s="59" t="str">
        <f t="shared" si="158"/>
        <v/>
      </c>
      <c r="L721" s="59" t="str">
        <f t="shared" si="158"/>
        <v/>
      </c>
      <c r="M721" s="59" t="str">
        <f t="shared" si="158"/>
        <v/>
      </c>
      <c r="N721" s="59" t="str">
        <f t="shared" si="158"/>
        <v/>
      </c>
      <c r="O721" s="59" t="str">
        <f t="shared" si="158"/>
        <v/>
      </c>
      <c r="P721" s="59" t="str">
        <f t="shared" si="158"/>
        <v/>
      </c>
      <c r="Q721" s="59" t="str">
        <f t="shared" si="158"/>
        <v/>
      </c>
      <c r="R721" s="59" t="str">
        <f t="shared" si="158"/>
        <v/>
      </c>
      <c r="S721" s="59" t="str">
        <f t="shared" si="158"/>
        <v/>
      </c>
      <c r="T721" s="59" t="str">
        <f t="shared" si="158"/>
        <v/>
      </c>
      <c r="U721" s="59" t="str">
        <f t="shared" si="158"/>
        <v/>
      </c>
      <c r="V721" s="59" t="str">
        <f t="shared" si="158"/>
        <v/>
      </c>
      <c r="W721" s="59" t="str">
        <f t="shared" si="158"/>
        <v/>
      </c>
      <c r="X721" s="59" t="str">
        <f t="shared" si="158"/>
        <v/>
      </c>
      <c r="Y721" s="59" t="str">
        <f t="shared" si="158"/>
        <v/>
      </c>
      <c r="Z721" s="59" t="str">
        <f t="shared" si="158"/>
        <v/>
      </c>
      <c r="AA721" s="59" t="str">
        <f t="shared" si="158"/>
        <v/>
      </c>
      <c r="AB721" s="59" t="str">
        <f t="shared" si="158"/>
        <v/>
      </c>
      <c r="AC721" s="59" t="str">
        <f t="shared" si="158"/>
        <v/>
      </c>
      <c r="AD721" s="59" t="str">
        <f t="shared" si="158"/>
        <v/>
      </c>
      <c r="AE721" s="59" t="str">
        <f t="shared" si="158"/>
        <v/>
      </c>
      <c r="AF721" s="59" t="str">
        <f t="shared" si="158"/>
        <v/>
      </c>
      <c r="AG721" s="59" t="str">
        <f t="shared" si="158"/>
        <v/>
      </c>
      <c r="AH721" s="59" t="str">
        <f t="shared" si="158"/>
        <v/>
      </c>
      <c r="AI721" s="59" t="str">
        <f t="shared" si="158"/>
        <v/>
      </c>
    </row>
    <row r="722">
      <c r="B722" s="140" t="s">
        <v>295</v>
      </c>
      <c r="C722" s="58" t="str">
        <f t="shared" ref="C722:AI722" si="159">IF(ISBLANK(C676),  ,  IF(C679="Dendro", 1 + (5 * ($J612 + C697)  / (($J612 + C697) + 1200)), IF(C679="Electro", 1 + (5 * ($J612 + C697) / (($J612 + C697) + 1200)), 0)) + $J671% + C704%)</f>
        <v/>
      </c>
      <c r="D722" s="59" t="str">
        <f t="shared" si="159"/>
        <v/>
      </c>
      <c r="E722" s="59" t="str">
        <f t="shared" si="159"/>
        <v/>
      </c>
      <c r="F722" s="59" t="str">
        <f t="shared" si="159"/>
        <v/>
      </c>
      <c r="G722" s="59" t="str">
        <f t="shared" si="159"/>
        <v/>
      </c>
      <c r="H722" s="59" t="str">
        <f t="shared" si="159"/>
        <v/>
      </c>
      <c r="I722" s="59" t="str">
        <f t="shared" si="159"/>
        <v/>
      </c>
      <c r="J722" s="59" t="str">
        <f t="shared" si="159"/>
        <v/>
      </c>
      <c r="K722" s="59" t="str">
        <f t="shared" si="159"/>
        <v/>
      </c>
      <c r="L722" s="59" t="str">
        <f t="shared" si="159"/>
        <v/>
      </c>
      <c r="M722" s="59" t="str">
        <f t="shared" si="159"/>
        <v/>
      </c>
      <c r="N722" s="59" t="str">
        <f t="shared" si="159"/>
        <v/>
      </c>
      <c r="O722" s="59" t="str">
        <f t="shared" si="159"/>
        <v/>
      </c>
      <c r="P722" s="59" t="str">
        <f t="shared" si="159"/>
        <v/>
      </c>
      <c r="Q722" s="59" t="str">
        <f t="shared" si="159"/>
        <v/>
      </c>
      <c r="R722" s="59" t="str">
        <f t="shared" si="159"/>
        <v/>
      </c>
      <c r="S722" s="59" t="str">
        <f t="shared" si="159"/>
        <v/>
      </c>
      <c r="T722" s="59" t="str">
        <f t="shared" si="159"/>
        <v/>
      </c>
      <c r="U722" s="59" t="str">
        <f t="shared" si="159"/>
        <v/>
      </c>
      <c r="V722" s="59" t="str">
        <f t="shared" si="159"/>
        <v/>
      </c>
      <c r="W722" s="59" t="str">
        <f t="shared" si="159"/>
        <v/>
      </c>
      <c r="X722" s="59" t="str">
        <f t="shared" si="159"/>
        <v/>
      </c>
      <c r="Y722" s="59" t="str">
        <f t="shared" si="159"/>
        <v/>
      </c>
      <c r="Z722" s="59" t="str">
        <f t="shared" si="159"/>
        <v/>
      </c>
      <c r="AA722" s="59" t="str">
        <f t="shared" si="159"/>
        <v/>
      </c>
      <c r="AB722" s="59" t="str">
        <f t="shared" si="159"/>
        <v/>
      </c>
      <c r="AC722" s="59" t="str">
        <f t="shared" si="159"/>
        <v/>
      </c>
      <c r="AD722" s="59" t="str">
        <f t="shared" si="159"/>
        <v/>
      </c>
      <c r="AE722" s="59" t="str">
        <f t="shared" si="159"/>
        <v/>
      </c>
      <c r="AF722" s="59" t="str">
        <f t="shared" si="159"/>
        <v/>
      </c>
      <c r="AG722" s="59" t="str">
        <f t="shared" si="159"/>
        <v/>
      </c>
      <c r="AH722" s="59" t="str">
        <f t="shared" si="159"/>
        <v/>
      </c>
      <c r="AI722" s="59" t="str">
        <f t="shared" si="159"/>
        <v/>
      </c>
    </row>
    <row r="723">
      <c r="B723" s="140" t="s">
        <v>296</v>
      </c>
      <c r="C723" s="65" t="str">
        <f t="shared" ref="C723:P723" si="160">IF(ISBLANK(C676),  ,  IF(C679="Dendro", 1808 * C722, IF(C679="Electro", 1664 * C722, 0)))</f>
        <v/>
      </c>
      <c r="D723" s="59" t="str">
        <f t="shared" si="160"/>
        <v/>
      </c>
      <c r="E723" s="59" t="str">
        <f t="shared" si="160"/>
        <v/>
      </c>
      <c r="F723" s="59" t="str">
        <f t="shared" si="160"/>
        <v/>
      </c>
      <c r="G723" s="59" t="str">
        <f t="shared" si="160"/>
        <v/>
      </c>
      <c r="H723" s="59" t="str">
        <f t="shared" si="160"/>
        <v/>
      </c>
      <c r="I723" s="59" t="str">
        <f t="shared" si="160"/>
        <v/>
      </c>
      <c r="J723" s="59" t="str">
        <f t="shared" si="160"/>
        <v/>
      </c>
      <c r="K723" s="59" t="str">
        <f t="shared" si="160"/>
        <v/>
      </c>
      <c r="L723" s="59" t="str">
        <f t="shared" si="160"/>
        <v/>
      </c>
      <c r="M723" s="59" t="str">
        <f t="shared" si="160"/>
        <v/>
      </c>
      <c r="N723" s="59" t="str">
        <f t="shared" si="160"/>
        <v/>
      </c>
      <c r="O723" s="59" t="str">
        <f t="shared" si="160"/>
        <v/>
      </c>
      <c r="P723" s="59" t="str">
        <f t="shared" si="160"/>
        <v/>
      </c>
      <c r="Q723" s="59"/>
      <c r="R723" s="59"/>
      <c r="S723" s="59"/>
      <c r="T723" s="59"/>
      <c r="U723" s="59"/>
      <c r="V723" s="59"/>
      <c r="W723" s="59"/>
      <c r="X723" s="59"/>
      <c r="Y723" s="59"/>
      <c r="Z723" s="59"/>
      <c r="AA723" s="59"/>
      <c r="AB723" s="59"/>
      <c r="AC723" s="59"/>
      <c r="AD723" s="59"/>
      <c r="AE723" s="59"/>
      <c r="AF723" s="59"/>
      <c r="AG723" s="59"/>
      <c r="AH723" s="59"/>
      <c r="AI723" s="59"/>
    </row>
    <row r="724">
      <c r="B724" s="140" t="s">
        <v>297</v>
      </c>
      <c r="C724" s="159" t="str">
        <f t="shared" ref="C724:AI724" si="161">IF(ISBLANK(C676),  ,  ((C680% * (($C605 + $D605) * (1 + $J606% + C692%) + C691 + SUM($E605:$G605) + $I605) + C681% * (($C609 * (1 + $J610% + C694%)) + C693 + SUM($D609:$G609) + $I609) + C682% * ($C613 * (1 + $J614% + C696%) + C695 + SUM($D613:$G613) + $I613) + C683% * ($J612 + C697)) * C689 + (C684% * (($C605 + $D605) * (1 + $J606% + C692%) + C691 + SUM($E605:$G605) + $I605) + C685% * (($C609 * (1 + $J610% + C694%)) + C693 + SUM($D609:$G609) + $I609) + C686% * ($C613 * (1 + $J614% + C696%) + C695 + SUM($D613:$G613) + $I613) + C687% * ($J612 + C697)) + C688 + C723) * C706 * C707 * C710)</f>
        <v/>
      </c>
      <c r="D724" s="59" t="str">
        <f t="shared" si="161"/>
        <v/>
      </c>
      <c r="E724" s="59" t="str">
        <f t="shared" si="161"/>
        <v/>
      </c>
      <c r="F724" s="59" t="str">
        <f t="shared" si="161"/>
        <v/>
      </c>
      <c r="G724" s="59" t="str">
        <f t="shared" si="161"/>
        <v/>
      </c>
      <c r="H724" s="59" t="str">
        <f t="shared" si="161"/>
        <v/>
      </c>
      <c r="I724" s="59" t="str">
        <f t="shared" si="161"/>
        <v/>
      </c>
      <c r="J724" s="59" t="str">
        <f t="shared" si="161"/>
        <v/>
      </c>
      <c r="K724" s="59" t="str">
        <f t="shared" si="161"/>
        <v/>
      </c>
      <c r="L724" s="59" t="str">
        <f t="shared" si="161"/>
        <v/>
      </c>
      <c r="M724" s="59" t="str">
        <f t="shared" si="161"/>
        <v/>
      </c>
      <c r="N724" s="59" t="str">
        <f t="shared" si="161"/>
        <v/>
      </c>
      <c r="O724" s="59" t="str">
        <f t="shared" si="161"/>
        <v/>
      </c>
      <c r="P724" s="59" t="str">
        <f t="shared" si="161"/>
        <v/>
      </c>
      <c r="Q724" s="59" t="str">
        <f t="shared" si="161"/>
        <v/>
      </c>
      <c r="R724" s="59" t="str">
        <f t="shared" si="161"/>
        <v/>
      </c>
      <c r="S724" s="59" t="str">
        <f t="shared" si="161"/>
        <v/>
      </c>
      <c r="T724" s="59" t="str">
        <f t="shared" si="161"/>
        <v/>
      </c>
      <c r="U724" s="59" t="str">
        <f t="shared" si="161"/>
        <v/>
      </c>
      <c r="V724" s="59" t="str">
        <f t="shared" si="161"/>
        <v/>
      </c>
      <c r="W724" s="59" t="str">
        <f t="shared" si="161"/>
        <v/>
      </c>
      <c r="X724" s="59" t="str">
        <f t="shared" si="161"/>
        <v/>
      </c>
      <c r="Y724" s="59" t="str">
        <f t="shared" si="161"/>
        <v/>
      </c>
      <c r="Z724" s="59" t="str">
        <f t="shared" si="161"/>
        <v/>
      </c>
      <c r="AA724" s="59" t="str">
        <f t="shared" si="161"/>
        <v/>
      </c>
      <c r="AB724" s="59" t="str">
        <f t="shared" si="161"/>
        <v/>
      </c>
      <c r="AC724" s="59" t="str">
        <f t="shared" si="161"/>
        <v/>
      </c>
      <c r="AD724" s="59" t="str">
        <f t="shared" si="161"/>
        <v/>
      </c>
      <c r="AE724" s="59" t="str">
        <f t="shared" si="161"/>
        <v/>
      </c>
      <c r="AF724" s="59" t="str">
        <f t="shared" si="161"/>
        <v/>
      </c>
      <c r="AG724" s="59" t="str">
        <f t="shared" si="161"/>
        <v/>
      </c>
      <c r="AH724" s="59" t="str">
        <f t="shared" si="161"/>
        <v/>
      </c>
      <c r="AI724" s="59" t="str">
        <f t="shared" si="161"/>
        <v/>
      </c>
    </row>
    <row r="725">
      <c r="B725" s="140" t="s">
        <v>298</v>
      </c>
      <c r="C725" s="159" t="str">
        <f t="shared" ref="C725:AI725" si="162">IF(ISBLANK(C676),  ,  (C708 * C726) + ((1 - C708) * C724))</f>
        <v/>
      </c>
      <c r="D725" s="59" t="str">
        <f t="shared" si="162"/>
        <v/>
      </c>
      <c r="E725" s="59" t="str">
        <f t="shared" si="162"/>
        <v/>
      </c>
      <c r="F725" s="59" t="str">
        <f t="shared" si="162"/>
        <v/>
      </c>
      <c r="G725" s="59" t="str">
        <f t="shared" si="162"/>
        <v/>
      </c>
      <c r="H725" s="59" t="str">
        <f t="shared" si="162"/>
        <v/>
      </c>
      <c r="I725" s="59" t="str">
        <f t="shared" si="162"/>
        <v/>
      </c>
      <c r="J725" s="59" t="str">
        <f t="shared" si="162"/>
        <v/>
      </c>
      <c r="K725" s="59" t="str">
        <f t="shared" si="162"/>
        <v/>
      </c>
      <c r="L725" s="59" t="str">
        <f t="shared" si="162"/>
        <v/>
      </c>
      <c r="M725" s="59" t="str">
        <f t="shared" si="162"/>
        <v/>
      </c>
      <c r="N725" s="59" t="str">
        <f t="shared" si="162"/>
        <v/>
      </c>
      <c r="O725" s="59" t="str">
        <f t="shared" si="162"/>
        <v/>
      </c>
      <c r="P725" s="59" t="str">
        <f t="shared" si="162"/>
        <v/>
      </c>
      <c r="Q725" s="59" t="str">
        <f t="shared" si="162"/>
        <v/>
      </c>
      <c r="R725" s="59" t="str">
        <f t="shared" si="162"/>
        <v/>
      </c>
      <c r="S725" s="59" t="str">
        <f t="shared" si="162"/>
        <v/>
      </c>
      <c r="T725" s="59" t="str">
        <f t="shared" si="162"/>
        <v/>
      </c>
      <c r="U725" s="59" t="str">
        <f t="shared" si="162"/>
        <v/>
      </c>
      <c r="V725" s="59" t="str">
        <f t="shared" si="162"/>
        <v/>
      </c>
      <c r="W725" s="59" t="str">
        <f t="shared" si="162"/>
        <v/>
      </c>
      <c r="X725" s="59" t="str">
        <f t="shared" si="162"/>
        <v/>
      </c>
      <c r="Y725" s="59" t="str">
        <f t="shared" si="162"/>
        <v/>
      </c>
      <c r="Z725" s="59" t="str">
        <f t="shared" si="162"/>
        <v/>
      </c>
      <c r="AA725" s="59" t="str">
        <f t="shared" si="162"/>
        <v/>
      </c>
      <c r="AB725" s="59" t="str">
        <f t="shared" si="162"/>
        <v/>
      </c>
      <c r="AC725" s="59" t="str">
        <f t="shared" si="162"/>
        <v/>
      </c>
      <c r="AD725" s="59" t="str">
        <f t="shared" si="162"/>
        <v/>
      </c>
      <c r="AE725" s="59" t="str">
        <f t="shared" si="162"/>
        <v/>
      </c>
      <c r="AF725" s="59" t="str">
        <f t="shared" si="162"/>
        <v/>
      </c>
      <c r="AG725" s="59" t="str">
        <f t="shared" si="162"/>
        <v/>
      </c>
      <c r="AH725" s="59" t="str">
        <f t="shared" si="162"/>
        <v/>
      </c>
      <c r="AI725" s="59" t="str">
        <f t="shared" si="162"/>
        <v/>
      </c>
    </row>
    <row r="726">
      <c r="B726" s="140" t="s">
        <v>299</v>
      </c>
      <c r="C726" s="159" t="str">
        <f t="shared" ref="C726:P726" si="163">IF(ISBLANK(C676),  ,  C724  * C709)</f>
        <v/>
      </c>
      <c r="D726" s="59" t="str">
        <f t="shared" si="163"/>
        <v/>
      </c>
      <c r="E726" s="59" t="str">
        <f t="shared" si="163"/>
        <v/>
      </c>
      <c r="F726" s="59" t="str">
        <f t="shared" si="163"/>
        <v/>
      </c>
      <c r="G726" s="59" t="str">
        <f t="shared" si="163"/>
        <v/>
      </c>
      <c r="H726" s="59" t="str">
        <f t="shared" si="163"/>
        <v/>
      </c>
      <c r="I726" s="59" t="str">
        <f t="shared" si="163"/>
        <v/>
      </c>
      <c r="J726" s="59" t="str">
        <f t="shared" si="163"/>
        <v/>
      </c>
      <c r="K726" s="59" t="str">
        <f t="shared" si="163"/>
        <v/>
      </c>
      <c r="L726" s="59" t="str">
        <f t="shared" si="163"/>
        <v/>
      </c>
      <c r="M726" s="59" t="str">
        <f t="shared" si="163"/>
        <v/>
      </c>
      <c r="N726" s="59" t="str">
        <f t="shared" si="163"/>
        <v/>
      </c>
      <c r="O726" s="59" t="str">
        <f t="shared" si="163"/>
        <v/>
      </c>
      <c r="P726" s="59" t="str">
        <f t="shared" si="163"/>
        <v/>
      </c>
      <c r="Q726" s="59"/>
      <c r="R726" s="59"/>
      <c r="S726" s="59"/>
      <c r="T726" s="59"/>
      <c r="U726" s="59"/>
      <c r="V726" s="59"/>
      <c r="W726" s="59"/>
      <c r="X726" s="59"/>
      <c r="Y726" s="59"/>
      <c r="Z726" s="59"/>
      <c r="AA726" s="59"/>
      <c r="AB726" s="59"/>
      <c r="AC726" s="59"/>
      <c r="AD726" s="59"/>
      <c r="AE726" s="59"/>
      <c r="AF726" s="59"/>
      <c r="AG726" s="59"/>
      <c r="AH726" s="59"/>
      <c r="AI726" s="59"/>
    </row>
    <row r="727">
      <c r="B727" s="59"/>
      <c r="C727" s="59"/>
    </row>
    <row r="728">
      <c r="B728" s="140" t="s">
        <v>300</v>
      </c>
      <c r="C728" s="70"/>
      <c r="H728" s="59"/>
      <c r="I728" s="59"/>
      <c r="J728" s="59"/>
      <c r="K728" s="59"/>
      <c r="L728" s="59"/>
      <c r="M728" s="59"/>
      <c r="N728" s="59"/>
    </row>
    <row r="729">
      <c r="B729" s="140" t="s">
        <v>251</v>
      </c>
      <c r="C729" s="158"/>
    </row>
    <row r="730">
      <c r="B730" s="140" t="s">
        <v>301</v>
      </c>
      <c r="C730" s="71"/>
    </row>
    <row r="731">
      <c r="B731" s="140" t="s">
        <v>152</v>
      </c>
      <c r="C731" s="70"/>
    </row>
    <row r="732">
      <c r="B732" s="140" t="s">
        <v>120</v>
      </c>
      <c r="C732" s="70"/>
    </row>
    <row r="733">
      <c r="B733" s="140" t="s">
        <v>153</v>
      </c>
      <c r="C733" s="158"/>
    </row>
    <row r="734">
      <c r="B734" s="140" t="s">
        <v>165</v>
      </c>
      <c r="C734" s="70"/>
    </row>
    <row r="735">
      <c r="B735" s="140" t="s">
        <v>115</v>
      </c>
      <c r="C735" s="70"/>
    </row>
    <row r="736">
      <c r="B736" s="140" t="s">
        <v>302</v>
      </c>
      <c r="C736" s="70"/>
    </row>
    <row r="737">
      <c r="B737" s="140" t="s">
        <v>303</v>
      </c>
      <c r="C737" s="65" t="str">
        <f t="shared" ref="C737:L737" si="164">IF(ISBLANK(C728),  ,  IF(C730 = "Crystallize", 1 + 4.44 * (J612 / (J612 + 1400)) , 1) * (1 + IF(C730 = "Heal", $J623% + $J674%, $J624%)))</f>
        <v/>
      </c>
      <c r="D737" s="59" t="str">
        <f t="shared" si="164"/>
        <v/>
      </c>
      <c r="E737" s="59" t="str">
        <f t="shared" si="164"/>
        <v/>
      </c>
      <c r="F737" s="59" t="str">
        <f t="shared" si="164"/>
        <v/>
      </c>
      <c r="G737" s="59" t="str">
        <f t="shared" si="164"/>
        <v/>
      </c>
      <c r="H737" s="59" t="str">
        <f t="shared" si="164"/>
        <v/>
      </c>
      <c r="I737" s="59" t="str">
        <f t="shared" si="164"/>
        <v/>
      </c>
      <c r="J737" s="59" t="str">
        <f t="shared" si="164"/>
        <v/>
      </c>
      <c r="K737" s="59" t="str">
        <f t="shared" si="164"/>
        <v/>
      </c>
      <c r="L737" s="59" t="str">
        <f t="shared" si="164"/>
        <v/>
      </c>
      <c r="M737" s="59" t="str">
        <f>IF(ISBLANK(M728),  ,  IF(M730 = "Crystallize", 1 + 4.44 * (AJ612 / (AJ612 + 1400)) , 1) * (1 + IF(M730 = "Heal", $J623% + $J674%, $J624%)))</f>
        <v/>
      </c>
      <c r="N737" s="59" t="str">
        <f t="shared" ref="N737:P737" si="165">IF(ISBLANK(N$200),  ,  IF(N730 = "Crystallize", 1 + 4.44 * (AK612 / (AK612 + 1400)) , 1) * (1 + IF(N730 = "Heal", $J623% + $J674%, $J624%)))</f>
        <v/>
      </c>
      <c r="O737" s="59" t="str">
        <f t="shared" si="165"/>
        <v/>
      </c>
      <c r="P737" s="59" t="str">
        <f t="shared" si="165"/>
        <v/>
      </c>
    </row>
    <row r="738">
      <c r="B738" s="140" t="s">
        <v>304</v>
      </c>
      <c r="C738" s="159" t="str">
        <f t="shared" ref="C738:M738" si="166">IF(ISBLANK(C728),  ,  (C731% * $J605 + C732% * $J609 + C733% * $J613 + C735 + C734% * $J612) * C737)</f>
        <v/>
      </c>
      <c r="D738" s="59" t="str">
        <f t="shared" si="166"/>
        <v/>
      </c>
      <c r="E738" s="59" t="str">
        <f t="shared" si="166"/>
        <v/>
      </c>
      <c r="F738" s="59" t="str">
        <f t="shared" si="166"/>
        <v/>
      </c>
      <c r="G738" s="59" t="str">
        <f t="shared" si="166"/>
        <v/>
      </c>
      <c r="H738" s="59" t="str">
        <f t="shared" si="166"/>
        <v/>
      </c>
      <c r="I738" s="59" t="str">
        <f t="shared" si="166"/>
        <v/>
      </c>
      <c r="J738" s="59" t="str">
        <f t="shared" si="166"/>
        <v/>
      </c>
      <c r="K738" s="59" t="str">
        <f t="shared" si="166"/>
        <v/>
      </c>
      <c r="L738" s="59" t="str">
        <f t="shared" si="166"/>
        <v/>
      </c>
      <c r="M738" s="59" t="str">
        <f t="shared" si="166"/>
        <v/>
      </c>
      <c r="N738" s="59" t="str">
        <f t="shared" ref="N738:P738" si="167">IF(ISBLANK(N$200),  ,  (N731% * $J605 + N732% * $J609 + N733% * $J613 + N735 + N734% * $J612) * N737)</f>
        <v/>
      </c>
      <c r="O738" s="59" t="str">
        <f t="shared" si="167"/>
        <v/>
      </c>
      <c r="P738" s="59" t="str">
        <f t="shared" si="167"/>
        <v/>
      </c>
      <c r="Q738" s="59"/>
      <c r="R738" s="59"/>
      <c r="S738" s="59"/>
      <c r="T738" s="59"/>
      <c r="U738" s="59"/>
      <c r="V738" s="59"/>
      <c r="W738" s="59"/>
      <c r="X738" s="59"/>
      <c r="Y738" s="59"/>
      <c r="Z738" s="59"/>
      <c r="AA738" s="59"/>
      <c r="AB738" s="59"/>
      <c r="AC738" s="59"/>
      <c r="AD738" s="59"/>
      <c r="AE738" s="59"/>
      <c r="AF738" s="59"/>
      <c r="AG738" s="59"/>
      <c r="AH738" s="59"/>
      <c r="AI738" s="59"/>
    </row>
    <row r="739">
      <c r="B739" s="140" t="s">
        <v>305</v>
      </c>
      <c r="C739" s="159" t="str">
        <f t="shared" ref="C739:M739" si="168">IF(ISBLANK(C728),  ,  C738  * C736)</f>
        <v/>
      </c>
      <c r="D739" s="59" t="str">
        <f t="shared" si="168"/>
        <v/>
      </c>
      <c r="E739" s="59" t="str">
        <f t="shared" si="168"/>
        <v/>
      </c>
      <c r="F739" s="59" t="str">
        <f t="shared" si="168"/>
        <v/>
      </c>
      <c r="G739" s="59" t="str">
        <f t="shared" si="168"/>
        <v/>
      </c>
      <c r="H739" s="59" t="str">
        <f t="shared" si="168"/>
        <v/>
      </c>
      <c r="I739" s="59" t="str">
        <f t="shared" si="168"/>
        <v/>
      </c>
      <c r="J739" s="59" t="str">
        <f t="shared" si="168"/>
        <v/>
      </c>
      <c r="K739" s="59" t="str">
        <f t="shared" si="168"/>
        <v/>
      </c>
      <c r="L739" s="59" t="str">
        <f t="shared" si="168"/>
        <v/>
      </c>
      <c r="M739" s="59" t="str">
        <f t="shared" si="168"/>
        <v/>
      </c>
      <c r="N739" s="59" t="str">
        <f t="shared" ref="N739:P739" si="169">IF(ISBLANK(N$200),  ,  N738  * N736)</f>
        <v/>
      </c>
      <c r="O739" s="59" t="str">
        <f t="shared" si="169"/>
        <v/>
      </c>
      <c r="P739" s="59" t="str">
        <f t="shared" si="169"/>
        <v/>
      </c>
      <c r="Q739" s="59"/>
      <c r="R739" s="59"/>
      <c r="S739" s="59"/>
      <c r="T739" s="59"/>
      <c r="U739" s="59"/>
      <c r="V739" s="59"/>
      <c r="W739" s="59"/>
      <c r="X739" s="59"/>
      <c r="Y739" s="59"/>
      <c r="Z739" s="59"/>
      <c r="AA739" s="59"/>
      <c r="AB739" s="59"/>
      <c r="AC739" s="59"/>
      <c r="AD739" s="59"/>
      <c r="AE739" s="59"/>
      <c r="AF739" s="59"/>
      <c r="AG739" s="59"/>
      <c r="AH739" s="59"/>
      <c r="AI739" s="59"/>
    </row>
    <row r="740">
      <c r="B740" s="59"/>
      <c r="C740" s="59"/>
    </row>
    <row r="741">
      <c r="B741" s="140" t="s">
        <v>306</v>
      </c>
      <c r="C741" s="71"/>
    </row>
    <row r="742">
      <c r="B742" s="140" t="s">
        <v>307</v>
      </c>
      <c r="C742" s="71"/>
    </row>
    <row r="743">
      <c r="B743" s="140" t="s">
        <v>252</v>
      </c>
      <c r="C743" s="70" t="str">
        <f>IF(ISBLANK(C741), , IF(C742="other", "Physical", IF(OR(C742="overload", C742="burning", C742="swirl (pyro)"), "Pyro", IF(OR(C742="superconduct", C742="swirl (cryo)"), "Cryo", IF(OR(C742="electro-charged", C742="swirl (electro)"), "Electro", IF(C742="swirl (hydro)", "Hydro", IF(C742="shatter", "Physical", IF(OR(C742 = "bloom", C742 = "hyperbloom", C742 = "burgeon"), "Dendro"))))))))</f>
        <v/>
      </c>
    </row>
    <row r="744">
      <c r="B744" s="140" t="s">
        <v>308</v>
      </c>
      <c r="C744" s="70" t="str">
        <f>IF(ISBLANK(C741), , IF(C742="superconduct", 723, IF(OR(C742="overload", C742 = "bloom"), 2894, IF(C742="shatter", 2176, IF(C742="electro-charged", 1736, IF(C742="burning", 362, IF(LEFT(C742, 5)="swirl", 868, IF(OR(C742 = "hyperbloom", C742 = "burgeon"), 4340, 0))))))))</f>
        <v/>
      </c>
    </row>
    <row r="745">
      <c r="B745" s="140" t="s">
        <v>270</v>
      </c>
      <c r="C745" s="71"/>
    </row>
    <row r="746">
      <c r="B746" s="140" t="s">
        <v>274</v>
      </c>
      <c r="C746" s="71"/>
    </row>
    <row r="747">
      <c r="B747" s="140" t="s">
        <v>271</v>
      </c>
      <c r="C747" s="71"/>
    </row>
    <row r="748">
      <c r="B748" s="140" t="s">
        <v>280</v>
      </c>
      <c r="C748" s="65" t="str">
        <f>IF(ISBLANK(C741),  ,  IF(C743="Geo", (IF(($E$12 + C746) &lt; 0, (1 - (($E$12 + C746) / 200)), IF(($E$12 + C746) &gt; 75, (100 / (100 + (4 * ($E$12 + C746)))), (100 - ($E$12 + C746)) / 100))), IF(C743="Anemo", (IF(($E$13 + C746) &lt; 0, (1 - (($E$13 + C746) / 200)), IF(($E$13 + C746) &gt; 75, (100 / (100 + (4 * ($E$13 + C746)))), (100 - ($E$13 + C746)) / 100))), IF(C743="Cryo", (IF(($E$14 + C746) &lt; 0, (1 - (($E$14 + C746) / 200)), IF(($E$14 + C746) &gt; 75, (100 / (100 + (4 * ($E$14 + C746)))), (100 - ($E$14 + C746)) / 100))), IF(C743="Hydro", (IF(($E$15 + C746) &lt; 0, (1 - (($E$15 + C746) / 200)), IF(($E$15 + C746) &gt; 75, (100 / (100 + (4 * ($E$15 + C746)))), (100 - ($E$15 + C746)) / 100))), IF(C743="Pyro", (IF(($E$16 + C746) &lt; 0, (1 - (($E$16 + C746) / 200)), IF(($E$16 + C746) &gt; 75, (100 / (100 + (4 * ($E$16 + C746)))), (100 - ($E$16 + C746)) / 100))), IF(C743="Electro", (IF(($E$17 + C746) &lt; 0, (1 - (($E$17 + C746) / 200)), IF(($E$17 + C746) &gt; 75, (100 / (100 + (4 * ($E$17 + C746)))), (100 - ($E$17 + C746)) / 100))), IF(C743="Dendro", (IF(($E$18 + C746) &lt; 0, (1 - (($E$18 + C746) / 200)), IF(($E$18 + C746) &gt; 75, (100 / (100 + (4 * ($E$18 + C746)))), (100 - ($E$18 + C746)) / 100))), IF(C743="Physical", (IF(($E$19 + C746) &lt; 0, (1 - (($E$19 + C746) / 200)), IF(($E$19 + C746) &gt; 75, (100 / (100 + (4 * ($E$19 + C746)))), (100 - ($E$19 + C746)) / 100))), 0)))))))))</f>
        <v/>
      </c>
    </row>
    <row r="749">
      <c r="B749" s="140" t="s">
        <v>309</v>
      </c>
      <c r="C749" s="65" t="str">
        <f>IF(ISBLANK(C741), , 1 + (16 * ($J612 +C745 ) / (($J612 +C745 ) + 2000)) + IF(LEFT(C742, 5)="swirl", $J661%, IF(C742="overload", $J662%, IF(C742="superconduct", $J663%, IF(C742="electro-charged", $J664%, IF(C742="burning", $J665%, IF(C742 = "burgeon", $J667%, IF(C742 = "hyperbloom", $J668%, IF(C742 = "bloom", $J666%, 0))))   )))) + C747%)</f>
        <v/>
      </c>
    </row>
    <row r="750">
      <c r="B750" s="140" t="s">
        <v>310</v>
      </c>
      <c r="C750" s="65" t="str">
        <f>IF(ISBLANK(C741), , IF($O$6 = true, IF(OR(C742="burning", C742="burgeon", C742="bloom", C742="hyperbloom"), 0.2, 0), 0))</f>
        <v/>
      </c>
    </row>
    <row r="751">
      <c r="B751" s="140" t="s">
        <v>311</v>
      </c>
      <c r="C751" s="65" t="str">
        <f>IF(ISBLANK(C741), , IF($O$6 = true, 2, 1))</f>
        <v/>
      </c>
    </row>
    <row r="752">
      <c r="B752" s="140" t="s">
        <v>312</v>
      </c>
      <c r="C752" s="159" t="str">
        <f>IF(ISBLANK(C741), , ((C744 * C748)) * C749)</f>
        <v/>
      </c>
    </row>
    <row r="753">
      <c r="B753" s="140" t="s">
        <v>285</v>
      </c>
      <c r="C753" s="159" t="str">
        <f>IF(ISBLANK(C741), , C754 * C750 + C752 * (1 - C750))</f>
        <v/>
      </c>
    </row>
    <row r="754">
      <c r="B754" s="140" t="s">
        <v>313</v>
      </c>
      <c r="C754" s="159" t="str">
        <f>IF(ISBLANK(C741),  ,  C752  * C751)</f>
        <v/>
      </c>
    </row>
    <row r="755">
      <c r="B755" s="140" t="s">
        <v>287</v>
      </c>
      <c r="C755" s="65" t="str">
        <f>IF(ISBLANK(C741), , IF(LEFT(C742, 5)="swirl", IF(C743="Pyro", 2 * (1 +  (2.78 * ($J612 +C745 ) / (($J612 +C745 ) + 1400)) + $J670%), IF(C743="Cryo", 1.5 * (1 +  (2.78 * ($J612 +C745 ) / (($J612 +C745 ) + 1400)) + $J670%), 0)), ))</f>
        <v/>
      </c>
    </row>
    <row r="756">
      <c r="B756" s="140" t="s">
        <v>314</v>
      </c>
      <c r="C756" s="159" t="str">
        <f>IF(ISBLANK(C741),  ,  C755  * C752)</f>
        <v/>
      </c>
    </row>
    <row r="757">
      <c r="B757" s="140" t="s">
        <v>291</v>
      </c>
      <c r="C757" s="65" t="str">
        <f>IF(ISBLANK(C741), , IF(LEFT(C742, 5)="swirl", IF(C743="Pyro", 1.5 * (1 +  (2.78 * ($J612 +C745 ) / (($J612 +C745 ) + 1400)) + $J669%), IF(C743="Hydro", 2 * (1 +  (2.78 * ($J612 +C745 ) / (($J612 +C745 ) + 1400)) + $J669%), 0)), ))</f>
        <v/>
      </c>
    </row>
    <row r="758">
      <c r="B758" s="140" t="s">
        <v>315</v>
      </c>
      <c r="C758" s="159" t="str">
        <f>IF(ISBLANK(C741),  ,  C757  * C752)</f>
        <v/>
      </c>
    </row>
    <row r="759">
      <c r="B759" s="140" t="s">
        <v>295</v>
      </c>
      <c r="C759" s="65" t="str">
        <f>IF(ISBLANK(C741), , IF(C742 = "swirl (electro)", 1 + (5 * ($J612 + C745) / (($J612 + C745) + 1200)) + $J671%, 0))</f>
        <v/>
      </c>
    </row>
    <row r="760">
      <c r="B760" s="140" t="s">
        <v>296</v>
      </c>
      <c r="C760" s="65" t="str">
        <f>IF(ISBLANK(C741), , 1664 * C759)</f>
        <v/>
      </c>
    </row>
    <row r="761">
      <c r="B761" s="140" t="s">
        <v>316</v>
      </c>
      <c r="C761" s="159" t="str">
        <f>IF(ISBLANK(C741), , IF(C742 = "swirl (electro)", ((C744 * C749) + C760) * C748, 0))</f>
        <v/>
      </c>
    </row>
  </sheetData>
  <mergeCells count="34">
    <mergeCell ref="I75:I76"/>
    <mergeCell ref="J75:J76"/>
    <mergeCell ref="A59:A233"/>
    <mergeCell ref="A235:A409"/>
    <mergeCell ref="A411:A585"/>
    <mergeCell ref="A587:A761"/>
    <mergeCell ref="F75:F76"/>
    <mergeCell ref="F251:F252"/>
    <mergeCell ref="G251:G252"/>
    <mergeCell ref="H251:H252"/>
    <mergeCell ref="I251:I252"/>
    <mergeCell ref="J251:J252"/>
    <mergeCell ref="G2:L2"/>
    <mergeCell ref="G3:L19"/>
    <mergeCell ref="B59:P59"/>
    <mergeCell ref="G75:G76"/>
    <mergeCell ref="H75:H76"/>
    <mergeCell ref="L84:M85"/>
    <mergeCell ref="B235:P235"/>
    <mergeCell ref="L436:M437"/>
    <mergeCell ref="B587:P587"/>
    <mergeCell ref="F603:F604"/>
    <mergeCell ref="G603:G604"/>
    <mergeCell ref="H603:H604"/>
    <mergeCell ref="I603:I604"/>
    <mergeCell ref="J603:J604"/>
    <mergeCell ref="L612:M613"/>
    <mergeCell ref="L260:M261"/>
    <mergeCell ref="B411:P411"/>
    <mergeCell ref="F427:F428"/>
    <mergeCell ref="G427:G428"/>
    <mergeCell ref="H427:H428"/>
    <mergeCell ref="I427:I428"/>
    <mergeCell ref="J427:J428"/>
  </mergeCells>
  <conditionalFormatting sqref="C70:L70 C246:L246 C422:L422 C598:L598">
    <cfRule type="expression" dxfId="1" priority="1">
      <formula> C70 &lt;= C69</formula>
    </cfRule>
  </conditionalFormatting>
  <conditionalFormatting sqref="C70:L70 C246:L246 C422:L422 C598:L598">
    <cfRule type="expression" dxfId="2" priority="2">
      <formula> C70 &gt; C69</formula>
    </cfRule>
  </conditionalFormatting>
  <conditionalFormatting sqref="M70 M246 M422 M598">
    <cfRule type="expression" dxfId="2" priority="3">
      <formula> M70 &lt; M69</formula>
    </cfRule>
  </conditionalFormatting>
  <conditionalFormatting sqref="M70 M246 M422 M598">
    <cfRule type="expression" dxfId="3" priority="4">
      <formula> M70 = M69</formula>
    </cfRule>
  </conditionalFormatting>
  <conditionalFormatting sqref="D21:AI22 D24:AI27 D32:AI35 D40:AI43 D48:D51 C148:AI176 C200:AI208 C213:AI219 C324:AI352 C376:AI384 C389:AI395 C500:AI528 C552:AI560 C565:AI571 C676:AI704 C728:AI736 C741:AI747">
    <cfRule type="notContainsBlanks" dxfId="3" priority="5">
      <formula>LEN(TRIM(D21))&gt;0</formula>
    </cfRule>
  </conditionalFormatting>
  <conditionalFormatting sqref="D28:AI30 D36:AI38 D44:AI46 D52:AI54 M81:AI82 D180:AI194 C183:C185 C187:C189 C191:C193 C196:AI198 C210:AI211 C222:AI226 C228:AI228 C230:AI230 C233:AI233 N257:AI258 C359:AI361 C363:AI365 C367:C369 D367:AI370 C372:AI374 C386:AI387 C398:AI402 C404:AI404 C406:AI406 C409:AI409 M433:AI434 C535:AI537 C539:AI541 C543:AI545 C548:AI550 C562:AI563 C574:AI578 C580:AI580 C582:AI582 C585:AI585 M609:AI610 D708:D726 E708:AI722 C711:C713 C715:C717 C719:C721 C724:C726 E724:AI726 C738:AI739 C750:AI754 C756:AI756 C758:AI758 C761">
    <cfRule type="notContainsBlanks" dxfId="4" priority="6">
      <formula>LEN(TRIM(D28))&gt;0</formula>
    </cfRule>
  </conditionalFormatting>
  <conditionalFormatting sqref="C177:AI182 C186:AI190 D193:I195 C194:C195 J194:AI195 C209:AI209 C220:AI223 C225:AI227 C229:AI229 C231:AI232 C353:AI358 C362:AI362 C366:AI366 D369:D371 C370:C371 E370:AI371 C385:AI385 C396:C399 D396:AI397 C401:C403 D403:AI403 C405:AI405 C407:AI408 C529:AI534 C538:AI538 C542:AI542 C546:AI547 C561:AI561 C572:C575 D572:AI573 C577:C579 D579:AI579 C581:AI581 C583:AI584 C705:AI710 C714:AI714 C718:AI718 C722:AI723 C737:AI737 C748:C751 D748:AI749 C753:C755 D755:AI755 C757:AI757 C759:AI760">
    <cfRule type="notContainsBlanks" dxfId="5" priority="7">
      <formula>LEN(TRIM(C177))&gt;0</formula>
    </cfRule>
  </conditionalFormatting>
  <conditionalFormatting sqref="N257">
    <cfRule type="notContainsBlanks" dxfId="0" priority="8">
      <formula>LEN(TRIM(N257))&gt;0</formula>
    </cfRule>
  </conditionalFormatting>
  <dataValidations>
    <dataValidation type="list" allowBlank="1" showErrorMessage="1" sqref="C149 C325 C501 C677">
      <formula1>"none,skill,burst,normal,charged,plunging"</formula1>
    </dataValidation>
    <dataValidation type="list" allowBlank="1" sqref="D40">
      <formula1>$B$39:$Z$39</formula1>
    </dataValidation>
    <dataValidation type="list" allowBlank="1" showErrorMessage="1" sqref="D76 D252 D428 D604">
      <formula1>"R1,R2,R3,R4,R5"</formula1>
    </dataValidation>
    <dataValidation type="list" allowBlank="1" sqref="D24">
      <formula1>$B$23:$Z$23</formula1>
    </dataValidation>
    <dataValidation type="list" allowBlank="1" showErrorMessage="1" sqref="C151 C327 C503 C679">
      <formula1>"Physical,Geo,Anemo,Cryo,Hydro,Pyro,Electro,Dendro"</formula1>
    </dataValidation>
    <dataValidation type="list" allowBlank="1" showErrorMessage="1" sqref="K63 K239 K415 K591">
      <formula1>"HP%,ATK%,DEF%,ER%,EM"</formula1>
    </dataValidation>
    <dataValidation type="list" allowBlank="1" showErrorMessage="1" sqref="C76 C252 C428 C604">
      <formula1>"C0,C1,C2,C3,C4,C5,C6"</formula1>
    </dataValidation>
    <dataValidation type="list" allowBlank="1" showErrorMessage="1" sqref="F62 F238 F414 F590">
      <formula1>"1,2,3,4,5,6,7,8,9,10,11,12,13,14"</formula1>
    </dataValidation>
    <dataValidation type="list" allowBlank="1" showErrorMessage="1" sqref="I62:M62 I238:M238 I414:M414 I590:M590">
      <formula1>"5*,4*"</formula1>
    </dataValidation>
    <dataValidation type="list" allowBlank="1" sqref="E75 E251 E427 E603">
      <formula1>ArtifactStats!$B$2:$BC$2</formula1>
    </dataValidation>
    <dataValidation type="list" allowBlank="1" sqref="C64 C240 C416 C592">
      <formula1>"KQM,Jam"</formula1>
    </dataValidation>
    <dataValidation type="list" allowBlank="1" showErrorMessage="1" sqref="C201 C377 C553 C729">
      <formula1>"-,8,9,10,11,12,13"</formula1>
    </dataValidation>
    <dataValidation type="list" allowBlank="1" sqref="D25 D33 D41 D49">
      <formula1>"None,Vape,Melt,Quicken"</formula1>
    </dataValidation>
    <dataValidation type="list" allowBlank="1" sqref="C214 C390 C566 C742">
      <formula1>"swirl (hydro),swirl (electro),swirl (pyro),swirl (cryo),electro-charged,burning,overload,superconduct,shatter,bloom,hyperbloom,burgeon,other"</formula1>
    </dataValidation>
    <dataValidation type="list" allowBlank="1" sqref="M63 M239 M415 M591">
      <formula1>"HP%,ATK%,DEF%,CR%,CD%,HB%,EM"</formula1>
    </dataValidation>
    <dataValidation type="list" allowBlank="1" sqref="E76 E252 E428 E604">
      <formula1>ArtifactStats!$B$86:$BM$86</formula1>
    </dataValidation>
    <dataValidation type="list" allowBlank="1" showErrorMessage="1" sqref="C150 C326 C502 C678">
      <formula1>"-,1,2,3,4,5,6,7,8,9,10,11,12,13"</formula1>
    </dataValidation>
    <dataValidation type="list" allowBlank="1" sqref="F63:F64 F239:F240 F415:F416 F591:F592">
      <formula1>"1,2,3,4,5,6,7,8,9,10,11,12,13"</formula1>
    </dataValidation>
    <dataValidation type="list" allowBlank="1" sqref="D48">
      <formula1>$B$47:$Z$47</formula1>
    </dataValidation>
    <dataValidation type="list" allowBlank="1" sqref="E10">
      <formula1>"None,Pyro,Hydro,Electro,Cryo,Dendro,Frozen,Electro-Charged,Burning,Quicken"</formula1>
    </dataValidation>
    <dataValidation type="list" allowBlank="1" sqref="D32">
      <formula1>$B$31:$Z$31</formula1>
    </dataValidation>
    <dataValidation type="list" allowBlank="1" sqref="C202 C378 C554 C730">
      <formula1>"Heal,Shield,Crystallize"</formula1>
    </dataValidation>
    <dataValidation type="decimal" operator="greaterThan" allowBlank="1" showDropDown="1" showErrorMessage="1" sqref="D27:E27">
      <formula1>0.0</formula1>
    </dataValidation>
    <dataValidation type="list" allowBlank="1" showErrorMessage="1" sqref="C75 C251 C427 C603">
      <formula1>CharacterStats!$B$2:$CB$2</formula1>
    </dataValidation>
    <dataValidation type="list" allowBlank="1" showErrorMessage="1" sqref="D26 D34 D42 D50">
      <formula1>"Average,Crit,Non-Crit"</formula1>
    </dataValidation>
    <dataValidation type="decimal" operator="greaterThan" allowBlank="1" showDropDown="1" sqref="D22">
      <formula1>0.0</formula1>
    </dataValidation>
    <dataValidation type="list" allowBlank="1" sqref="L63 L239 L415 L591">
      <formula1>"HP%,ATK%,DEF%,Pyro%,Electro%,Cryo%,Hydro%,Anemo%,Geo%,Dendro%,Phys%,EM"</formula1>
    </dataValidation>
    <dataValidation type="list" allowBlank="1" sqref="D75 D251 D427 D603">
      <formula1>WeaponStats!$B$2:$EY$2</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27.11"/>
  </cols>
  <sheetData>
    <row r="2">
      <c r="A2" s="4" t="s">
        <v>317</v>
      </c>
      <c r="B2" s="10">
        <v>70.0</v>
      </c>
    </row>
    <row r="3">
      <c r="A3" s="4" t="s">
        <v>318</v>
      </c>
      <c r="B3" s="10">
        <v>51.0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9.0"/>
    <col customWidth="1" min="2" max="3" width="5.56"/>
    <col customWidth="1" min="4" max="4" width="13.89"/>
    <col customWidth="1" min="5" max="5" width="11.56"/>
    <col customWidth="1" min="6" max="6" width="13.78"/>
    <col customWidth="1" min="7" max="8" width="14.11"/>
    <col customWidth="1" min="9" max="9" width="4.67"/>
    <col customWidth="1" min="10" max="10" width="6.78"/>
    <col customWidth="1" min="11" max="13" width="5.56"/>
    <col customWidth="1" min="14" max="14" width="5.78"/>
    <col customWidth="1" min="15" max="15" width="5.56"/>
    <col customWidth="1" min="16" max="16" width="7.78"/>
    <col customWidth="1" min="17" max="17" width="6.0"/>
    <col customWidth="1" min="18" max="18" width="6.44"/>
    <col customWidth="1" min="19" max="19" width="5.56"/>
    <col customWidth="1" min="20" max="20" width="8.89"/>
    <col customWidth="1" min="21" max="22" width="5.56"/>
    <col customWidth="1" min="23" max="23" width="4.89"/>
    <col customWidth="1" min="24" max="24" width="6.89"/>
    <col customWidth="1" min="25" max="25" width="5.89"/>
    <col customWidth="1" min="26" max="29" width="5.56"/>
    <col customWidth="1" min="30" max="30" width="6.44"/>
    <col customWidth="1" min="31" max="31" width="5.56"/>
    <col customWidth="1" min="32" max="32" width="5.44"/>
    <col customWidth="1" min="33" max="33" width="5.56"/>
    <col customWidth="1" min="34" max="34" width="6.0"/>
    <col customWidth="1" min="35" max="35" width="6.33"/>
    <col customWidth="1" min="36" max="36" width="5.89"/>
    <col customWidth="1" min="37" max="37" width="4.67"/>
    <col customWidth="1" min="38" max="38" width="5.56"/>
    <col customWidth="1" min="39" max="39" width="6.56"/>
    <col customWidth="1" min="40" max="40" width="5.56"/>
    <col customWidth="1" min="41" max="41" width="6.33"/>
    <col customWidth="1" min="42" max="42" width="5.56"/>
    <col customWidth="1" min="43" max="43" width="5.33"/>
    <col customWidth="1" min="44" max="44" width="6.33"/>
    <col customWidth="1" min="45" max="45" width="6.0"/>
    <col customWidth="1" min="46" max="46" width="5.67"/>
    <col customWidth="1" min="47" max="47" width="5.89"/>
    <col customWidth="1" min="48" max="48" width="6.44"/>
    <col customWidth="1" min="49" max="49" width="5.89"/>
    <col customWidth="1" min="50" max="50" width="5.56"/>
    <col customWidth="1" min="51" max="51" width="5.11"/>
    <col customWidth="1" min="52" max="52" width="5.0"/>
    <col customWidth="1" min="53" max="53" width="6.67"/>
    <col customWidth="1" min="54" max="55" width="5.56"/>
    <col customWidth="1" min="56" max="56" width="8.33"/>
    <col customWidth="1" min="57" max="57" width="5.56"/>
    <col customWidth="1" min="58" max="58" width="5.89"/>
    <col customWidth="1" min="59" max="59" width="6.78"/>
    <col customWidth="1" min="60" max="60" width="4.67"/>
    <col customWidth="1" min="61" max="61" width="5.56"/>
    <col customWidth="1" min="62" max="62" width="7.22"/>
  </cols>
  <sheetData>
    <row r="2">
      <c r="A2" s="4" t="s">
        <v>68</v>
      </c>
      <c r="B2" s="4" t="s">
        <v>319</v>
      </c>
      <c r="C2" s="4" t="s">
        <v>320</v>
      </c>
      <c r="D2" s="4" t="s">
        <v>321</v>
      </c>
      <c r="E2" s="4" t="s">
        <v>322</v>
      </c>
      <c r="F2" s="4" t="s">
        <v>323</v>
      </c>
      <c r="G2" s="4" t="s">
        <v>324</v>
      </c>
      <c r="H2" s="178" t="s">
        <v>325</v>
      </c>
      <c r="I2" s="4" t="s">
        <v>326</v>
      </c>
      <c r="J2" s="4" t="s">
        <v>327</v>
      </c>
      <c r="K2" s="4" t="s">
        <v>328</v>
      </c>
      <c r="L2" s="4" t="s">
        <v>329</v>
      </c>
      <c r="M2" s="4" t="s">
        <v>330</v>
      </c>
      <c r="N2" s="4" t="s">
        <v>331</v>
      </c>
      <c r="O2" s="4" t="s">
        <v>332</v>
      </c>
      <c r="P2" s="4" t="s">
        <v>333</v>
      </c>
      <c r="Q2" s="4" t="s">
        <v>334</v>
      </c>
      <c r="R2" s="4" t="s">
        <v>335</v>
      </c>
      <c r="S2" s="4" t="s">
        <v>336</v>
      </c>
      <c r="T2" s="4" t="s">
        <v>337</v>
      </c>
      <c r="U2" s="4" t="s">
        <v>338</v>
      </c>
      <c r="V2" s="4" t="s">
        <v>339</v>
      </c>
      <c r="W2" s="4" t="s">
        <v>340</v>
      </c>
      <c r="X2" s="4" t="s">
        <v>341</v>
      </c>
      <c r="Y2" s="4" t="s">
        <v>342</v>
      </c>
      <c r="Z2" s="4" t="s">
        <v>343</v>
      </c>
      <c r="AA2" s="4" t="s">
        <v>344</v>
      </c>
      <c r="AB2" s="4" t="s">
        <v>345</v>
      </c>
      <c r="AC2" s="4" t="s">
        <v>346</v>
      </c>
      <c r="AD2" s="4" t="s">
        <v>347</v>
      </c>
      <c r="AE2" s="4" t="s">
        <v>348</v>
      </c>
      <c r="AF2" s="4" t="s">
        <v>349</v>
      </c>
      <c r="AG2" s="4" t="s">
        <v>350</v>
      </c>
      <c r="AH2" s="4" t="s">
        <v>351</v>
      </c>
      <c r="AI2" s="4" t="s">
        <v>352</v>
      </c>
      <c r="AJ2" s="4" t="s">
        <v>353</v>
      </c>
      <c r="AK2" s="4" t="s">
        <v>354</v>
      </c>
      <c r="AL2" s="4" t="s">
        <v>355</v>
      </c>
      <c r="AM2" s="4" t="s">
        <v>356</v>
      </c>
      <c r="AN2" s="4" t="s">
        <v>357</v>
      </c>
      <c r="AO2" s="4" t="s">
        <v>358</v>
      </c>
      <c r="AP2" s="4" t="s">
        <v>359</v>
      </c>
      <c r="AQ2" s="4" t="s">
        <v>360</v>
      </c>
      <c r="AR2" s="4" t="s">
        <v>361</v>
      </c>
      <c r="AS2" s="4" t="s">
        <v>362</v>
      </c>
      <c r="AT2" s="4" t="s">
        <v>363</v>
      </c>
      <c r="AU2" s="4" t="s">
        <v>364</v>
      </c>
      <c r="AV2" s="4" t="s">
        <v>365</v>
      </c>
      <c r="AW2" s="4" t="s">
        <v>366</v>
      </c>
      <c r="AX2" s="4" t="s">
        <v>367</v>
      </c>
      <c r="AY2" s="4" t="s">
        <v>368</v>
      </c>
      <c r="AZ2" s="4" t="s">
        <v>369</v>
      </c>
      <c r="BA2" s="4" t="s">
        <v>370</v>
      </c>
      <c r="BB2" s="4" t="s">
        <v>371</v>
      </c>
      <c r="BC2" s="4" t="s">
        <v>372</v>
      </c>
      <c r="BD2" s="4" t="s">
        <v>373</v>
      </c>
      <c r="BE2" s="4" t="s">
        <v>374</v>
      </c>
      <c r="BF2" s="4" t="s">
        <v>375</v>
      </c>
      <c r="BG2" s="4" t="s">
        <v>376</v>
      </c>
      <c r="BH2" s="4" t="s">
        <v>377</v>
      </c>
      <c r="BI2" s="4" t="s">
        <v>378</v>
      </c>
      <c r="BJ2" s="4" t="s">
        <v>379</v>
      </c>
      <c r="BK2" s="4" t="s">
        <v>380</v>
      </c>
      <c r="BL2" s="4" t="s">
        <v>381</v>
      </c>
      <c r="BM2" s="4" t="s">
        <v>382</v>
      </c>
      <c r="BN2" s="4" t="s">
        <v>383</v>
      </c>
      <c r="BO2" s="4" t="s">
        <v>384</v>
      </c>
      <c r="BP2" s="4" t="s">
        <v>385</v>
      </c>
      <c r="BQ2" s="4" t="s">
        <v>386</v>
      </c>
      <c r="BR2" s="4" t="s">
        <v>387</v>
      </c>
      <c r="BS2" s="4" t="s">
        <v>388</v>
      </c>
      <c r="BT2" s="4" t="s">
        <v>389</v>
      </c>
      <c r="BU2" s="4" t="s">
        <v>390</v>
      </c>
      <c r="BV2" s="4" t="s">
        <v>391</v>
      </c>
      <c r="BW2" s="4" t="s">
        <v>392</v>
      </c>
      <c r="BX2" s="4" t="s">
        <v>393</v>
      </c>
      <c r="BY2" s="4" t="s">
        <v>394</v>
      </c>
      <c r="BZ2" s="4" t="s">
        <v>395</v>
      </c>
      <c r="CA2" s="4" t="s">
        <v>396</v>
      </c>
      <c r="CB2" s="4" t="s">
        <v>397</v>
      </c>
    </row>
    <row r="3">
      <c r="A3" s="4" t="s">
        <v>398</v>
      </c>
      <c r="B3" s="31">
        <f>342</f>
        <v>342</v>
      </c>
      <c r="C3" s="31">
        <f>239</f>
        <v>239</v>
      </c>
      <c r="D3" s="31">
        <f t="shared" ref="D3:G3" si="1">212</f>
        <v>212</v>
      </c>
      <c r="E3" s="31">
        <f t="shared" si="1"/>
        <v>212</v>
      </c>
      <c r="F3" s="31">
        <f t="shared" si="1"/>
        <v>212</v>
      </c>
      <c r="G3" s="31">
        <f t="shared" si="1"/>
        <v>212</v>
      </c>
      <c r="H3" s="179">
        <f>212</f>
        <v>212</v>
      </c>
      <c r="I3" s="31">
        <f>232</f>
        <v>232</v>
      </c>
      <c r="J3" s="31">
        <f>159</f>
        <v>159</v>
      </c>
      <c r="K3" s="31">
        <f>223</f>
        <v>223</v>
      </c>
      <c r="L3" s="31">
        <f>335</f>
        <v>335</v>
      </c>
      <c r="M3" s="31">
        <f>234</f>
        <v>234</v>
      </c>
      <c r="N3" s="31">
        <f>223</f>
        <v>223</v>
      </c>
      <c r="O3" s="31">
        <f>263</f>
        <v>263</v>
      </c>
      <c r="P3" s="31">
        <f t="shared" ref="P3:Q3" si="2">225</f>
        <v>225</v>
      </c>
      <c r="Q3" s="31">
        <f t="shared" si="2"/>
        <v>225</v>
      </c>
      <c r="R3" s="31">
        <f>202</f>
        <v>202</v>
      </c>
      <c r="S3" s="31">
        <f>349</f>
        <v>349</v>
      </c>
      <c r="T3" s="31">
        <f>212</f>
        <v>212</v>
      </c>
      <c r="U3" s="31">
        <f>311</f>
        <v>311</v>
      </c>
      <c r="V3" s="31">
        <f>223</f>
        <v>223</v>
      </c>
      <c r="W3" s="31">
        <f>200</f>
        <v>200</v>
      </c>
      <c r="X3" s="31">
        <f>268</f>
        <v>268</v>
      </c>
      <c r="Y3" s="31">
        <f>225</f>
        <v>225</v>
      </c>
      <c r="Z3" s="31">
        <f>212</f>
        <v>212</v>
      </c>
      <c r="AA3" s="31">
        <f>244</f>
        <v>244</v>
      </c>
      <c r="AB3" s="31">
        <f>299</f>
        <v>299</v>
      </c>
      <c r="AC3" s="31">
        <f>340</f>
        <v>340</v>
      </c>
      <c r="AD3" s="31">
        <f>304</f>
        <v>304</v>
      </c>
      <c r="AE3" s="31">
        <f>191</f>
        <v>191</v>
      </c>
      <c r="AF3" s="31">
        <f>183</f>
        <v>183</v>
      </c>
      <c r="AG3" s="31">
        <f>227</f>
        <v>227</v>
      </c>
      <c r="AH3" s="31">
        <f>202</f>
        <v>202</v>
      </c>
      <c r="AI3" s="31">
        <f>234</f>
        <v>234</v>
      </c>
      <c r="AJ3" s="31">
        <f>337</f>
        <v>337</v>
      </c>
      <c r="AK3" s="31">
        <f>195</f>
        <v>195</v>
      </c>
      <c r="AL3" s="31">
        <f>234</f>
        <v>234</v>
      </c>
      <c r="AM3" s="31">
        <f>323</f>
        <v>323</v>
      </c>
      <c r="AN3" s="31">
        <f>244</f>
        <v>244</v>
      </c>
      <c r="AO3" s="31">
        <f>297</f>
        <v>297</v>
      </c>
      <c r="AP3" s="31">
        <f>342</f>
        <v>342</v>
      </c>
      <c r="AQ3" s="31">
        <f t="shared" ref="AQ3:AR3" si="3">240</f>
        <v>240</v>
      </c>
      <c r="AR3" s="31">
        <f t="shared" si="3"/>
        <v>240</v>
      </c>
      <c r="AS3" s="31">
        <f>106</f>
        <v>106</v>
      </c>
      <c r="AT3" s="31">
        <f>335</f>
        <v>335</v>
      </c>
      <c r="AU3" s="31">
        <f t="shared" ref="AU3:AV3" si="4">251</f>
        <v>251</v>
      </c>
      <c r="AV3" s="31">
        <f t="shared" si="4"/>
        <v>251</v>
      </c>
      <c r="AW3" s="31">
        <f>249</f>
        <v>249</v>
      </c>
      <c r="AX3" s="31">
        <f>301</f>
        <v>301</v>
      </c>
      <c r="AY3" s="31">
        <f>212</f>
        <v>212</v>
      </c>
      <c r="AZ3" s="31">
        <f>244</f>
        <v>244</v>
      </c>
      <c r="BA3" s="31">
        <f t="shared" ref="BA3:BB3" si="5">191</f>
        <v>191</v>
      </c>
      <c r="BB3" s="31">
        <f t="shared" si="5"/>
        <v>191</v>
      </c>
      <c r="BC3" s="31">
        <f>287</f>
        <v>287</v>
      </c>
      <c r="BD3" s="31">
        <f>223</f>
        <v>223</v>
      </c>
      <c r="BE3" s="31">
        <f>287</f>
        <v>287</v>
      </c>
      <c r="BF3" s="31">
        <f>323</f>
        <v>323</v>
      </c>
      <c r="BG3" s="31">
        <f>170</f>
        <v>170</v>
      </c>
      <c r="BH3" s="88">
        <f>318</f>
        <v>318</v>
      </c>
      <c r="BI3" s="88">
        <f>230</f>
        <v>230</v>
      </c>
      <c r="BJ3" s="88">
        <f>212</f>
        <v>212</v>
      </c>
      <c r="BK3" s="88">
        <f>217</f>
        <v>217</v>
      </c>
      <c r="BL3" s="88">
        <f>299</f>
        <v>299</v>
      </c>
      <c r="BM3" s="88">
        <f>328</f>
        <v>328</v>
      </c>
      <c r="BN3" s="88">
        <f>196</f>
        <v>196</v>
      </c>
      <c r="BO3" s="88">
        <f>212</f>
        <v>212</v>
      </c>
      <c r="BP3" s="88">
        <f>313</f>
        <v>313</v>
      </c>
      <c r="BQ3" s="10">
        <f>223</f>
        <v>223</v>
      </c>
      <c r="BR3" s="88">
        <f>265</f>
        <v>265</v>
      </c>
      <c r="BS3" s="180">
        <f>234</f>
        <v>234</v>
      </c>
      <c r="BT3" s="88">
        <f>193</f>
        <v>193</v>
      </c>
      <c r="BU3" s="88">
        <f>223</f>
        <v>223</v>
      </c>
      <c r="BV3" s="88">
        <f>255</f>
        <v>255</v>
      </c>
      <c r="BW3" s="88">
        <f>318</f>
        <v>318</v>
      </c>
      <c r="BX3" s="88">
        <f>232</f>
        <v>232</v>
      </c>
      <c r="BY3" s="88">
        <f>311</f>
        <v>311</v>
      </c>
      <c r="BZ3" s="88">
        <f>208</f>
        <v>208</v>
      </c>
      <c r="CA3" s="88">
        <f>244</f>
        <v>244</v>
      </c>
      <c r="CB3" s="88">
        <f>173</f>
        <v>173</v>
      </c>
    </row>
    <row r="4">
      <c r="A4" s="4" t="s">
        <v>399</v>
      </c>
      <c r="B4" s="31">
        <f t="shared" ref="B4:C4" si="6">0</f>
        <v>0</v>
      </c>
      <c r="C4" s="31">
        <f t="shared" si="6"/>
        <v>0</v>
      </c>
      <c r="D4" s="31">
        <f t="shared" ref="D4:G4" si="7">24</f>
        <v>24</v>
      </c>
      <c r="E4" s="31">
        <f t="shared" si="7"/>
        <v>24</v>
      </c>
      <c r="F4" s="31">
        <f t="shared" si="7"/>
        <v>24</v>
      </c>
      <c r="G4" s="31">
        <f t="shared" si="7"/>
        <v>24</v>
      </c>
      <c r="H4" s="179">
        <f>24</f>
        <v>24</v>
      </c>
      <c r="I4" s="31">
        <f t="shared" ref="I4:M4" si="8">0</f>
        <v>0</v>
      </c>
      <c r="J4" s="31">
        <f t="shared" si="8"/>
        <v>0</v>
      </c>
      <c r="K4" s="31">
        <f t="shared" si="8"/>
        <v>0</v>
      </c>
      <c r="L4" s="31">
        <f t="shared" si="8"/>
        <v>0</v>
      </c>
      <c r="M4" s="31">
        <f t="shared" si="8"/>
        <v>0</v>
      </c>
      <c r="N4" s="31">
        <f>24</f>
        <v>24</v>
      </c>
      <c r="O4" s="31">
        <f t="shared" ref="O4:Q4" si="9">0</f>
        <v>0</v>
      </c>
      <c r="P4" s="31">
        <f t="shared" si="9"/>
        <v>0</v>
      </c>
      <c r="Q4" s="31">
        <f t="shared" si="9"/>
        <v>0</v>
      </c>
      <c r="R4" s="31">
        <f>24</f>
        <v>24</v>
      </c>
      <c r="S4" s="31">
        <f t="shared" ref="S4:V4" si="10">0</f>
        <v>0</v>
      </c>
      <c r="T4" s="31">
        <f t="shared" si="10"/>
        <v>0</v>
      </c>
      <c r="U4" s="31">
        <f t="shared" si="10"/>
        <v>0</v>
      </c>
      <c r="V4" s="31">
        <f t="shared" si="10"/>
        <v>0</v>
      </c>
      <c r="W4" s="31">
        <f>24</f>
        <v>24</v>
      </c>
      <c r="X4" s="31">
        <f t="shared" ref="X4:AC4" si="11">0</f>
        <v>0</v>
      </c>
      <c r="Y4" s="31">
        <f t="shared" si="11"/>
        <v>0</v>
      </c>
      <c r="Z4" s="31">
        <f t="shared" si="11"/>
        <v>0</v>
      </c>
      <c r="AA4" s="31">
        <f t="shared" si="11"/>
        <v>0</v>
      </c>
      <c r="AB4" s="31">
        <f t="shared" si="11"/>
        <v>0</v>
      </c>
      <c r="AC4" s="31">
        <f t="shared" si="11"/>
        <v>0</v>
      </c>
      <c r="AD4" s="31">
        <f>28.8</f>
        <v>28.8</v>
      </c>
      <c r="AE4" s="31">
        <f t="shared" ref="AE4:AG4" si="12">0</f>
        <v>0</v>
      </c>
      <c r="AF4" s="31">
        <f t="shared" si="12"/>
        <v>0</v>
      </c>
      <c r="AG4" s="31">
        <f t="shared" si="12"/>
        <v>0</v>
      </c>
      <c r="AH4" s="31">
        <f>24</f>
        <v>24</v>
      </c>
      <c r="AI4" s="31">
        <f t="shared" ref="AI4:AJ4" si="13">0</f>
        <v>0</v>
      </c>
      <c r="AJ4" s="31">
        <f t="shared" si="13"/>
        <v>0</v>
      </c>
      <c r="AK4" s="31">
        <f>24</f>
        <v>24</v>
      </c>
      <c r="AL4" s="31">
        <f t="shared" ref="AL4:AQ4" si="14">0</f>
        <v>0</v>
      </c>
      <c r="AM4" s="31">
        <f t="shared" si="14"/>
        <v>0</v>
      </c>
      <c r="AN4" s="31">
        <f t="shared" si="14"/>
        <v>0</v>
      </c>
      <c r="AO4" s="31">
        <f t="shared" si="14"/>
        <v>0</v>
      </c>
      <c r="AP4" s="31">
        <f t="shared" si="14"/>
        <v>0</v>
      </c>
      <c r="AQ4" s="31">
        <f t="shared" si="14"/>
        <v>0</v>
      </c>
      <c r="AR4" s="31">
        <f>24</f>
        <v>24</v>
      </c>
      <c r="AS4" s="31">
        <f t="shared" ref="AS4:AV4" si="15">0</f>
        <v>0</v>
      </c>
      <c r="AT4" s="31">
        <f t="shared" si="15"/>
        <v>0</v>
      </c>
      <c r="AU4" s="31">
        <f t="shared" si="15"/>
        <v>0</v>
      </c>
      <c r="AV4" s="31">
        <f t="shared" si="15"/>
        <v>0</v>
      </c>
      <c r="AW4" s="31">
        <f>24</f>
        <v>24</v>
      </c>
      <c r="AX4" s="31">
        <f t="shared" ref="AX4:AY4" si="16">0</f>
        <v>0</v>
      </c>
      <c r="AY4" s="31">
        <f t="shared" si="16"/>
        <v>0</v>
      </c>
      <c r="AZ4" s="31">
        <f>24</f>
        <v>24</v>
      </c>
      <c r="BA4" s="31">
        <f t="shared" ref="BA4:BC4" si="17">0</f>
        <v>0</v>
      </c>
      <c r="BB4" s="31">
        <f t="shared" si="17"/>
        <v>0</v>
      </c>
      <c r="BC4" s="31">
        <f t="shared" si="17"/>
        <v>0</v>
      </c>
      <c r="BD4" s="31">
        <f>24</f>
        <v>24</v>
      </c>
      <c r="BE4" s="31">
        <f t="shared" ref="BE4:BG4" si="18">0</f>
        <v>0</v>
      </c>
      <c r="BF4" s="31">
        <f t="shared" si="18"/>
        <v>0</v>
      </c>
      <c r="BG4" s="31">
        <f t="shared" si="18"/>
        <v>0</v>
      </c>
      <c r="BH4" s="88">
        <f t="shared" ref="BH4:BM4" si="19">0</f>
        <v>0</v>
      </c>
      <c r="BI4" s="88">
        <f t="shared" si="19"/>
        <v>0</v>
      </c>
      <c r="BJ4" s="88">
        <f t="shared" si="19"/>
        <v>0</v>
      </c>
      <c r="BK4" s="88">
        <f t="shared" si="19"/>
        <v>0</v>
      </c>
      <c r="BL4" s="88">
        <f t="shared" si="19"/>
        <v>0</v>
      </c>
      <c r="BM4" s="88">
        <f t="shared" si="19"/>
        <v>0</v>
      </c>
      <c r="BN4" s="88">
        <f>24</f>
        <v>24</v>
      </c>
      <c r="BO4" s="88">
        <f t="shared" ref="BO4:BU4" si="20">0</f>
        <v>0</v>
      </c>
      <c r="BP4" s="88">
        <f t="shared" si="20"/>
        <v>0</v>
      </c>
      <c r="BQ4" s="88">
        <f t="shared" si="20"/>
        <v>0</v>
      </c>
      <c r="BR4" s="88">
        <f t="shared" si="20"/>
        <v>0</v>
      </c>
      <c r="BS4" s="180">
        <f t="shared" si="20"/>
        <v>0</v>
      </c>
      <c r="BT4" s="88">
        <f t="shared" si="20"/>
        <v>0</v>
      </c>
      <c r="BU4" s="88">
        <f t="shared" si="20"/>
        <v>0</v>
      </c>
      <c r="BV4" s="88">
        <f>24</f>
        <v>24</v>
      </c>
      <c r="BW4" s="88">
        <f t="shared" ref="BW4:CA4" si="21">0</f>
        <v>0</v>
      </c>
      <c r="BX4" s="88">
        <f t="shared" si="21"/>
        <v>0</v>
      </c>
      <c r="BY4" s="88">
        <f t="shared" si="21"/>
        <v>0</v>
      </c>
      <c r="BZ4" s="88">
        <f t="shared" si="21"/>
        <v>0</v>
      </c>
      <c r="CA4" s="88">
        <f t="shared" si="21"/>
        <v>0</v>
      </c>
      <c r="CB4" s="88">
        <f>24</f>
        <v>24</v>
      </c>
    </row>
    <row r="5">
      <c r="A5" s="181" t="s">
        <v>400</v>
      </c>
      <c r="B5" s="31">
        <f t="shared" ref="B5:G5" si="22">5</f>
        <v>5</v>
      </c>
      <c r="C5" s="31">
        <f t="shared" si="22"/>
        <v>5</v>
      </c>
      <c r="D5" s="31">
        <f t="shared" si="22"/>
        <v>5</v>
      </c>
      <c r="E5" s="31">
        <f t="shared" si="22"/>
        <v>5</v>
      </c>
      <c r="F5" s="31">
        <f t="shared" si="22"/>
        <v>5</v>
      </c>
      <c r="G5" s="31">
        <f t="shared" si="22"/>
        <v>5</v>
      </c>
      <c r="H5" s="179">
        <f>5</f>
        <v>5</v>
      </c>
      <c r="I5" s="31">
        <f t="shared" ref="I5:K5" si="23">5</f>
        <v>5</v>
      </c>
      <c r="J5" s="31">
        <f t="shared" si="23"/>
        <v>5</v>
      </c>
      <c r="K5" s="31">
        <f t="shared" si="23"/>
        <v>5</v>
      </c>
      <c r="L5" s="31">
        <f>24.2</f>
        <v>24.2</v>
      </c>
      <c r="M5" s="31">
        <f t="shared" ref="M5:R5" si="24">5</f>
        <v>5</v>
      </c>
      <c r="N5" s="31">
        <f t="shared" si="24"/>
        <v>5</v>
      </c>
      <c r="O5" s="31">
        <f t="shared" si="24"/>
        <v>5</v>
      </c>
      <c r="P5" s="31">
        <f t="shared" si="24"/>
        <v>5</v>
      </c>
      <c r="Q5" s="31">
        <f t="shared" si="24"/>
        <v>5</v>
      </c>
      <c r="R5" s="31">
        <f t="shared" si="24"/>
        <v>5</v>
      </c>
      <c r="S5" s="31">
        <f>24.2</f>
        <v>24.2</v>
      </c>
      <c r="T5" s="31">
        <f t="shared" ref="T5:Z5" si="25">5</f>
        <v>5</v>
      </c>
      <c r="U5" s="31">
        <f t="shared" si="25"/>
        <v>5</v>
      </c>
      <c r="V5" s="31">
        <f t="shared" si="25"/>
        <v>5</v>
      </c>
      <c r="W5" s="31">
        <f t="shared" si="25"/>
        <v>5</v>
      </c>
      <c r="X5" s="31">
        <f t="shared" si="25"/>
        <v>5</v>
      </c>
      <c r="Y5" s="31">
        <f t="shared" si="25"/>
        <v>5</v>
      </c>
      <c r="Z5" s="31">
        <f t="shared" si="25"/>
        <v>5</v>
      </c>
      <c r="AA5" s="31">
        <f>24.2</f>
        <v>24.2</v>
      </c>
      <c r="AB5" s="31">
        <f>5</f>
        <v>5</v>
      </c>
      <c r="AC5" s="31">
        <f>24.2</f>
        <v>24.2</v>
      </c>
      <c r="AD5" s="31">
        <f t="shared" ref="AD5:AF5" si="26">5</f>
        <v>5</v>
      </c>
      <c r="AE5" s="31">
        <f t="shared" si="26"/>
        <v>5</v>
      </c>
      <c r="AF5" s="31">
        <f t="shared" si="26"/>
        <v>5</v>
      </c>
      <c r="AG5" s="31">
        <f>24.2</f>
        <v>24.2</v>
      </c>
      <c r="AH5" s="31">
        <f>5</f>
        <v>5</v>
      </c>
      <c r="AI5" s="31">
        <f>-95</f>
        <v>-95</v>
      </c>
      <c r="AJ5" s="31">
        <f t="shared" ref="AJ5:AL5" si="27">5</f>
        <v>5</v>
      </c>
      <c r="AK5" s="31">
        <f t="shared" si="27"/>
        <v>5</v>
      </c>
      <c r="AL5" s="31">
        <f t="shared" si="27"/>
        <v>5</v>
      </c>
      <c r="AM5" s="31">
        <f>24.2</f>
        <v>24.2</v>
      </c>
      <c r="AN5" s="31">
        <f t="shared" ref="AN5:BG5" si="28">5</f>
        <v>5</v>
      </c>
      <c r="AO5" s="31">
        <f t="shared" si="28"/>
        <v>5</v>
      </c>
      <c r="AP5" s="31">
        <f t="shared" si="28"/>
        <v>5</v>
      </c>
      <c r="AQ5" s="31">
        <f t="shared" si="28"/>
        <v>5</v>
      </c>
      <c r="AR5" s="31">
        <f t="shared" si="28"/>
        <v>5</v>
      </c>
      <c r="AS5" s="31">
        <f t="shared" si="28"/>
        <v>5</v>
      </c>
      <c r="AT5" s="31">
        <f t="shared" si="28"/>
        <v>5</v>
      </c>
      <c r="AU5" s="31">
        <f t="shared" si="28"/>
        <v>5</v>
      </c>
      <c r="AV5" s="31">
        <f t="shared" si="28"/>
        <v>5</v>
      </c>
      <c r="AW5" s="31">
        <f t="shared" si="28"/>
        <v>5</v>
      </c>
      <c r="AX5" s="31">
        <f t="shared" si="28"/>
        <v>5</v>
      </c>
      <c r="AY5" s="31">
        <f t="shared" si="28"/>
        <v>5</v>
      </c>
      <c r="AZ5" s="31">
        <f t="shared" si="28"/>
        <v>5</v>
      </c>
      <c r="BA5" s="31">
        <f t="shared" si="28"/>
        <v>5</v>
      </c>
      <c r="BB5" s="31">
        <f t="shared" si="28"/>
        <v>5</v>
      </c>
      <c r="BC5" s="31">
        <f t="shared" si="28"/>
        <v>5</v>
      </c>
      <c r="BD5" s="31">
        <f t="shared" si="28"/>
        <v>5</v>
      </c>
      <c r="BE5" s="31">
        <f t="shared" si="28"/>
        <v>5</v>
      </c>
      <c r="BF5" s="31">
        <f t="shared" si="28"/>
        <v>5</v>
      </c>
      <c r="BG5" s="31">
        <f t="shared" si="28"/>
        <v>5</v>
      </c>
      <c r="BH5" s="88">
        <f t="shared" ref="BH5:BL5" si="29">5</f>
        <v>5</v>
      </c>
      <c r="BI5" s="88">
        <f t="shared" si="29"/>
        <v>5</v>
      </c>
      <c r="BJ5" s="88">
        <f t="shared" si="29"/>
        <v>5</v>
      </c>
      <c r="BK5" s="88">
        <f t="shared" si="29"/>
        <v>5</v>
      </c>
      <c r="BL5" s="88">
        <f t="shared" si="29"/>
        <v>5</v>
      </c>
      <c r="BM5" s="88">
        <f>24.2</f>
        <v>24.2</v>
      </c>
      <c r="BN5" s="88">
        <f t="shared" ref="BN5:BV5" si="30">5</f>
        <v>5</v>
      </c>
      <c r="BO5" s="88">
        <f t="shared" si="30"/>
        <v>5</v>
      </c>
      <c r="BP5" s="88">
        <f t="shared" si="30"/>
        <v>5</v>
      </c>
      <c r="BQ5" s="88">
        <f t="shared" si="30"/>
        <v>5</v>
      </c>
      <c r="BR5" s="88">
        <f t="shared" si="30"/>
        <v>5</v>
      </c>
      <c r="BS5" s="180">
        <f t="shared" si="30"/>
        <v>5</v>
      </c>
      <c r="BT5" s="88">
        <f t="shared" si="30"/>
        <v>5</v>
      </c>
      <c r="BU5" s="88">
        <f t="shared" si="30"/>
        <v>5</v>
      </c>
      <c r="BV5" s="88">
        <f t="shared" si="30"/>
        <v>5</v>
      </c>
      <c r="BW5" s="88">
        <f>24.2</f>
        <v>24.2</v>
      </c>
      <c r="BX5" s="88">
        <f t="shared" ref="BX5:BZ5" si="31">5</f>
        <v>5</v>
      </c>
      <c r="BY5" s="88">
        <f t="shared" si="31"/>
        <v>5</v>
      </c>
      <c r="BZ5" s="88">
        <f t="shared" si="31"/>
        <v>5</v>
      </c>
      <c r="CA5" s="88">
        <f>24.2</f>
        <v>24.2</v>
      </c>
      <c r="CB5" s="88">
        <f>5</f>
        <v>5</v>
      </c>
    </row>
    <row r="6">
      <c r="A6" s="181" t="s">
        <v>401</v>
      </c>
      <c r="B6" s="31">
        <f>88.4</f>
        <v>88.4</v>
      </c>
      <c r="C6" s="31">
        <f t="shared" ref="C6:G6" si="32">50</f>
        <v>50</v>
      </c>
      <c r="D6" s="31">
        <f t="shared" si="32"/>
        <v>50</v>
      </c>
      <c r="E6" s="31">
        <f t="shared" si="32"/>
        <v>50</v>
      </c>
      <c r="F6" s="31">
        <f t="shared" si="32"/>
        <v>50</v>
      </c>
      <c r="G6" s="31">
        <f t="shared" si="32"/>
        <v>50</v>
      </c>
      <c r="H6" s="179">
        <f>50</f>
        <v>50</v>
      </c>
      <c r="I6" s="31">
        <f t="shared" ref="I6:AA6" si="33">50</f>
        <v>50</v>
      </c>
      <c r="J6" s="31">
        <f t="shared" si="33"/>
        <v>50</v>
      </c>
      <c r="K6" s="31">
        <f t="shared" si="33"/>
        <v>50</v>
      </c>
      <c r="L6" s="31">
        <f t="shared" si="33"/>
        <v>50</v>
      </c>
      <c r="M6" s="31">
        <f t="shared" si="33"/>
        <v>50</v>
      </c>
      <c r="N6" s="31">
        <f t="shared" si="33"/>
        <v>50</v>
      </c>
      <c r="O6" s="31">
        <f t="shared" si="33"/>
        <v>50</v>
      </c>
      <c r="P6" s="31">
        <f t="shared" si="33"/>
        <v>50</v>
      </c>
      <c r="Q6" s="31">
        <f t="shared" si="33"/>
        <v>50</v>
      </c>
      <c r="R6" s="31">
        <f t="shared" si="33"/>
        <v>50</v>
      </c>
      <c r="S6" s="31">
        <f t="shared" si="33"/>
        <v>50</v>
      </c>
      <c r="T6" s="31">
        <f t="shared" si="33"/>
        <v>50</v>
      </c>
      <c r="U6" s="31">
        <f t="shared" si="33"/>
        <v>50</v>
      </c>
      <c r="V6" s="31">
        <f t="shared" si="33"/>
        <v>50</v>
      </c>
      <c r="W6" s="31">
        <f t="shared" si="33"/>
        <v>50</v>
      </c>
      <c r="X6" s="31">
        <f t="shared" si="33"/>
        <v>50</v>
      </c>
      <c r="Y6" s="31">
        <f t="shared" si="33"/>
        <v>50</v>
      </c>
      <c r="Z6" s="31">
        <f t="shared" si="33"/>
        <v>50</v>
      </c>
      <c r="AA6" s="31">
        <f t="shared" si="33"/>
        <v>50</v>
      </c>
      <c r="AB6" s="31">
        <f>88.4</f>
        <v>88.4</v>
      </c>
      <c r="AC6" s="31">
        <f t="shared" ref="AC6:AO6" si="34">50</f>
        <v>50</v>
      </c>
      <c r="AD6" s="31">
        <f t="shared" si="34"/>
        <v>50</v>
      </c>
      <c r="AE6" s="31">
        <f t="shared" si="34"/>
        <v>50</v>
      </c>
      <c r="AF6" s="31">
        <f t="shared" si="34"/>
        <v>50</v>
      </c>
      <c r="AG6" s="31">
        <f t="shared" si="34"/>
        <v>50</v>
      </c>
      <c r="AH6" s="31">
        <f t="shared" si="34"/>
        <v>50</v>
      </c>
      <c r="AI6" s="31">
        <f t="shared" si="34"/>
        <v>50</v>
      </c>
      <c r="AJ6" s="31">
        <f t="shared" si="34"/>
        <v>50</v>
      </c>
      <c r="AK6" s="31">
        <f t="shared" si="34"/>
        <v>50</v>
      </c>
      <c r="AL6" s="31">
        <f t="shared" si="34"/>
        <v>50</v>
      </c>
      <c r="AM6" s="31">
        <f t="shared" si="34"/>
        <v>50</v>
      </c>
      <c r="AN6" s="31">
        <f t="shared" si="34"/>
        <v>50</v>
      </c>
      <c r="AO6" s="31">
        <f t="shared" si="34"/>
        <v>50</v>
      </c>
      <c r="AP6" s="31">
        <f>88.4</f>
        <v>88.4</v>
      </c>
      <c r="AQ6" s="31">
        <f t="shared" ref="AQ6:AR6" si="35">50</f>
        <v>50</v>
      </c>
      <c r="AR6" s="31">
        <f t="shared" si="35"/>
        <v>50</v>
      </c>
      <c r="AS6" s="31">
        <f t="shared" ref="AS6:AT6" si="36">88.4</f>
        <v>88.4</v>
      </c>
      <c r="AT6" s="31">
        <f t="shared" si="36"/>
        <v>88.4</v>
      </c>
      <c r="AU6" s="31">
        <f t="shared" ref="AU6:BE6" si="37">50</f>
        <v>50</v>
      </c>
      <c r="AV6" s="31">
        <f t="shared" si="37"/>
        <v>50</v>
      </c>
      <c r="AW6" s="31">
        <f t="shared" si="37"/>
        <v>50</v>
      </c>
      <c r="AX6" s="31">
        <f t="shared" si="37"/>
        <v>50</v>
      </c>
      <c r="AY6" s="31">
        <f t="shared" si="37"/>
        <v>50</v>
      </c>
      <c r="AZ6" s="31">
        <f t="shared" si="37"/>
        <v>50</v>
      </c>
      <c r="BA6" s="31">
        <f t="shared" si="37"/>
        <v>50</v>
      </c>
      <c r="BB6" s="31">
        <f t="shared" si="37"/>
        <v>50</v>
      </c>
      <c r="BC6" s="31">
        <f t="shared" si="37"/>
        <v>50</v>
      </c>
      <c r="BD6" s="31">
        <f t="shared" si="37"/>
        <v>50</v>
      </c>
      <c r="BE6" s="31">
        <f t="shared" si="37"/>
        <v>50</v>
      </c>
      <c r="BF6" s="31">
        <f>88.4</f>
        <v>88.4</v>
      </c>
      <c r="BG6" s="31">
        <f>50</f>
        <v>50</v>
      </c>
      <c r="BH6" s="88">
        <f>88.4</f>
        <v>88.4</v>
      </c>
      <c r="BI6" s="88">
        <f t="shared" ref="BI6:BX6" si="38">50</f>
        <v>50</v>
      </c>
      <c r="BJ6" s="88">
        <f t="shared" si="38"/>
        <v>50</v>
      </c>
      <c r="BK6" s="88">
        <f t="shared" si="38"/>
        <v>50</v>
      </c>
      <c r="BL6" s="88">
        <f t="shared" si="38"/>
        <v>50</v>
      </c>
      <c r="BM6" s="88">
        <f t="shared" si="38"/>
        <v>50</v>
      </c>
      <c r="BN6" s="88">
        <f t="shared" si="38"/>
        <v>50</v>
      </c>
      <c r="BO6" s="88">
        <f t="shared" si="38"/>
        <v>50</v>
      </c>
      <c r="BP6" s="88">
        <f t="shared" si="38"/>
        <v>50</v>
      </c>
      <c r="BQ6" s="88">
        <f t="shared" si="38"/>
        <v>50</v>
      </c>
      <c r="BR6" s="88">
        <f t="shared" si="38"/>
        <v>50</v>
      </c>
      <c r="BS6" s="180">
        <f t="shared" si="38"/>
        <v>50</v>
      </c>
      <c r="BT6" s="88">
        <f t="shared" si="38"/>
        <v>50</v>
      </c>
      <c r="BU6" s="88">
        <f t="shared" si="38"/>
        <v>50</v>
      </c>
      <c r="BV6" s="88">
        <f t="shared" si="38"/>
        <v>50</v>
      </c>
      <c r="BW6" s="88">
        <f t="shared" si="38"/>
        <v>50</v>
      </c>
      <c r="BX6" s="88">
        <f t="shared" si="38"/>
        <v>50</v>
      </c>
      <c r="BY6" s="88">
        <f t="shared" ref="BY6:BZ6" si="39">88.4</f>
        <v>88.4</v>
      </c>
      <c r="BZ6" s="88">
        <f t="shared" si="39"/>
        <v>88.4</v>
      </c>
      <c r="CA6" s="88">
        <f t="shared" ref="CA6:CB6" si="40">50</f>
        <v>50</v>
      </c>
      <c r="CB6" s="88">
        <f t="shared" si="40"/>
        <v>50</v>
      </c>
    </row>
    <row r="7">
      <c r="A7" s="181" t="s">
        <v>402</v>
      </c>
      <c r="B7" s="31">
        <f>784</f>
        <v>784</v>
      </c>
      <c r="C7" s="31">
        <f>769</f>
        <v>769</v>
      </c>
      <c r="D7" s="31">
        <f>682</f>
        <v>682</v>
      </c>
      <c r="E7" s="31">
        <f t="shared" ref="E7:G7" si="41">683</f>
        <v>683</v>
      </c>
      <c r="F7" s="31">
        <f t="shared" si="41"/>
        <v>683</v>
      </c>
      <c r="G7" s="31">
        <f t="shared" si="41"/>
        <v>683</v>
      </c>
      <c r="H7" s="179">
        <f>683</f>
        <v>683</v>
      </c>
      <c r="I7" s="31">
        <f>573</f>
        <v>573</v>
      </c>
      <c r="J7" s="31">
        <f>669</f>
        <v>669</v>
      </c>
      <c r="K7" s="31">
        <f>792</f>
        <v>792</v>
      </c>
      <c r="L7" s="31">
        <f>784</f>
        <v>784</v>
      </c>
      <c r="M7" s="31">
        <f>751</f>
        <v>751</v>
      </c>
      <c r="N7" s="31">
        <f>601</f>
        <v>601</v>
      </c>
      <c r="O7" s="31">
        <f t="shared" ref="O7:P7" si="42">669</f>
        <v>669</v>
      </c>
      <c r="P7" s="31">
        <f t="shared" si="42"/>
        <v>669</v>
      </c>
      <c r="Q7" s="31">
        <f>648</f>
        <v>648</v>
      </c>
      <c r="R7" s="31">
        <f>758</f>
        <v>758</v>
      </c>
      <c r="S7" s="31">
        <f>799</f>
        <v>799</v>
      </c>
      <c r="T7" s="31">
        <f>573</f>
        <v>573</v>
      </c>
      <c r="U7" s="31">
        <f>615</f>
        <v>615</v>
      </c>
      <c r="V7" s="31">
        <f>723</f>
        <v>723</v>
      </c>
      <c r="W7" s="31">
        <f>601</f>
        <v>601</v>
      </c>
      <c r="X7" s="31">
        <f>630</f>
        <v>630</v>
      </c>
      <c r="Y7" s="31">
        <f>684</f>
        <v>684</v>
      </c>
      <c r="Z7" s="31">
        <f>751</f>
        <v>751</v>
      </c>
      <c r="AA7" s="31">
        <f>548</f>
        <v>548</v>
      </c>
      <c r="AB7" s="31">
        <f>769</f>
        <v>769</v>
      </c>
      <c r="AC7" s="31">
        <f>569</f>
        <v>569</v>
      </c>
      <c r="AD7" s="31">
        <f>830</f>
        <v>830</v>
      </c>
      <c r="AE7" s="31">
        <f>734</f>
        <v>734</v>
      </c>
      <c r="AF7" s="31">
        <f>648</f>
        <v>648</v>
      </c>
      <c r="AG7" s="31">
        <f>959</f>
        <v>959</v>
      </c>
      <c r="AH7" s="31">
        <f>751</f>
        <v>751</v>
      </c>
      <c r="AI7" s="31">
        <f>657</f>
        <v>657</v>
      </c>
      <c r="AJ7" s="31">
        <f>789</f>
        <v>789</v>
      </c>
      <c r="AK7" s="31">
        <f>628</f>
        <v>628</v>
      </c>
      <c r="AL7" s="31">
        <f>676</f>
        <v>676</v>
      </c>
      <c r="AM7" s="31">
        <f>615</f>
        <v>615</v>
      </c>
      <c r="AN7" s="31">
        <f>745</f>
        <v>745</v>
      </c>
      <c r="AO7" s="31">
        <f>807</f>
        <v>807</v>
      </c>
      <c r="AP7" s="31">
        <f>751</f>
        <v>751</v>
      </c>
      <c r="AQ7" s="31">
        <f>587</f>
        <v>587</v>
      </c>
      <c r="AR7" s="31">
        <f>710</f>
        <v>710</v>
      </c>
      <c r="AS7" s="31">
        <f>876</f>
        <v>876</v>
      </c>
      <c r="AT7" s="31">
        <f>630</f>
        <v>630</v>
      </c>
      <c r="AU7" s="31">
        <f>876</f>
        <v>876</v>
      </c>
      <c r="AV7" s="31">
        <f>738</f>
        <v>738</v>
      </c>
      <c r="AW7" s="31">
        <f>799</f>
        <v>799</v>
      </c>
      <c r="AX7" s="31">
        <f>815</f>
        <v>815</v>
      </c>
      <c r="AY7" s="31">
        <f>601</f>
        <v>601</v>
      </c>
      <c r="AZ7" s="31">
        <f>594</f>
        <v>594</v>
      </c>
      <c r="BA7" s="31">
        <f>771</f>
        <v>771</v>
      </c>
      <c r="BB7" s="31">
        <f>799</f>
        <v>799</v>
      </c>
      <c r="BC7" s="31">
        <f>922</f>
        <v>922</v>
      </c>
      <c r="BD7" s="31">
        <f>648</f>
        <v>648</v>
      </c>
      <c r="BE7" s="31">
        <f>653</f>
        <v>653</v>
      </c>
      <c r="BF7" s="31">
        <f>799</f>
        <v>799</v>
      </c>
      <c r="BG7" s="31">
        <f>703</f>
        <v>703</v>
      </c>
      <c r="BH7" s="88">
        <f>859</f>
        <v>859</v>
      </c>
      <c r="BI7" s="88">
        <f>729</f>
        <v>729</v>
      </c>
      <c r="BJ7" s="88">
        <f>683</f>
        <v>683</v>
      </c>
      <c r="BK7" s="88">
        <f>655</f>
        <v>655</v>
      </c>
      <c r="BL7" s="88">
        <f>630</f>
        <v>630</v>
      </c>
      <c r="BM7" s="88">
        <f>607</f>
        <v>607</v>
      </c>
      <c r="BN7" s="88">
        <f>628</f>
        <v>628</v>
      </c>
      <c r="BO7" s="88">
        <f>751</f>
        <v>751</v>
      </c>
      <c r="BP7" s="88">
        <f>782</f>
        <v>782</v>
      </c>
      <c r="BQ7" s="88">
        <f>713</f>
        <v>713</v>
      </c>
      <c r="BR7" s="88">
        <f>628</f>
        <v>628</v>
      </c>
      <c r="BS7" s="180">
        <f>751</f>
        <v>751</v>
      </c>
      <c r="BT7" s="88">
        <f>500</f>
        <v>500</v>
      </c>
      <c r="BU7" s="88">
        <f>546</f>
        <v>546</v>
      </c>
      <c r="BV7" s="88">
        <f>708</f>
        <v>708</v>
      </c>
      <c r="BW7" s="88">
        <f>538</f>
        <v>538</v>
      </c>
      <c r="BX7" s="88">
        <f>712</f>
        <v>712</v>
      </c>
      <c r="BY7" s="88">
        <f>763</f>
        <v>763</v>
      </c>
      <c r="BZ7" s="88">
        <f>576</f>
        <v>576</v>
      </c>
      <c r="CA7" s="88">
        <f>696</f>
        <v>696</v>
      </c>
      <c r="CB7" s="88">
        <f>546</f>
        <v>546</v>
      </c>
    </row>
    <row r="8">
      <c r="A8" s="181" t="s">
        <v>403</v>
      </c>
      <c r="B8" s="31">
        <f t="shared" ref="B8:G8" si="43">0</f>
        <v>0</v>
      </c>
      <c r="C8" s="31">
        <f t="shared" si="43"/>
        <v>0</v>
      </c>
      <c r="D8" s="31">
        <f t="shared" si="43"/>
        <v>0</v>
      </c>
      <c r="E8" s="31">
        <f t="shared" si="43"/>
        <v>0</v>
      </c>
      <c r="F8" s="31">
        <f t="shared" si="43"/>
        <v>0</v>
      </c>
      <c r="G8" s="31">
        <f t="shared" si="43"/>
        <v>0</v>
      </c>
      <c r="H8" s="179">
        <f>0</f>
        <v>0</v>
      </c>
      <c r="I8" s="31">
        <f t="shared" ref="I8:BA8" si="44">0</f>
        <v>0</v>
      </c>
      <c r="J8" s="31">
        <f t="shared" si="44"/>
        <v>0</v>
      </c>
      <c r="K8" s="31">
        <f t="shared" si="44"/>
        <v>0</v>
      </c>
      <c r="L8" s="31">
        <f t="shared" si="44"/>
        <v>0</v>
      </c>
      <c r="M8" s="31">
        <f t="shared" si="44"/>
        <v>0</v>
      </c>
      <c r="N8" s="31">
        <f t="shared" si="44"/>
        <v>0</v>
      </c>
      <c r="O8" s="31">
        <f t="shared" si="44"/>
        <v>0</v>
      </c>
      <c r="P8" s="31">
        <f t="shared" si="44"/>
        <v>0</v>
      </c>
      <c r="Q8" s="31">
        <f t="shared" si="44"/>
        <v>0</v>
      </c>
      <c r="R8" s="31">
        <f t="shared" si="44"/>
        <v>0</v>
      </c>
      <c r="S8" s="31">
        <f t="shared" si="44"/>
        <v>0</v>
      </c>
      <c r="T8" s="31">
        <f t="shared" si="44"/>
        <v>0</v>
      </c>
      <c r="U8" s="31">
        <f t="shared" si="44"/>
        <v>0</v>
      </c>
      <c r="V8" s="31">
        <f t="shared" si="44"/>
        <v>0</v>
      </c>
      <c r="W8" s="31">
        <f t="shared" si="44"/>
        <v>0</v>
      </c>
      <c r="X8" s="31">
        <f t="shared" si="44"/>
        <v>0</v>
      </c>
      <c r="Y8" s="31">
        <f t="shared" si="44"/>
        <v>0</v>
      </c>
      <c r="Z8" s="31">
        <f t="shared" si="44"/>
        <v>0</v>
      </c>
      <c r="AA8" s="31">
        <f t="shared" si="44"/>
        <v>0</v>
      </c>
      <c r="AB8" s="31">
        <f t="shared" si="44"/>
        <v>0</v>
      </c>
      <c r="AC8" s="31">
        <f t="shared" si="44"/>
        <v>0</v>
      </c>
      <c r="AD8" s="31">
        <f t="shared" si="44"/>
        <v>0</v>
      </c>
      <c r="AE8" s="31">
        <f t="shared" si="44"/>
        <v>0</v>
      </c>
      <c r="AF8" s="31">
        <f t="shared" si="44"/>
        <v>0</v>
      </c>
      <c r="AG8" s="31">
        <f t="shared" si="44"/>
        <v>0</v>
      </c>
      <c r="AH8" s="31">
        <f t="shared" si="44"/>
        <v>0</v>
      </c>
      <c r="AI8" s="31">
        <f t="shared" si="44"/>
        <v>0</v>
      </c>
      <c r="AJ8" s="31">
        <f t="shared" si="44"/>
        <v>0</v>
      </c>
      <c r="AK8" s="31">
        <f t="shared" si="44"/>
        <v>0</v>
      </c>
      <c r="AL8" s="31">
        <f t="shared" si="44"/>
        <v>0</v>
      </c>
      <c r="AM8" s="31">
        <f t="shared" si="44"/>
        <v>0</v>
      </c>
      <c r="AN8" s="31">
        <f t="shared" si="44"/>
        <v>0</v>
      </c>
      <c r="AO8" s="31">
        <f t="shared" si="44"/>
        <v>0</v>
      </c>
      <c r="AP8" s="31">
        <f t="shared" si="44"/>
        <v>0</v>
      </c>
      <c r="AQ8" s="31">
        <f t="shared" si="44"/>
        <v>0</v>
      </c>
      <c r="AR8" s="31">
        <f t="shared" si="44"/>
        <v>0</v>
      </c>
      <c r="AS8" s="31">
        <f t="shared" si="44"/>
        <v>0</v>
      </c>
      <c r="AT8" s="31">
        <f t="shared" si="44"/>
        <v>0</v>
      </c>
      <c r="AU8" s="31">
        <f t="shared" si="44"/>
        <v>0</v>
      </c>
      <c r="AV8" s="31">
        <f t="shared" si="44"/>
        <v>0</v>
      </c>
      <c r="AW8" s="31">
        <f t="shared" si="44"/>
        <v>0</v>
      </c>
      <c r="AX8" s="31">
        <f t="shared" si="44"/>
        <v>0</v>
      </c>
      <c r="AY8" s="31">
        <f t="shared" si="44"/>
        <v>0</v>
      </c>
      <c r="AZ8" s="31">
        <f t="shared" si="44"/>
        <v>0</v>
      </c>
      <c r="BA8" s="31">
        <f t="shared" si="44"/>
        <v>0</v>
      </c>
      <c r="BB8" s="31">
        <f>30</f>
        <v>30</v>
      </c>
      <c r="BC8" s="31">
        <f t="shared" ref="BC8:BG8" si="45">0</f>
        <v>0</v>
      </c>
      <c r="BD8" s="31">
        <f t="shared" si="45"/>
        <v>0</v>
      </c>
      <c r="BE8" s="31">
        <f t="shared" si="45"/>
        <v>0</v>
      </c>
      <c r="BF8" s="31">
        <f t="shared" si="45"/>
        <v>0</v>
      </c>
      <c r="BG8" s="31">
        <f t="shared" si="45"/>
        <v>0</v>
      </c>
      <c r="BH8" s="88">
        <f t="shared" ref="BH8:CB8" si="46">0</f>
        <v>0</v>
      </c>
      <c r="BI8" s="88">
        <f t="shared" si="46"/>
        <v>0</v>
      </c>
      <c r="BJ8" s="88">
        <f t="shared" si="46"/>
        <v>0</v>
      </c>
      <c r="BK8" s="88">
        <f t="shared" si="46"/>
        <v>0</v>
      </c>
      <c r="BL8" s="88">
        <f t="shared" si="46"/>
        <v>0</v>
      </c>
      <c r="BM8" s="88">
        <f t="shared" si="46"/>
        <v>0</v>
      </c>
      <c r="BN8" s="88">
        <f t="shared" si="46"/>
        <v>0</v>
      </c>
      <c r="BO8" s="88">
        <f t="shared" si="46"/>
        <v>0</v>
      </c>
      <c r="BP8" s="88">
        <f t="shared" si="46"/>
        <v>0</v>
      </c>
      <c r="BQ8" s="88">
        <f t="shared" si="46"/>
        <v>0</v>
      </c>
      <c r="BR8" s="88">
        <f t="shared" si="46"/>
        <v>0</v>
      </c>
      <c r="BS8" s="180">
        <f t="shared" si="46"/>
        <v>0</v>
      </c>
      <c r="BT8" s="88">
        <f t="shared" si="46"/>
        <v>0</v>
      </c>
      <c r="BU8" s="88">
        <f t="shared" si="46"/>
        <v>0</v>
      </c>
      <c r="BV8" s="88">
        <f t="shared" si="46"/>
        <v>0</v>
      </c>
      <c r="BW8" s="88">
        <f t="shared" si="46"/>
        <v>0</v>
      </c>
      <c r="BX8" s="88">
        <f t="shared" si="46"/>
        <v>0</v>
      </c>
      <c r="BY8" s="88">
        <f t="shared" si="46"/>
        <v>0</v>
      </c>
      <c r="BZ8" s="88">
        <f t="shared" si="46"/>
        <v>0</v>
      </c>
      <c r="CA8" s="88">
        <f t="shared" si="46"/>
        <v>0</v>
      </c>
      <c r="CB8" s="88">
        <f t="shared" si="46"/>
        <v>0</v>
      </c>
    </row>
    <row r="9">
      <c r="A9" s="181" t="s">
        <v>404</v>
      </c>
      <c r="B9" s="31">
        <f t="shared" ref="B9:G9" si="47">100</f>
        <v>100</v>
      </c>
      <c r="C9" s="31">
        <f t="shared" si="47"/>
        <v>100</v>
      </c>
      <c r="D9" s="31">
        <f t="shared" si="47"/>
        <v>100</v>
      </c>
      <c r="E9" s="31">
        <f t="shared" si="47"/>
        <v>100</v>
      </c>
      <c r="F9" s="31">
        <f t="shared" si="47"/>
        <v>100</v>
      </c>
      <c r="G9" s="31">
        <f t="shared" si="47"/>
        <v>100</v>
      </c>
      <c r="H9" s="179">
        <f>100</f>
        <v>100</v>
      </c>
      <c r="I9" s="31">
        <f t="shared" ref="I9:J9" si="48">100</f>
        <v>100</v>
      </c>
      <c r="J9" s="31">
        <f t="shared" si="48"/>
        <v>100</v>
      </c>
      <c r="K9" s="31">
        <f>126.7</f>
        <v>126.7</v>
      </c>
      <c r="L9" s="31">
        <f t="shared" ref="L9:N9" si="49">100</f>
        <v>100</v>
      </c>
      <c r="M9" s="31">
        <f t="shared" si="49"/>
        <v>100</v>
      </c>
      <c r="N9" s="31">
        <f t="shared" si="49"/>
        <v>100</v>
      </c>
      <c r="O9" s="31">
        <f>132</f>
        <v>132</v>
      </c>
      <c r="P9" s="31">
        <f t="shared" ref="P9:AD9" si="50">100</f>
        <v>100</v>
      </c>
      <c r="Q9" s="31">
        <f t="shared" si="50"/>
        <v>100</v>
      </c>
      <c r="R9" s="31">
        <f t="shared" si="50"/>
        <v>100</v>
      </c>
      <c r="S9" s="31">
        <f t="shared" si="50"/>
        <v>100</v>
      </c>
      <c r="T9" s="31">
        <f t="shared" si="50"/>
        <v>100</v>
      </c>
      <c r="U9" s="31">
        <f t="shared" si="50"/>
        <v>100</v>
      </c>
      <c r="V9" s="31">
        <f t="shared" si="50"/>
        <v>100</v>
      </c>
      <c r="W9" s="31">
        <f t="shared" si="50"/>
        <v>100</v>
      </c>
      <c r="X9" s="31">
        <f t="shared" si="50"/>
        <v>100</v>
      </c>
      <c r="Y9" s="31">
        <f t="shared" si="50"/>
        <v>100</v>
      </c>
      <c r="Z9" s="31">
        <f t="shared" si="50"/>
        <v>100</v>
      </c>
      <c r="AA9" s="31">
        <f t="shared" si="50"/>
        <v>100</v>
      </c>
      <c r="AB9" s="31">
        <f t="shared" si="50"/>
        <v>100</v>
      </c>
      <c r="AC9" s="31">
        <f t="shared" si="50"/>
        <v>100</v>
      </c>
      <c r="AD9" s="31">
        <f t="shared" si="50"/>
        <v>100</v>
      </c>
      <c r="AE9" s="31">
        <f>126.7</f>
        <v>126.7</v>
      </c>
      <c r="AF9" s="31">
        <f t="shared" ref="AF9:AI9" si="51">100</f>
        <v>100</v>
      </c>
      <c r="AG9" s="31">
        <f t="shared" si="51"/>
        <v>100</v>
      </c>
      <c r="AH9" s="31">
        <f t="shared" si="51"/>
        <v>100</v>
      </c>
      <c r="AI9" s="31">
        <f t="shared" si="51"/>
        <v>100</v>
      </c>
      <c r="AJ9" s="31">
        <f>132</f>
        <v>132</v>
      </c>
      <c r="AK9" s="31">
        <f t="shared" ref="AK9:AZ9" si="52">100</f>
        <v>100</v>
      </c>
      <c r="AL9" s="31">
        <f t="shared" si="52"/>
        <v>100</v>
      </c>
      <c r="AM9" s="31">
        <f t="shared" si="52"/>
        <v>100</v>
      </c>
      <c r="AN9" s="31">
        <f t="shared" si="52"/>
        <v>100</v>
      </c>
      <c r="AO9" s="31">
        <f t="shared" si="52"/>
        <v>100</v>
      </c>
      <c r="AP9" s="31">
        <f t="shared" si="52"/>
        <v>100</v>
      </c>
      <c r="AQ9" s="31">
        <f t="shared" si="52"/>
        <v>100</v>
      </c>
      <c r="AR9" s="31">
        <f t="shared" si="52"/>
        <v>100</v>
      </c>
      <c r="AS9" s="31">
        <f t="shared" si="52"/>
        <v>100</v>
      </c>
      <c r="AT9" s="31">
        <f t="shared" si="52"/>
        <v>100</v>
      </c>
      <c r="AU9" s="31">
        <f t="shared" si="52"/>
        <v>100</v>
      </c>
      <c r="AV9" s="31">
        <f t="shared" si="52"/>
        <v>100</v>
      </c>
      <c r="AW9" s="31">
        <f t="shared" si="52"/>
        <v>100</v>
      </c>
      <c r="AX9" s="31">
        <f t="shared" si="52"/>
        <v>100</v>
      </c>
      <c r="AY9" s="31">
        <f t="shared" si="52"/>
        <v>100</v>
      </c>
      <c r="AZ9" s="31">
        <f t="shared" si="52"/>
        <v>100</v>
      </c>
      <c r="BA9" s="31">
        <f>126.7</f>
        <v>126.7</v>
      </c>
      <c r="BB9" s="31">
        <f t="shared" ref="BB9:BD9" si="53">100</f>
        <v>100</v>
      </c>
      <c r="BC9" s="31">
        <f t="shared" si="53"/>
        <v>100</v>
      </c>
      <c r="BD9" s="31">
        <f t="shared" si="53"/>
        <v>100</v>
      </c>
      <c r="BE9" s="31">
        <f>132</f>
        <v>132</v>
      </c>
      <c r="BF9" s="31">
        <f t="shared" ref="BF9:BG9" si="54">100</f>
        <v>100</v>
      </c>
      <c r="BG9" s="31">
        <f t="shared" si="54"/>
        <v>100</v>
      </c>
      <c r="BH9" s="88">
        <f t="shared" ref="BH9:CB9" si="55">100</f>
        <v>100</v>
      </c>
      <c r="BI9" s="88">
        <f t="shared" si="55"/>
        <v>100</v>
      </c>
      <c r="BJ9" s="88">
        <f t="shared" si="55"/>
        <v>100</v>
      </c>
      <c r="BK9" s="88">
        <f t="shared" si="55"/>
        <v>100</v>
      </c>
      <c r="BL9" s="88">
        <f t="shared" si="55"/>
        <v>100</v>
      </c>
      <c r="BM9" s="88">
        <f t="shared" si="55"/>
        <v>100</v>
      </c>
      <c r="BN9" s="88">
        <f t="shared" si="55"/>
        <v>100</v>
      </c>
      <c r="BO9" s="88">
        <f t="shared" si="55"/>
        <v>100</v>
      </c>
      <c r="BP9" s="88">
        <f t="shared" si="55"/>
        <v>100</v>
      </c>
      <c r="BQ9" s="88">
        <f t="shared" si="55"/>
        <v>100</v>
      </c>
      <c r="BR9" s="88">
        <f t="shared" si="55"/>
        <v>100</v>
      </c>
      <c r="BS9" s="180">
        <f t="shared" si="55"/>
        <v>100</v>
      </c>
      <c r="BT9" s="88">
        <f t="shared" si="55"/>
        <v>100</v>
      </c>
      <c r="BU9" s="88">
        <f t="shared" si="55"/>
        <v>100</v>
      </c>
      <c r="BV9" s="88">
        <f t="shared" si="55"/>
        <v>100</v>
      </c>
      <c r="BW9" s="88">
        <f t="shared" si="55"/>
        <v>100</v>
      </c>
      <c r="BX9" s="88">
        <f t="shared" si="55"/>
        <v>100</v>
      </c>
      <c r="BY9" s="88">
        <f t="shared" si="55"/>
        <v>100</v>
      </c>
      <c r="BZ9" s="88">
        <f t="shared" si="55"/>
        <v>100</v>
      </c>
      <c r="CA9" s="88">
        <f t="shared" si="55"/>
        <v>100</v>
      </c>
      <c r="CB9" s="88">
        <f t="shared" si="55"/>
        <v>100</v>
      </c>
    </row>
    <row r="10">
      <c r="A10" s="181" t="s">
        <v>405</v>
      </c>
      <c r="B10" s="31">
        <f t="shared" ref="B10:G10" si="56">0</f>
        <v>0</v>
      </c>
      <c r="C10" s="31">
        <f t="shared" si="56"/>
        <v>0</v>
      </c>
      <c r="D10" s="31">
        <f t="shared" si="56"/>
        <v>0</v>
      </c>
      <c r="E10" s="31">
        <f t="shared" si="56"/>
        <v>0</v>
      </c>
      <c r="F10" s="31">
        <f t="shared" si="56"/>
        <v>0</v>
      </c>
      <c r="G10" s="31">
        <f t="shared" si="56"/>
        <v>0</v>
      </c>
      <c r="H10" s="179">
        <f>0</f>
        <v>0</v>
      </c>
      <c r="I10" s="31">
        <f>96</f>
        <v>96</v>
      </c>
      <c r="J10" s="31">
        <f t="shared" ref="J10:O10" si="57">0</f>
        <v>0</v>
      </c>
      <c r="K10" s="31">
        <f t="shared" si="57"/>
        <v>0</v>
      </c>
      <c r="L10" s="31">
        <f t="shared" si="57"/>
        <v>0</v>
      </c>
      <c r="M10" s="31">
        <f t="shared" si="57"/>
        <v>0</v>
      </c>
      <c r="N10" s="31">
        <f t="shared" si="57"/>
        <v>0</v>
      </c>
      <c r="O10" s="31">
        <f t="shared" si="57"/>
        <v>0</v>
      </c>
      <c r="P10" s="31">
        <f>96</f>
        <v>96</v>
      </c>
      <c r="Q10" s="31">
        <f t="shared" ref="Q10:AM10" si="58">0</f>
        <v>0</v>
      </c>
      <c r="R10" s="31">
        <f t="shared" si="58"/>
        <v>0</v>
      </c>
      <c r="S10" s="31">
        <f t="shared" si="58"/>
        <v>0</v>
      </c>
      <c r="T10" s="31">
        <f t="shared" si="58"/>
        <v>0</v>
      </c>
      <c r="U10" s="31">
        <f t="shared" si="58"/>
        <v>0</v>
      </c>
      <c r="V10" s="31">
        <f t="shared" si="58"/>
        <v>0</v>
      </c>
      <c r="W10" s="31">
        <f t="shared" si="58"/>
        <v>0</v>
      </c>
      <c r="X10" s="31">
        <f t="shared" si="58"/>
        <v>0</v>
      </c>
      <c r="Y10" s="31">
        <f t="shared" si="58"/>
        <v>0</v>
      </c>
      <c r="Z10" s="31">
        <f t="shared" si="58"/>
        <v>0</v>
      </c>
      <c r="AA10" s="31">
        <f t="shared" si="58"/>
        <v>0</v>
      </c>
      <c r="AB10" s="31">
        <f t="shared" si="58"/>
        <v>0</v>
      </c>
      <c r="AC10" s="31">
        <f t="shared" si="58"/>
        <v>0</v>
      </c>
      <c r="AD10" s="31">
        <f t="shared" si="58"/>
        <v>0</v>
      </c>
      <c r="AE10" s="31">
        <f t="shared" si="58"/>
        <v>0</v>
      </c>
      <c r="AF10" s="31">
        <f t="shared" si="58"/>
        <v>0</v>
      </c>
      <c r="AG10" s="31">
        <f t="shared" si="58"/>
        <v>0</v>
      </c>
      <c r="AH10" s="31">
        <f t="shared" si="58"/>
        <v>0</v>
      </c>
      <c r="AI10" s="31">
        <f t="shared" si="58"/>
        <v>0</v>
      </c>
      <c r="AJ10" s="31">
        <f t="shared" si="58"/>
        <v>0</v>
      </c>
      <c r="AK10" s="31">
        <f t="shared" si="58"/>
        <v>0</v>
      </c>
      <c r="AL10" s="31">
        <f t="shared" si="58"/>
        <v>0</v>
      </c>
      <c r="AM10" s="31">
        <f t="shared" si="58"/>
        <v>0</v>
      </c>
      <c r="AN10" s="31">
        <f>96</f>
        <v>96</v>
      </c>
      <c r="AO10" s="31">
        <f>115</f>
        <v>115</v>
      </c>
      <c r="AP10" s="31">
        <f t="shared" ref="AP10:BG10" si="59">0</f>
        <v>0</v>
      </c>
      <c r="AQ10" s="31">
        <f t="shared" si="59"/>
        <v>0</v>
      </c>
      <c r="AR10" s="31">
        <f t="shared" si="59"/>
        <v>0</v>
      </c>
      <c r="AS10" s="31">
        <f t="shared" si="59"/>
        <v>0</v>
      </c>
      <c r="AT10" s="31">
        <f t="shared" si="59"/>
        <v>0</v>
      </c>
      <c r="AU10" s="31">
        <f t="shared" si="59"/>
        <v>0</v>
      </c>
      <c r="AV10" s="31">
        <f t="shared" si="59"/>
        <v>0</v>
      </c>
      <c r="AW10" s="31">
        <f t="shared" si="59"/>
        <v>0</v>
      </c>
      <c r="AX10" s="31">
        <f t="shared" si="59"/>
        <v>0</v>
      </c>
      <c r="AY10" s="31">
        <f t="shared" si="59"/>
        <v>0</v>
      </c>
      <c r="AZ10" s="31">
        <f t="shared" si="59"/>
        <v>0</v>
      </c>
      <c r="BA10" s="31">
        <f t="shared" si="59"/>
        <v>0</v>
      </c>
      <c r="BB10" s="31">
        <f t="shared" si="59"/>
        <v>0</v>
      </c>
      <c r="BC10" s="31">
        <f t="shared" si="59"/>
        <v>0</v>
      </c>
      <c r="BD10" s="31">
        <f t="shared" si="59"/>
        <v>0</v>
      </c>
      <c r="BE10" s="31">
        <f t="shared" si="59"/>
        <v>0</v>
      </c>
      <c r="BF10" s="31">
        <f t="shared" si="59"/>
        <v>0</v>
      </c>
      <c r="BG10" s="31">
        <f t="shared" si="59"/>
        <v>0</v>
      </c>
      <c r="BH10" s="88">
        <f t="shared" ref="BH10:BK10" si="60">0</f>
        <v>0</v>
      </c>
      <c r="BI10" s="88">
        <f t="shared" si="60"/>
        <v>0</v>
      </c>
      <c r="BJ10" s="88">
        <f t="shared" si="60"/>
        <v>0</v>
      </c>
      <c r="BK10" s="88">
        <f t="shared" si="60"/>
        <v>0</v>
      </c>
      <c r="BL10" s="88">
        <f>115</f>
        <v>115</v>
      </c>
      <c r="BM10" s="88">
        <f t="shared" ref="BM10:BR10" si="61">0</f>
        <v>0</v>
      </c>
      <c r="BN10" s="88">
        <f t="shared" si="61"/>
        <v>0</v>
      </c>
      <c r="BO10" s="88">
        <f t="shared" si="61"/>
        <v>0</v>
      </c>
      <c r="BP10" s="88">
        <f t="shared" si="61"/>
        <v>0</v>
      </c>
      <c r="BQ10" s="88">
        <f t="shared" si="61"/>
        <v>0</v>
      </c>
      <c r="BR10" s="88">
        <f t="shared" si="61"/>
        <v>0</v>
      </c>
      <c r="BS10" s="180">
        <f>96</f>
        <v>96</v>
      </c>
      <c r="BT10" s="88">
        <f t="shared" ref="BT10:CB10" si="62">0</f>
        <v>0</v>
      </c>
      <c r="BU10" s="88">
        <f t="shared" si="62"/>
        <v>0</v>
      </c>
      <c r="BV10" s="88">
        <f t="shared" si="62"/>
        <v>0</v>
      </c>
      <c r="BW10" s="88">
        <f t="shared" si="62"/>
        <v>0</v>
      </c>
      <c r="BX10" s="88">
        <f t="shared" si="62"/>
        <v>0</v>
      </c>
      <c r="BY10" s="88">
        <f t="shared" si="62"/>
        <v>0</v>
      </c>
      <c r="BZ10" s="88">
        <f t="shared" si="62"/>
        <v>0</v>
      </c>
      <c r="CA10" s="88">
        <f t="shared" si="62"/>
        <v>0</v>
      </c>
      <c r="CB10" s="88">
        <f t="shared" si="62"/>
        <v>0</v>
      </c>
    </row>
    <row r="11">
      <c r="A11" s="181" t="s">
        <v>406</v>
      </c>
      <c r="B11" s="31">
        <f>12858</f>
        <v>12858</v>
      </c>
      <c r="C11" s="31">
        <f>14695</f>
        <v>14695</v>
      </c>
      <c r="D11" s="31">
        <f t="shared" ref="D11:G11" si="63">10875</f>
        <v>10875</v>
      </c>
      <c r="E11" s="31">
        <f t="shared" si="63"/>
        <v>10875</v>
      </c>
      <c r="F11" s="31">
        <f t="shared" si="63"/>
        <v>10875</v>
      </c>
      <c r="G11" s="31">
        <f t="shared" si="63"/>
        <v>10875</v>
      </c>
      <c r="H11" s="179">
        <f>10875</f>
        <v>10875</v>
      </c>
      <c r="I11" s="31">
        <f>9570</f>
        <v>9570</v>
      </c>
      <c r="J11" s="31">
        <f>9787</f>
        <v>9787</v>
      </c>
      <c r="K11" s="31">
        <f>11636</f>
        <v>11636</v>
      </c>
      <c r="L11" s="31">
        <f>12981</f>
        <v>12981</v>
      </c>
      <c r="M11" s="31">
        <f>11962</f>
        <v>11962</v>
      </c>
      <c r="N11" s="31">
        <f>9461</f>
        <v>9461</v>
      </c>
      <c r="O11" s="31">
        <f>10531</f>
        <v>10531</v>
      </c>
      <c r="P11" s="31">
        <f>10875</f>
        <v>10875</v>
      </c>
      <c r="Q11" s="31">
        <f>13050</f>
        <v>13050</v>
      </c>
      <c r="R11" s="31">
        <f>10222</f>
        <v>10222</v>
      </c>
      <c r="S11" s="31">
        <f>12736</f>
        <v>12736</v>
      </c>
      <c r="T11" s="31">
        <f>9787</f>
        <v>9787</v>
      </c>
      <c r="U11" s="31">
        <f>10287</f>
        <v>10287</v>
      </c>
      <c r="V11" s="31">
        <f>12397</f>
        <v>12397</v>
      </c>
      <c r="W11" s="31">
        <f>9787</f>
        <v>9787</v>
      </c>
      <c r="X11" s="31">
        <f>10850</f>
        <v>10850</v>
      </c>
      <c r="Y11" s="31">
        <f>10657</f>
        <v>10657</v>
      </c>
      <c r="Z11" s="31">
        <f>12289</f>
        <v>12289</v>
      </c>
      <c r="AA11" s="31">
        <f>14450</f>
        <v>14450</v>
      </c>
      <c r="AB11" s="31">
        <f>13715</f>
        <v>13715</v>
      </c>
      <c r="AC11" s="31">
        <f>10372</f>
        <v>10372</v>
      </c>
      <c r="AD11" s="31">
        <f>12993</f>
        <v>12993</v>
      </c>
      <c r="AE11" s="31">
        <f>10657</f>
        <v>10657</v>
      </c>
      <c r="AF11" s="31">
        <f>9570</f>
        <v>9570</v>
      </c>
      <c r="AG11" s="31">
        <f>12858</f>
        <v>12858</v>
      </c>
      <c r="AH11" s="31">
        <f>10331</f>
        <v>10331</v>
      </c>
      <c r="AI11" s="31">
        <f>13471</f>
        <v>13471</v>
      </c>
      <c r="AJ11" s="31">
        <f>12907</f>
        <v>12907</v>
      </c>
      <c r="AK11" s="31">
        <f>9570</f>
        <v>9570</v>
      </c>
      <c r="AL11" s="31">
        <f>10899</f>
        <v>10899</v>
      </c>
      <c r="AM11" s="31">
        <f>10164</f>
        <v>10164</v>
      </c>
      <c r="AN11" s="31">
        <f>11854</f>
        <v>11854</v>
      </c>
      <c r="AO11" s="31">
        <f>13348</f>
        <v>13348</v>
      </c>
      <c r="AP11" s="31">
        <f>13226</f>
        <v>13226</v>
      </c>
      <c r="AQ11" s="31">
        <f>9352</f>
        <v>9352</v>
      </c>
      <c r="AR11" s="31">
        <f>12289</f>
        <v>12289</v>
      </c>
      <c r="AS11" s="31">
        <f>15552</f>
        <v>15552</v>
      </c>
      <c r="AT11" s="31">
        <f>9797</f>
        <v>9797</v>
      </c>
      <c r="AU11" s="31">
        <f>13226</f>
        <v>13226</v>
      </c>
      <c r="AV11" s="31">
        <f>14695</f>
        <v>14695</v>
      </c>
      <c r="AW11" s="31">
        <f>11201</f>
        <v>11201</v>
      </c>
      <c r="AX11" s="31">
        <f>13103</f>
        <v>13103</v>
      </c>
      <c r="AY11" s="31">
        <f>9570</f>
        <v>9570</v>
      </c>
      <c r="AZ11" s="31">
        <f>9189</f>
        <v>9189</v>
      </c>
      <c r="BA11" s="31">
        <f>12397</f>
        <v>12397</v>
      </c>
      <c r="BB11" s="31">
        <f>12071</f>
        <v>12071</v>
      </c>
      <c r="BC11" s="31">
        <f>12368</f>
        <v>12368</v>
      </c>
      <c r="BD11" s="31">
        <f>10984</f>
        <v>10984</v>
      </c>
      <c r="BE11" s="31">
        <f>10409</f>
        <v>10409</v>
      </c>
      <c r="BF11" s="31">
        <f>13103</f>
        <v>13103</v>
      </c>
      <c r="BG11" s="31">
        <f>9244</f>
        <v>9244</v>
      </c>
      <c r="BH11" s="88">
        <f>12491</f>
        <v>12491</v>
      </c>
      <c r="BI11" s="88">
        <f>15185</f>
        <v>15185</v>
      </c>
      <c r="BJ11" s="88">
        <f>10875</f>
        <v>10875</v>
      </c>
      <c r="BK11" s="88">
        <f>11092</f>
        <v>11092</v>
      </c>
      <c r="BL11" s="88">
        <f>10360</f>
        <v>10360</v>
      </c>
      <c r="BM11" s="88">
        <f>10164</f>
        <v>10164</v>
      </c>
      <c r="BN11" s="88">
        <f>9570</f>
        <v>9570</v>
      </c>
      <c r="BO11" s="88">
        <f>12289</f>
        <v>12289</v>
      </c>
      <c r="BP11" s="88">
        <f>13348</f>
        <v>13348</v>
      </c>
      <c r="BQ11" s="88">
        <f>12506</f>
        <v>12506</v>
      </c>
      <c r="BR11" s="88">
        <f>15675</f>
        <v>15675</v>
      </c>
      <c r="BS11" s="180">
        <f>11962</f>
        <v>11962</v>
      </c>
      <c r="BT11" s="88">
        <f>13348</f>
        <v>13348</v>
      </c>
      <c r="BU11" s="88">
        <f>12180</f>
        <v>12180</v>
      </c>
      <c r="BV11" s="88">
        <f>12071</f>
        <v>12071</v>
      </c>
      <c r="BW11" s="88">
        <f>11021</f>
        <v>11021</v>
      </c>
      <c r="BX11" s="88">
        <f>12397</f>
        <v>12397</v>
      </c>
      <c r="BY11" s="88">
        <f>13593</f>
        <v>13593</v>
      </c>
      <c r="BZ11" s="88">
        <f>14695</f>
        <v>14695</v>
      </c>
      <c r="CA11" s="88">
        <f>15307</f>
        <v>15307</v>
      </c>
      <c r="CB11" s="88">
        <f>10766</f>
        <v>10766</v>
      </c>
    </row>
    <row r="12">
      <c r="A12" s="181" t="s">
        <v>407</v>
      </c>
      <c r="B12" s="31">
        <f t="shared" ref="B12:G12" si="64">0</f>
        <v>0</v>
      </c>
      <c r="C12" s="31">
        <f t="shared" si="64"/>
        <v>0</v>
      </c>
      <c r="D12" s="31">
        <f t="shared" si="64"/>
        <v>0</v>
      </c>
      <c r="E12" s="31">
        <f t="shared" si="64"/>
        <v>0</v>
      </c>
      <c r="F12" s="31">
        <f t="shared" si="64"/>
        <v>0</v>
      </c>
      <c r="G12" s="31">
        <f t="shared" si="64"/>
        <v>0</v>
      </c>
      <c r="H12" s="179">
        <f t="shared" ref="H12:H63" si="72">0</f>
        <v>0</v>
      </c>
      <c r="I12" s="31">
        <f t="shared" ref="I12:I63" si="73">0</f>
        <v>0</v>
      </c>
      <c r="J12" s="31">
        <f>24</f>
        <v>24</v>
      </c>
      <c r="K12" s="31">
        <f t="shared" ref="K12:U12" si="65">0</f>
        <v>0</v>
      </c>
      <c r="L12" s="31">
        <f t="shared" si="65"/>
        <v>0</v>
      </c>
      <c r="M12" s="31">
        <f t="shared" si="65"/>
        <v>0</v>
      </c>
      <c r="N12" s="31">
        <f t="shared" si="65"/>
        <v>0</v>
      </c>
      <c r="O12" s="31">
        <f t="shared" si="65"/>
        <v>0</v>
      </c>
      <c r="P12" s="31">
        <f t="shared" si="65"/>
        <v>0</v>
      </c>
      <c r="Q12" s="31">
        <f t="shared" si="65"/>
        <v>0</v>
      </c>
      <c r="R12" s="31">
        <f t="shared" si="65"/>
        <v>0</v>
      </c>
      <c r="S12" s="31">
        <f t="shared" si="65"/>
        <v>0</v>
      </c>
      <c r="T12" s="31">
        <f t="shared" si="65"/>
        <v>0</v>
      </c>
      <c r="U12" s="31">
        <f t="shared" si="65"/>
        <v>0</v>
      </c>
      <c r="V12" s="31">
        <f>24</f>
        <v>24</v>
      </c>
      <c r="W12" s="31">
        <f t="shared" ref="W12:Y12" si="66">0</f>
        <v>0</v>
      </c>
      <c r="X12" s="31">
        <f t="shared" si="66"/>
        <v>0</v>
      </c>
      <c r="Y12" s="31">
        <f t="shared" si="66"/>
        <v>0</v>
      </c>
      <c r="Z12" s="31">
        <f>24</f>
        <v>24</v>
      </c>
      <c r="AA12" s="31">
        <f t="shared" ref="AA12:BG12" si="67">0</f>
        <v>0</v>
      </c>
      <c r="AB12" s="31">
        <f t="shared" si="67"/>
        <v>0</v>
      </c>
      <c r="AC12" s="31">
        <f t="shared" si="67"/>
        <v>0</v>
      </c>
      <c r="AD12" s="31">
        <f t="shared" si="67"/>
        <v>0</v>
      </c>
      <c r="AE12" s="31">
        <f t="shared" si="67"/>
        <v>0</v>
      </c>
      <c r="AF12" s="31">
        <f t="shared" si="67"/>
        <v>0</v>
      </c>
      <c r="AG12" s="31">
        <f t="shared" si="67"/>
        <v>0</v>
      </c>
      <c r="AH12" s="31">
        <f t="shared" si="67"/>
        <v>0</v>
      </c>
      <c r="AI12" s="31">
        <f t="shared" si="67"/>
        <v>0</v>
      </c>
      <c r="AJ12" s="31">
        <f t="shared" si="67"/>
        <v>0</v>
      </c>
      <c r="AK12" s="31">
        <f t="shared" si="67"/>
        <v>0</v>
      </c>
      <c r="AL12" s="31">
        <f t="shared" si="67"/>
        <v>0</v>
      </c>
      <c r="AM12" s="31">
        <f t="shared" si="67"/>
        <v>0</v>
      </c>
      <c r="AN12" s="31">
        <f t="shared" si="67"/>
        <v>0</v>
      </c>
      <c r="AO12" s="31">
        <f t="shared" si="67"/>
        <v>0</v>
      </c>
      <c r="AP12" s="31">
        <f t="shared" si="67"/>
        <v>0</v>
      </c>
      <c r="AQ12" s="31">
        <f t="shared" si="67"/>
        <v>0</v>
      </c>
      <c r="AR12" s="31">
        <f t="shared" si="67"/>
        <v>0</v>
      </c>
      <c r="AS12" s="31">
        <f t="shared" si="67"/>
        <v>0</v>
      </c>
      <c r="AT12" s="31">
        <f t="shared" si="67"/>
        <v>0</v>
      </c>
      <c r="AU12" s="31">
        <f t="shared" si="67"/>
        <v>0</v>
      </c>
      <c r="AV12" s="31">
        <f t="shared" si="67"/>
        <v>0</v>
      </c>
      <c r="AW12" s="31">
        <f t="shared" si="67"/>
        <v>0</v>
      </c>
      <c r="AX12" s="31">
        <f t="shared" si="67"/>
        <v>0</v>
      </c>
      <c r="AY12" s="31">
        <f t="shared" si="67"/>
        <v>0</v>
      </c>
      <c r="AZ12" s="31">
        <f t="shared" si="67"/>
        <v>0</v>
      </c>
      <c r="BA12" s="31">
        <f t="shared" si="67"/>
        <v>0</v>
      </c>
      <c r="BB12" s="31">
        <f t="shared" si="67"/>
        <v>0</v>
      </c>
      <c r="BC12" s="31">
        <f t="shared" si="67"/>
        <v>0</v>
      </c>
      <c r="BD12" s="31">
        <f t="shared" si="67"/>
        <v>0</v>
      </c>
      <c r="BE12" s="31">
        <f t="shared" si="67"/>
        <v>0</v>
      </c>
      <c r="BF12" s="31">
        <f t="shared" si="67"/>
        <v>0</v>
      </c>
      <c r="BG12" s="31">
        <f t="shared" si="67"/>
        <v>0</v>
      </c>
      <c r="BH12" s="88">
        <f t="shared" ref="BH12:BH63" si="79">0</f>
        <v>0</v>
      </c>
      <c r="BI12" s="88">
        <f>28.8</f>
        <v>28.8</v>
      </c>
      <c r="BJ12" s="88">
        <f t="shared" ref="BJ12:BK12" si="68">24</f>
        <v>24</v>
      </c>
      <c r="BK12" s="88">
        <f t="shared" si="68"/>
        <v>24</v>
      </c>
      <c r="BL12" s="88">
        <f t="shared" ref="BL12:BN12" si="69">0</f>
        <v>0</v>
      </c>
      <c r="BM12" s="88">
        <f t="shared" si="69"/>
        <v>0</v>
      </c>
      <c r="BN12" s="88">
        <f t="shared" si="69"/>
        <v>0</v>
      </c>
      <c r="BO12" s="88">
        <f>24</f>
        <v>24</v>
      </c>
      <c r="BP12" s="88">
        <f>0</f>
        <v>0</v>
      </c>
      <c r="BQ12" s="88">
        <f>24</f>
        <v>24</v>
      </c>
      <c r="BR12" s="88">
        <f>28.8 + IF(INDIRECT(ADDRESS(ROW() - 10, COLUMN())) = "C0", 0, 20)</f>
        <v>48.8</v>
      </c>
      <c r="BS12" s="180">
        <f>0</f>
        <v>0</v>
      </c>
      <c r="BT12" s="88">
        <f>28.8</f>
        <v>28.8</v>
      </c>
      <c r="BU12" s="88">
        <f>24</f>
        <v>24</v>
      </c>
      <c r="BV12" s="88">
        <f t="shared" ref="BV12:CB12" si="70">0</f>
        <v>0</v>
      </c>
      <c r="BW12" s="88">
        <f t="shared" si="70"/>
        <v>0</v>
      </c>
      <c r="BX12" s="88">
        <f t="shared" si="70"/>
        <v>0</v>
      </c>
      <c r="BY12" s="88">
        <f t="shared" si="70"/>
        <v>0</v>
      </c>
      <c r="BZ12" s="88">
        <f t="shared" si="70"/>
        <v>0</v>
      </c>
      <c r="CA12" s="88">
        <f t="shared" si="70"/>
        <v>0</v>
      </c>
      <c r="CB12" s="88">
        <f t="shared" si="70"/>
        <v>0</v>
      </c>
    </row>
    <row r="13">
      <c r="A13" s="181" t="s">
        <v>189</v>
      </c>
      <c r="B13" s="31">
        <f t="shared" ref="B13:G13" si="71">0</f>
        <v>0</v>
      </c>
      <c r="C13" s="31">
        <f t="shared" si="71"/>
        <v>0</v>
      </c>
      <c r="D13" s="31">
        <f t="shared" si="71"/>
        <v>0</v>
      </c>
      <c r="E13" s="31">
        <f t="shared" si="71"/>
        <v>0</v>
      </c>
      <c r="F13" s="31">
        <f t="shared" si="71"/>
        <v>0</v>
      </c>
      <c r="G13" s="31">
        <f t="shared" si="71"/>
        <v>0</v>
      </c>
      <c r="H13" s="179">
        <f t="shared" si="72"/>
        <v>0</v>
      </c>
      <c r="I13" s="31">
        <f t="shared" si="73"/>
        <v>0</v>
      </c>
      <c r="J13" s="31">
        <f t="shared" ref="J13:S13" si="74">0</f>
        <v>0</v>
      </c>
      <c r="K13" s="31">
        <f t="shared" si="74"/>
        <v>0</v>
      </c>
      <c r="L13" s="31">
        <f t="shared" si="74"/>
        <v>0</v>
      </c>
      <c r="M13" s="31">
        <f t="shared" si="74"/>
        <v>0</v>
      </c>
      <c r="N13" s="31">
        <f t="shared" si="74"/>
        <v>0</v>
      </c>
      <c r="O13" s="31">
        <f t="shared" si="74"/>
        <v>0</v>
      </c>
      <c r="P13" s="31">
        <f t="shared" si="74"/>
        <v>0</v>
      </c>
      <c r="Q13" s="31">
        <f t="shared" si="74"/>
        <v>0</v>
      </c>
      <c r="R13" s="31">
        <f t="shared" si="74"/>
        <v>0</v>
      </c>
      <c r="S13" s="31">
        <f t="shared" si="74"/>
        <v>0</v>
      </c>
      <c r="T13" s="31">
        <f>24</f>
        <v>24</v>
      </c>
      <c r="U13" s="31">
        <f t="shared" ref="U13:AE13" si="75">0</f>
        <v>0</v>
      </c>
      <c r="V13" s="31">
        <f t="shared" si="75"/>
        <v>0</v>
      </c>
      <c r="W13" s="31">
        <f t="shared" si="75"/>
        <v>0</v>
      </c>
      <c r="X13" s="31">
        <f t="shared" si="75"/>
        <v>0</v>
      </c>
      <c r="Y13" s="31">
        <f t="shared" si="75"/>
        <v>0</v>
      </c>
      <c r="Z13" s="31">
        <f t="shared" si="75"/>
        <v>0</v>
      </c>
      <c r="AA13" s="31">
        <f t="shared" si="75"/>
        <v>0</v>
      </c>
      <c r="AB13" s="31">
        <f t="shared" si="75"/>
        <v>0</v>
      </c>
      <c r="AC13" s="31">
        <f t="shared" si="75"/>
        <v>0</v>
      </c>
      <c r="AD13" s="31">
        <f t="shared" si="75"/>
        <v>0</v>
      </c>
      <c r="AE13" s="31">
        <f t="shared" si="75"/>
        <v>0</v>
      </c>
      <c r="AF13" s="31">
        <f>24</f>
        <v>24</v>
      </c>
      <c r="AG13" s="31">
        <f t="shared" ref="AG13:AT13" si="76">0</f>
        <v>0</v>
      </c>
      <c r="AH13" s="31">
        <f t="shared" si="76"/>
        <v>0</v>
      </c>
      <c r="AI13" s="31">
        <f t="shared" si="76"/>
        <v>0</v>
      </c>
      <c r="AJ13" s="31">
        <f t="shared" si="76"/>
        <v>0</v>
      </c>
      <c r="AK13" s="31">
        <f t="shared" si="76"/>
        <v>0</v>
      </c>
      <c r="AL13" s="31">
        <f t="shared" si="76"/>
        <v>0</v>
      </c>
      <c r="AM13" s="31">
        <f t="shared" si="76"/>
        <v>0</v>
      </c>
      <c r="AN13" s="31">
        <f t="shared" si="76"/>
        <v>0</v>
      </c>
      <c r="AO13" s="31">
        <f t="shared" si="76"/>
        <v>0</v>
      </c>
      <c r="AP13" s="31">
        <f t="shared" si="76"/>
        <v>0</v>
      </c>
      <c r="AQ13" s="31">
        <f t="shared" si="76"/>
        <v>0</v>
      </c>
      <c r="AR13" s="31">
        <f t="shared" si="76"/>
        <v>0</v>
      </c>
      <c r="AS13" s="31">
        <f t="shared" si="76"/>
        <v>0</v>
      </c>
      <c r="AT13" s="31">
        <f t="shared" si="76"/>
        <v>0</v>
      </c>
      <c r="AU13" s="31">
        <f t="shared" ref="AU13:AV13" si="77">28.8</f>
        <v>28.8</v>
      </c>
      <c r="AV13" s="31">
        <f t="shared" si="77"/>
        <v>28.8</v>
      </c>
      <c r="AW13" s="31">
        <f t="shared" ref="AW13:BG13" si="78">0</f>
        <v>0</v>
      </c>
      <c r="AX13" s="31">
        <f t="shared" si="78"/>
        <v>0</v>
      </c>
      <c r="AY13" s="31">
        <f t="shared" si="78"/>
        <v>0</v>
      </c>
      <c r="AZ13" s="31">
        <f t="shared" si="78"/>
        <v>0</v>
      </c>
      <c r="BA13" s="31">
        <f t="shared" si="78"/>
        <v>0</v>
      </c>
      <c r="BB13" s="31">
        <f t="shared" si="78"/>
        <v>0</v>
      </c>
      <c r="BC13" s="31">
        <f t="shared" si="78"/>
        <v>0</v>
      </c>
      <c r="BD13" s="31">
        <f t="shared" si="78"/>
        <v>0</v>
      </c>
      <c r="BE13" s="31">
        <f t="shared" si="78"/>
        <v>0</v>
      </c>
      <c r="BF13" s="31">
        <f t="shared" si="78"/>
        <v>0</v>
      </c>
      <c r="BG13" s="31">
        <f t="shared" si="78"/>
        <v>0</v>
      </c>
      <c r="BH13" s="88">
        <f t="shared" si="79"/>
        <v>0</v>
      </c>
      <c r="BI13" s="88">
        <f t="shared" ref="BI13:CB13" si="80">0</f>
        <v>0</v>
      </c>
      <c r="BJ13" s="88">
        <f t="shared" si="80"/>
        <v>0</v>
      </c>
      <c r="BK13" s="10">
        <f t="shared" si="80"/>
        <v>0</v>
      </c>
      <c r="BL13" s="88">
        <f t="shared" si="80"/>
        <v>0</v>
      </c>
      <c r="BM13" s="88">
        <f t="shared" si="80"/>
        <v>0</v>
      </c>
      <c r="BN13" s="88">
        <f t="shared" si="80"/>
        <v>0</v>
      </c>
      <c r="BO13" s="88">
        <f t="shared" si="80"/>
        <v>0</v>
      </c>
      <c r="BP13" s="88">
        <f t="shared" si="80"/>
        <v>0</v>
      </c>
      <c r="BQ13" s="88">
        <f t="shared" si="80"/>
        <v>0</v>
      </c>
      <c r="BR13" s="88">
        <f t="shared" si="80"/>
        <v>0</v>
      </c>
      <c r="BS13" s="180">
        <f t="shared" si="80"/>
        <v>0</v>
      </c>
      <c r="BT13" s="88">
        <f t="shared" si="80"/>
        <v>0</v>
      </c>
      <c r="BU13" s="88">
        <f t="shared" si="80"/>
        <v>0</v>
      </c>
      <c r="BV13" s="88">
        <f t="shared" si="80"/>
        <v>0</v>
      </c>
      <c r="BW13" s="88">
        <f t="shared" si="80"/>
        <v>0</v>
      </c>
      <c r="BX13" s="88">
        <f t="shared" si="80"/>
        <v>0</v>
      </c>
      <c r="BY13" s="88">
        <f t="shared" si="80"/>
        <v>0</v>
      </c>
      <c r="BZ13" s="88">
        <f t="shared" si="80"/>
        <v>0</v>
      </c>
      <c r="CA13" s="88">
        <f t="shared" si="80"/>
        <v>0</v>
      </c>
      <c r="CB13" s="88">
        <f t="shared" si="80"/>
        <v>0</v>
      </c>
    </row>
    <row r="14">
      <c r="A14" s="181" t="s">
        <v>190</v>
      </c>
      <c r="B14" s="31">
        <f t="shared" ref="B14:G14" si="81">0</f>
        <v>0</v>
      </c>
      <c r="C14" s="31">
        <f t="shared" si="81"/>
        <v>0</v>
      </c>
      <c r="D14" s="31">
        <f t="shared" si="81"/>
        <v>0</v>
      </c>
      <c r="E14" s="31">
        <f t="shared" si="81"/>
        <v>0</v>
      </c>
      <c r="F14" s="31">
        <f t="shared" si="81"/>
        <v>0</v>
      </c>
      <c r="G14" s="31">
        <f t="shared" si="81"/>
        <v>0</v>
      </c>
      <c r="H14" s="179">
        <f t="shared" si="72"/>
        <v>0</v>
      </c>
      <c r="I14" s="31">
        <f t="shared" si="73"/>
        <v>0</v>
      </c>
      <c r="J14" s="31">
        <f t="shared" ref="J14:AK14" si="82">0</f>
        <v>0</v>
      </c>
      <c r="K14" s="31">
        <f t="shared" si="82"/>
        <v>0</v>
      </c>
      <c r="L14" s="31">
        <f t="shared" si="82"/>
        <v>0</v>
      </c>
      <c r="M14" s="31">
        <f t="shared" si="82"/>
        <v>0</v>
      </c>
      <c r="N14" s="31">
        <f t="shared" si="82"/>
        <v>0</v>
      </c>
      <c r="O14" s="31">
        <f t="shared" si="82"/>
        <v>0</v>
      </c>
      <c r="P14" s="31">
        <f t="shared" si="82"/>
        <v>0</v>
      </c>
      <c r="Q14" s="31">
        <f t="shared" si="82"/>
        <v>0</v>
      </c>
      <c r="R14" s="31">
        <f t="shared" si="82"/>
        <v>0</v>
      </c>
      <c r="S14" s="31">
        <f t="shared" si="82"/>
        <v>0</v>
      </c>
      <c r="T14" s="31">
        <f t="shared" si="82"/>
        <v>0</v>
      </c>
      <c r="U14" s="31">
        <f t="shared" si="82"/>
        <v>0</v>
      </c>
      <c r="V14" s="31">
        <f t="shared" si="82"/>
        <v>0</v>
      </c>
      <c r="W14" s="31">
        <f t="shared" si="82"/>
        <v>0</v>
      </c>
      <c r="X14" s="31">
        <f t="shared" si="82"/>
        <v>0</v>
      </c>
      <c r="Y14" s="31">
        <f t="shared" si="82"/>
        <v>0</v>
      </c>
      <c r="Z14" s="31">
        <f t="shared" si="82"/>
        <v>0</v>
      </c>
      <c r="AA14" s="31">
        <f t="shared" si="82"/>
        <v>0</v>
      </c>
      <c r="AB14" s="31">
        <f t="shared" si="82"/>
        <v>0</v>
      </c>
      <c r="AC14" s="31">
        <f t="shared" si="82"/>
        <v>0</v>
      </c>
      <c r="AD14" s="31">
        <f t="shared" si="82"/>
        <v>0</v>
      </c>
      <c r="AE14" s="31">
        <f t="shared" si="82"/>
        <v>0</v>
      </c>
      <c r="AF14" s="31">
        <f t="shared" si="82"/>
        <v>0</v>
      </c>
      <c r="AG14" s="31">
        <f t="shared" si="82"/>
        <v>0</v>
      </c>
      <c r="AH14" s="31">
        <f t="shared" si="82"/>
        <v>0</v>
      </c>
      <c r="AI14" s="31">
        <f t="shared" si="82"/>
        <v>0</v>
      </c>
      <c r="AJ14" s="31">
        <f t="shared" si="82"/>
        <v>0</v>
      </c>
      <c r="AK14" s="31">
        <f t="shared" si="82"/>
        <v>0</v>
      </c>
      <c r="AL14" s="31">
        <f>28.8</f>
        <v>28.8</v>
      </c>
      <c r="AM14" s="31">
        <f t="shared" ref="AM14:AX14" si="83">0</f>
        <v>0</v>
      </c>
      <c r="AN14" s="31">
        <f t="shared" si="83"/>
        <v>0</v>
      </c>
      <c r="AO14" s="31">
        <f t="shared" si="83"/>
        <v>0</v>
      </c>
      <c r="AP14" s="31">
        <f t="shared" si="83"/>
        <v>0</v>
      </c>
      <c r="AQ14" s="31">
        <f t="shared" si="83"/>
        <v>0</v>
      </c>
      <c r="AR14" s="31">
        <f t="shared" si="83"/>
        <v>0</v>
      </c>
      <c r="AS14" s="31">
        <f t="shared" si="83"/>
        <v>0</v>
      </c>
      <c r="AT14" s="31">
        <f t="shared" si="83"/>
        <v>0</v>
      </c>
      <c r="AU14" s="31">
        <f t="shared" si="83"/>
        <v>0</v>
      </c>
      <c r="AV14" s="31">
        <f t="shared" si="83"/>
        <v>0</v>
      </c>
      <c r="AW14" s="31">
        <f t="shared" si="83"/>
        <v>0</v>
      </c>
      <c r="AX14" s="31">
        <f t="shared" si="83"/>
        <v>0</v>
      </c>
      <c r="AY14" s="31">
        <f>24</f>
        <v>24</v>
      </c>
      <c r="AZ14" s="31">
        <f t="shared" ref="AZ14:BG14" si="84">0</f>
        <v>0</v>
      </c>
      <c r="BA14" s="31">
        <f t="shared" si="84"/>
        <v>0</v>
      </c>
      <c r="BB14" s="31">
        <f t="shared" si="84"/>
        <v>0</v>
      </c>
      <c r="BC14" s="31">
        <f t="shared" si="84"/>
        <v>0</v>
      </c>
      <c r="BD14" s="31">
        <f t="shared" si="84"/>
        <v>0</v>
      </c>
      <c r="BE14" s="31">
        <f t="shared" si="84"/>
        <v>0</v>
      </c>
      <c r="BF14" s="31">
        <f t="shared" si="84"/>
        <v>0</v>
      </c>
      <c r="BG14" s="31">
        <f t="shared" si="84"/>
        <v>0</v>
      </c>
      <c r="BH14" s="88">
        <f t="shared" si="79"/>
        <v>0</v>
      </c>
      <c r="BI14" s="88">
        <f t="shared" ref="BI14:CA14" si="85">0</f>
        <v>0</v>
      </c>
      <c r="BJ14" s="88">
        <f t="shared" si="85"/>
        <v>0</v>
      </c>
      <c r="BK14" s="10">
        <f t="shared" si="85"/>
        <v>0</v>
      </c>
      <c r="BL14" s="88">
        <f t="shared" si="85"/>
        <v>0</v>
      </c>
      <c r="BM14" s="88">
        <f t="shared" si="85"/>
        <v>0</v>
      </c>
      <c r="BN14" s="88">
        <f t="shared" si="85"/>
        <v>0</v>
      </c>
      <c r="BO14" s="88">
        <f t="shared" si="85"/>
        <v>0</v>
      </c>
      <c r="BP14" s="88">
        <f t="shared" si="85"/>
        <v>0</v>
      </c>
      <c r="BQ14" s="88">
        <f t="shared" si="85"/>
        <v>0</v>
      </c>
      <c r="BR14" s="88">
        <f t="shared" si="85"/>
        <v>0</v>
      </c>
      <c r="BS14" s="180">
        <f t="shared" si="85"/>
        <v>0</v>
      </c>
      <c r="BT14" s="88">
        <f t="shared" si="85"/>
        <v>0</v>
      </c>
      <c r="BU14" s="88">
        <f t="shared" si="85"/>
        <v>0</v>
      </c>
      <c r="BV14" s="88">
        <f t="shared" si="85"/>
        <v>0</v>
      </c>
      <c r="BW14" s="88">
        <f t="shared" si="85"/>
        <v>0</v>
      </c>
      <c r="BX14" s="88">
        <f t="shared" si="85"/>
        <v>0</v>
      </c>
      <c r="BY14" s="88">
        <f t="shared" si="85"/>
        <v>0</v>
      </c>
      <c r="BZ14" s="88">
        <f t="shared" si="85"/>
        <v>0</v>
      </c>
      <c r="CA14" s="88">
        <f t="shared" si="85"/>
        <v>0</v>
      </c>
      <c r="CB14" s="88">
        <f>(4 - O8) * 5</f>
        <v>20</v>
      </c>
    </row>
    <row r="15">
      <c r="A15" s="181" t="s">
        <v>191</v>
      </c>
      <c r="B15" s="31">
        <f t="shared" ref="B15:G15" si="86">0</f>
        <v>0</v>
      </c>
      <c r="C15" s="31">
        <f t="shared" si="86"/>
        <v>0</v>
      </c>
      <c r="D15" s="31">
        <f t="shared" si="86"/>
        <v>0</v>
      </c>
      <c r="E15" s="31">
        <f t="shared" si="86"/>
        <v>0</v>
      </c>
      <c r="F15" s="31">
        <f t="shared" si="86"/>
        <v>0</v>
      </c>
      <c r="G15" s="31">
        <f t="shared" si="86"/>
        <v>0</v>
      </c>
      <c r="H15" s="179">
        <f t="shared" si="72"/>
        <v>0</v>
      </c>
      <c r="I15" s="31">
        <f t="shared" si="73"/>
        <v>0</v>
      </c>
      <c r="J15" s="31">
        <f t="shared" ref="J15:X15" si="87">0</f>
        <v>0</v>
      </c>
      <c r="K15" s="31">
        <f t="shared" si="87"/>
        <v>0</v>
      </c>
      <c r="L15" s="31">
        <f t="shared" si="87"/>
        <v>0</v>
      </c>
      <c r="M15" s="31">
        <f t="shared" si="87"/>
        <v>0</v>
      </c>
      <c r="N15" s="31">
        <f t="shared" si="87"/>
        <v>0</v>
      </c>
      <c r="O15" s="31">
        <f t="shared" si="87"/>
        <v>0</v>
      </c>
      <c r="P15" s="31">
        <f t="shared" si="87"/>
        <v>0</v>
      </c>
      <c r="Q15" s="31">
        <f t="shared" si="87"/>
        <v>0</v>
      </c>
      <c r="R15" s="31">
        <f t="shared" si="87"/>
        <v>0</v>
      </c>
      <c r="S15" s="31">
        <f t="shared" si="87"/>
        <v>0</v>
      </c>
      <c r="T15" s="31">
        <f t="shared" si="87"/>
        <v>0</v>
      </c>
      <c r="U15" s="31">
        <f t="shared" si="87"/>
        <v>0</v>
      </c>
      <c r="V15" s="31">
        <f t="shared" si="87"/>
        <v>0</v>
      </c>
      <c r="W15" s="31">
        <f t="shared" si="87"/>
        <v>0</v>
      </c>
      <c r="X15" s="31">
        <f t="shared" si="87"/>
        <v>0</v>
      </c>
      <c r="Y15" s="31">
        <f>24</f>
        <v>24</v>
      </c>
      <c r="Z15" s="31">
        <f t="shared" ref="Z15:BF15" si="88">0</f>
        <v>0</v>
      </c>
      <c r="AA15" s="31">
        <f t="shared" si="88"/>
        <v>0</v>
      </c>
      <c r="AB15" s="31">
        <f t="shared" si="88"/>
        <v>0</v>
      </c>
      <c r="AC15" s="31">
        <f t="shared" si="88"/>
        <v>0</v>
      </c>
      <c r="AD15" s="31">
        <f t="shared" si="88"/>
        <v>0</v>
      </c>
      <c r="AE15" s="31">
        <f t="shared" si="88"/>
        <v>0</v>
      </c>
      <c r="AF15" s="31">
        <f t="shared" si="88"/>
        <v>0</v>
      </c>
      <c r="AG15" s="31">
        <f t="shared" si="88"/>
        <v>0</v>
      </c>
      <c r="AH15" s="31">
        <f t="shared" si="88"/>
        <v>0</v>
      </c>
      <c r="AI15" s="31">
        <f t="shared" si="88"/>
        <v>0</v>
      </c>
      <c r="AJ15" s="31">
        <f t="shared" si="88"/>
        <v>0</v>
      </c>
      <c r="AK15" s="31">
        <f t="shared" si="88"/>
        <v>0</v>
      </c>
      <c r="AL15" s="31">
        <f t="shared" si="88"/>
        <v>0</v>
      </c>
      <c r="AM15" s="31">
        <f t="shared" si="88"/>
        <v>0</v>
      </c>
      <c r="AN15" s="31">
        <f t="shared" si="88"/>
        <v>0</v>
      </c>
      <c r="AO15" s="31">
        <f t="shared" si="88"/>
        <v>0</v>
      </c>
      <c r="AP15" s="31">
        <f t="shared" si="88"/>
        <v>0</v>
      </c>
      <c r="AQ15" s="31">
        <f t="shared" si="88"/>
        <v>0</v>
      </c>
      <c r="AR15" s="31">
        <f t="shared" si="88"/>
        <v>0</v>
      </c>
      <c r="AS15" s="31">
        <f t="shared" si="88"/>
        <v>0</v>
      </c>
      <c r="AT15" s="31">
        <f t="shared" si="88"/>
        <v>0</v>
      </c>
      <c r="AU15" s="31">
        <f t="shared" si="88"/>
        <v>0</v>
      </c>
      <c r="AV15" s="31">
        <f t="shared" si="88"/>
        <v>0</v>
      </c>
      <c r="AW15" s="31">
        <f t="shared" si="88"/>
        <v>0</v>
      </c>
      <c r="AX15" s="31">
        <f t="shared" si="88"/>
        <v>0</v>
      </c>
      <c r="AY15" s="31">
        <f t="shared" si="88"/>
        <v>0</v>
      </c>
      <c r="AZ15" s="31">
        <f t="shared" si="88"/>
        <v>0</v>
      </c>
      <c r="BA15" s="31">
        <f t="shared" si="88"/>
        <v>0</v>
      </c>
      <c r="BB15" s="31">
        <f t="shared" si="88"/>
        <v>0</v>
      </c>
      <c r="BC15" s="31">
        <f t="shared" si="88"/>
        <v>0</v>
      </c>
      <c r="BD15" s="31">
        <f t="shared" si="88"/>
        <v>0</v>
      </c>
      <c r="BE15" s="31">
        <f t="shared" si="88"/>
        <v>0</v>
      </c>
      <c r="BF15" s="31">
        <f t="shared" si="88"/>
        <v>0</v>
      </c>
      <c r="BG15" s="31">
        <f>24</f>
        <v>24</v>
      </c>
      <c r="BH15" s="88">
        <f t="shared" si="79"/>
        <v>0</v>
      </c>
      <c r="BI15" s="88">
        <f t="shared" ref="BI15:BW15" si="89">0</f>
        <v>0</v>
      </c>
      <c r="BJ15" s="88">
        <f t="shared" si="89"/>
        <v>0</v>
      </c>
      <c r="BK15" s="10">
        <f t="shared" si="89"/>
        <v>0</v>
      </c>
      <c r="BL15" s="88">
        <f t="shared" si="89"/>
        <v>0</v>
      </c>
      <c r="BM15" s="88">
        <f t="shared" si="89"/>
        <v>0</v>
      </c>
      <c r="BN15" s="88">
        <f t="shared" si="89"/>
        <v>0</v>
      </c>
      <c r="BO15" s="88">
        <f t="shared" si="89"/>
        <v>0</v>
      </c>
      <c r="BP15" s="88">
        <f t="shared" si="89"/>
        <v>0</v>
      </c>
      <c r="BQ15" s="88">
        <f t="shared" si="89"/>
        <v>0</v>
      </c>
      <c r="BR15" s="88">
        <f t="shared" si="89"/>
        <v>0</v>
      </c>
      <c r="BS15" s="180">
        <f t="shared" si="89"/>
        <v>0</v>
      </c>
      <c r="BT15" s="88">
        <f t="shared" si="89"/>
        <v>0</v>
      </c>
      <c r="BU15" s="88">
        <f t="shared" si="89"/>
        <v>0</v>
      </c>
      <c r="BV15" s="88">
        <f t="shared" si="89"/>
        <v>0</v>
      </c>
      <c r="BW15" s="88">
        <f t="shared" si="89"/>
        <v>0</v>
      </c>
      <c r="BX15" s="88">
        <f>24</f>
        <v>24</v>
      </c>
      <c r="BY15" s="88">
        <f t="shared" ref="BY15:CB15" si="90">0</f>
        <v>0</v>
      </c>
      <c r="BZ15" s="88">
        <f t="shared" si="90"/>
        <v>0</v>
      </c>
      <c r="CA15" s="88">
        <f t="shared" si="90"/>
        <v>0</v>
      </c>
      <c r="CB15" s="88">
        <f t="shared" si="90"/>
        <v>0</v>
      </c>
    </row>
    <row r="16">
      <c r="A16" s="181" t="s">
        <v>192</v>
      </c>
      <c r="B16" s="31">
        <f t="shared" ref="B16:G16" si="91">0</f>
        <v>0</v>
      </c>
      <c r="C16" s="31">
        <f t="shared" si="91"/>
        <v>0</v>
      </c>
      <c r="D16" s="31">
        <f t="shared" si="91"/>
        <v>0</v>
      </c>
      <c r="E16" s="31">
        <f t="shared" si="91"/>
        <v>0</v>
      </c>
      <c r="F16" s="31">
        <f t="shared" si="91"/>
        <v>0</v>
      </c>
      <c r="G16" s="31">
        <f t="shared" si="91"/>
        <v>0</v>
      </c>
      <c r="H16" s="179">
        <f t="shared" si="72"/>
        <v>0</v>
      </c>
      <c r="I16" s="31">
        <f t="shared" si="73"/>
        <v>0</v>
      </c>
      <c r="J16" s="31">
        <f t="shared" ref="J16:Q16" si="92">0</f>
        <v>0</v>
      </c>
      <c r="K16" s="31">
        <f t="shared" si="92"/>
        <v>0</v>
      </c>
      <c r="L16" s="31">
        <f t="shared" si="92"/>
        <v>0</v>
      </c>
      <c r="M16" s="31">
        <f t="shared" si="92"/>
        <v>0</v>
      </c>
      <c r="N16" s="31">
        <f t="shared" si="92"/>
        <v>0</v>
      </c>
      <c r="O16" s="31">
        <f t="shared" si="92"/>
        <v>0</v>
      </c>
      <c r="P16" s="31">
        <f t="shared" si="92"/>
        <v>0</v>
      </c>
      <c r="Q16" s="31">
        <f t="shared" si="92"/>
        <v>0</v>
      </c>
      <c r="R16" s="31">
        <f>20</f>
        <v>20</v>
      </c>
      <c r="S16" s="31">
        <f t="shared" ref="S16:AH16" si="93">0</f>
        <v>0</v>
      </c>
      <c r="T16" s="31">
        <f t="shared" si="93"/>
        <v>0</v>
      </c>
      <c r="U16" s="31">
        <f t="shared" si="93"/>
        <v>0</v>
      </c>
      <c r="V16" s="31">
        <f t="shared" si="93"/>
        <v>0</v>
      </c>
      <c r="W16" s="31">
        <f t="shared" si="93"/>
        <v>0</v>
      </c>
      <c r="X16" s="31">
        <f t="shared" si="93"/>
        <v>0</v>
      </c>
      <c r="Y16" s="31">
        <f t="shared" si="93"/>
        <v>0</v>
      </c>
      <c r="Z16" s="31">
        <f t="shared" si="93"/>
        <v>0</v>
      </c>
      <c r="AA16" s="31">
        <f t="shared" si="93"/>
        <v>0</v>
      </c>
      <c r="AB16" s="31">
        <f t="shared" si="93"/>
        <v>0</v>
      </c>
      <c r="AC16" s="31">
        <f t="shared" si="93"/>
        <v>0</v>
      </c>
      <c r="AD16" s="31">
        <f t="shared" si="93"/>
        <v>0</v>
      </c>
      <c r="AE16" s="31">
        <f t="shared" si="93"/>
        <v>0</v>
      </c>
      <c r="AF16" s="31">
        <f t="shared" si="93"/>
        <v>0</v>
      </c>
      <c r="AG16" s="31">
        <f t="shared" si="93"/>
        <v>0</v>
      </c>
      <c r="AH16" s="31">
        <f t="shared" si="93"/>
        <v>0</v>
      </c>
      <c r="AI16" s="31">
        <f>28.8</f>
        <v>28.8</v>
      </c>
      <c r="AJ16" s="31">
        <f t="shared" ref="AJ16:AW16" si="94">0</f>
        <v>0</v>
      </c>
      <c r="AK16" s="31">
        <f t="shared" si="94"/>
        <v>0</v>
      </c>
      <c r="AL16" s="31">
        <f t="shared" si="94"/>
        <v>0</v>
      </c>
      <c r="AM16" s="31">
        <f t="shared" si="94"/>
        <v>0</v>
      </c>
      <c r="AN16" s="31">
        <f t="shared" si="94"/>
        <v>0</v>
      </c>
      <c r="AO16" s="31">
        <f t="shared" si="94"/>
        <v>0</v>
      </c>
      <c r="AP16" s="31">
        <f t="shared" si="94"/>
        <v>0</v>
      </c>
      <c r="AQ16" s="31">
        <f t="shared" si="94"/>
        <v>0</v>
      </c>
      <c r="AR16" s="31">
        <f t="shared" si="94"/>
        <v>0</v>
      </c>
      <c r="AS16" s="31">
        <f t="shared" si="94"/>
        <v>0</v>
      </c>
      <c r="AT16" s="31">
        <f t="shared" si="94"/>
        <v>0</v>
      </c>
      <c r="AU16" s="31">
        <f t="shared" si="94"/>
        <v>0</v>
      </c>
      <c r="AV16" s="31">
        <f t="shared" si="94"/>
        <v>0</v>
      </c>
      <c r="AW16" s="31">
        <f t="shared" si="94"/>
        <v>0</v>
      </c>
      <c r="AX16" s="31">
        <f>28.8</f>
        <v>28.8</v>
      </c>
      <c r="AY16" s="31">
        <f t="shared" ref="AY16:BG16" si="95">0</f>
        <v>0</v>
      </c>
      <c r="AZ16" s="31">
        <f t="shared" si="95"/>
        <v>0</v>
      </c>
      <c r="BA16" s="31">
        <f t="shared" si="95"/>
        <v>0</v>
      </c>
      <c r="BB16" s="31">
        <f t="shared" si="95"/>
        <v>0</v>
      </c>
      <c r="BC16" s="31">
        <f t="shared" si="95"/>
        <v>0</v>
      </c>
      <c r="BD16" s="31">
        <f t="shared" si="95"/>
        <v>0</v>
      </c>
      <c r="BE16" s="31">
        <f t="shared" si="95"/>
        <v>0</v>
      </c>
      <c r="BF16" s="31">
        <f t="shared" si="95"/>
        <v>0</v>
      </c>
      <c r="BG16" s="31">
        <f t="shared" si="95"/>
        <v>0</v>
      </c>
      <c r="BH16" s="88">
        <f t="shared" si="79"/>
        <v>0</v>
      </c>
      <c r="BI16" s="88">
        <f t="shared" ref="BI16:CB16" si="96">0</f>
        <v>0</v>
      </c>
      <c r="BJ16" s="88">
        <f t="shared" si="96"/>
        <v>0</v>
      </c>
      <c r="BK16" s="10">
        <f t="shared" si="96"/>
        <v>0</v>
      </c>
      <c r="BL16" s="88">
        <f t="shared" si="96"/>
        <v>0</v>
      </c>
      <c r="BM16" s="88">
        <f t="shared" si="96"/>
        <v>0</v>
      </c>
      <c r="BN16" s="88">
        <f t="shared" si="96"/>
        <v>0</v>
      </c>
      <c r="BO16" s="88">
        <f t="shared" si="96"/>
        <v>0</v>
      </c>
      <c r="BP16" s="88">
        <f t="shared" si="96"/>
        <v>0</v>
      </c>
      <c r="BQ16" s="88">
        <f t="shared" si="96"/>
        <v>0</v>
      </c>
      <c r="BR16" s="88">
        <f t="shared" si="96"/>
        <v>0</v>
      </c>
      <c r="BS16" s="180">
        <f t="shared" si="96"/>
        <v>0</v>
      </c>
      <c r="BT16" s="88">
        <f t="shared" si="96"/>
        <v>0</v>
      </c>
      <c r="BU16" s="88">
        <f t="shared" si="96"/>
        <v>0</v>
      </c>
      <c r="BV16" s="88">
        <f t="shared" si="96"/>
        <v>0</v>
      </c>
      <c r="BW16" s="88">
        <f t="shared" si="96"/>
        <v>0</v>
      </c>
      <c r="BX16" s="88">
        <f t="shared" si="96"/>
        <v>0</v>
      </c>
      <c r="BY16" s="88">
        <f t="shared" si="96"/>
        <v>0</v>
      </c>
      <c r="BZ16" s="88">
        <f t="shared" si="96"/>
        <v>0</v>
      </c>
      <c r="CA16" s="88">
        <f t="shared" si="96"/>
        <v>0</v>
      </c>
      <c r="CB16" s="88">
        <f t="shared" si="96"/>
        <v>0</v>
      </c>
    </row>
    <row r="17">
      <c r="A17" s="181" t="s">
        <v>193</v>
      </c>
      <c r="B17" s="31">
        <f t="shared" ref="B17:G17" si="97">0</f>
        <v>0</v>
      </c>
      <c r="C17" s="31">
        <f t="shared" si="97"/>
        <v>0</v>
      </c>
      <c r="D17" s="31">
        <f t="shared" si="97"/>
        <v>0</v>
      </c>
      <c r="E17" s="31">
        <f t="shared" si="97"/>
        <v>0</v>
      </c>
      <c r="F17" s="31">
        <f t="shared" si="97"/>
        <v>0</v>
      </c>
      <c r="G17" s="31">
        <f t="shared" si="97"/>
        <v>0</v>
      </c>
      <c r="H17" s="179">
        <f t="shared" si="72"/>
        <v>0</v>
      </c>
      <c r="I17" s="31">
        <f t="shared" si="73"/>
        <v>0</v>
      </c>
      <c r="J17" s="31">
        <f t="shared" ref="J17:T17" si="98">0</f>
        <v>0</v>
      </c>
      <c r="K17" s="31">
        <f t="shared" si="98"/>
        <v>0</v>
      </c>
      <c r="L17" s="31">
        <f t="shared" si="98"/>
        <v>0</v>
      </c>
      <c r="M17" s="31">
        <f t="shared" si="98"/>
        <v>0</v>
      </c>
      <c r="N17" s="31">
        <f t="shared" si="98"/>
        <v>0</v>
      </c>
      <c r="O17" s="31">
        <f t="shared" si="98"/>
        <v>0</v>
      </c>
      <c r="P17" s="31">
        <f t="shared" si="98"/>
        <v>0</v>
      </c>
      <c r="Q17" s="31">
        <f t="shared" si="98"/>
        <v>0</v>
      </c>
      <c r="R17" s="31">
        <f t="shared" si="98"/>
        <v>0</v>
      </c>
      <c r="S17" s="31">
        <f t="shared" si="98"/>
        <v>0</v>
      </c>
      <c r="T17" s="31">
        <f t="shared" si="98"/>
        <v>0</v>
      </c>
      <c r="U17" s="31">
        <f>28.8</f>
        <v>28.8</v>
      </c>
      <c r="V17" s="31">
        <f t="shared" ref="V17:AP17" si="99">0</f>
        <v>0</v>
      </c>
      <c r="W17" s="31">
        <f t="shared" si="99"/>
        <v>0</v>
      </c>
      <c r="X17" s="31">
        <f t="shared" si="99"/>
        <v>0</v>
      </c>
      <c r="Y17" s="31">
        <f t="shared" si="99"/>
        <v>0</v>
      </c>
      <c r="Z17" s="31">
        <f t="shared" si="99"/>
        <v>0</v>
      </c>
      <c r="AA17" s="31">
        <f t="shared" si="99"/>
        <v>0</v>
      </c>
      <c r="AB17" s="31">
        <f t="shared" si="99"/>
        <v>0</v>
      </c>
      <c r="AC17" s="31">
        <f t="shared" si="99"/>
        <v>0</v>
      </c>
      <c r="AD17" s="31">
        <f t="shared" si="99"/>
        <v>0</v>
      </c>
      <c r="AE17" s="31">
        <f t="shared" si="99"/>
        <v>0</v>
      </c>
      <c r="AF17" s="31">
        <f t="shared" si="99"/>
        <v>0</v>
      </c>
      <c r="AG17" s="31">
        <f t="shared" si="99"/>
        <v>0</v>
      </c>
      <c r="AH17" s="31">
        <f t="shared" si="99"/>
        <v>0</v>
      </c>
      <c r="AI17" s="31">
        <f t="shared" si="99"/>
        <v>0</v>
      </c>
      <c r="AJ17" s="31">
        <f t="shared" si="99"/>
        <v>0</v>
      </c>
      <c r="AK17" s="31">
        <f t="shared" si="99"/>
        <v>0</v>
      </c>
      <c r="AL17" s="31">
        <f t="shared" si="99"/>
        <v>0</v>
      </c>
      <c r="AM17" s="31">
        <f t="shared" si="99"/>
        <v>0</v>
      </c>
      <c r="AN17" s="31">
        <f t="shared" si="99"/>
        <v>0</v>
      </c>
      <c r="AO17" s="31">
        <f t="shared" si="99"/>
        <v>0</v>
      </c>
      <c r="AP17" s="31">
        <f t="shared" si="99"/>
        <v>0</v>
      </c>
      <c r="AQ17" s="31">
        <f>24</f>
        <v>24</v>
      </c>
      <c r="AR17" s="31">
        <f>0</f>
        <v>0</v>
      </c>
      <c r="AS17" s="31">
        <f>0</f>
        <v>0</v>
      </c>
      <c r="AT17" s="31">
        <f t="shared" ref="AT17:BG17" si="100">0</f>
        <v>0</v>
      </c>
      <c r="AU17" s="31">
        <f t="shared" si="100"/>
        <v>0</v>
      </c>
      <c r="AV17" s="31">
        <f t="shared" si="100"/>
        <v>0</v>
      </c>
      <c r="AW17" s="31">
        <f t="shared" si="100"/>
        <v>0</v>
      </c>
      <c r="AX17" s="31">
        <f t="shared" si="100"/>
        <v>0</v>
      </c>
      <c r="AY17" s="31">
        <f t="shared" si="100"/>
        <v>0</v>
      </c>
      <c r="AZ17" s="31">
        <f t="shared" si="100"/>
        <v>0</v>
      </c>
      <c r="BA17" s="31">
        <f t="shared" si="100"/>
        <v>0</v>
      </c>
      <c r="BB17" s="31">
        <f t="shared" si="100"/>
        <v>0</v>
      </c>
      <c r="BC17" s="31">
        <f t="shared" si="100"/>
        <v>0</v>
      </c>
      <c r="BD17" s="31">
        <f t="shared" si="100"/>
        <v>0</v>
      </c>
      <c r="BE17" s="31">
        <f t="shared" si="100"/>
        <v>0</v>
      </c>
      <c r="BF17" s="31">
        <f t="shared" si="100"/>
        <v>0</v>
      </c>
      <c r="BG17" s="31">
        <f t="shared" si="100"/>
        <v>0</v>
      </c>
      <c r="BH17" s="88">
        <f t="shared" si="79"/>
        <v>0</v>
      </c>
      <c r="BI17" s="88">
        <f t="shared" ref="BI17:CB17" si="101">0</f>
        <v>0</v>
      </c>
      <c r="BJ17" s="88">
        <f t="shared" si="101"/>
        <v>0</v>
      </c>
      <c r="BK17" s="10">
        <f t="shared" si="101"/>
        <v>0</v>
      </c>
      <c r="BL17" s="88">
        <f t="shared" si="101"/>
        <v>0</v>
      </c>
      <c r="BM17" s="88">
        <f t="shared" si="101"/>
        <v>0</v>
      </c>
      <c r="BN17" s="88">
        <f t="shared" si="101"/>
        <v>0</v>
      </c>
      <c r="BO17" s="88">
        <f t="shared" si="101"/>
        <v>0</v>
      </c>
      <c r="BP17" s="88">
        <f t="shared" si="101"/>
        <v>0</v>
      </c>
      <c r="BQ17" s="88">
        <f t="shared" si="101"/>
        <v>0</v>
      </c>
      <c r="BR17" s="88">
        <f t="shared" si="101"/>
        <v>0</v>
      </c>
      <c r="BS17" s="180">
        <f t="shared" si="101"/>
        <v>0</v>
      </c>
      <c r="BT17" s="88">
        <f t="shared" si="101"/>
        <v>0</v>
      </c>
      <c r="BU17" s="88">
        <f t="shared" si="101"/>
        <v>0</v>
      </c>
      <c r="BV17" s="88">
        <f t="shared" si="101"/>
        <v>0</v>
      </c>
      <c r="BW17" s="88">
        <f t="shared" si="101"/>
        <v>0</v>
      </c>
      <c r="BX17" s="88">
        <f t="shared" si="101"/>
        <v>0</v>
      </c>
      <c r="BY17" s="88">
        <f t="shared" si="101"/>
        <v>0</v>
      </c>
      <c r="BZ17" s="88">
        <f t="shared" si="101"/>
        <v>0</v>
      </c>
      <c r="CA17" s="88">
        <f t="shared" si="101"/>
        <v>0</v>
      </c>
      <c r="CB17" s="88">
        <f t="shared" si="101"/>
        <v>0</v>
      </c>
    </row>
    <row r="18">
      <c r="A18" s="181" t="s">
        <v>194</v>
      </c>
      <c r="B18" s="31">
        <f t="shared" ref="B18:G18" si="102">0</f>
        <v>0</v>
      </c>
      <c r="C18" s="31">
        <f t="shared" si="102"/>
        <v>0</v>
      </c>
      <c r="D18" s="31">
        <f t="shared" si="102"/>
        <v>0</v>
      </c>
      <c r="E18" s="31">
        <f t="shared" si="102"/>
        <v>0</v>
      </c>
      <c r="F18" s="31">
        <f t="shared" si="102"/>
        <v>0</v>
      </c>
      <c r="G18" s="31">
        <f t="shared" si="102"/>
        <v>0</v>
      </c>
      <c r="H18" s="179">
        <f t="shared" si="72"/>
        <v>0</v>
      </c>
      <c r="I18" s="31">
        <f t="shared" si="73"/>
        <v>0</v>
      </c>
      <c r="J18" s="31">
        <f t="shared" ref="J18:P18" si="103">0</f>
        <v>0</v>
      </c>
      <c r="K18" s="31">
        <f t="shared" si="103"/>
        <v>0</v>
      </c>
      <c r="L18" s="31">
        <f t="shared" si="103"/>
        <v>0</v>
      </c>
      <c r="M18" s="31">
        <f t="shared" si="103"/>
        <v>0</v>
      </c>
      <c r="N18" s="31">
        <f t="shared" si="103"/>
        <v>0</v>
      </c>
      <c r="O18" s="31">
        <f t="shared" si="103"/>
        <v>0</v>
      </c>
      <c r="P18" s="31">
        <f t="shared" si="103"/>
        <v>0</v>
      </c>
      <c r="Q18" s="31">
        <f>24</f>
        <v>24</v>
      </c>
      <c r="R18" s="31">
        <f t="shared" ref="R18:BG18" si="104">0</f>
        <v>0</v>
      </c>
      <c r="S18" s="31">
        <f t="shared" si="104"/>
        <v>0</v>
      </c>
      <c r="T18" s="31">
        <f t="shared" si="104"/>
        <v>0</v>
      </c>
      <c r="U18" s="31">
        <f t="shared" si="104"/>
        <v>0</v>
      </c>
      <c r="V18" s="31">
        <f t="shared" si="104"/>
        <v>0</v>
      </c>
      <c r="W18" s="31">
        <f t="shared" si="104"/>
        <v>0</v>
      </c>
      <c r="X18" s="31">
        <f t="shared" si="104"/>
        <v>0</v>
      </c>
      <c r="Y18" s="31">
        <f t="shared" si="104"/>
        <v>0</v>
      </c>
      <c r="Z18" s="31">
        <f t="shared" si="104"/>
        <v>0</v>
      </c>
      <c r="AA18" s="31">
        <f t="shared" si="104"/>
        <v>0</v>
      </c>
      <c r="AB18" s="31">
        <f t="shared" si="104"/>
        <v>0</v>
      </c>
      <c r="AC18" s="31">
        <f t="shared" si="104"/>
        <v>0</v>
      </c>
      <c r="AD18" s="31">
        <f t="shared" si="104"/>
        <v>0</v>
      </c>
      <c r="AE18" s="31">
        <f t="shared" si="104"/>
        <v>0</v>
      </c>
      <c r="AF18" s="31">
        <f t="shared" si="104"/>
        <v>0</v>
      </c>
      <c r="AG18" s="31">
        <f t="shared" si="104"/>
        <v>0</v>
      </c>
      <c r="AH18" s="31">
        <f t="shared" si="104"/>
        <v>0</v>
      </c>
      <c r="AI18" s="31">
        <f t="shared" si="104"/>
        <v>0</v>
      </c>
      <c r="AJ18" s="31">
        <f t="shared" si="104"/>
        <v>0</v>
      </c>
      <c r="AK18" s="31">
        <f t="shared" si="104"/>
        <v>0</v>
      </c>
      <c r="AL18" s="31">
        <f t="shared" si="104"/>
        <v>0</v>
      </c>
      <c r="AM18" s="31">
        <f t="shared" si="104"/>
        <v>0</v>
      </c>
      <c r="AN18" s="31">
        <f t="shared" si="104"/>
        <v>0</v>
      </c>
      <c r="AO18" s="31">
        <f t="shared" si="104"/>
        <v>0</v>
      </c>
      <c r="AP18" s="31">
        <f t="shared" si="104"/>
        <v>0</v>
      </c>
      <c r="AQ18" s="31">
        <f t="shared" si="104"/>
        <v>0</v>
      </c>
      <c r="AR18" s="31">
        <f t="shared" si="104"/>
        <v>0</v>
      </c>
      <c r="AS18" s="31">
        <f t="shared" si="104"/>
        <v>0</v>
      </c>
      <c r="AT18" s="31">
        <f t="shared" si="104"/>
        <v>0</v>
      </c>
      <c r="AU18" s="31">
        <f t="shared" si="104"/>
        <v>0</v>
      </c>
      <c r="AV18" s="31">
        <f t="shared" si="104"/>
        <v>0</v>
      </c>
      <c r="AW18" s="31">
        <f t="shared" si="104"/>
        <v>0</v>
      </c>
      <c r="AX18" s="31">
        <f t="shared" si="104"/>
        <v>0</v>
      </c>
      <c r="AY18" s="31">
        <f t="shared" si="104"/>
        <v>0</v>
      </c>
      <c r="AZ18" s="31">
        <f t="shared" si="104"/>
        <v>0</v>
      </c>
      <c r="BA18" s="31">
        <f t="shared" si="104"/>
        <v>0</v>
      </c>
      <c r="BB18" s="31">
        <f t="shared" si="104"/>
        <v>0</v>
      </c>
      <c r="BC18" s="31">
        <f t="shared" si="104"/>
        <v>0</v>
      </c>
      <c r="BD18" s="31">
        <f t="shared" si="104"/>
        <v>0</v>
      </c>
      <c r="BE18" s="31">
        <f t="shared" si="104"/>
        <v>0</v>
      </c>
      <c r="BF18" s="31">
        <f t="shared" si="104"/>
        <v>0</v>
      </c>
      <c r="BG18" s="31">
        <f t="shared" si="104"/>
        <v>0</v>
      </c>
      <c r="BH18" s="88">
        <f t="shared" si="79"/>
        <v>0</v>
      </c>
      <c r="BI18" s="88">
        <f t="shared" ref="BI18:CB18" si="105">0</f>
        <v>0</v>
      </c>
      <c r="BJ18" s="88">
        <f t="shared" si="105"/>
        <v>0</v>
      </c>
      <c r="BK18" s="10">
        <f t="shared" si="105"/>
        <v>0</v>
      </c>
      <c r="BL18" s="88">
        <f t="shared" si="105"/>
        <v>0</v>
      </c>
      <c r="BM18" s="88">
        <f t="shared" si="105"/>
        <v>0</v>
      </c>
      <c r="BN18" s="88">
        <f t="shared" si="105"/>
        <v>0</v>
      </c>
      <c r="BO18" s="88">
        <f t="shared" si="105"/>
        <v>0</v>
      </c>
      <c r="BP18" s="88">
        <f t="shared" si="105"/>
        <v>0</v>
      </c>
      <c r="BQ18" s="88">
        <f t="shared" si="105"/>
        <v>0</v>
      </c>
      <c r="BR18" s="88">
        <f t="shared" si="105"/>
        <v>0</v>
      </c>
      <c r="BS18" s="180">
        <f t="shared" si="105"/>
        <v>0</v>
      </c>
      <c r="BT18" s="88">
        <f t="shared" si="105"/>
        <v>0</v>
      </c>
      <c r="BU18" s="88">
        <f t="shared" si="105"/>
        <v>0</v>
      </c>
      <c r="BV18" s="88">
        <f t="shared" si="105"/>
        <v>0</v>
      </c>
      <c r="BW18" s="88">
        <f t="shared" si="105"/>
        <v>0</v>
      </c>
      <c r="BX18" s="88">
        <f t="shared" si="105"/>
        <v>0</v>
      </c>
      <c r="BY18" s="88">
        <f t="shared" si="105"/>
        <v>0</v>
      </c>
      <c r="BZ18" s="88">
        <f t="shared" si="105"/>
        <v>0</v>
      </c>
      <c r="CA18" s="88">
        <f t="shared" si="105"/>
        <v>0</v>
      </c>
      <c r="CB18" s="88">
        <f t="shared" si="105"/>
        <v>0</v>
      </c>
    </row>
    <row r="19">
      <c r="A19" s="181" t="s">
        <v>195</v>
      </c>
      <c r="B19" s="31">
        <f t="shared" ref="B19:G19" si="106">0</f>
        <v>0</v>
      </c>
      <c r="C19" s="31">
        <f t="shared" si="106"/>
        <v>0</v>
      </c>
      <c r="D19" s="31">
        <f t="shared" si="106"/>
        <v>0</v>
      </c>
      <c r="E19" s="31">
        <f t="shared" si="106"/>
        <v>0</v>
      </c>
      <c r="F19" s="31">
        <f t="shared" si="106"/>
        <v>0</v>
      </c>
      <c r="G19" s="31">
        <f t="shared" si="106"/>
        <v>0</v>
      </c>
      <c r="H19" s="179">
        <f t="shared" si="72"/>
        <v>0</v>
      </c>
      <c r="I19" s="31">
        <f t="shared" si="73"/>
        <v>0</v>
      </c>
      <c r="J19" s="31">
        <f t="shared" ref="J19:W19" si="107">0</f>
        <v>0</v>
      </c>
      <c r="K19" s="31">
        <f t="shared" si="107"/>
        <v>0</v>
      </c>
      <c r="L19" s="31">
        <f t="shared" si="107"/>
        <v>0</v>
      </c>
      <c r="M19" s="31">
        <f t="shared" si="107"/>
        <v>0</v>
      </c>
      <c r="N19" s="31">
        <f t="shared" si="107"/>
        <v>0</v>
      </c>
      <c r="O19" s="31">
        <f t="shared" si="107"/>
        <v>0</v>
      </c>
      <c r="P19" s="31">
        <f t="shared" si="107"/>
        <v>0</v>
      </c>
      <c r="Q19" s="31">
        <f t="shared" si="107"/>
        <v>0</v>
      </c>
      <c r="R19" s="31">
        <f t="shared" si="107"/>
        <v>0</v>
      </c>
      <c r="S19" s="31">
        <f t="shared" si="107"/>
        <v>0</v>
      </c>
      <c r="T19" s="31">
        <f t="shared" si="107"/>
        <v>0</v>
      </c>
      <c r="U19" s="31">
        <f t="shared" si="107"/>
        <v>0</v>
      </c>
      <c r="V19" s="31">
        <f t="shared" si="107"/>
        <v>0</v>
      </c>
      <c r="W19" s="31">
        <f t="shared" si="107"/>
        <v>0</v>
      </c>
      <c r="X19" s="31">
        <f>28.8</f>
        <v>28.8</v>
      </c>
      <c r="Y19" s="31">
        <f t="shared" ref="Y19:BG19" si="108">0</f>
        <v>0</v>
      </c>
      <c r="Z19" s="31">
        <f t="shared" si="108"/>
        <v>0</v>
      </c>
      <c r="AA19" s="31">
        <f t="shared" si="108"/>
        <v>0</v>
      </c>
      <c r="AB19" s="31">
        <f t="shared" si="108"/>
        <v>0</v>
      </c>
      <c r="AC19" s="31">
        <f t="shared" si="108"/>
        <v>0</v>
      </c>
      <c r="AD19" s="31">
        <f t="shared" si="108"/>
        <v>0</v>
      </c>
      <c r="AE19" s="31">
        <f t="shared" si="108"/>
        <v>0</v>
      </c>
      <c r="AF19" s="31">
        <f t="shared" si="108"/>
        <v>0</v>
      </c>
      <c r="AG19" s="31">
        <f t="shared" si="108"/>
        <v>0</v>
      </c>
      <c r="AH19" s="31">
        <f t="shared" si="108"/>
        <v>0</v>
      </c>
      <c r="AI19" s="31">
        <f t="shared" si="108"/>
        <v>0</v>
      </c>
      <c r="AJ19" s="31">
        <f t="shared" si="108"/>
        <v>0</v>
      </c>
      <c r="AK19" s="31">
        <f t="shared" si="108"/>
        <v>0</v>
      </c>
      <c r="AL19" s="31">
        <f t="shared" si="108"/>
        <v>0</v>
      </c>
      <c r="AM19" s="31">
        <f t="shared" si="108"/>
        <v>0</v>
      </c>
      <c r="AN19" s="31">
        <f t="shared" si="108"/>
        <v>0</v>
      </c>
      <c r="AO19" s="31">
        <f t="shared" si="108"/>
        <v>0</v>
      </c>
      <c r="AP19" s="31">
        <f t="shared" si="108"/>
        <v>0</v>
      </c>
      <c r="AQ19" s="31">
        <f t="shared" si="108"/>
        <v>0</v>
      </c>
      <c r="AR19" s="31">
        <f t="shared" si="108"/>
        <v>0</v>
      </c>
      <c r="AS19" s="31">
        <f t="shared" si="108"/>
        <v>0</v>
      </c>
      <c r="AT19" s="31">
        <f t="shared" si="108"/>
        <v>0</v>
      </c>
      <c r="AU19" s="31">
        <f t="shared" si="108"/>
        <v>0</v>
      </c>
      <c r="AV19" s="31">
        <f t="shared" si="108"/>
        <v>0</v>
      </c>
      <c r="AW19" s="31">
        <f t="shared" si="108"/>
        <v>0</v>
      </c>
      <c r="AX19" s="31">
        <f t="shared" si="108"/>
        <v>0</v>
      </c>
      <c r="AY19" s="31">
        <f t="shared" si="108"/>
        <v>0</v>
      </c>
      <c r="AZ19" s="31">
        <f t="shared" si="108"/>
        <v>0</v>
      </c>
      <c r="BA19" s="31">
        <f t="shared" si="108"/>
        <v>0</v>
      </c>
      <c r="BB19" s="31">
        <f t="shared" si="108"/>
        <v>0</v>
      </c>
      <c r="BC19" s="31">
        <f t="shared" si="108"/>
        <v>0</v>
      </c>
      <c r="BD19" s="31">
        <f t="shared" si="108"/>
        <v>0</v>
      </c>
      <c r="BE19" s="31">
        <f t="shared" si="108"/>
        <v>0</v>
      </c>
      <c r="BF19" s="31">
        <f t="shared" si="108"/>
        <v>0</v>
      </c>
      <c r="BG19" s="31">
        <f t="shared" si="108"/>
        <v>0</v>
      </c>
      <c r="BH19" s="88">
        <f t="shared" si="79"/>
        <v>0</v>
      </c>
      <c r="BI19" s="88">
        <f t="shared" ref="BI19:BO19" si="109">0</f>
        <v>0</v>
      </c>
      <c r="BJ19" s="88">
        <f t="shared" si="109"/>
        <v>0</v>
      </c>
      <c r="BK19" s="10">
        <f t="shared" si="109"/>
        <v>0</v>
      </c>
      <c r="BL19" s="88">
        <f t="shared" si="109"/>
        <v>0</v>
      </c>
      <c r="BM19" s="88">
        <f t="shared" si="109"/>
        <v>0</v>
      </c>
      <c r="BN19" s="88">
        <f t="shared" si="109"/>
        <v>0</v>
      </c>
      <c r="BO19" s="88">
        <f t="shared" si="109"/>
        <v>0</v>
      </c>
      <c r="BP19" s="88">
        <f>28.8</f>
        <v>28.8</v>
      </c>
      <c r="BQ19" s="88">
        <f t="shared" ref="BQ19:CB19" si="110">0</f>
        <v>0</v>
      </c>
      <c r="BR19" s="88">
        <f t="shared" si="110"/>
        <v>0</v>
      </c>
      <c r="BS19" s="180">
        <f t="shared" si="110"/>
        <v>0</v>
      </c>
      <c r="BT19" s="88">
        <f t="shared" si="110"/>
        <v>0</v>
      </c>
      <c r="BU19" s="88">
        <f t="shared" si="110"/>
        <v>0</v>
      </c>
      <c r="BV19" s="88">
        <f t="shared" si="110"/>
        <v>0</v>
      </c>
      <c r="BW19" s="88">
        <f t="shared" si="110"/>
        <v>0</v>
      </c>
      <c r="BX19" s="88">
        <f t="shared" si="110"/>
        <v>0</v>
      </c>
      <c r="BY19" s="88">
        <f t="shared" si="110"/>
        <v>0</v>
      </c>
      <c r="BZ19" s="88">
        <f t="shared" si="110"/>
        <v>0</v>
      </c>
      <c r="CA19" s="88">
        <f t="shared" si="110"/>
        <v>0</v>
      </c>
      <c r="CB19" s="88">
        <f t="shared" si="110"/>
        <v>0</v>
      </c>
    </row>
    <row r="20">
      <c r="A20" s="181" t="s">
        <v>196</v>
      </c>
      <c r="B20" s="31">
        <f t="shared" ref="B20:G20" si="111">0</f>
        <v>0</v>
      </c>
      <c r="C20" s="31">
        <f t="shared" si="111"/>
        <v>0</v>
      </c>
      <c r="D20" s="31">
        <f t="shared" si="111"/>
        <v>0</v>
      </c>
      <c r="E20" s="31">
        <f t="shared" si="111"/>
        <v>0</v>
      </c>
      <c r="F20" s="31">
        <f t="shared" si="111"/>
        <v>0</v>
      </c>
      <c r="G20" s="31">
        <f t="shared" si="111"/>
        <v>0</v>
      </c>
      <c r="H20" s="179">
        <f t="shared" si="72"/>
        <v>0</v>
      </c>
      <c r="I20" s="31">
        <f t="shared" si="73"/>
        <v>0</v>
      </c>
      <c r="J20" s="31">
        <f t="shared" ref="J20:L20" si="112">0</f>
        <v>0</v>
      </c>
      <c r="K20" s="31">
        <f t="shared" si="112"/>
        <v>0</v>
      </c>
      <c r="L20" s="31">
        <f t="shared" si="112"/>
        <v>0</v>
      </c>
      <c r="M20" s="31">
        <f>30</f>
        <v>30</v>
      </c>
      <c r="N20" s="31">
        <f t="shared" ref="N20:BG20" si="113">0</f>
        <v>0</v>
      </c>
      <c r="O20" s="31">
        <f t="shared" si="113"/>
        <v>0</v>
      </c>
      <c r="P20" s="31">
        <f t="shared" si="113"/>
        <v>0</v>
      </c>
      <c r="Q20" s="31">
        <f t="shared" si="113"/>
        <v>0</v>
      </c>
      <c r="R20" s="31">
        <f t="shared" si="113"/>
        <v>0</v>
      </c>
      <c r="S20" s="31">
        <f t="shared" si="113"/>
        <v>0</v>
      </c>
      <c r="T20" s="31">
        <f t="shared" si="113"/>
        <v>0</v>
      </c>
      <c r="U20" s="31">
        <f t="shared" si="113"/>
        <v>0</v>
      </c>
      <c r="V20" s="31">
        <f t="shared" si="113"/>
        <v>0</v>
      </c>
      <c r="W20" s="31">
        <f t="shared" si="113"/>
        <v>0</v>
      </c>
      <c r="X20" s="31">
        <f t="shared" si="113"/>
        <v>0</v>
      </c>
      <c r="Y20" s="31">
        <f t="shared" si="113"/>
        <v>0</v>
      </c>
      <c r="Z20" s="31">
        <f t="shared" si="113"/>
        <v>0</v>
      </c>
      <c r="AA20" s="31">
        <f t="shared" si="113"/>
        <v>0</v>
      </c>
      <c r="AB20" s="31">
        <f t="shared" si="113"/>
        <v>0</v>
      </c>
      <c r="AC20" s="31">
        <f t="shared" si="113"/>
        <v>0</v>
      </c>
      <c r="AD20" s="31">
        <f t="shared" si="113"/>
        <v>0</v>
      </c>
      <c r="AE20" s="31">
        <f t="shared" si="113"/>
        <v>0</v>
      </c>
      <c r="AF20" s="31">
        <f t="shared" si="113"/>
        <v>0</v>
      </c>
      <c r="AG20" s="31">
        <f t="shared" si="113"/>
        <v>0</v>
      </c>
      <c r="AH20" s="31">
        <f t="shared" si="113"/>
        <v>0</v>
      </c>
      <c r="AI20" s="31">
        <f t="shared" si="113"/>
        <v>0</v>
      </c>
      <c r="AJ20" s="31">
        <f t="shared" si="113"/>
        <v>0</v>
      </c>
      <c r="AK20" s="31">
        <f t="shared" si="113"/>
        <v>0</v>
      </c>
      <c r="AL20" s="31">
        <f t="shared" si="113"/>
        <v>0</v>
      </c>
      <c r="AM20" s="31">
        <f t="shared" si="113"/>
        <v>0</v>
      </c>
      <c r="AN20" s="31">
        <f t="shared" si="113"/>
        <v>0</v>
      </c>
      <c r="AO20" s="31">
        <f t="shared" si="113"/>
        <v>0</v>
      </c>
      <c r="AP20" s="31">
        <f t="shared" si="113"/>
        <v>0</v>
      </c>
      <c r="AQ20" s="31">
        <f t="shared" si="113"/>
        <v>0</v>
      </c>
      <c r="AR20" s="31">
        <f t="shared" si="113"/>
        <v>0</v>
      </c>
      <c r="AS20" s="31">
        <f t="shared" si="113"/>
        <v>0</v>
      </c>
      <c r="AT20" s="31">
        <f t="shared" si="113"/>
        <v>0</v>
      </c>
      <c r="AU20" s="31">
        <f t="shared" si="113"/>
        <v>0</v>
      </c>
      <c r="AV20" s="31">
        <f t="shared" si="113"/>
        <v>0</v>
      </c>
      <c r="AW20" s="31">
        <f t="shared" si="113"/>
        <v>0</v>
      </c>
      <c r="AX20" s="31">
        <f t="shared" si="113"/>
        <v>0</v>
      </c>
      <c r="AY20" s="31">
        <f t="shared" si="113"/>
        <v>0</v>
      </c>
      <c r="AZ20" s="31">
        <f t="shared" si="113"/>
        <v>0</v>
      </c>
      <c r="BA20" s="31">
        <f t="shared" si="113"/>
        <v>0</v>
      </c>
      <c r="BB20" s="31">
        <f t="shared" si="113"/>
        <v>0</v>
      </c>
      <c r="BC20" s="31">
        <f t="shared" si="113"/>
        <v>0</v>
      </c>
      <c r="BD20" s="31">
        <f t="shared" si="113"/>
        <v>0</v>
      </c>
      <c r="BE20" s="31">
        <f t="shared" si="113"/>
        <v>0</v>
      </c>
      <c r="BF20" s="31">
        <f t="shared" si="113"/>
        <v>0</v>
      </c>
      <c r="BG20" s="31">
        <f t="shared" si="113"/>
        <v>0</v>
      </c>
      <c r="BH20" s="88">
        <f t="shared" si="79"/>
        <v>0</v>
      </c>
      <c r="BI20" s="88">
        <f t="shared" ref="BI20:CB20" si="114">0</f>
        <v>0</v>
      </c>
      <c r="BJ20" s="88">
        <f t="shared" si="114"/>
        <v>0</v>
      </c>
      <c r="BK20" s="10">
        <f t="shared" si="114"/>
        <v>0</v>
      </c>
      <c r="BL20" s="88">
        <f t="shared" si="114"/>
        <v>0</v>
      </c>
      <c r="BM20" s="88">
        <f t="shared" si="114"/>
        <v>0</v>
      </c>
      <c r="BN20" s="88">
        <f t="shared" si="114"/>
        <v>0</v>
      </c>
      <c r="BO20" s="88">
        <f t="shared" si="114"/>
        <v>0</v>
      </c>
      <c r="BP20" s="88">
        <f t="shared" si="114"/>
        <v>0</v>
      </c>
      <c r="BQ20" s="88">
        <f t="shared" si="114"/>
        <v>0</v>
      </c>
      <c r="BR20" s="88">
        <f t="shared" si="114"/>
        <v>0</v>
      </c>
      <c r="BS20" s="180">
        <f t="shared" si="114"/>
        <v>0</v>
      </c>
      <c r="BT20" s="88">
        <f t="shared" si="114"/>
        <v>0</v>
      </c>
      <c r="BU20" s="88">
        <f t="shared" si="114"/>
        <v>0</v>
      </c>
      <c r="BV20" s="88">
        <f t="shared" si="114"/>
        <v>0</v>
      </c>
      <c r="BW20" s="88">
        <f t="shared" si="114"/>
        <v>0</v>
      </c>
      <c r="BX20" s="88">
        <f t="shared" si="114"/>
        <v>0</v>
      </c>
      <c r="BY20" s="88">
        <f t="shared" si="114"/>
        <v>0</v>
      </c>
      <c r="BZ20" s="88">
        <f t="shared" si="114"/>
        <v>0</v>
      </c>
      <c r="CA20" s="88">
        <f t="shared" si="114"/>
        <v>0</v>
      </c>
      <c r="CB20" s="88">
        <f t="shared" si="114"/>
        <v>0</v>
      </c>
    </row>
    <row r="21">
      <c r="A21" s="181" t="s">
        <v>197</v>
      </c>
      <c r="B21" s="31">
        <f t="shared" ref="B21:B63" si="120">0</f>
        <v>0</v>
      </c>
      <c r="C21" s="31">
        <f>22.1</f>
        <v>22.1</v>
      </c>
      <c r="D21" s="31">
        <f t="shared" ref="D21:G21" si="115">0</f>
        <v>0</v>
      </c>
      <c r="E21" s="31">
        <f t="shared" si="115"/>
        <v>0</v>
      </c>
      <c r="F21" s="31">
        <f t="shared" si="115"/>
        <v>0</v>
      </c>
      <c r="G21" s="31">
        <f t="shared" si="115"/>
        <v>0</v>
      </c>
      <c r="H21" s="179">
        <f t="shared" si="72"/>
        <v>0</v>
      </c>
      <c r="I21" s="31">
        <f t="shared" si="73"/>
        <v>0</v>
      </c>
      <c r="J21" s="31">
        <f t="shared" ref="J21:AH21" si="116">0</f>
        <v>0</v>
      </c>
      <c r="K21" s="31">
        <f t="shared" si="116"/>
        <v>0</v>
      </c>
      <c r="L21" s="31">
        <f t="shared" si="116"/>
        <v>0</v>
      </c>
      <c r="M21" s="31">
        <f t="shared" si="116"/>
        <v>0</v>
      </c>
      <c r="N21" s="31">
        <f t="shared" si="116"/>
        <v>0</v>
      </c>
      <c r="O21" s="31">
        <f t="shared" si="116"/>
        <v>0</v>
      </c>
      <c r="P21" s="31">
        <f t="shared" si="116"/>
        <v>0</v>
      </c>
      <c r="Q21" s="31">
        <f t="shared" si="116"/>
        <v>0</v>
      </c>
      <c r="R21" s="31">
        <f t="shared" si="116"/>
        <v>0</v>
      </c>
      <c r="S21" s="31">
        <f t="shared" si="116"/>
        <v>0</v>
      </c>
      <c r="T21" s="31">
        <f t="shared" si="116"/>
        <v>0</v>
      </c>
      <c r="U21" s="31">
        <f t="shared" si="116"/>
        <v>0</v>
      </c>
      <c r="V21" s="31">
        <f t="shared" si="116"/>
        <v>0</v>
      </c>
      <c r="W21" s="31">
        <f t="shared" si="116"/>
        <v>0</v>
      </c>
      <c r="X21" s="31">
        <f t="shared" si="116"/>
        <v>0</v>
      </c>
      <c r="Y21" s="31">
        <f t="shared" si="116"/>
        <v>0</v>
      </c>
      <c r="Z21" s="31">
        <f t="shared" si="116"/>
        <v>0</v>
      </c>
      <c r="AA21" s="31">
        <f t="shared" si="116"/>
        <v>0</v>
      </c>
      <c r="AB21" s="31">
        <f t="shared" si="116"/>
        <v>0</v>
      </c>
      <c r="AC21" s="31">
        <f t="shared" si="116"/>
        <v>0</v>
      </c>
      <c r="AD21" s="31">
        <f t="shared" si="116"/>
        <v>0</v>
      </c>
      <c r="AE21" s="31">
        <f t="shared" si="116"/>
        <v>0</v>
      </c>
      <c r="AF21" s="31">
        <f t="shared" si="116"/>
        <v>0</v>
      </c>
      <c r="AG21" s="31">
        <f t="shared" si="116"/>
        <v>0</v>
      </c>
      <c r="AH21" s="31">
        <f t="shared" si="116"/>
        <v>0</v>
      </c>
      <c r="AI21" s="31">
        <f>25</f>
        <v>25</v>
      </c>
      <c r="AJ21" s="31">
        <f t="shared" ref="AJ21:BB21" si="117">0</f>
        <v>0</v>
      </c>
      <c r="AK21" s="31">
        <f t="shared" si="117"/>
        <v>0</v>
      </c>
      <c r="AL21" s="31">
        <f t="shared" si="117"/>
        <v>0</v>
      </c>
      <c r="AM21" s="31">
        <f t="shared" si="117"/>
        <v>0</v>
      </c>
      <c r="AN21" s="31">
        <f t="shared" si="117"/>
        <v>0</v>
      </c>
      <c r="AO21" s="31">
        <f t="shared" si="117"/>
        <v>0</v>
      </c>
      <c r="AP21" s="31">
        <f t="shared" si="117"/>
        <v>0</v>
      </c>
      <c r="AQ21" s="31">
        <f t="shared" si="117"/>
        <v>0</v>
      </c>
      <c r="AR21" s="31">
        <f t="shared" si="117"/>
        <v>0</v>
      </c>
      <c r="AS21" s="31">
        <f t="shared" si="117"/>
        <v>0</v>
      </c>
      <c r="AT21" s="31">
        <f t="shared" si="117"/>
        <v>0</v>
      </c>
      <c r="AU21" s="31">
        <f t="shared" si="117"/>
        <v>0</v>
      </c>
      <c r="AV21" s="31">
        <f t="shared" si="117"/>
        <v>0</v>
      </c>
      <c r="AW21" s="31">
        <f t="shared" si="117"/>
        <v>0</v>
      </c>
      <c r="AX21" s="31">
        <f t="shared" si="117"/>
        <v>0</v>
      </c>
      <c r="AY21" s="31">
        <f t="shared" si="117"/>
        <v>0</v>
      </c>
      <c r="AZ21" s="31">
        <f t="shared" si="117"/>
        <v>0</v>
      </c>
      <c r="BA21" s="31">
        <f t="shared" si="117"/>
        <v>0</v>
      </c>
      <c r="BB21" s="31">
        <f t="shared" si="117"/>
        <v>0</v>
      </c>
      <c r="BC21" s="31">
        <f>22.1</f>
        <v>22.1</v>
      </c>
      <c r="BD21" s="31">
        <f t="shared" ref="BD21:BG21" si="118">0</f>
        <v>0</v>
      </c>
      <c r="BE21" s="31">
        <f t="shared" si="118"/>
        <v>0</v>
      </c>
      <c r="BF21" s="31">
        <f t="shared" si="118"/>
        <v>0</v>
      </c>
      <c r="BG21" s="31">
        <f t="shared" si="118"/>
        <v>0</v>
      </c>
      <c r="BH21" s="88">
        <f t="shared" si="79"/>
        <v>0</v>
      </c>
      <c r="BI21" s="88">
        <f t="shared" ref="BI21:CA21" si="119">0</f>
        <v>0</v>
      </c>
      <c r="BJ21" s="88">
        <f t="shared" si="119"/>
        <v>0</v>
      </c>
      <c r="BK21" s="10">
        <f t="shared" si="119"/>
        <v>0</v>
      </c>
      <c r="BL21" s="88">
        <f t="shared" si="119"/>
        <v>0</v>
      </c>
      <c r="BM21" s="88">
        <f t="shared" si="119"/>
        <v>0</v>
      </c>
      <c r="BN21" s="88">
        <f t="shared" si="119"/>
        <v>0</v>
      </c>
      <c r="BO21" s="88">
        <f t="shared" si="119"/>
        <v>0</v>
      </c>
      <c r="BP21" s="88">
        <f t="shared" si="119"/>
        <v>0</v>
      </c>
      <c r="BQ21" s="88">
        <f t="shared" si="119"/>
        <v>0</v>
      </c>
      <c r="BR21" s="88">
        <f t="shared" si="119"/>
        <v>0</v>
      </c>
      <c r="BS21" s="180">
        <f t="shared" si="119"/>
        <v>0</v>
      </c>
      <c r="BT21" s="88">
        <f t="shared" si="119"/>
        <v>0</v>
      </c>
      <c r="BU21" s="88">
        <f t="shared" si="119"/>
        <v>0</v>
      </c>
      <c r="BV21" s="88">
        <f t="shared" si="119"/>
        <v>0</v>
      </c>
      <c r="BW21" s="88">
        <f t="shared" si="119"/>
        <v>0</v>
      </c>
      <c r="BX21" s="88">
        <f t="shared" si="119"/>
        <v>0</v>
      </c>
      <c r="BY21" s="88">
        <f t="shared" si="119"/>
        <v>0</v>
      </c>
      <c r="BZ21" s="88">
        <f t="shared" si="119"/>
        <v>0</v>
      </c>
      <c r="CA21" s="88">
        <f t="shared" si="119"/>
        <v>0</v>
      </c>
      <c r="CB21" s="88">
        <f>(O8 - 1) * 5</f>
        <v>-5</v>
      </c>
    </row>
    <row r="22">
      <c r="A22" s="181" t="s">
        <v>198</v>
      </c>
      <c r="B22" s="31">
        <f t="shared" si="120"/>
        <v>0</v>
      </c>
      <c r="C22" s="31">
        <f t="shared" ref="C22:G22" si="121">0</f>
        <v>0</v>
      </c>
      <c r="D22" s="31">
        <f t="shared" si="121"/>
        <v>0</v>
      </c>
      <c r="E22" s="31">
        <f t="shared" si="121"/>
        <v>0</v>
      </c>
      <c r="F22" s="31">
        <f t="shared" si="121"/>
        <v>0</v>
      </c>
      <c r="G22" s="31">
        <f t="shared" si="121"/>
        <v>0</v>
      </c>
      <c r="H22" s="179">
        <f t="shared" si="72"/>
        <v>0</v>
      </c>
      <c r="I22" s="31">
        <f t="shared" si="73"/>
        <v>0</v>
      </c>
      <c r="J22" s="31">
        <f t="shared" ref="J22:AX22" si="122">0</f>
        <v>0</v>
      </c>
      <c r="K22" s="31">
        <f t="shared" si="122"/>
        <v>0</v>
      </c>
      <c r="L22" s="31">
        <f t="shared" si="122"/>
        <v>0</v>
      </c>
      <c r="M22" s="31">
        <f t="shared" si="122"/>
        <v>0</v>
      </c>
      <c r="N22" s="31">
        <f t="shared" si="122"/>
        <v>0</v>
      </c>
      <c r="O22" s="31">
        <f t="shared" si="122"/>
        <v>0</v>
      </c>
      <c r="P22" s="31">
        <f t="shared" si="122"/>
        <v>0</v>
      </c>
      <c r="Q22" s="31">
        <f t="shared" si="122"/>
        <v>0</v>
      </c>
      <c r="R22" s="31">
        <f t="shared" si="122"/>
        <v>0</v>
      </c>
      <c r="S22" s="31">
        <f t="shared" si="122"/>
        <v>0</v>
      </c>
      <c r="T22" s="31">
        <f t="shared" si="122"/>
        <v>0</v>
      </c>
      <c r="U22" s="31">
        <f t="shared" si="122"/>
        <v>0</v>
      </c>
      <c r="V22" s="31">
        <f t="shared" si="122"/>
        <v>0</v>
      </c>
      <c r="W22" s="31">
        <f t="shared" si="122"/>
        <v>0</v>
      </c>
      <c r="X22" s="31">
        <f t="shared" si="122"/>
        <v>0</v>
      </c>
      <c r="Y22" s="31">
        <f t="shared" si="122"/>
        <v>0</v>
      </c>
      <c r="Z22" s="31">
        <f t="shared" si="122"/>
        <v>0</v>
      </c>
      <c r="AA22" s="31">
        <f t="shared" si="122"/>
        <v>0</v>
      </c>
      <c r="AB22" s="31">
        <f t="shared" si="122"/>
        <v>0</v>
      </c>
      <c r="AC22" s="31">
        <f t="shared" si="122"/>
        <v>0</v>
      </c>
      <c r="AD22" s="31">
        <f t="shared" si="122"/>
        <v>0</v>
      </c>
      <c r="AE22" s="31">
        <f t="shared" si="122"/>
        <v>0</v>
      </c>
      <c r="AF22" s="31">
        <f t="shared" si="122"/>
        <v>0</v>
      </c>
      <c r="AG22" s="31">
        <f t="shared" si="122"/>
        <v>0</v>
      </c>
      <c r="AH22" s="31">
        <f t="shared" si="122"/>
        <v>0</v>
      </c>
      <c r="AI22" s="31">
        <f t="shared" si="122"/>
        <v>0</v>
      </c>
      <c r="AJ22" s="31">
        <f t="shared" si="122"/>
        <v>0</v>
      </c>
      <c r="AK22" s="31">
        <f t="shared" si="122"/>
        <v>0</v>
      </c>
      <c r="AL22" s="31">
        <f t="shared" si="122"/>
        <v>0</v>
      </c>
      <c r="AM22" s="31">
        <f t="shared" si="122"/>
        <v>0</v>
      </c>
      <c r="AN22" s="31">
        <f t="shared" si="122"/>
        <v>0</v>
      </c>
      <c r="AO22" s="31">
        <f t="shared" si="122"/>
        <v>0</v>
      </c>
      <c r="AP22" s="31">
        <f t="shared" si="122"/>
        <v>0</v>
      </c>
      <c r="AQ22" s="31">
        <f t="shared" si="122"/>
        <v>0</v>
      </c>
      <c r="AR22" s="31">
        <f t="shared" si="122"/>
        <v>0</v>
      </c>
      <c r="AS22" s="31">
        <f t="shared" si="122"/>
        <v>0</v>
      </c>
      <c r="AT22" s="31">
        <f t="shared" si="122"/>
        <v>0</v>
      </c>
      <c r="AU22" s="31">
        <f t="shared" si="122"/>
        <v>0</v>
      </c>
      <c r="AV22" s="31">
        <f t="shared" si="122"/>
        <v>0</v>
      </c>
      <c r="AW22" s="31">
        <f t="shared" si="122"/>
        <v>0</v>
      </c>
      <c r="AX22" s="31">
        <f t="shared" si="122"/>
        <v>0</v>
      </c>
      <c r="AY22" s="31">
        <f>0</f>
        <v>0</v>
      </c>
      <c r="AZ22" s="31">
        <f t="shared" ref="AZ22:BG22" si="123">0</f>
        <v>0</v>
      </c>
      <c r="BA22" s="31">
        <f t="shared" si="123"/>
        <v>0</v>
      </c>
      <c r="BB22" s="31">
        <f t="shared" si="123"/>
        <v>0</v>
      </c>
      <c r="BC22" s="31">
        <f t="shared" si="123"/>
        <v>0</v>
      </c>
      <c r="BD22" s="31">
        <f t="shared" si="123"/>
        <v>0</v>
      </c>
      <c r="BE22" s="31">
        <f t="shared" si="123"/>
        <v>0</v>
      </c>
      <c r="BF22" s="31">
        <f t="shared" si="123"/>
        <v>0</v>
      </c>
      <c r="BG22" s="31">
        <f t="shared" si="123"/>
        <v>0</v>
      </c>
      <c r="BH22" s="88">
        <f t="shared" si="79"/>
        <v>0</v>
      </c>
      <c r="BI22" s="88">
        <f t="shared" ref="BI22:CB22" si="124">0</f>
        <v>0</v>
      </c>
      <c r="BJ22" s="88">
        <f t="shared" si="124"/>
        <v>0</v>
      </c>
      <c r="BK22" s="10">
        <f t="shared" si="124"/>
        <v>0</v>
      </c>
      <c r="BL22" s="88">
        <f t="shared" si="124"/>
        <v>0</v>
      </c>
      <c r="BM22" s="88">
        <f t="shared" si="124"/>
        <v>0</v>
      </c>
      <c r="BN22" s="88">
        <f t="shared" si="124"/>
        <v>0</v>
      </c>
      <c r="BO22" s="88">
        <f t="shared" si="124"/>
        <v>0</v>
      </c>
      <c r="BP22" s="88">
        <f t="shared" si="124"/>
        <v>0</v>
      </c>
      <c r="BQ22" s="88">
        <f t="shared" si="124"/>
        <v>0</v>
      </c>
      <c r="BR22" s="88">
        <f t="shared" si="124"/>
        <v>0</v>
      </c>
      <c r="BS22" s="180">
        <f t="shared" si="124"/>
        <v>0</v>
      </c>
      <c r="BT22" s="88">
        <f t="shared" si="124"/>
        <v>0</v>
      </c>
      <c r="BU22" s="88">
        <f t="shared" si="124"/>
        <v>0</v>
      </c>
      <c r="BV22" s="88">
        <f t="shared" si="124"/>
        <v>0</v>
      </c>
      <c r="BW22" s="88">
        <f t="shared" si="124"/>
        <v>0</v>
      </c>
      <c r="BX22" s="88">
        <f t="shared" si="124"/>
        <v>0</v>
      </c>
      <c r="BY22" s="88">
        <f t="shared" si="124"/>
        <v>0</v>
      </c>
      <c r="BZ22" s="88">
        <f t="shared" si="124"/>
        <v>0</v>
      </c>
      <c r="CA22" s="88">
        <f t="shared" si="124"/>
        <v>0</v>
      </c>
      <c r="CB22" s="88">
        <f t="shared" si="124"/>
        <v>0</v>
      </c>
    </row>
    <row r="23">
      <c r="A23" s="181" t="s">
        <v>199</v>
      </c>
      <c r="B23" s="31">
        <f t="shared" si="120"/>
        <v>0</v>
      </c>
      <c r="C23" s="31">
        <f t="shared" ref="C23:G23" si="125">0</f>
        <v>0</v>
      </c>
      <c r="D23" s="31">
        <f t="shared" si="125"/>
        <v>0</v>
      </c>
      <c r="E23" s="31">
        <f t="shared" si="125"/>
        <v>0</v>
      </c>
      <c r="F23" s="31">
        <f t="shared" si="125"/>
        <v>0</v>
      </c>
      <c r="G23" s="31">
        <f t="shared" si="125"/>
        <v>0</v>
      </c>
      <c r="H23" s="179">
        <f t="shared" si="72"/>
        <v>0</v>
      </c>
      <c r="I23" s="31">
        <f t="shared" si="73"/>
        <v>0</v>
      </c>
      <c r="J23" s="31">
        <f t="shared" ref="J23:BG23" si="126">0</f>
        <v>0</v>
      </c>
      <c r="K23" s="31">
        <f t="shared" si="126"/>
        <v>0</v>
      </c>
      <c r="L23" s="31">
        <f t="shared" si="126"/>
        <v>0</v>
      </c>
      <c r="M23" s="31">
        <f t="shared" si="126"/>
        <v>0</v>
      </c>
      <c r="N23" s="31">
        <f t="shared" si="126"/>
        <v>0</v>
      </c>
      <c r="O23" s="31">
        <f t="shared" si="126"/>
        <v>0</v>
      </c>
      <c r="P23" s="31">
        <f t="shared" si="126"/>
        <v>0</v>
      </c>
      <c r="Q23" s="31">
        <f t="shared" si="126"/>
        <v>0</v>
      </c>
      <c r="R23" s="31">
        <f t="shared" si="126"/>
        <v>0</v>
      </c>
      <c r="S23" s="31">
        <f t="shared" si="126"/>
        <v>0</v>
      </c>
      <c r="T23" s="31">
        <f t="shared" si="126"/>
        <v>0</v>
      </c>
      <c r="U23" s="31">
        <f t="shared" si="126"/>
        <v>0</v>
      </c>
      <c r="V23" s="31">
        <f t="shared" si="126"/>
        <v>0</v>
      </c>
      <c r="W23" s="31">
        <f t="shared" si="126"/>
        <v>0</v>
      </c>
      <c r="X23" s="31">
        <f t="shared" si="126"/>
        <v>0</v>
      </c>
      <c r="Y23" s="31">
        <f t="shared" si="126"/>
        <v>0</v>
      </c>
      <c r="Z23" s="31">
        <f t="shared" si="126"/>
        <v>0</v>
      </c>
      <c r="AA23" s="31">
        <f t="shared" si="126"/>
        <v>0</v>
      </c>
      <c r="AB23" s="31">
        <f t="shared" si="126"/>
        <v>0</v>
      </c>
      <c r="AC23" s="31">
        <f t="shared" si="126"/>
        <v>0</v>
      </c>
      <c r="AD23" s="31">
        <f t="shared" si="126"/>
        <v>0</v>
      </c>
      <c r="AE23" s="31">
        <f t="shared" si="126"/>
        <v>0</v>
      </c>
      <c r="AF23" s="31">
        <f t="shared" si="126"/>
        <v>0</v>
      </c>
      <c r="AG23" s="31">
        <f t="shared" si="126"/>
        <v>0</v>
      </c>
      <c r="AH23" s="31">
        <f t="shared" si="126"/>
        <v>0</v>
      </c>
      <c r="AI23" s="31">
        <f t="shared" si="126"/>
        <v>0</v>
      </c>
      <c r="AJ23" s="31">
        <f t="shared" si="126"/>
        <v>0</v>
      </c>
      <c r="AK23" s="31">
        <f t="shared" si="126"/>
        <v>0</v>
      </c>
      <c r="AL23" s="31">
        <f t="shared" si="126"/>
        <v>0</v>
      </c>
      <c r="AM23" s="31">
        <f t="shared" si="126"/>
        <v>0</v>
      </c>
      <c r="AN23" s="31">
        <f t="shared" si="126"/>
        <v>0</v>
      </c>
      <c r="AO23" s="31">
        <f t="shared" si="126"/>
        <v>0</v>
      </c>
      <c r="AP23" s="31">
        <f t="shared" si="126"/>
        <v>0</v>
      </c>
      <c r="AQ23" s="31">
        <f t="shared" si="126"/>
        <v>0</v>
      </c>
      <c r="AR23" s="31">
        <f t="shared" si="126"/>
        <v>0</v>
      </c>
      <c r="AS23" s="31">
        <f t="shared" si="126"/>
        <v>0</v>
      </c>
      <c r="AT23" s="31">
        <f t="shared" si="126"/>
        <v>0</v>
      </c>
      <c r="AU23" s="31">
        <f t="shared" si="126"/>
        <v>0</v>
      </c>
      <c r="AV23" s="31">
        <f t="shared" si="126"/>
        <v>0</v>
      </c>
      <c r="AW23" s="31">
        <f t="shared" si="126"/>
        <v>0</v>
      </c>
      <c r="AX23" s="31">
        <f t="shared" si="126"/>
        <v>0</v>
      </c>
      <c r="AY23" s="31">
        <f t="shared" si="126"/>
        <v>0</v>
      </c>
      <c r="AZ23" s="31">
        <f t="shared" si="126"/>
        <v>0</v>
      </c>
      <c r="BA23" s="31">
        <f t="shared" si="126"/>
        <v>0</v>
      </c>
      <c r="BB23" s="31">
        <f t="shared" si="126"/>
        <v>0</v>
      </c>
      <c r="BC23" s="31">
        <f t="shared" si="126"/>
        <v>0</v>
      </c>
      <c r="BD23" s="31">
        <f t="shared" si="126"/>
        <v>0</v>
      </c>
      <c r="BE23" s="31">
        <f t="shared" si="126"/>
        <v>0</v>
      </c>
      <c r="BF23" s="31">
        <f t="shared" si="126"/>
        <v>0</v>
      </c>
      <c r="BG23" s="31">
        <f t="shared" si="126"/>
        <v>0</v>
      </c>
      <c r="BH23" s="88">
        <f t="shared" si="79"/>
        <v>0</v>
      </c>
      <c r="BI23" s="88">
        <f t="shared" ref="BI23:CB23" si="127">0</f>
        <v>0</v>
      </c>
      <c r="BJ23" s="88">
        <f t="shared" si="127"/>
        <v>0</v>
      </c>
      <c r="BK23" s="10">
        <f t="shared" si="127"/>
        <v>0</v>
      </c>
      <c r="BL23" s="88">
        <f t="shared" si="127"/>
        <v>0</v>
      </c>
      <c r="BM23" s="88">
        <f t="shared" si="127"/>
        <v>0</v>
      </c>
      <c r="BN23" s="88">
        <f t="shared" si="127"/>
        <v>0</v>
      </c>
      <c r="BO23" s="88">
        <f t="shared" si="127"/>
        <v>0</v>
      </c>
      <c r="BP23" s="88">
        <f t="shared" si="127"/>
        <v>0</v>
      </c>
      <c r="BQ23" s="88">
        <f t="shared" si="127"/>
        <v>0</v>
      </c>
      <c r="BR23" s="88">
        <f t="shared" si="127"/>
        <v>0</v>
      </c>
      <c r="BS23" s="180">
        <f t="shared" si="127"/>
        <v>0</v>
      </c>
      <c r="BT23" s="88">
        <f t="shared" si="127"/>
        <v>0</v>
      </c>
      <c r="BU23" s="88">
        <f t="shared" si="127"/>
        <v>0</v>
      </c>
      <c r="BV23" s="88">
        <f t="shared" si="127"/>
        <v>0</v>
      </c>
      <c r="BW23" s="88">
        <f t="shared" si="127"/>
        <v>0</v>
      </c>
      <c r="BX23" s="88">
        <f t="shared" si="127"/>
        <v>0</v>
      </c>
      <c r="BY23" s="88">
        <f t="shared" si="127"/>
        <v>0</v>
      </c>
      <c r="BZ23" s="88">
        <f t="shared" si="127"/>
        <v>0</v>
      </c>
      <c r="CA23" s="88">
        <f t="shared" si="127"/>
        <v>0</v>
      </c>
      <c r="CB23" s="88">
        <f t="shared" si="127"/>
        <v>0</v>
      </c>
    </row>
    <row r="24">
      <c r="A24" s="181" t="s">
        <v>200</v>
      </c>
      <c r="B24" s="31">
        <f t="shared" si="120"/>
        <v>0</v>
      </c>
      <c r="C24" s="31">
        <f t="shared" ref="C24:G24" si="128">0</f>
        <v>0</v>
      </c>
      <c r="D24" s="31">
        <f t="shared" si="128"/>
        <v>0</v>
      </c>
      <c r="E24" s="31">
        <f t="shared" si="128"/>
        <v>0</v>
      </c>
      <c r="F24" s="31">
        <f t="shared" si="128"/>
        <v>0</v>
      </c>
      <c r="G24" s="31">
        <f t="shared" si="128"/>
        <v>0</v>
      </c>
      <c r="H24" s="179">
        <f t="shared" si="72"/>
        <v>0</v>
      </c>
      <c r="I24" s="31">
        <f t="shared" si="73"/>
        <v>0</v>
      </c>
      <c r="J24" s="31">
        <f t="shared" ref="J24:AX24" si="129">0</f>
        <v>0</v>
      </c>
      <c r="K24" s="31">
        <f t="shared" si="129"/>
        <v>0</v>
      </c>
      <c r="L24" s="31">
        <f t="shared" si="129"/>
        <v>0</v>
      </c>
      <c r="M24" s="31">
        <f t="shared" si="129"/>
        <v>0</v>
      </c>
      <c r="N24" s="31">
        <f t="shared" si="129"/>
        <v>0</v>
      </c>
      <c r="O24" s="31">
        <f t="shared" si="129"/>
        <v>0</v>
      </c>
      <c r="P24" s="31">
        <f t="shared" si="129"/>
        <v>0</v>
      </c>
      <c r="Q24" s="31">
        <f t="shared" si="129"/>
        <v>0</v>
      </c>
      <c r="R24" s="31">
        <f t="shared" si="129"/>
        <v>0</v>
      </c>
      <c r="S24" s="31">
        <f t="shared" si="129"/>
        <v>0</v>
      </c>
      <c r="T24" s="31">
        <f t="shared" si="129"/>
        <v>0</v>
      </c>
      <c r="U24" s="31">
        <f t="shared" si="129"/>
        <v>0</v>
      </c>
      <c r="V24" s="31">
        <f t="shared" si="129"/>
        <v>0</v>
      </c>
      <c r="W24" s="31">
        <f t="shared" si="129"/>
        <v>0</v>
      </c>
      <c r="X24" s="31">
        <f t="shared" si="129"/>
        <v>0</v>
      </c>
      <c r="Y24" s="31">
        <f t="shared" si="129"/>
        <v>0</v>
      </c>
      <c r="Z24" s="31">
        <f t="shared" si="129"/>
        <v>0</v>
      </c>
      <c r="AA24" s="31">
        <f t="shared" si="129"/>
        <v>0</v>
      </c>
      <c r="AB24" s="31">
        <f t="shared" si="129"/>
        <v>0</v>
      </c>
      <c r="AC24" s="31">
        <f t="shared" si="129"/>
        <v>0</v>
      </c>
      <c r="AD24" s="31">
        <f t="shared" si="129"/>
        <v>0</v>
      </c>
      <c r="AE24" s="31">
        <f t="shared" si="129"/>
        <v>0</v>
      </c>
      <c r="AF24" s="31">
        <f t="shared" si="129"/>
        <v>0</v>
      </c>
      <c r="AG24" s="31">
        <f t="shared" si="129"/>
        <v>0</v>
      </c>
      <c r="AH24" s="31">
        <f t="shared" si="129"/>
        <v>0</v>
      </c>
      <c r="AI24" s="31">
        <f t="shared" si="129"/>
        <v>0</v>
      </c>
      <c r="AJ24" s="31">
        <f t="shared" si="129"/>
        <v>0</v>
      </c>
      <c r="AK24" s="31">
        <f t="shared" si="129"/>
        <v>0</v>
      </c>
      <c r="AL24" s="31">
        <f t="shared" si="129"/>
        <v>0</v>
      </c>
      <c r="AM24" s="31">
        <f t="shared" si="129"/>
        <v>0</v>
      </c>
      <c r="AN24" s="31">
        <f t="shared" si="129"/>
        <v>0</v>
      </c>
      <c r="AO24" s="31">
        <f t="shared" si="129"/>
        <v>0</v>
      </c>
      <c r="AP24" s="31">
        <f t="shared" si="129"/>
        <v>0</v>
      </c>
      <c r="AQ24" s="31">
        <f t="shared" si="129"/>
        <v>0</v>
      </c>
      <c r="AR24" s="31">
        <f t="shared" si="129"/>
        <v>0</v>
      </c>
      <c r="AS24" s="31">
        <f t="shared" si="129"/>
        <v>0</v>
      </c>
      <c r="AT24" s="31">
        <f t="shared" si="129"/>
        <v>0</v>
      </c>
      <c r="AU24" s="31">
        <f t="shared" si="129"/>
        <v>0</v>
      </c>
      <c r="AV24" s="31">
        <f t="shared" si="129"/>
        <v>0</v>
      </c>
      <c r="AW24" s="31">
        <f t="shared" si="129"/>
        <v>0</v>
      </c>
      <c r="AX24" s="31">
        <f t="shared" si="129"/>
        <v>0</v>
      </c>
      <c r="AY24" s="31">
        <f>IF(OR(INDIRECT(ADDRESS(ROW() - 22, COLUMN())) = "C0",INDIRECT(ADDRESS(ROW() - 22, COLUMN()))  = "C1"), 0, 15)</f>
        <v>15</v>
      </c>
      <c r="AZ24" s="31">
        <f t="shared" ref="AZ24:BG24" si="130">0</f>
        <v>0</v>
      </c>
      <c r="BA24" s="31">
        <f t="shared" si="130"/>
        <v>0</v>
      </c>
      <c r="BB24" s="31">
        <f t="shared" si="130"/>
        <v>0</v>
      </c>
      <c r="BC24" s="31">
        <f t="shared" si="130"/>
        <v>0</v>
      </c>
      <c r="BD24" s="31">
        <f t="shared" si="130"/>
        <v>0</v>
      </c>
      <c r="BE24" s="31">
        <f t="shared" si="130"/>
        <v>0</v>
      </c>
      <c r="BF24" s="31">
        <f t="shared" si="130"/>
        <v>0</v>
      </c>
      <c r="BG24" s="31">
        <f t="shared" si="130"/>
        <v>0</v>
      </c>
      <c r="BH24" s="88">
        <f t="shared" si="79"/>
        <v>0</v>
      </c>
      <c r="BI24" s="88">
        <f t="shared" ref="BI24:CB24" si="131">0</f>
        <v>0</v>
      </c>
      <c r="BJ24" s="88">
        <f t="shared" si="131"/>
        <v>0</v>
      </c>
      <c r="BK24" s="10">
        <f t="shared" si="131"/>
        <v>0</v>
      </c>
      <c r="BL24" s="88">
        <f t="shared" si="131"/>
        <v>0</v>
      </c>
      <c r="BM24" s="88">
        <f t="shared" si="131"/>
        <v>0</v>
      </c>
      <c r="BN24" s="88">
        <f t="shared" si="131"/>
        <v>0</v>
      </c>
      <c r="BO24" s="88">
        <f t="shared" si="131"/>
        <v>0</v>
      </c>
      <c r="BP24" s="88">
        <f t="shared" si="131"/>
        <v>0</v>
      </c>
      <c r="BQ24" s="88">
        <f t="shared" si="131"/>
        <v>0</v>
      </c>
      <c r="BR24" s="88">
        <f t="shared" si="131"/>
        <v>0</v>
      </c>
      <c r="BS24" s="180">
        <f t="shared" si="131"/>
        <v>0</v>
      </c>
      <c r="BT24" s="88">
        <f t="shared" si="131"/>
        <v>0</v>
      </c>
      <c r="BU24" s="88">
        <f t="shared" si="131"/>
        <v>0</v>
      </c>
      <c r="BV24" s="88">
        <f t="shared" si="131"/>
        <v>0</v>
      </c>
      <c r="BW24" s="88">
        <f t="shared" si="131"/>
        <v>0</v>
      </c>
      <c r="BX24" s="88">
        <f t="shared" si="131"/>
        <v>0</v>
      </c>
      <c r="BY24" s="88">
        <f t="shared" si="131"/>
        <v>0</v>
      </c>
      <c r="BZ24" s="88">
        <f t="shared" si="131"/>
        <v>0</v>
      </c>
      <c r="CA24" s="88">
        <f t="shared" si="131"/>
        <v>0</v>
      </c>
      <c r="CB24" s="88">
        <f t="shared" si="131"/>
        <v>0</v>
      </c>
    </row>
    <row r="25">
      <c r="A25" s="181" t="s">
        <v>201</v>
      </c>
      <c r="B25" s="31">
        <f t="shared" si="120"/>
        <v>0</v>
      </c>
      <c r="C25" s="31">
        <f t="shared" ref="C25:G25" si="132">0</f>
        <v>0</v>
      </c>
      <c r="D25" s="31">
        <f t="shared" si="132"/>
        <v>0</v>
      </c>
      <c r="E25" s="31">
        <f t="shared" si="132"/>
        <v>0</v>
      </c>
      <c r="F25" s="31">
        <f t="shared" si="132"/>
        <v>0</v>
      </c>
      <c r="G25" s="31">
        <f t="shared" si="132"/>
        <v>0</v>
      </c>
      <c r="H25" s="179">
        <f t="shared" si="72"/>
        <v>0</v>
      </c>
      <c r="I25" s="31">
        <f t="shared" si="73"/>
        <v>0</v>
      </c>
      <c r="J25" s="31">
        <f t="shared" ref="J25:BG25" si="133">0</f>
        <v>0</v>
      </c>
      <c r="K25" s="31">
        <f t="shared" si="133"/>
        <v>0</v>
      </c>
      <c r="L25" s="31">
        <f t="shared" si="133"/>
        <v>0</v>
      </c>
      <c r="M25" s="31">
        <f t="shared" si="133"/>
        <v>0</v>
      </c>
      <c r="N25" s="31">
        <f t="shared" si="133"/>
        <v>0</v>
      </c>
      <c r="O25" s="31">
        <f t="shared" si="133"/>
        <v>0</v>
      </c>
      <c r="P25" s="31">
        <f t="shared" si="133"/>
        <v>0</v>
      </c>
      <c r="Q25" s="31">
        <f t="shared" si="133"/>
        <v>0</v>
      </c>
      <c r="R25" s="31">
        <f t="shared" si="133"/>
        <v>0</v>
      </c>
      <c r="S25" s="31">
        <f t="shared" si="133"/>
        <v>0</v>
      </c>
      <c r="T25" s="31">
        <f t="shared" si="133"/>
        <v>0</v>
      </c>
      <c r="U25" s="31">
        <f t="shared" si="133"/>
        <v>0</v>
      </c>
      <c r="V25" s="31">
        <f t="shared" si="133"/>
        <v>0</v>
      </c>
      <c r="W25" s="31">
        <f t="shared" si="133"/>
        <v>0</v>
      </c>
      <c r="X25" s="31">
        <f t="shared" si="133"/>
        <v>0</v>
      </c>
      <c r="Y25" s="31">
        <f t="shared" si="133"/>
        <v>0</v>
      </c>
      <c r="Z25" s="31">
        <f t="shared" si="133"/>
        <v>0</v>
      </c>
      <c r="AA25" s="31">
        <f t="shared" si="133"/>
        <v>0</v>
      </c>
      <c r="AB25" s="31">
        <f t="shared" si="133"/>
        <v>0</v>
      </c>
      <c r="AC25" s="31">
        <f t="shared" si="133"/>
        <v>0</v>
      </c>
      <c r="AD25" s="31">
        <f t="shared" si="133"/>
        <v>0</v>
      </c>
      <c r="AE25" s="31">
        <f t="shared" si="133"/>
        <v>0</v>
      </c>
      <c r="AF25" s="31">
        <f t="shared" si="133"/>
        <v>0</v>
      </c>
      <c r="AG25" s="31">
        <f t="shared" si="133"/>
        <v>0</v>
      </c>
      <c r="AH25" s="31">
        <f t="shared" si="133"/>
        <v>0</v>
      </c>
      <c r="AI25" s="31">
        <f t="shared" si="133"/>
        <v>0</v>
      </c>
      <c r="AJ25" s="31">
        <f t="shared" si="133"/>
        <v>0</v>
      </c>
      <c r="AK25" s="31">
        <f t="shared" si="133"/>
        <v>0</v>
      </c>
      <c r="AL25" s="31">
        <f t="shared" si="133"/>
        <v>0</v>
      </c>
      <c r="AM25" s="31">
        <f t="shared" si="133"/>
        <v>0</v>
      </c>
      <c r="AN25" s="31">
        <f t="shared" si="133"/>
        <v>0</v>
      </c>
      <c r="AO25" s="31">
        <f t="shared" si="133"/>
        <v>0</v>
      </c>
      <c r="AP25" s="31">
        <f t="shared" si="133"/>
        <v>0</v>
      </c>
      <c r="AQ25" s="31">
        <f t="shared" si="133"/>
        <v>0</v>
      </c>
      <c r="AR25" s="31">
        <f t="shared" si="133"/>
        <v>0</v>
      </c>
      <c r="AS25" s="31">
        <f t="shared" si="133"/>
        <v>0</v>
      </c>
      <c r="AT25" s="31">
        <f t="shared" si="133"/>
        <v>0</v>
      </c>
      <c r="AU25" s="31">
        <f t="shared" si="133"/>
        <v>0</v>
      </c>
      <c r="AV25" s="31">
        <f t="shared" si="133"/>
        <v>0</v>
      </c>
      <c r="AW25" s="31">
        <f t="shared" si="133"/>
        <v>0</v>
      </c>
      <c r="AX25" s="31">
        <f t="shared" si="133"/>
        <v>0</v>
      </c>
      <c r="AY25" s="31">
        <f t="shared" si="133"/>
        <v>0</v>
      </c>
      <c r="AZ25" s="31">
        <f t="shared" si="133"/>
        <v>0</v>
      </c>
      <c r="BA25" s="31">
        <f t="shared" si="133"/>
        <v>0</v>
      </c>
      <c r="BB25" s="31">
        <f t="shared" si="133"/>
        <v>0</v>
      </c>
      <c r="BC25" s="31">
        <f t="shared" si="133"/>
        <v>0</v>
      </c>
      <c r="BD25" s="31">
        <f t="shared" si="133"/>
        <v>0</v>
      </c>
      <c r="BE25" s="31">
        <f t="shared" si="133"/>
        <v>0</v>
      </c>
      <c r="BF25" s="31">
        <f t="shared" si="133"/>
        <v>0</v>
      </c>
      <c r="BG25" s="31">
        <f t="shared" si="133"/>
        <v>0</v>
      </c>
      <c r="BH25" s="88">
        <f t="shared" si="79"/>
        <v>0</v>
      </c>
      <c r="BI25" s="88">
        <f t="shared" ref="BI25:CB25" si="134">0</f>
        <v>0</v>
      </c>
      <c r="BJ25" s="88">
        <f t="shared" si="134"/>
        <v>0</v>
      </c>
      <c r="BK25" s="10">
        <f t="shared" si="134"/>
        <v>0</v>
      </c>
      <c r="BL25" s="88">
        <f t="shared" si="134"/>
        <v>0</v>
      </c>
      <c r="BM25" s="88">
        <f t="shared" si="134"/>
        <v>0</v>
      </c>
      <c r="BN25" s="88">
        <f t="shared" si="134"/>
        <v>0</v>
      </c>
      <c r="BO25" s="88">
        <f t="shared" si="134"/>
        <v>0</v>
      </c>
      <c r="BP25" s="88">
        <f t="shared" si="134"/>
        <v>0</v>
      </c>
      <c r="BQ25" s="88">
        <f t="shared" si="134"/>
        <v>0</v>
      </c>
      <c r="BR25" s="88">
        <f t="shared" si="134"/>
        <v>0</v>
      </c>
      <c r="BS25" s="180">
        <f t="shared" si="134"/>
        <v>0</v>
      </c>
      <c r="BT25" s="88">
        <f t="shared" si="134"/>
        <v>0</v>
      </c>
      <c r="BU25" s="88">
        <f t="shared" si="134"/>
        <v>0</v>
      </c>
      <c r="BV25" s="88">
        <f t="shared" si="134"/>
        <v>0</v>
      </c>
      <c r="BW25" s="88">
        <f t="shared" si="134"/>
        <v>0</v>
      </c>
      <c r="BX25" s="88">
        <f t="shared" si="134"/>
        <v>0</v>
      </c>
      <c r="BY25" s="88">
        <f t="shared" si="134"/>
        <v>0</v>
      </c>
      <c r="BZ25" s="88">
        <f t="shared" si="134"/>
        <v>0</v>
      </c>
      <c r="CA25" s="88">
        <f t="shared" si="134"/>
        <v>0</v>
      </c>
      <c r="CB25" s="88">
        <f t="shared" si="134"/>
        <v>0</v>
      </c>
    </row>
    <row r="26">
      <c r="A26" s="181" t="s">
        <v>202</v>
      </c>
      <c r="B26" s="31">
        <f t="shared" si="120"/>
        <v>0</v>
      </c>
      <c r="C26" s="31">
        <f t="shared" ref="C26:G26" si="135">0</f>
        <v>0</v>
      </c>
      <c r="D26" s="31">
        <f t="shared" si="135"/>
        <v>0</v>
      </c>
      <c r="E26" s="31">
        <f t="shared" si="135"/>
        <v>0</v>
      </c>
      <c r="F26" s="31">
        <f t="shared" si="135"/>
        <v>0</v>
      </c>
      <c r="G26" s="31">
        <f t="shared" si="135"/>
        <v>0</v>
      </c>
      <c r="H26" s="179">
        <f t="shared" si="72"/>
        <v>0</v>
      </c>
      <c r="I26" s="31">
        <f t="shared" si="73"/>
        <v>0</v>
      </c>
      <c r="J26" s="31">
        <f t="shared" ref="J26:BG26" si="136">0</f>
        <v>0</v>
      </c>
      <c r="K26" s="31">
        <f t="shared" si="136"/>
        <v>0</v>
      </c>
      <c r="L26" s="31">
        <f t="shared" si="136"/>
        <v>0</v>
      </c>
      <c r="M26" s="31">
        <f t="shared" si="136"/>
        <v>0</v>
      </c>
      <c r="N26" s="31">
        <f t="shared" si="136"/>
        <v>0</v>
      </c>
      <c r="O26" s="31">
        <f t="shared" si="136"/>
        <v>0</v>
      </c>
      <c r="P26" s="31">
        <f t="shared" si="136"/>
        <v>0</v>
      </c>
      <c r="Q26" s="31">
        <f t="shared" si="136"/>
        <v>0</v>
      </c>
      <c r="R26" s="31">
        <f t="shared" si="136"/>
        <v>0</v>
      </c>
      <c r="S26" s="31">
        <f t="shared" si="136"/>
        <v>0</v>
      </c>
      <c r="T26" s="31">
        <f t="shared" si="136"/>
        <v>0</v>
      </c>
      <c r="U26" s="31">
        <f t="shared" si="136"/>
        <v>0</v>
      </c>
      <c r="V26" s="31">
        <f t="shared" si="136"/>
        <v>0</v>
      </c>
      <c r="W26" s="31">
        <f t="shared" si="136"/>
        <v>0</v>
      </c>
      <c r="X26" s="31">
        <f t="shared" si="136"/>
        <v>0</v>
      </c>
      <c r="Y26" s="31">
        <f t="shared" si="136"/>
        <v>0</v>
      </c>
      <c r="Z26" s="31">
        <f t="shared" si="136"/>
        <v>0</v>
      </c>
      <c r="AA26" s="31">
        <f t="shared" si="136"/>
        <v>0</v>
      </c>
      <c r="AB26" s="31">
        <f t="shared" si="136"/>
        <v>0</v>
      </c>
      <c r="AC26" s="31">
        <f t="shared" si="136"/>
        <v>0</v>
      </c>
      <c r="AD26" s="31">
        <f t="shared" si="136"/>
        <v>0</v>
      </c>
      <c r="AE26" s="31">
        <f t="shared" si="136"/>
        <v>0</v>
      </c>
      <c r="AF26" s="31">
        <f t="shared" si="136"/>
        <v>0</v>
      </c>
      <c r="AG26" s="31">
        <f t="shared" si="136"/>
        <v>0</v>
      </c>
      <c r="AH26" s="31">
        <f t="shared" si="136"/>
        <v>0</v>
      </c>
      <c r="AI26" s="31">
        <f t="shared" si="136"/>
        <v>0</v>
      </c>
      <c r="AJ26" s="31">
        <f t="shared" si="136"/>
        <v>0</v>
      </c>
      <c r="AK26" s="31">
        <f t="shared" si="136"/>
        <v>0</v>
      </c>
      <c r="AL26" s="31">
        <f t="shared" si="136"/>
        <v>0</v>
      </c>
      <c r="AM26" s="31">
        <f t="shared" si="136"/>
        <v>0</v>
      </c>
      <c r="AN26" s="31">
        <f t="shared" si="136"/>
        <v>0</v>
      </c>
      <c r="AO26" s="31">
        <f t="shared" si="136"/>
        <v>0</v>
      </c>
      <c r="AP26" s="31">
        <f t="shared" si="136"/>
        <v>0</v>
      </c>
      <c r="AQ26" s="31">
        <f t="shared" si="136"/>
        <v>0</v>
      </c>
      <c r="AR26" s="31">
        <f t="shared" si="136"/>
        <v>0</v>
      </c>
      <c r="AS26" s="31">
        <f t="shared" si="136"/>
        <v>0</v>
      </c>
      <c r="AT26" s="31">
        <f t="shared" si="136"/>
        <v>0</v>
      </c>
      <c r="AU26" s="31">
        <f t="shared" si="136"/>
        <v>0</v>
      </c>
      <c r="AV26" s="31">
        <f t="shared" si="136"/>
        <v>0</v>
      </c>
      <c r="AW26" s="31">
        <f t="shared" si="136"/>
        <v>0</v>
      </c>
      <c r="AX26" s="31">
        <f t="shared" si="136"/>
        <v>0</v>
      </c>
      <c r="AY26" s="31">
        <f t="shared" si="136"/>
        <v>0</v>
      </c>
      <c r="AZ26" s="31">
        <f t="shared" si="136"/>
        <v>0</v>
      </c>
      <c r="BA26" s="31">
        <f t="shared" si="136"/>
        <v>0</v>
      </c>
      <c r="BB26" s="31">
        <f t="shared" si="136"/>
        <v>0</v>
      </c>
      <c r="BC26" s="31">
        <f t="shared" si="136"/>
        <v>0</v>
      </c>
      <c r="BD26" s="31">
        <f t="shared" si="136"/>
        <v>0</v>
      </c>
      <c r="BE26" s="31">
        <f t="shared" si="136"/>
        <v>0</v>
      </c>
      <c r="BF26" s="31">
        <f t="shared" si="136"/>
        <v>0</v>
      </c>
      <c r="BG26" s="31">
        <f t="shared" si="136"/>
        <v>0</v>
      </c>
      <c r="BH26" s="88">
        <f t="shared" si="79"/>
        <v>0</v>
      </c>
      <c r="BI26" s="88">
        <f t="shared" ref="BI26:CB26" si="137">0</f>
        <v>0</v>
      </c>
      <c r="BJ26" s="88">
        <f t="shared" si="137"/>
        <v>0</v>
      </c>
      <c r="BK26" s="10">
        <f t="shared" si="137"/>
        <v>0</v>
      </c>
      <c r="BL26" s="88">
        <f t="shared" si="137"/>
        <v>0</v>
      </c>
      <c r="BM26" s="88">
        <f t="shared" si="137"/>
        <v>0</v>
      </c>
      <c r="BN26" s="88">
        <f t="shared" si="137"/>
        <v>0</v>
      </c>
      <c r="BO26" s="88">
        <f t="shared" si="137"/>
        <v>0</v>
      </c>
      <c r="BP26" s="88">
        <f t="shared" si="137"/>
        <v>0</v>
      </c>
      <c r="BQ26" s="88">
        <f t="shared" si="137"/>
        <v>0</v>
      </c>
      <c r="BR26" s="88">
        <f t="shared" si="137"/>
        <v>0</v>
      </c>
      <c r="BS26" s="180">
        <f t="shared" si="137"/>
        <v>0</v>
      </c>
      <c r="BT26" s="88">
        <f t="shared" si="137"/>
        <v>0</v>
      </c>
      <c r="BU26" s="88">
        <f t="shared" si="137"/>
        <v>0</v>
      </c>
      <c r="BV26" s="88">
        <f t="shared" si="137"/>
        <v>0</v>
      </c>
      <c r="BW26" s="88">
        <f t="shared" si="137"/>
        <v>0</v>
      </c>
      <c r="BX26" s="88">
        <f t="shared" si="137"/>
        <v>0</v>
      </c>
      <c r="BY26" s="88">
        <f t="shared" si="137"/>
        <v>0</v>
      </c>
      <c r="BZ26" s="88">
        <f t="shared" si="137"/>
        <v>0</v>
      </c>
      <c r="CA26" s="88">
        <f t="shared" si="137"/>
        <v>0</v>
      </c>
      <c r="CB26" s="88">
        <f t="shared" si="137"/>
        <v>0</v>
      </c>
    </row>
    <row r="27">
      <c r="A27" s="181" t="s">
        <v>203</v>
      </c>
      <c r="B27" s="31">
        <f t="shared" si="120"/>
        <v>0</v>
      </c>
      <c r="C27" s="31">
        <f t="shared" ref="C27:G27" si="138">0</f>
        <v>0</v>
      </c>
      <c r="D27" s="31">
        <f t="shared" si="138"/>
        <v>0</v>
      </c>
      <c r="E27" s="31">
        <f t="shared" si="138"/>
        <v>0</v>
      </c>
      <c r="F27" s="31">
        <f t="shared" si="138"/>
        <v>0</v>
      </c>
      <c r="G27" s="31">
        <f t="shared" si="138"/>
        <v>0</v>
      </c>
      <c r="H27" s="179">
        <f t="shared" si="72"/>
        <v>0</v>
      </c>
      <c r="I27" s="31">
        <f t="shared" si="73"/>
        <v>0</v>
      </c>
      <c r="J27" s="31">
        <f t="shared" ref="J27:BA27" si="139">0</f>
        <v>0</v>
      </c>
      <c r="K27" s="31">
        <f t="shared" si="139"/>
        <v>0</v>
      </c>
      <c r="L27" s="31">
        <f t="shared" si="139"/>
        <v>0</v>
      </c>
      <c r="M27" s="31">
        <f t="shared" si="139"/>
        <v>0</v>
      </c>
      <c r="N27" s="31">
        <f t="shared" si="139"/>
        <v>0</v>
      </c>
      <c r="O27" s="31">
        <f t="shared" si="139"/>
        <v>0</v>
      </c>
      <c r="P27" s="31">
        <f t="shared" si="139"/>
        <v>0</v>
      </c>
      <c r="Q27" s="31">
        <f t="shared" si="139"/>
        <v>0</v>
      </c>
      <c r="R27" s="31">
        <f t="shared" si="139"/>
        <v>0</v>
      </c>
      <c r="S27" s="31">
        <f t="shared" si="139"/>
        <v>0</v>
      </c>
      <c r="T27" s="31">
        <f t="shared" si="139"/>
        <v>0</v>
      </c>
      <c r="U27" s="31">
        <f t="shared" si="139"/>
        <v>0</v>
      </c>
      <c r="V27" s="31">
        <f t="shared" si="139"/>
        <v>0</v>
      </c>
      <c r="W27" s="31">
        <f t="shared" si="139"/>
        <v>0</v>
      </c>
      <c r="X27" s="31">
        <f t="shared" si="139"/>
        <v>0</v>
      </c>
      <c r="Y27" s="31">
        <f t="shared" si="139"/>
        <v>0</v>
      </c>
      <c r="Z27" s="31">
        <f t="shared" si="139"/>
        <v>0</v>
      </c>
      <c r="AA27" s="31">
        <f t="shared" si="139"/>
        <v>0</v>
      </c>
      <c r="AB27" s="31">
        <f t="shared" si="139"/>
        <v>0</v>
      </c>
      <c r="AC27" s="31">
        <f t="shared" si="139"/>
        <v>0</v>
      </c>
      <c r="AD27" s="31">
        <f t="shared" si="139"/>
        <v>0</v>
      </c>
      <c r="AE27" s="31">
        <f t="shared" si="139"/>
        <v>0</v>
      </c>
      <c r="AF27" s="31">
        <f t="shared" si="139"/>
        <v>0</v>
      </c>
      <c r="AG27" s="31">
        <f t="shared" si="139"/>
        <v>0</v>
      </c>
      <c r="AH27" s="31">
        <f t="shared" si="139"/>
        <v>0</v>
      </c>
      <c r="AI27" s="31">
        <f t="shared" si="139"/>
        <v>0</v>
      </c>
      <c r="AJ27" s="31">
        <f t="shared" si="139"/>
        <v>0</v>
      </c>
      <c r="AK27" s="31">
        <f t="shared" si="139"/>
        <v>0</v>
      </c>
      <c r="AL27" s="31">
        <f t="shared" si="139"/>
        <v>0</v>
      </c>
      <c r="AM27" s="31">
        <f t="shared" si="139"/>
        <v>0</v>
      </c>
      <c r="AN27" s="31">
        <f t="shared" si="139"/>
        <v>0</v>
      </c>
      <c r="AO27" s="31">
        <f t="shared" si="139"/>
        <v>0</v>
      </c>
      <c r="AP27" s="31">
        <f t="shared" si="139"/>
        <v>0</v>
      </c>
      <c r="AQ27" s="31">
        <f t="shared" si="139"/>
        <v>0</v>
      </c>
      <c r="AR27" s="31">
        <f t="shared" si="139"/>
        <v>0</v>
      </c>
      <c r="AS27" s="31">
        <f t="shared" si="139"/>
        <v>0</v>
      </c>
      <c r="AT27" s="31">
        <f t="shared" si="139"/>
        <v>0</v>
      </c>
      <c r="AU27" s="31">
        <f t="shared" si="139"/>
        <v>0</v>
      </c>
      <c r="AV27" s="31">
        <f t="shared" si="139"/>
        <v>0</v>
      </c>
      <c r="AW27" s="31">
        <f t="shared" si="139"/>
        <v>0</v>
      </c>
      <c r="AX27" s="31">
        <f t="shared" si="139"/>
        <v>0</v>
      </c>
      <c r="AY27" s="31">
        <f t="shared" si="139"/>
        <v>0</v>
      </c>
      <c r="AZ27" s="31">
        <f t="shared" si="139"/>
        <v>0</v>
      </c>
      <c r="BA27" s="31">
        <f t="shared" si="139"/>
        <v>0</v>
      </c>
      <c r="BB27" s="31">
        <f>IF(OR(INDIRECT(ADDRESS(ROW() - 25, COLUMN())) = "C0",INDIRECT(ADDRESS(ROW() - 25, COLUMN()))  = "C1"), 0, 15)</f>
        <v>15</v>
      </c>
      <c r="BC27" s="31">
        <f t="shared" ref="BC27:BG27" si="140">0</f>
        <v>0</v>
      </c>
      <c r="BD27" s="31">
        <f t="shared" si="140"/>
        <v>0</v>
      </c>
      <c r="BE27" s="31">
        <f t="shared" si="140"/>
        <v>0</v>
      </c>
      <c r="BF27" s="31">
        <f t="shared" si="140"/>
        <v>0</v>
      </c>
      <c r="BG27" s="31">
        <f t="shared" si="140"/>
        <v>0</v>
      </c>
      <c r="BH27" s="88">
        <f t="shared" si="79"/>
        <v>0</v>
      </c>
      <c r="BI27" s="88">
        <f t="shared" ref="BI27:CB27" si="141">0</f>
        <v>0</v>
      </c>
      <c r="BJ27" s="88">
        <f t="shared" si="141"/>
        <v>0</v>
      </c>
      <c r="BK27" s="10">
        <f t="shared" si="141"/>
        <v>0</v>
      </c>
      <c r="BL27" s="88">
        <f t="shared" si="141"/>
        <v>0</v>
      </c>
      <c r="BM27" s="88">
        <f t="shared" si="141"/>
        <v>0</v>
      </c>
      <c r="BN27" s="88">
        <f t="shared" si="141"/>
        <v>0</v>
      </c>
      <c r="BO27" s="88">
        <f t="shared" si="141"/>
        <v>0</v>
      </c>
      <c r="BP27" s="88">
        <f t="shared" si="141"/>
        <v>0</v>
      </c>
      <c r="BQ27" s="88">
        <f t="shared" si="141"/>
        <v>0</v>
      </c>
      <c r="BR27" s="88">
        <f t="shared" si="141"/>
        <v>0</v>
      </c>
      <c r="BS27" s="180">
        <f t="shared" si="141"/>
        <v>0</v>
      </c>
      <c r="BT27" s="88">
        <f t="shared" si="141"/>
        <v>0</v>
      </c>
      <c r="BU27" s="88">
        <f t="shared" si="141"/>
        <v>0</v>
      </c>
      <c r="BV27" s="88">
        <f t="shared" si="141"/>
        <v>0</v>
      </c>
      <c r="BW27" s="88">
        <f t="shared" si="141"/>
        <v>0</v>
      </c>
      <c r="BX27" s="88">
        <f t="shared" si="141"/>
        <v>0</v>
      </c>
      <c r="BY27" s="88">
        <f t="shared" si="141"/>
        <v>0</v>
      </c>
      <c r="BZ27" s="88">
        <f t="shared" si="141"/>
        <v>0</v>
      </c>
      <c r="CA27" s="88">
        <f t="shared" si="141"/>
        <v>0</v>
      </c>
      <c r="CB27" s="88">
        <f t="shared" si="141"/>
        <v>0</v>
      </c>
    </row>
    <row r="28">
      <c r="A28" s="181" t="s">
        <v>204</v>
      </c>
      <c r="B28" s="31">
        <f t="shared" si="120"/>
        <v>0</v>
      </c>
      <c r="C28" s="31">
        <f t="shared" ref="C28:G28" si="142">0</f>
        <v>0</v>
      </c>
      <c r="D28" s="31">
        <f t="shared" si="142"/>
        <v>0</v>
      </c>
      <c r="E28" s="31">
        <f t="shared" si="142"/>
        <v>0</v>
      </c>
      <c r="F28" s="31">
        <f t="shared" si="142"/>
        <v>0</v>
      </c>
      <c r="G28" s="31">
        <f t="shared" si="142"/>
        <v>0</v>
      </c>
      <c r="H28" s="179">
        <f t="shared" si="72"/>
        <v>0</v>
      </c>
      <c r="I28" s="31">
        <f t="shared" si="73"/>
        <v>0</v>
      </c>
      <c r="J28" s="31">
        <f t="shared" ref="J28:BG28" si="143">0</f>
        <v>0</v>
      </c>
      <c r="K28" s="31">
        <f t="shared" si="143"/>
        <v>0</v>
      </c>
      <c r="L28" s="31">
        <f t="shared" si="143"/>
        <v>0</v>
      </c>
      <c r="M28" s="31">
        <f t="shared" si="143"/>
        <v>0</v>
      </c>
      <c r="N28" s="31">
        <f t="shared" si="143"/>
        <v>0</v>
      </c>
      <c r="O28" s="31">
        <f t="shared" si="143"/>
        <v>0</v>
      </c>
      <c r="P28" s="31">
        <f t="shared" si="143"/>
        <v>0</v>
      </c>
      <c r="Q28" s="31">
        <f t="shared" si="143"/>
        <v>0</v>
      </c>
      <c r="R28" s="31">
        <f t="shared" si="143"/>
        <v>0</v>
      </c>
      <c r="S28" s="31">
        <f t="shared" si="143"/>
        <v>0</v>
      </c>
      <c r="T28" s="31">
        <f t="shared" si="143"/>
        <v>0</v>
      </c>
      <c r="U28" s="31">
        <f t="shared" si="143"/>
        <v>0</v>
      </c>
      <c r="V28" s="31">
        <f t="shared" si="143"/>
        <v>0</v>
      </c>
      <c r="W28" s="31">
        <f t="shared" si="143"/>
        <v>0</v>
      </c>
      <c r="X28" s="31">
        <f t="shared" si="143"/>
        <v>0</v>
      </c>
      <c r="Y28" s="31">
        <f t="shared" si="143"/>
        <v>0</v>
      </c>
      <c r="Z28" s="31">
        <f t="shared" si="143"/>
        <v>0</v>
      </c>
      <c r="AA28" s="31">
        <f t="shared" si="143"/>
        <v>0</v>
      </c>
      <c r="AB28" s="31">
        <f t="shared" si="143"/>
        <v>0</v>
      </c>
      <c r="AC28" s="31">
        <f t="shared" si="143"/>
        <v>0</v>
      </c>
      <c r="AD28" s="31">
        <f t="shared" si="143"/>
        <v>0</v>
      </c>
      <c r="AE28" s="31">
        <f t="shared" si="143"/>
        <v>0</v>
      </c>
      <c r="AF28" s="31">
        <f t="shared" si="143"/>
        <v>0</v>
      </c>
      <c r="AG28" s="31">
        <f t="shared" si="143"/>
        <v>0</v>
      </c>
      <c r="AH28" s="31">
        <f t="shared" si="143"/>
        <v>0</v>
      </c>
      <c r="AI28" s="31">
        <f t="shared" si="143"/>
        <v>0</v>
      </c>
      <c r="AJ28" s="31">
        <f t="shared" si="143"/>
        <v>0</v>
      </c>
      <c r="AK28" s="31">
        <f t="shared" si="143"/>
        <v>0</v>
      </c>
      <c r="AL28" s="31">
        <f t="shared" si="143"/>
        <v>0</v>
      </c>
      <c r="AM28" s="31">
        <f t="shared" si="143"/>
        <v>0</v>
      </c>
      <c r="AN28" s="31">
        <f t="shared" si="143"/>
        <v>0</v>
      </c>
      <c r="AO28" s="31">
        <f t="shared" si="143"/>
        <v>0</v>
      </c>
      <c r="AP28" s="31">
        <f t="shared" si="143"/>
        <v>0</v>
      </c>
      <c r="AQ28" s="31">
        <f t="shared" si="143"/>
        <v>0</v>
      </c>
      <c r="AR28" s="31">
        <f t="shared" si="143"/>
        <v>0</v>
      </c>
      <c r="AS28" s="31">
        <f t="shared" si="143"/>
        <v>0</v>
      </c>
      <c r="AT28" s="31">
        <f t="shared" si="143"/>
        <v>0</v>
      </c>
      <c r="AU28" s="31">
        <f t="shared" si="143"/>
        <v>0</v>
      </c>
      <c r="AV28" s="31">
        <f t="shared" si="143"/>
        <v>0</v>
      </c>
      <c r="AW28" s="31">
        <f t="shared" si="143"/>
        <v>0</v>
      </c>
      <c r="AX28" s="31">
        <f t="shared" si="143"/>
        <v>0</v>
      </c>
      <c r="AY28" s="31">
        <f t="shared" si="143"/>
        <v>0</v>
      </c>
      <c r="AZ28" s="31">
        <f t="shared" si="143"/>
        <v>0</v>
      </c>
      <c r="BA28" s="31">
        <f t="shared" si="143"/>
        <v>0</v>
      </c>
      <c r="BB28" s="31">
        <f t="shared" si="143"/>
        <v>0</v>
      </c>
      <c r="BC28" s="31">
        <f t="shared" si="143"/>
        <v>0</v>
      </c>
      <c r="BD28" s="31">
        <f t="shared" si="143"/>
        <v>0</v>
      </c>
      <c r="BE28" s="31">
        <f t="shared" si="143"/>
        <v>0</v>
      </c>
      <c r="BF28" s="31">
        <f t="shared" si="143"/>
        <v>0</v>
      </c>
      <c r="BG28" s="31">
        <f t="shared" si="143"/>
        <v>0</v>
      </c>
      <c r="BH28" s="88">
        <f t="shared" si="79"/>
        <v>0</v>
      </c>
      <c r="BI28" s="88">
        <f t="shared" ref="BI28:CB28" si="144">0</f>
        <v>0</v>
      </c>
      <c r="BJ28" s="88">
        <f t="shared" si="144"/>
        <v>0</v>
      </c>
      <c r="BK28" s="10">
        <f t="shared" si="144"/>
        <v>0</v>
      </c>
      <c r="BL28" s="88">
        <f t="shared" si="144"/>
        <v>0</v>
      </c>
      <c r="BM28" s="88">
        <f t="shared" si="144"/>
        <v>0</v>
      </c>
      <c r="BN28" s="88">
        <f t="shared" si="144"/>
        <v>0</v>
      </c>
      <c r="BO28" s="88">
        <f t="shared" si="144"/>
        <v>0</v>
      </c>
      <c r="BP28" s="88">
        <f t="shared" si="144"/>
        <v>0</v>
      </c>
      <c r="BQ28" s="88">
        <f t="shared" si="144"/>
        <v>0</v>
      </c>
      <c r="BR28" s="88">
        <f t="shared" si="144"/>
        <v>0</v>
      </c>
      <c r="BS28" s="180">
        <f t="shared" si="144"/>
        <v>0</v>
      </c>
      <c r="BT28" s="88">
        <f t="shared" si="144"/>
        <v>0</v>
      </c>
      <c r="BU28" s="88">
        <f t="shared" si="144"/>
        <v>0</v>
      </c>
      <c r="BV28" s="88">
        <f t="shared" si="144"/>
        <v>0</v>
      </c>
      <c r="BW28" s="88">
        <f t="shared" si="144"/>
        <v>0</v>
      </c>
      <c r="BX28" s="88">
        <f t="shared" si="144"/>
        <v>0</v>
      </c>
      <c r="BY28" s="88">
        <f t="shared" si="144"/>
        <v>0</v>
      </c>
      <c r="BZ28" s="88">
        <f t="shared" si="144"/>
        <v>0</v>
      </c>
      <c r="CA28" s="88">
        <f t="shared" si="144"/>
        <v>0</v>
      </c>
      <c r="CB28" s="88">
        <f t="shared" si="144"/>
        <v>0</v>
      </c>
    </row>
    <row r="29">
      <c r="A29" s="181" t="s">
        <v>205</v>
      </c>
      <c r="B29" s="31">
        <f t="shared" si="120"/>
        <v>0</v>
      </c>
      <c r="C29" s="31">
        <f t="shared" ref="C29:G29" si="145">0</f>
        <v>0</v>
      </c>
      <c r="D29" s="31">
        <f t="shared" si="145"/>
        <v>0</v>
      </c>
      <c r="E29" s="31">
        <f t="shared" si="145"/>
        <v>0</v>
      </c>
      <c r="F29" s="31">
        <f t="shared" si="145"/>
        <v>0</v>
      </c>
      <c r="G29" s="31">
        <f t="shared" si="145"/>
        <v>0</v>
      </c>
      <c r="H29" s="179">
        <f t="shared" si="72"/>
        <v>0</v>
      </c>
      <c r="I29" s="31">
        <f t="shared" si="73"/>
        <v>0</v>
      </c>
      <c r="J29" s="31">
        <f t="shared" ref="J29:BG29" si="146">0</f>
        <v>0</v>
      </c>
      <c r="K29" s="31">
        <f t="shared" si="146"/>
        <v>0</v>
      </c>
      <c r="L29" s="31">
        <f t="shared" si="146"/>
        <v>0</v>
      </c>
      <c r="M29" s="31">
        <f t="shared" si="146"/>
        <v>0</v>
      </c>
      <c r="N29" s="31">
        <f t="shared" si="146"/>
        <v>0</v>
      </c>
      <c r="O29" s="31">
        <f t="shared" si="146"/>
        <v>0</v>
      </c>
      <c r="P29" s="31">
        <f t="shared" si="146"/>
        <v>0</v>
      </c>
      <c r="Q29" s="31">
        <f t="shared" si="146"/>
        <v>0</v>
      </c>
      <c r="R29" s="31">
        <f t="shared" si="146"/>
        <v>0</v>
      </c>
      <c r="S29" s="31">
        <f t="shared" si="146"/>
        <v>0</v>
      </c>
      <c r="T29" s="31">
        <f t="shared" si="146"/>
        <v>0</v>
      </c>
      <c r="U29" s="31">
        <f t="shared" si="146"/>
        <v>0</v>
      </c>
      <c r="V29" s="31">
        <f t="shared" si="146"/>
        <v>0</v>
      </c>
      <c r="W29" s="31">
        <f t="shared" si="146"/>
        <v>0</v>
      </c>
      <c r="X29" s="31">
        <f t="shared" si="146"/>
        <v>0</v>
      </c>
      <c r="Y29" s="31">
        <f t="shared" si="146"/>
        <v>0</v>
      </c>
      <c r="Z29" s="31">
        <f t="shared" si="146"/>
        <v>0</v>
      </c>
      <c r="AA29" s="31">
        <f t="shared" si="146"/>
        <v>0</v>
      </c>
      <c r="AB29" s="31">
        <f t="shared" si="146"/>
        <v>0</v>
      </c>
      <c r="AC29" s="31">
        <f t="shared" si="146"/>
        <v>0</v>
      </c>
      <c r="AD29" s="31">
        <f t="shared" si="146"/>
        <v>0</v>
      </c>
      <c r="AE29" s="31">
        <f t="shared" si="146"/>
        <v>0</v>
      </c>
      <c r="AF29" s="31">
        <f t="shared" si="146"/>
        <v>0</v>
      </c>
      <c r="AG29" s="31">
        <f t="shared" si="146"/>
        <v>0</v>
      </c>
      <c r="AH29" s="31">
        <f t="shared" si="146"/>
        <v>0</v>
      </c>
      <c r="AI29" s="31">
        <f t="shared" si="146"/>
        <v>0</v>
      </c>
      <c r="AJ29" s="31">
        <f t="shared" si="146"/>
        <v>0</v>
      </c>
      <c r="AK29" s="31">
        <f t="shared" si="146"/>
        <v>0</v>
      </c>
      <c r="AL29" s="31">
        <f t="shared" si="146"/>
        <v>0</v>
      </c>
      <c r="AM29" s="31">
        <f t="shared" si="146"/>
        <v>0</v>
      </c>
      <c r="AN29" s="31">
        <f t="shared" si="146"/>
        <v>0</v>
      </c>
      <c r="AO29" s="31">
        <f t="shared" si="146"/>
        <v>0</v>
      </c>
      <c r="AP29" s="31">
        <f t="shared" si="146"/>
        <v>0</v>
      </c>
      <c r="AQ29" s="31">
        <f t="shared" si="146"/>
        <v>0</v>
      </c>
      <c r="AR29" s="31">
        <f t="shared" si="146"/>
        <v>0</v>
      </c>
      <c r="AS29" s="31">
        <f t="shared" si="146"/>
        <v>0</v>
      </c>
      <c r="AT29" s="31">
        <f t="shared" si="146"/>
        <v>0</v>
      </c>
      <c r="AU29" s="31">
        <f t="shared" si="146"/>
        <v>0</v>
      </c>
      <c r="AV29" s="31">
        <f t="shared" si="146"/>
        <v>0</v>
      </c>
      <c r="AW29" s="31">
        <f t="shared" si="146"/>
        <v>0</v>
      </c>
      <c r="AX29" s="31">
        <f t="shared" si="146"/>
        <v>0</v>
      </c>
      <c r="AY29" s="31">
        <f t="shared" si="146"/>
        <v>0</v>
      </c>
      <c r="AZ29" s="31">
        <f t="shared" si="146"/>
        <v>0</v>
      </c>
      <c r="BA29" s="31">
        <f t="shared" si="146"/>
        <v>0</v>
      </c>
      <c r="BB29" s="31">
        <f t="shared" si="146"/>
        <v>0</v>
      </c>
      <c r="BC29" s="31">
        <f t="shared" si="146"/>
        <v>0</v>
      </c>
      <c r="BD29" s="31">
        <f t="shared" si="146"/>
        <v>0</v>
      </c>
      <c r="BE29" s="31">
        <f t="shared" si="146"/>
        <v>0</v>
      </c>
      <c r="BF29" s="31">
        <f t="shared" si="146"/>
        <v>0</v>
      </c>
      <c r="BG29" s="31">
        <f t="shared" si="146"/>
        <v>0</v>
      </c>
      <c r="BH29" s="88">
        <f t="shared" si="79"/>
        <v>0</v>
      </c>
      <c r="BI29" s="88">
        <f t="shared" ref="BI29:CB29" si="147">0</f>
        <v>0</v>
      </c>
      <c r="BJ29" s="88">
        <f t="shared" si="147"/>
        <v>0</v>
      </c>
      <c r="BK29" s="10">
        <f t="shared" si="147"/>
        <v>0</v>
      </c>
      <c r="BL29" s="88">
        <f t="shared" si="147"/>
        <v>0</v>
      </c>
      <c r="BM29" s="88">
        <f t="shared" si="147"/>
        <v>0</v>
      </c>
      <c r="BN29" s="88">
        <f t="shared" si="147"/>
        <v>0</v>
      </c>
      <c r="BO29" s="88">
        <f t="shared" si="147"/>
        <v>0</v>
      </c>
      <c r="BP29" s="88">
        <f t="shared" si="147"/>
        <v>0</v>
      </c>
      <c r="BQ29" s="88">
        <f t="shared" si="147"/>
        <v>0</v>
      </c>
      <c r="BR29" s="88">
        <f t="shared" si="147"/>
        <v>0</v>
      </c>
      <c r="BS29" s="180">
        <f t="shared" si="147"/>
        <v>0</v>
      </c>
      <c r="BT29" s="88">
        <f t="shared" si="147"/>
        <v>0</v>
      </c>
      <c r="BU29" s="88">
        <f t="shared" si="147"/>
        <v>0</v>
      </c>
      <c r="BV29" s="88">
        <f t="shared" si="147"/>
        <v>0</v>
      </c>
      <c r="BW29" s="88">
        <f t="shared" si="147"/>
        <v>0</v>
      </c>
      <c r="BX29" s="88">
        <f t="shared" si="147"/>
        <v>0</v>
      </c>
      <c r="BY29" s="88">
        <f t="shared" si="147"/>
        <v>0</v>
      </c>
      <c r="BZ29" s="88">
        <f t="shared" si="147"/>
        <v>0</v>
      </c>
      <c r="CA29" s="88">
        <f t="shared" si="147"/>
        <v>0</v>
      </c>
      <c r="CB29" s="88">
        <f t="shared" si="147"/>
        <v>0</v>
      </c>
    </row>
    <row r="30">
      <c r="A30" s="181" t="s">
        <v>206</v>
      </c>
      <c r="B30" s="31">
        <f t="shared" si="120"/>
        <v>0</v>
      </c>
      <c r="C30" s="31">
        <f t="shared" ref="C30:G30" si="148">0</f>
        <v>0</v>
      </c>
      <c r="D30" s="31">
        <f t="shared" si="148"/>
        <v>0</v>
      </c>
      <c r="E30" s="31">
        <f t="shared" si="148"/>
        <v>0</v>
      </c>
      <c r="F30" s="31">
        <f t="shared" si="148"/>
        <v>0</v>
      </c>
      <c r="G30" s="31">
        <f t="shared" si="148"/>
        <v>0</v>
      </c>
      <c r="H30" s="179">
        <f t="shared" si="72"/>
        <v>0</v>
      </c>
      <c r="I30" s="31">
        <f t="shared" si="73"/>
        <v>0</v>
      </c>
      <c r="J30" s="31">
        <f t="shared" ref="J30:BG30" si="149">0</f>
        <v>0</v>
      </c>
      <c r="K30" s="31">
        <f t="shared" si="149"/>
        <v>0</v>
      </c>
      <c r="L30" s="31">
        <f t="shared" si="149"/>
        <v>0</v>
      </c>
      <c r="M30" s="31">
        <f t="shared" si="149"/>
        <v>0</v>
      </c>
      <c r="N30" s="31">
        <f t="shared" si="149"/>
        <v>0</v>
      </c>
      <c r="O30" s="31">
        <f t="shared" si="149"/>
        <v>0</v>
      </c>
      <c r="P30" s="31">
        <f t="shared" si="149"/>
        <v>0</v>
      </c>
      <c r="Q30" s="31">
        <f t="shared" si="149"/>
        <v>0</v>
      </c>
      <c r="R30" s="31">
        <f t="shared" si="149"/>
        <v>0</v>
      </c>
      <c r="S30" s="31">
        <f t="shared" si="149"/>
        <v>0</v>
      </c>
      <c r="T30" s="31">
        <f t="shared" si="149"/>
        <v>0</v>
      </c>
      <c r="U30" s="31">
        <f t="shared" si="149"/>
        <v>0</v>
      </c>
      <c r="V30" s="31">
        <f t="shared" si="149"/>
        <v>0</v>
      </c>
      <c r="W30" s="31">
        <f t="shared" si="149"/>
        <v>0</v>
      </c>
      <c r="X30" s="31">
        <f t="shared" si="149"/>
        <v>0</v>
      </c>
      <c r="Y30" s="31">
        <f t="shared" si="149"/>
        <v>0</v>
      </c>
      <c r="Z30" s="31">
        <f t="shared" si="149"/>
        <v>0</v>
      </c>
      <c r="AA30" s="31">
        <f t="shared" si="149"/>
        <v>0</v>
      </c>
      <c r="AB30" s="31">
        <f t="shared" si="149"/>
        <v>0</v>
      </c>
      <c r="AC30" s="31">
        <f t="shared" si="149"/>
        <v>0</v>
      </c>
      <c r="AD30" s="31">
        <f t="shared" si="149"/>
        <v>0</v>
      </c>
      <c r="AE30" s="31">
        <f t="shared" si="149"/>
        <v>0</v>
      </c>
      <c r="AF30" s="31">
        <f t="shared" si="149"/>
        <v>0</v>
      </c>
      <c r="AG30" s="31">
        <f t="shared" si="149"/>
        <v>0</v>
      </c>
      <c r="AH30" s="31">
        <f t="shared" si="149"/>
        <v>0</v>
      </c>
      <c r="AI30" s="31">
        <f t="shared" si="149"/>
        <v>0</v>
      </c>
      <c r="AJ30" s="31">
        <f t="shared" si="149"/>
        <v>0</v>
      </c>
      <c r="AK30" s="31">
        <f t="shared" si="149"/>
        <v>0</v>
      </c>
      <c r="AL30" s="31">
        <f t="shared" si="149"/>
        <v>0</v>
      </c>
      <c r="AM30" s="31">
        <f t="shared" si="149"/>
        <v>0</v>
      </c>
      <c r="AN30" s="31">
        <f t="shared" si="149"/>
        <v>0</v>
      </c>
      <c r="AO30" s="31">
        <f t="shared" si="149"/>
        <v>0</v>
      </c>
      <c r="AP30" s="31">
        <f t="shared" si="149"/>
        <v>0</v>
      </c>
      <c r="AQ30" s="31">
        <f t="shared" si="149"/>
        <v>0</v>
      </c>
      <c r="AR30" s="31">
        <f t="shared" si="149"/>
        <v>0</v>
      </c>
      <c r="AS30" s="31">
        <f t="shared" si="149"/>
        <v>0</v>
      </c>
      <c r="AT30" s="31">
        <f t="shared" si="149"/>
        <v>0</v>
      </c>
      <c r="AU30" s="31">
        <f t="shared" si="149"/>
        <v>0</v>
      </c>
      <c r="AV30" s="31">
        <f t="shared" si="149"/>
        <v>0</v>
      </c>
      <c r="AW30" s="31">
        <f t="shared" si="149"/>
        <v>0</v>
      </c>
      <c r="AX30" s="31">
        <f t="shared" si="149"/>
        <v>0</v>
      </c>
      <c r="AY30" s="31">
        <f t="shared" si="149"/>
        <v>0</v>
      </c>
      <c r="AZ30" s="31">
        <f t="shared" si="149"/>
        <v>0</v>
      </c>
      <c r="BA30" s="31">
        <f t="shared" si="149"/>
        <v>0</v>
      </c>
      <c r="BB30" s="31">
        <f t="shared" si="149"/>
        <v>0</v>
      </c>
      <c r="BC30" s="31">
        <f t="shared" si="149"/>
        <v>0</v>
      </c>
      <c r="BD30" s="31">
        <f t="shared" si="149"/>
        <v>0</v>
      </c>
      <c r="BE30" s="31">
        <f t="shared" si="149"/>
        <v>0</v>
      </c>
      <c r="BF30" s="31">
        <f t="shared" si="149"/>
        <v>0</v>
      </c>
      <c r="BG30" s="31">
        <f t="shared" si="149"/>
        <v>0</v>
      </c>
      <c r="BH30" s="88">
        <f t="shared" si="79"/>
        <v>0</v>
      </c>
      <c r="BI30" s="88">
        <f t="shared" ref="BI30:CB30" si="150">0</f>
        <v>0</v>
      </c>
      <c r="BJ30" s="88">
        <f t="shared" si="150"/>
        <v>0</v>
      </c>
      <c r="BK30" s="10">
        <f t="shared" si="150"/>
        <v>0</v>
      </c>
      <c r="BL30" s="88">
        <f t="shared" si="150"/>
        <v>0</v>
      </c>
      <c r="BM30" s="88">
        <f t="shared" si="150"/>
        <v>0</v>
      </c>
      <c r="BN30" s="88">
        <f t="shared" si="150"/>
        <v>0</v>
      </c>
      <c r="BO30" s="88">
        <f t="shared" si="150"/>
        <v>0</v>
      </c>
      <c r="BP30" s="88">
        <f t="shared" si="150"/>
        <v>0</v>
      </c>
      <c r="BQ30" s="88">
        <f t="shared" si="150"/>
        <v>0</v>
      </c>
      <c r="BR30" s="88">
        <f t="shared" si="150"/>
        <v>0</v>
      </c>
      <c r="BS30" s="180">
        <f t="shared" si="150"/>
        <v>0</v>
      </c>
      <c r="BT30" s="88">
        <f t="shared" si="150"/>
        <v>0</v>
      </c>
      <c r="BU30" s="88">
        <f t="shared" si="150"/>
        <v>0</v>
      </c>
      <c r="BV30" s="88">
        <f t="shared" si="150"/>
        <v>0</v>
      </c>
      <c r="BW30" s="88">
        <f t="shared" si="150"/>
        <v>0</v>
      </c>
      <c r="BX30" s="88">
        <f t="shared" si="150"/>
        <v>0</v>
      </c>
      <c r="BY30" s="88">
        <f t="shared" si="150"/>
        <v>0</v>
      </c>
      <c r="BZ30" s="88">
        <f t="shared" si="150"/>
        <v>0</v>
      </c>
      <c r="CA30" s="88">
        <f t="shared" si="150"/>
        <v>0</v>
      </c>
      <c r="CB30" s="88">
        <f t="shared" si="150"/>
        <v>0</v>
      </c>
    </row>
    <row r="31">
      <c r="A31" s="181" t="s">
        <v>207</v>
      </c>
      <c r="B31" s="31">
        <f t="shared" si="120"/>
        <v>0</v>
      </c>
      <c r="C31" s="31">
        <f t="shared" ref="C31:G31" si="151">0</f>
        <v>0</v>
      </c>
      <c r="D31" s="31">
        <f t="shared" si="151"/>
        <v>0</v>
      </c>
      <c r="E31" s="31">
        <f t="shared" si="151"/>
        <v>0</v>
      </c>
      <c r="F31" s="31">
        <f t="shared" si="151"/>
        <v>0</v>
      </c>
      <c r="G31" s="31">
        <f t="shared" si="151"/>
        <v>0</v>
      </c>
      <c r="H31" s="179">
        <f t="shared" si="72"/>
        <v>0</v>
      </c>
      <c r="I31" s="31">
        <f t="shared" si="73"/>
        <v>0</v>
      </c>
      <c r="J31" s="31">
        <f t="shared" ref="J31:BG31" si="152">0</f>
        <v>0</v>
      </c>
      <c r="K31" s="31">
        <f t="shared" si="152"/>
        <v>0</v>
      </c>
      <c r="L31" s="31">
        <f t="shared" si="152"/>
        <v>0</v>
      </c>
      <c r="M31" s="31">
        <f t="shared" si="152"/>
        <v>0</v>
      </c>
      <c r="N31" s="31">
        <f t="shared" si="152"/>
        <v>0</v>
      </c>
      <c r="O31" s="31">
        <f t="shared" si="152"/>
        <v>0</v>
      </c>
      <c r="P31" s="31">
        <f t="shared" si="152"/>
        <v>0</v>
      </c>
      <c r="Q31" s="31">
        <f t="shared" si="152"/>
        <v>0</v>
      </c>
      <c r="R31" s="31">
        <f t="shared" si="152"/>
        <v>0</v>
      </c>
      <c r="S31" s="31">
        <f t="shared" si="152"/>
        <v>0</v>
      </c>
      <c r="T31" s="31">
        <f t="shared" si="152"/>
        <v>0</v>
      </c>
      <c r="U31" s="31">
        <f t="shared" si="152"/>
        <v>0</v>
      </c>
      <c r="V31" s="31">
        <f t="shared" si="152"/>
        <v>0</v>
      </c>
      <c r="W31" s="31">
        <f t="shared" si="152"/>
        <v>0</v>
      </c>
      <c r="X31" s="31">
        <f t="shared" si="152"/>
        <v>0</v>
      </c>
      <c r="Y31" s="31">
        <f t="shared" si="152"/>
        <v>0</v>
      </c>
      <c r="Z31" s="31">
        <f t="shared" si="152"/>
        <v>0</v>
      </c>
      <c r="AA31" s="31">
        <f t="shared" si="152"/>
        <v>0</v>
      </c>
      <c r="AB31" s="31">
        <f t="shared" si="152"/>
        <v>0</v>
      </c>
      <c r="AC31" s="31">
        <f t="shared" si="152"/>
        <v>0</v>
      </c>
      <c r="AD31" s="31">
        <f t="shared" si="152"/>
        <v>0</v>
      </c>
      <c r="AE31" s="31">
        <f t="shared" si="152"/>
        <v>0</v>
      </c>
      <c r="AF31" s="31">
        <f t="shared" si="152"/>
        <v>0</v>
      </c>
      <c r="AG31" s="31">
        <f t="shared" si="152"/>
        <v>0</v>
      </c>
      <c r="AH31" s="31">
        <f t="shared" si="152"/>
        <v>0</v>
      </c>
      <c r="AI31" s="31">
        <f t="shared" si="152"/>
        <v>0</v>
      </c>
      <c r="AJ31" s="31">
        <f t="shared" si="152"/>
        <v>0</v>
      </c>
      <c r="AK31" s="31">
        <f t="shared" si="152"/>
        <v>0</v>
      </c>
      <c r="AL31" s="31">
        <f t="shared" si="152"/>
        <v>0</v>
      </c>
      <c r="AM31" s="31">
        <f t="shared" si="152"/>
        <v>0</v>
      </c>
      <c r="AN31" s="31">
        <f t="shared" si="152"/>
        <v>0</v>
      </c>
      <c r="AO31" s="31">
        <f t="shared" si="152"/>
        <v>0</v>
      </c>
      <c r="AP31" s="31">
        <f t="shared" si="152"/>
        <v>0</v>
      </c>
      <c r="AQ31" s="31">
        <f t="shared" si="152"/>
        <v>0</v>
      </c>
      <c r="AR31" s="31">
        <f t="shared" si="152"/>
        <v>0</v>
      </c>
      <c r="AS31" s="31">
        <f t="shared" si="152"/>
        <v>0</v>
      </c>
      <c r="AT31" s="31">
        <f t="shared" si="152"/>
        <v>0</v>
      </c>
      <c r="AU31" s="31">
        <f t="shared" si="152"/>
        <v>0</v>
      </c>
      <c r="AV31" s="31">
        <f t="shared" si="152"/>
        <v>0</v>
      </c>
      <c r="AW31" s="31">
        <f t="shared" si="152"/>
        <v>0</v>
      </c>
      <c r="AX31" s="31">
        <f t="shared" si="152"/>
        <v>0</v>
      </c>
      <c r="AY31" s="31">
        <f t="shared" si="152"/>
        <v>0</v>
      </c>
      <c r="AZ31" s="31">
        <f t="shared" si="152"/>
        <v>0</v>
      </c>
      <c r="BA31" s="31">
        <f t="shared" si="152"/>
        <v>0</v>
      </c>
      <c r="BB31" s="31">
        <f t="shared" si="152"/>
        <v>0</v>
      </c>
      <c r="BC31" s="31">
        <f t="shared" si="152"/>
        <v>0</v>
      </c>
      <c r="BD31" s="31">
        <f t="shared" si="152"/>
        <v>0</v>
      </c>
      <c r="BE31" s="31">
        <f t="shared" si="152"/>
        <v>0</v>
      </c>
      <c r="BF31" s="31">
        <f t="shared" si="152"/>
        <v>0</v>
      </c>
      <c r="BG31" s="31">
        <f t="shared" si="152"/>
        <v>0</v>
      </c>
      <c r="BH31" s="88">
        <f t="shared" si="79"/>
        <v>0</v>
      </c>
      <c r="BI31" s="88">
        <f t="shared" ref="BI31:CB31" si="153">0</f>
        <v>0</v>
      </c>
      <c r="BJ31" s="88">
        <f t="shared" si="153"/>
        <v>0</v>
      </c>
      <c r="BK31" s="10">
        <f t="shared" si="153"/>
        <v>0</v>
      </c>
      <c r="BL31" s="88">
        <f t="shared" si="153"/>
        <v>0</v>
      </c>
      <c r="BM31" s="88">
        <f t="shared" si="153"/>
        <v>0</v>
      </c>
      <c r="BN31" s="88">
        <f t="shared" si="153"/>
        <v>0</v>
      </c>
      <c r="BO31" s="88">
        <f t="shared" si="153"/>
        <v>0</v>
      </c>
      <c r="BP31" s="88">
        <f t="shared" si="153"/>
        <v>0</v>
      </c>
      <c r="BQ31" s="88">
        <f t="shared" si="153"/>
        <v>0</v>
      </c>
      <c r="BR31" s="88">
        <f t="shared" si="153"/>
        <v>0</v>
      </c>
      <c r="BS31" s="180">
        <f t="shared" si="153"/>
        <v>0</v>
      </c>
      <c r="BT31" s="88">
        <f t="shared" si="153"/>
        <v>0</v>
      </c>
      <c r="BU31" s="88">
        <f t="shared" si="153"/>
        <v>0</v>
      </c>
      <c r="BV31" s="88">
        <f t="shared" si="153"/>
        <v>0</v>
      </c>
      <c r="BW31" s="88">
        <f t="shared" si="153"/>
        <v>0</v>
      </c>
      <c r="BX31" s="88">
        <f t="shared" si="153"/>
        <v>0</v>
      </c>
      <c r="BY31" s="88">
        <f t="shared" si="153"/>
        <v>0</v>
      </c>
      <c r="BZ31" s="88">
        <f t="shared" si="153"/>
        <v>0</v>
      </c>
      <c r="CA31" s="88">
        <f t="shared" si="153"/>
        <v>0</v>
      </c>
      <c r="CB31" s="88">
        <f t="shared" si="153"/>
        <v>0</v>
      </c>
    </row>
    <row r="32">
      <c r="A32" s="181" t="s">
        <v>208</v>
      </c>
      <c r="B32" s="31">
        <f t="shared" si="120"/>
        <v>0</v>
      </c>
      <c r="C32" s="31">
        <f t="shared" ref="C32:G32" si="154">0</f>
        <v>0</v>
      </c>
      <c r="D32" s="31">
        <f t="shared" si="154"/>
        <v>0</v>
      </c>
      <c r="E32" s="31">
        <f t="shared" si="154"/>
        <v>0</v>
      </c>
      <c r="F32" s="31">
        <f t="shared" si="154"/>
        <v>0</v>
      </c>
      <c r="G32" s="31">
        <f t="shared" si="154"/>
        <v>0</v>
      </c>
      <c r="H32" s="179">
        <f t="shared" si="72"/>
        <v>0</v>
      </c>
      <c r="I32" s="31">
        <f t="shared" si="73"/>
        <v>0</v>
      </c>
      <c r="J32" s="31">
        <f t="shared" ref="J32:BG32" si="155">0</f>
        <v>0</v>
      </c>
      <c r="K32" s="31">
        <f t="shared" si="155"/>
        <v>0</v>
      </c>
      <c r="L32" s="31">
        <f t="shared" si="155"/>
        <v>0</v>
      </c>
      <c r="M32" s="31">
        <f t="shared" si="155"/>
        <v>0</v>
      </c>
      <c r="N32" s="31">
        <f t="shared" si="155"/>
        <v>0</v>
      </c>
      <c r="O32" s="31">
        <f t="shared" si="155"/>
        <v>0</v>
      </c>
      <c r="P32" s="31">
        <f t="shared" si="155"/>
        <v>0</v>
      </c>
      <c r="Q32" s="31">
        <f t="shared" si="155"/>
        <v>0</v>
      </c>
      <c r="R32" s="31">
        <f t="shared" si="155"/>
        <v>0</v>
      </c>
      <c r="S32" s="31">
        <f t="shared" si="155"/>
        <v>0</v>
      </c>
      <c r="T32" s="31">
        <f t="shared" si="155"/>
        <v>0</v>
      </c>
      <c r="U32" s="31">
        <f t="shared" si="155"/>
        <v>0</v>
      </c>
      <c r="V32" s="31">
        <f t="shared" si="155"/>
        <v>0</v>
      </c>
      <c r="W32" s="31">
        <f t="shared" si="155"/>
        <v>0</v>
      </c>
      <c r="X32" s="31">
        <f t="shared" si="155"/>
        <v>0</v>
      </c>
      <c r="Y32" s="31">
        <f t="shared" si="155"/>
        <v>0</v>
      </c>
      <c r="Z32" s="31">
        <f t="shared" si="155"/>
        <v>0</v>
      </c>
      <c r="AA32" s="31">
        <f t="shared" si="155"/>
        <v>0</v>
      </c>
      <c r="AB32" s="31">
        <f t="shared" si="155"/>
        <v>0</v>
      </c>
      <c r="AC32" s="31">
        <f t="shared" si="155"/>
        <v>0</v>
      </c>
      <c r="AD32" s="31">
        <f t="shared" si="155"/>
        <v>0</v>
      </c>
      <c r="AE32" s="31">
        <f t="shared" si="155"/>
        <v>0</v>
      </c>
      <c r="AF32" s="31">
        <f t="shared" si="155"/>
        <v>0</v>
      </c>
      <c r="AG32" s="31">
        <f t="shared" si="155"/>
        <v>0</v>
      </c>
      <c r="AH32" s="31">
        <f t="shared" si="155"/>
        <v>0</v>
      </c>
      <c r="AI32" s="31">
        <f t="shared" si="155"/>
        <v>0</v>
      </c>
      <c r="AJ32" s="31">
        <f t="shared" si="155"/>
        <v>0</v>
      </c>
      <c r="AK32" s="31">
        <f t="shared" si="155"/>
        <v>0</v>
      </c>
      <c r="AL32" s="31">
        <f t="shared" si="155"/>
        <v>0</v>
      </c>
      <c r="AM32" s="31">
        <f t="shared" si="155"/>
        <v>0</v>
      </c>
      <c r="AN32" s="31">
        <f t="shared" si="155"/>
        <v>0</v>
      </c>
      <c r="AO32" s="31">
        <f t="shared" si="155"/>
        <v>0</v>
      </c>
      <c r="AP32" s="31">
        <f t="shared" si="155"/>
        <v>0</v>
      </c>
      <c r="AQ32" s="31">
        <f t="shared" si="155"/>
        <v>0</v>
      </c>
      <c r="AR32" s="31">
        <f t="shared" si="155"/>
        <v>0</v>
      </c>
      <c r="AS32" s="31">
        <f t="shared" si="155"/>
        <v>0</v>
      </c>
      <c r="AT32" s="31">
        <f t="shared" si="155"/>
        <v>0</v>
      </c>
      <c r="AU32" s="31">
        <f t="shared" si="155"/>
        <v>0</v>
      </c>
      <c r="AV32" s="31">
        <f t="shared" si="155"/>
        <v>0</v>
      </c>
      <c r="AW32" s="31">
        <f t="shared" si="155"/>
        <v>0</v>
      </c>
      <c r="AX32" s="31">
        <f t="shared" si="155"/>
        <v>0</v>
      </c>
      <c r="AY32" s="31">
        <f t="shared" si="155"/>
        <v>0</v>
      </c>
      <c r="AZ32" s="31">
        <f t="shared" si="155"/>
        <v>0</v>
      </c>
      <c r="BA32" s="31">
        <f t="shared" si="155"/>
        <v>0</v>
      </c>
      <c r="BB32" s="31">
        <f t="shared" si="155"/>
        <v>0</v>
      </c>
      <c r="BC32" s="31">
        <f t="shared" si="155"/>
        <v>0</v>
      </c>
      <c r="BD32" s="31">
        <f t="shared" si="155"/>
        <v>0</v>
      </c>
      <c r="BE32" s="31">
        <f t="shared" si="155"/>
        <v>0</v>
      </c>
      <c r="BF32" s="31">
        <f t="shared" si="155"/>
        <v>0</v>
      </c>
      <c r="BG32" s="31">
        <f t="shared" si="155"/>
        <v>0</v>
      </c>
      <c r="BH32" s="88">
        <f t="shared" si="79"/>
        <v>0</v>
      </c>
      <c r="BI32" s="88">
        <f t="shared" ref="BI32:CB32" si="156">0</f>
        <v>0</v>
      </c>
      <c r="BJ32" s="88">
        <f t="shared" si="156"/>
        <v>0</v>
      </c>
      <c r="BK32" s="10">
        <f t="shared" si="156"/>
        <v>0</v>
      </c>
      <c r="BL32" s="88">
        <f t="shared" si="156"/>
        <v>0</v>
      </c>
      <c r="BM32" s="88">
        <f t="shared" si="156"/>
        <v>0</v>
      </c>
      <c r="BN32" s="88">
        <f t="shared" si="156"/>
        <v>0</v>
      </c>
      <c r="BO32" s="88">
        <f t="shared" si="156"/>
        <v>0</v>
      </c>
      <c r="BP32" s="88">
        <f t="shared" si="156"/>
        <v>0</v>
      </c>
      <c r="BQ32" s="88">
        <f t="shared" si="156"/>
        <v>0</v>
      </c>
      <c r="BR32" s="88">
        <f t="shared" si="156"/>
        <v>0</v>
      </c>
      <c r="BS32" s="180">
        <f t="shared" si="156"/>
        <v>0</v>
      </c>
      <c r="BT32" s="88">
        <f t="shared" si="156"/>
        <v>0</v>
      </c>
      <c r="BU32" s="88">
        <f t="shared" si="156"/>
        <v>0</v>
      </c>
      <c r="BV32" s="88">
        <f t="shared" si="156"/>
        <v>0</v>
      </c>
      <c r="BW32" s="88">
        <f t="shared" si="156"/>
        <v>0</v>
      </c>
      <c r="BX32" s="88">
        <f t="shared" si="156"/>
        <v>0</v>
      </c>
      <c r="BY32" s="88">
        <f t="shared" si="156"/>
        <v>0</v>
      </c>
      <c r="BZ32" s="88">
        <f t="shared" si="156"/>
        <v>0</v>
      </c>
      <c r="CA32" s="88">
        <f t="shared" si="156"/>
        <v>0</v>
      </c>
      <c r="CB32" s="88">
        <f t="shared" si="156"/>
        <v>0</v>
      </c>
    </row>
    <row r="33">
      <c r="A33" s="181" t="s">
        <v>209</v>
      </c>
      <c r="B33" s="31">
        <f t="shared" si="120"/>
        <v>0</v>
      </c>
      <c r="C33" s="31">
        <f t="shared" ref="C33:G33" si="157">0</f>
        <v>0</v>
      </c>
      <c r="D33" s="31">
        <f t="shared" si="157"/>
        <v>0</v>
      </c>
      <c r="E33" s="31">
        <f t="shared" si="157"/>
        <v>0</v>
      </c>
      <c r="F33" s="31">
        <f t="shared" si="157"/>
        <v>0</v>
      </c>
      <c r="G33" s="31">
        <f t="shared" si="157"/>
        <v>0</v>
      </c>
      <c r="H33" s="179">
        <f t="shared" si="72"/>
        <v>0</v>
      </c>
      <c r="I33" s="31">
        <f t="shared" si="73"/>
        <v>0</v>
      </c>
      <c r="J33" s="31">
        <f t="shared" ref="J33:BG33" si="158">0</f>
        <v>0</v>
      </c>
      <c r="K33" s="31">
        <f t="shared" si="158"/>
        <v>0</v>
      </c>
      <c r="L33" s="31">
        <f t="shared" si="158"/>
        <v>0</v>
      </c>
      <c r="M33" s="31">
        <f t="shared" si="158"/>
        <v>0</v>
      </c>
      <c r="N33" s="31">
        <f t="shared" si="158"/>
        <v>0</v>
      </c>
      <c r="O33" s="31">
        <f t="shared" si="158"/>
        <v>0</v>
      </c>
      <c r="P33" s="31">
        <f t="shared" si="158"/>
        <v>0</v>
      </c>
      <c r="Q33" s="31">
        <f t="shared" si="158"/>
        <v>0</v>
      </c>
      <c r="R33" s="31">
        <f t="shared" si="158"/>
        <v>0</v>
      </c>
      <c r="S33" s="31">
        <f t="shared" si="158"/>
        <v>0</v>
      </c>
      <c r="T33" s="31">
        <f t="shared" si="158"/>
        <v>0</v>
      </c>
      <c r="U33" s="31">
        <f t="shared" si="158"/>
        <v>0</v>
      </c>
      <c r="V33" s="31">
        <f t="shared" si="158"/>
        <v>0</v>
      </c>
      <c r="W33" s="31">
        <f t="shared" si="158"/>
        <v>0</v>
      </c>
      <c r="X33" s="31">
        <f t="shared" si="158"/>
        <v>0</v>
      </c>
      <c r="Y33" s="31">
        <f t="shared" si="158"/>
        <v>0</v>
      </c>
      <c r="Z33" s="31">
        <f t="shared" si="158"/>
        <v>0</v>
      </c>
      <c r="AA33" s="31">
        <f t="shared" si="158"/>
        <v>0</v>
      </c>
      <c r="AB33" s="31">
        <f t="shared" si="158"/>
        <v>0</v>
      </c>
      <c r="AC33" s="31">
        <f t="shared" si="158"/>
        <v>0</v>
      </c>
      <c r="AD33" s="31">
        <f t="shared" si="158"/>
        <v>0</v>
      </c>
      <c r="AE33" s="31">
        <f t="shared" si="158"/>
        <v>0</v>
      </c>
      <c r="AF33" s="31">
        <f t="shared" si="158"/>
        <v>0</v>
      </c>
      <c r="AG33" s="31">
        <f t="shared" si="158"/>
        <v>0</v>
      </c>
      <c r="AH33" s="31">
        <f t="shared" si="158"/>
        <v>0</v>
      </c>
      <c r="AI33" s="31">
        <f t="shared" si="158"/>
        <v>0</v>
      </c>
      <c r="AJ33" s="31">
        <f t="shared" si="158"/>
        <v>0</v>
      </c>
      <c r="AK33" s="31">
        <f t="shared" si="158"/>
        <v>0</v>
      </c>
      <c r="AL33" s="31">
        <f t="shared" si="158"/>
        <v>0</v>
      </c>
      <c r="AM33" s="31">
        <f t="shared" si="158"/>
        <v>0</v>
      </c>
      <c r="AN33" s="31">
        <f t="shared" si="158"/>
        <v>0</v>
      </c>
      <c r="AO33" s="31">
        <f t="shared" si="158"/>
        <v>0</v>
      </c>
      <c r="AP33" s="31">
        <f t="shared" si="158"/>
        <v>0</v>
      </c>
      <c r="AQ33" s="31">
        <f t="shared" si="158"/>
        <v>0</v>
      </c>
      <c r="AR33" s="31">
        <f t="shared" si="158"/>
        <v>0</v>
      </c>
      <c r="AS33" s="31">
        <f t="shared" si="158"/>
        <v>0</v>
      </c>
      <c r="AT33" s="31">
        <f t="shared" si="158"/>
        <v>0</v>
      </c>
      <c r="AU33" s="31">
        <f t="shared" si="158"/>
        <v>0</v>
      </c>
      <c r="AV33" s="31">
        <f t="shared" si="158"/>
        <v>0</v>
      </c>
      <c r="AW33" s="31">
        <f t="shared" si="158"/>
        <v>0</v>
      </c>
      <c r="AX33" s="31">
        <f t="shared" si="158"/>
        <v>0</v>
      </c>
      <c r="AY33" s="31">
        <f t="shared" si="158"/>
        <v>0</v>
      </c>
      <c r="AZ33" s="31">
        <f t="shared" si="158"/>
        <v>0</v>
      </c>
      <c r="BA33" s="31">
        <f t="shared" si="158"/>
        <v>0</v>
      </c>
      <c r="BB33" s="31">
        <f t="shared" si="158"/>
        <v>0</v>
      </c>
      <c r="BC33" s="31">
        <f t="shared" si="158"/>
        <v>0</v>
      </c>
      <c r="BD33" s="31">
        <f t="shared" si="158"/>
        <v>0</v>
      </c>
      <c r="BE33" s="31">
        <f t="shared" si="158"/>
        <v>0</v>
      </c>
      <c r="BF33" s="31">
        <f t="shared" si="158"/>
        <v>0</v>
      </c>
      <c r="BG33" s="31">
        <f t="shared" si="158"/>
        <v>0</v>
      </c>
      <c r="BH33" s="88">
        <f t="shared" si="79"/>
        <v>0</v>
      </c>
      <c r="BI33" s="88">
        <f t="shared" ref="BI33:CB33" si="159">0</f>
        <v>0</v>
      </c>
      <c r="BJ33" s="88">
        <f t="shared" si="159"/>
        <v>0</v>
      </c>
      <c r="BK33" s="10">
        <f t="shared" si="159"/>
        <v>0</v>
      </c>
      <c r="BL33" s="88">
        <f t="shared" si="159"/>
        <v>0</v>
      </c>
      <c r="BM33" s="88">
        <f t="shared" si="159"/>
        <v>0</v>
      </c>
      <c r="BN33" s="88">
        <f t="shared" si="159"/>
        <v>0</v>
      </c>
      <c r="BO33" s="88">
        <f t="shared" si="159"/>
        <v>0</v>
      </c>
      <c r="BP33" s="88">
        <f t="shared" si="159"/>
        <v>0</v>
      </c>
      <c r="BQ33" s="88">
        <f t="shared" si="159"/>
        <v>0</v>
      </c>
      <c r="BR33" s="88">
        <f t="shared" si="159"/>
        <v>0</v>
      </c>
      <c r="BS33" s="180">
        <f t="shared" si="159"/>
        <v>0</v>
      </c>
      <c r="BT33" s="88">
        <f t="shared" si="159"/>
        <v>0</v>
      </c>
      <c r="BU33" s="88">
        <f t="shared" si="159"/>
        <v>0</v>
      </c>
      <c r="BV33" s="88">
        <f t="shared" si="159"/>
        <v>0</v>
      </c>
      <c r="BW33" s="88">
        <f t="shared" si="159"/>
        <v>0</v>
      </c>
      <c r="BX33" s="88">
        <f t="shared" si="159"/>
        <v>0</v>
      </c>
      <c r="BY33" s="88">
        <f t="shared" si="159"/>
        <v>0</v>
      </c>
      <c r="BZ33" s="88">
        <f t="shared" si="159"/>
        <v>0</v>
      </c>
      <c r="CA33" s="88">
        <f t="shared" si="159"/>
        <v>0</v>
      </c>
      <c r="CB33" s="88">
        <f t="shared" si="159"/>
        <v>0</v>
      </c>
    </row>
    <row r="34">
      <c r="A34" s="181" t="s">
        <v>210</v>
      </c>
      <c r="B34" s="31">
        <f t="shared" si="120"/>
        <v>0</v>
      </c>
      <c r="C34" s="31">
        <f t="shared" ref="C34:G34" si="160">0</f>
        <v>0</v>
      </c>
      <c r="D34" s="31">
        <f t="shared" si="160"/>
        <v>0</v>
      </c>
      <c r="E34" s="31">
        <f t="shared" si="160"/>
        <v>0</v>
      </c>
      <c r="F34" s="31">
        <f t="shared" si="160"/>
        <v>0</v>
      </c>
      <c r="G34" s="31">
        <f t="shared" si="160"/>
        <v>0</v>
      </c>
      <c r="H34" s="179">
        <f t="shared" si="72"/>
        <v>0</v>
      </c>
      <c r="I34" s="31">
        <f t="shared" si="73"/>
        <v>0</v>
      </c>
      <c r="J34" s="31">
        <f t="shared" ref="J34:BG34" si="161">0</f>
        <v>0</v>
      </c>
      <c r="K34" s="31">
        <f t="shared" si="161"/>
        <v>0</v>
      </c>
      <c r="L34" s="31">
        <f t="shared" si="161"/>
        <v>0</v>
      </c>
      <c r="M34" s="31">
        <f t="shared" si="161"/>
        <v>0</v>
      </c>
      <c r="N34" s="31">
        <f t="shared" si="161"/>
        <v>0</v>
      </c>
      <c r="O34" s="31">
        <f t="shared" si="161"/>
        <v>0</v>
      </c>
      <c r="P34" s="31">
        <f t="shared" si="161"/>
        <v>0</v>
      </c>
      <c r="Q34" s="31">
        <f t="shared" si="161"/>
        <v>0</v>
      </c>
      <c r="R34" s="31">
        <f t="shared" si="161"/>
        <v>0</v>
      </c>
      <c r="S34" s="31">
        <f t="shared" si="161"/>
        <v>0</v>
      </c>
      <c r="T34" s="31">
        <f t="shared" si="161"/>
        <v>0</v>
      </c>
      <c r="U34" s="31">
        <f t="shared" si="161"/>
        <v>0</v>
      </c>
      <c r="V34" s="31">
        <f t="shared" si="161"/>
        <v>0</v>
      </c>
      <c r="W34" s="31">
        <f t="shared" si="161"/>
        <v>0</v>
      </c>
      <c r="X34" s="31">
        <f t="shared" si="161"/>
        <v>0</v>
      </c>
      <c r="Y34" s="31">
        <f t="shared" si="161"/>
        <v>0</v>
      </c>
      <c r="Z34" s="31">
        <f t="shared" si="161"/>
        <v>0</v>
      </c>
      <c r="AA34" s="31">
        <f t="shared" si="161"/>
        <v>0</v>
      </c>
      <c r="AB34" s="31">
        <f t="shared" si="161"/>
        <v>0</v>
      </c>
      <c r="AC34" s="31">
        <f t="shared" si="161"/>
        <v>0</v>
      </c>
      <c r="AD34" s="31">
        <f t="shared" si="161"/>
        <v>0</v>
      </c>
      <c r="AE34" s="31">
        <f t="shared" si="161"/>
        <v>0</v>
      </c>
      <c r="AF34" s="31">
        <f t="shared" si="161"/>
        <v>0</v>
      </c>
      <c r="AG34" s="31">
        <f t="shared" si="161"/>
        <v>0</v>
      </c>
      <c r="AH34" s="31">
        <f t="shared" si="161"/>
        <v>0</v>
      </c>
      <c r="AI34" s="31">
        <f t="shared" si="161"/>
        <v>0</v>
      </c>
      <c r="AJ34" s="31">
        <f t="shared" si="161"/>
        <v>0</v>
      </c>
      <c r="AK34" s="31">
        <f t="shared" si="161"/>
        <v>0</v>
      </c>
      <c r="AL34" s="31">
        <f t="shared" si="161"/>
        <v>0</v>
      </c>
      <c r="AM34" s="31">
        <f t="shared" si="161"/>
        <v>0</v>
      </c>
      <c r="AN34" s="31">
        <f t="shared" si="161"/>
        <v>0</v>
      </c>
      <c r="AO34" s="31">
        <f t="shared" si="161"/>
        <v>0</v>
      </c>
      <c r="AP34" s="31">
        <f t="shared" si="161"/>
        <v>0</v>
      </c>
      <c r="AQ34" s="31">
        <f t="shared" si="161"/>
        <v>0</v>
      </c>
      <c r="AR34" s="31">
        <f t="shared" si="161"/>
        <v>0</v>
      </c>
      <c r="AS34" s="31">
        <f t="shared" si="161"/>
        <v>0</v>
      </c>
      <c r="AT34" s="31">
        <f t="shared" si="161"/>
        <v>0</v>
      </c>
      <c r="AU34" s="31">
        <f t="shared" si="161"/>
        <v>0</v>
      </c>
      <c r="AV34" s="31">
        <f t="shared" si="161"/>
        <v>0</v>
      </c>
      <c r="AW34" s="31">
        <f t="shared" si="161"/>
        <v>0</v>
      </c>
      <c r="AX34" s="31">
        <f t="shared" si="161"/>
        <v>0</v>
      </c>
      <c r="AY34" s="31">
        <f t="shared" si="161"/>
        <v>0</v>
      </c>
      <c r="AZ34" s="31">
        <f t="shared" si="161"/>
        <v>0</v>
      </c>
      <c r="BA34" s="31">
        <f t="shared" si="161"/>
        <v>0</v>
      </c>
      <c r="BB34" s="31">
        <f t="shared" si="161"/>
        <v>0</v>
      </c>
      <c r="BC34" s="31">
        <f t="shared" si="161"/>
        <v>0</v>
      </c>
      <c r="BD34" s="31">
        <f t="shared" si="161"/>
        <v>0</v>
      </c>
      <c r="BE34" s="31">
        <f t="shared" si="161"/>
        <v>0</v>
      </c>
      <c r="BF34" s="31">
        <f t="shared" si="161"/>
        <v>0</v>
      </c>
      <c r="BG34" s="31">
        <f t="shared" si="161"/>
        <v>0</v>
      </c>
      <c r="BH34" s="88">
        <f t="shared" si="79"/>
        <v>0</v>
      </c>
      <c r="BI34" s="88">
        <f t="shared" ref="BI34:CB34" si="162">0</f>
        <v>0</v>
      </c>
      <c r="BJ34" s="88">
        <f t="shared" si="162"/>
        <v>0</v>
      </c>
      <c r="BK34" s="10">
        <f t="shared" si="162"/>
        <v>0</v>
      </c>
      <c r="BL34" s="88">
        <f t="shared" si="162"/>
        <v>0</v>
      </c>
      <c r="BM34" s="88">
        <f t="shared" si="162"/>
        <v>0</v>
      </c>
      <c r="BN34" s="88">
        <f t="shared" si="162"/>
        <v>0</v>
      </c>
      <c r="BO34" s="88">
        <f t="shared" si="162"/>
        <v>0</v>
      </c>
      <c r="BP34" s="88">
        <f t="shared" si="162"/>
        <v>0</v>
      </c>
      <c r="BQ34" s="88">
        <f t="shared" si="162"/>
        <v>0</v>
      </c>
      <c r="BR34" s="88">
        <f t="shared" si="162"/>
        <v>0</v>
      </c>
      <c r="BS34" s="180">
        <f t="shared" si="162"/>
        <v>0</v>
      </c>
      <c r="BT34" s="88">
        <f t="shared" si="162"/>
        <v>0</v>
      </c>
      <c r="BU34" s="88">
        <f t="shared" si="162"/>
        <v>0</v>
      </c>
      <c r="BV34" s="88">
        <f t="shared" si="162"/>
        <v>0</v>
      </c>
      <c r="BW34" s="88">
        <f t="shared" si="162"/>
        <v>0</v>
      </c>
      <c r="BX34" s="88">
        <f t="shared" si="162"/>
        <v>0</v>
      </c>
      <c r="BY34" s="88">
        <f t="shared" si="162"/>
        <v>0</v>
      </c>
      <c r="BZ34" s="88">
        <f t="shared" si="162"/>
        <v>0</v>
      </c>
      <c r="CA34" s="88">
        <f t="shared" si="162"/>
        <v>0</v>
      </c>
      <c r="CB34" s="88">
        <f t="shared" si="162"/>
        <v>0</v>
      </c>
    </row>
    <row r="35">
      <c r="A35" s="181" t="s">
        <v>211</v>
      </c>
      <c r="B35" s="31">
        <f t="shared" si="120"/>
        <v>0</v>
      </c>
      <c r="C35" s="31">
        <f t="shared" ref="C35:G35" si="163">0</f>
        <v>0</v>
      </c>
      <c r="D35" s="31">
        <f t="shared" si="163"/>
        <v>0</v>
      </c>
      <c r="E35" s="31">
        <f t="shared" si="163"/>
        <v>0</v>
      </c>
      <c r="F35" s="31">
        <f t="shared" si="163"/>
        <v>0</v>
      </c>
      <c r="G35" s="31">
        <f t="shared" si="163"/>
        <v>0</v>
      </c>
      <c r="H35" s="179">
        <f t="shared" si="72"/>
        <v>0</v>
      </c>
      <c r="I35" s="31">
        <f t="shared" si="73"/>
        <v>0</v>
      </c>
      <c r="J35" s="31">
        <f t="shared" ref="J35:BG35" si="164">0</f>
        <v>0</v>
      </c>
      <c r="K35" s="31">
        <f t="shared" si="164"/>
        <v>0</v>
      </c>
      <c r="L35" s="31">
        <f t="shared" si="164"/>
        <v>0</v>
      </c>
      <c r="M35" s="31">
        <f t="shared" si="164"/>
        <v>0</v>
      </c>
      <c r="N35" s="31">
        <f t="shared" si="164"/>
        <v>0</v>
      </c>
      <c r="O35" s="31">
        <f t="shared" si="164"/>
        <v>0</v>
      </c>
      <c r="P35" s="31">
        <f t="shared" si="164"/>
        <v>0</v>
      </c>
      <c r="Q35" s="31">
        <f t="shared" si="164"/>
        <v>0</v>
      </c>
      <c r="R35" s="31">
        <f t="shared" si="164"/>
        <v>0</v>
      </c>
      <c r="S35" s="31">
        <f t="shared" si="164"/>
        <v>0</v>
      </c>
      <c r="T35" s="31">
        <f t="shared" si="164"/>
        <v>0</v>
      </c>
      <c r="U35" s="31">
        <f t="shared" si="164"/>
        <v>0</v>
      </c>
      <c r="V35" s="31">
        <f t="shared" si="164"/>
        <v>0</v>
      </c>
      <c r="W35" s="31">
        <f t="shared" si="164"/>
        <v>0</v>
      </c>
      <c r="X35" s="31">
        <f t="shared" si="164"/>
        <v>0</v>
      </c>
      <c r="Y35" s="31">
        <f t="shared" si="164"/>
        <v>0</v>
      </c>
      <c r="Z35" s="31">
        <f t="shared" si="164"/>
        <v>0</v>
      </c>
      <c r="AA35" s="31">
        <f t="shared" si="164"/>
        <v>0</v>
      </c>
      <c r="AB35" s="31">
        <f t="shared" si="164"/>
        <v>0</v>
      </c>
      <c r="AC35" s="31">
        <f t="shared" si="164"/>
        <v>0</v>
      </c>
      <c r="AD35" s="31">
        <f t="shared" si="164"/>
        <v>0</v>
      </c>
      <c r="AE35" s="31">
        <f t="shared" si="164"/>
        <v>0</v>
      </c>
      <c r="AF35" s="31">
        <f t="shared" si="164"/>
        <v>0</v>
      </c>
      <c r="AG35" s="31">
        <f t="shared" si="164"/>
        <v>0</v>
      </c>
      <c r="AH35" s="31">
        <f t="shared" si="164"/>
        <v>0</v>
      </c>
      <c r="AI35" s="31">
        <f t="shared" si="164"/>
        <v>0</v>
      </c>
      <c r="AJ35" s="31">
        <f t="shared" si="164"/>
        <v>0</v>
      </c>
      <c r="AK35" s="31">
        <f t="shared" si="164"/>
        <v>0</v>
      </c>
      <c r="AL35" s="31">
        <f t="shared" si="164"/>
        <v>0</v>
      </c>
      <c r="AM35" s="31">
        <f t="shared" si="164"/>
        <v>0</v>
      </c>
      <c r="AN35" s="31">
        <f t="shared" si="164"/>
        <v>0</v>
      </c>
      <c r="AO35" s="31">
        <f t="shared" si="164"/>
        <v>0</v>
      </c>
      <c r="AP35" s="31">
        <f t="shared" si="164"/>
        <v>0</v>
      </c>
      <c r="AQ35" s="31">
        <f t="shared" si="164"/>
        <v>0</v>
      </c>
      <c r="AR35" s="31">
        <f t="shared" si="164"/>
        <v>0</v>
      </c>
      <c r="AS35" s="31">
        <f t="shared" si="164"/>
        <v>0</v>
      </c>
      <c r="AT35" s="31">
        <f t="shared" si="164"/>
        <v>0</v>
      </c>
      <c r="AU35" s="31">
        <f t="shared" si="164"/>
        <v>0</v>
      </c>
      <c r="AV35" s="31">
        <f t="shared" si="164"/>
        <v>0</v>
      </c>
      <c r="AW35" s="31">
        <f t="shared" si="164"/>
        <v>0</v>
      </c>
      <c r="AX35" s="31">
        <f t="shared" si="164"/>
        <v>0</v>
      </c>
      <c r="AY35" s="31">
        <f t="shared" si="164"/>
        <v>0</v>
      </c>
      <c r="AZ35" s="31">
        <f t="shared" si="164"/>
        <v>0</v>
      </c>
      <c r="BA35" s="31">
        <f t="shared" si="164"/>
        <v>0</v>
      </c>
      <c r="BB35" s="31">
        <f t="shared" si="164"/>
        <v>0</v>
      </c>
      <c r="BC35" s="31">
        <f t="shared" si="164"/>
        <v>0</v>
      </c>
      <c r="BD35" s="31">
        <f t="shared" si="164"/>
        <v>0</v>
      </c>
      <c r="BE35" s="31">
        <f t="shared" si="164"/>
        <v>0</v>
      </c>
      <c r="BF35" s="31">
        <f t="shared" si="164"/>
        <v>0</v>
      </c>
      <c r="BG35" s="31">
        <f t="shared" si="164"/>
        <v>0</v>
      </c>
      <c r="BH35" s="88">
        <f t="shared" si="79"/>
        <v>0</v>
      </c>
      <c r="BI35" s="88">
        <f t="shared" ref="BI35:CB35" si="165">0</f>
        <v>0</v>
      </c>
      <c r="BJ35" s="88">
        <f t="shared" si="165"/>
        <v>0</v>
      </c>
      <c r="BK35" s="10">
        <f t="shared" si="165"/>
        <v>0</v>
      </c>
      <c r="BL35" s="88">
        <f t="shared" si="165"/>
        <v>0</v>
      </c>
      <c r="BM35" s="88">
        <f t="shared" si="165"/>
        <v>0</v>
      </c>
      <c r="BN35" s="88">
        <f t="shared" si="165"/>
        <v>0</v>
      </c>
      <c r="BO35" s="88">
        <f t="shared" si="165"/>
        <v>0</v>
      </c>
      <c r="BP35" s="88">
        <f t="shared" si="165"/>
        <v>0</v>
      </c>
      <c r="BQ35" s="88">
        <f t="shared" si="165"/>
        <v>0</v>
      </c>
      <c r="BR35" s="88">
        <f t="shared" si="165"/>
        <v>0</v>
      </c>
      <c r="BS35" s="180">
        <f t="shared" si="165"/>
        <v>0</v>
      </c>
      <c r="BT35" s="88">
        <f t="shared" si="165"/>
        <v>0</v>
      </c>
      <c r="BU35" s="88">
        <f t="shared" si="165"/>
        <v>0</v>
      </c>
      <c r="BV35" s="88">
        <f t="shared" si="165"/>
        <v>0</v>
      </c>
      <c r="BW35" s="88">
        <f t="shared" si="165"/>
        <v>0</v>
      </c>
      <c r="BX35" s="88">
        <f t="shared" si="165"/>
        <v>0</v>
      </c>
      <c r="BY35" s="88">
        <f t="shared" si="165"/>
        <v>0</v>
      </c>
      <c r="BZ35" s="88">
        <f t="shared" si="165"/>
        <v>0</v>
      </c>
      <c r="CA35" s="88">
        <f t="shared" si="165"/>
        <v>0</v>
      </c>
      <c r="CB35" s="88">
        <f t="shared" si="165"/>
        <v>0</v>
      </c>
    </row>
    <row r="36">
      <c r="A36" s="181" t="s">
        <v>212</v>
      </c>
      <c r="B36" s="31">
        <f t="shared" si="120"/>
        <v>0</v>
      </c>
      <c r="C36" s="31">
        <f t="shared" ref="C36:G36" si="166">0</f>
        <v>0</v>
      </c>
      <c r="D36" s="31">
        <f t="shared" si="166"/>
        <v>0</v>
      </c>
      <c r="E36" s="31">
        <f t="shared" si="166"/>
        <v>0</v>
      </c>
      <c r="F36" s="31">
        <f t="shared" si="166"/>
        <v>0</v>
      </c>
      <c r="G36" s="31">
        <f t="shared" si="166"/>
        <v>0</v>
      </c>
      <c r="H36" s="179">
        <f t="shared" si="72"/>
        <v>0</v>
      </c>
      <c r="I36" s="31">
        <f t="shared" si="73"/>
        <v>0</v>
      </c>
      <c r="J36" s="31">
        <f t="shared" ref="J36:BG36" si="167">0</f>
        <v>0</v>
      </c>
      <c r="K36" s="31">
        <f t="shared" si="167"/>
        <v>0</v>
      </c>
      <c r="L36" s="31">
        <f t="shared" si="167"/>
        <v>0</v>
      </c>
      <c r="M36" s="31">
        <f t="shared" si="167"/>
        <v>0</v>
      </c>
      <c r="N36" s="31">
        <f t="shared" si="167"/>
        <v>0</v>
      </c>
      <c r="O36" s="31">
        <f t="shared" si="167"/>
        <v>0</v>
      </c>
      <c r="P36" s="31">
        <f t="shared" si="167"/>
        <v>0</v>
      </c>
      <c r="Q36" s="31">
        <f t="shared" si="167"/>
        <v>0</v>
      </c>
      <c r="R36" s="31">
        <f t="shared" si="167"/>
        <v>0</v>
      </c>
      <c r="S36" s="31">
        <f t="shared" si="167"/>
        <v>0</v>
      </c>
      <c r="T36" s="31">
        <f t="shared" si="167"/>
        <v>0</v>
      </c>
      <c r="U36" s="31">
        <f t="shared" si="167"/>
        <v>0</v>
      </c>
      <c r="V36" s="31">
        <f t="shared" si="167"/>
        <v>0</v>
      </c>
      <c r="W36" s="31">
        <f t="shared" si="167"/>
        <v>0</v>
      </c>
      <c r="X36" s="31">
        <f t="shared" si="167"/>
        <v>0</v>
      </c>
      <c r="Y36" s="31">
        <f t="shared" si="167"/>
        <v>0</v>
      </c>
      <c r="Z36" s="31">
        <f t="shared" si="167"/>
        <v>0</v>
      </c>
      <c r="AA36" s="31">
        <f t="shared" si="167"/>
        <v>0</v>
      </c>
      <c r="AB36" s="31">
        <f t="shared" si="167"/>
        <v>0</v>
      </c>
      <c r="AC36" s="31">
        <f t="shared" si="167"/>
        <v>0</v>
      </c>
      <c r="AD36" s="31">
        <f t="shared" si="167"/>
        <v>0</v>
      </c>
      <c r="AE36" s="31">
        <f t="shared" si="167"/>
        <v>0</v>
      </c>
      <c r="AF36" s="31">
        <f t="shared" si="167"/>
        <v>0</v>
      </c>
      <c r="AG36" s="31">
        <f t="shared" si="167"/>
        <v>0</v>
      </c>
      <c r="AH36" s="31">
        <f t="shared" si="167"/>
        <v>0</v>
      </c>
      <c r="AI36" s="31">
        <f t="shared" si="167"/>
        <v>0</v>
      </c>
      <c r="AJ36" s="31">
        <f t="shared" si="167"/>
        <v>0</v>
      </c>
      <c r="AK36" s="31">
        <f t="shared" si="167"/>
        <v>0</v>
      </c>
      <c r="AL36" s="31">
        <f t="shared" si="167"/>
        <v>0</v>
      </c>
      <c r="AM36" s="31">
        <f t="shared" si="167"/>
        <v>0</v>
      </c>
      <c r="AN36" s="31">
        <f t="shared" si="167"/>
        <v>0</v>
      </c>
      <c r="AO36" s="31">
        <f t="shared" si="167"/>
        <v>0</v>
      </c>
      <c r="AP36" s="31">
        <f t="shared" si="167"/>
        <v>0</v>
      </c>
      <c r="AQ36" s="31">
        <f t="shared" si="167"/>
        <v>0</v>
      </c>
      <c r="AR36" s="31">
        <f t="shared" si="167"/>
        <v>0</v>
      </c>
      <c r="AS36" s="31">
        <f t="shared" si="167"/>
        <v>0</v>
      </c>
      <c r="AT36" s="31">
        <f t="shared" si="167"/>
        <v>0</v>
      </c>
      <c r="AU36" s="31">
        <f t="shared" si="167"/>
        <v>0</v>
      </c>
      <c r="AV36" s="31">
        <f t="shared" si="167"/>
        <v>0</v>
      </c>
      <c r="AW36" s="31">
        <f t="shared" si="167"/>
        <v>0</v>
      </c>
      <c r="AX36" s="31">
        <f t="shared" si="167"/>
        <v>0</v>
      </c>
      <c r="AY36" s="31">
        <f t="shared" si="167"/>
        <v>0</v>
      </c>
      <c r="AZ36" s="31">
        <f t="shared" si="167"/>
        <v>0</v>
      </c>
      <c r="BA36" s="31">
        <f t="shared" si="167"/>
        <v>0</v>
      </c>
      <c r="BB36" s="31">
        <f t="shared" si="167"/>
        <v>0</v>
      </c>
      <c r="BC36" s="31">
        <f t="shared" si="167"/>
        <v>0</v>
      </c>
      <c r="BD36" s="31">
        <f t="shared" si="167"/>
        <v>0</v>
      </c>
      <c r="BE36" s="31">
        <f t="shared" si="167"/>
        <v>0</v>
      </c>
      <c r="BF36" s="31">
        <f t="shared" si="167"/>
        <v>0</v>
      </c>
      <c r="BG36" s="31">
        <f t="shared" si="167"/>
        <v>0</v>
      </c>
      <c r="BH36" s="88">
        <f t="shared" si="79"/>
        <v>0</v>
      </c>
      <c r="BI36" s="88">
        <f t="shared" ref="BI36:CB36" si="168">0</f>
        <v>0</v>
      </c>
      <c r="BJ36" s="88">
        <f t="shared" si="168"/>
        <v>0</v>
      </c>
      <c r="BK36" s="10">
        <f t="shared" si="168"/>
        <v>0</v>
      </c>
      <c r="BL36" s="88">
        <f t="shared" si="168"/>
        <v>0</v>
      </c>
      <c r="BM36" s="88">
        <f t="shared" si="168"/>
        <v>0</v>
      </c>
      <c r="BN36" s="88">
        <f t="shared" si="168"/>
        <v>0</v>
      </c>
      <c r="BO36" s="88">
        <f t="shared" si="168"/>
        <v>0</v>
      </c>
      <c r="BP36" s="88">
        <f t="shared" si="168"/>
        <v>0</v>
      </c>
      <c r="BQ36" s="88">
        <f t="shared" si="168"/>
        <v>0</v>
      </c>
      <c r="BR36" s="88">
        <f t="shared" si="168"/>
        <v>0</v>
      </c>
      <c r="BS36" s="180">
        <f t="shared" si="168"/>
        <v>0</v>
      </c>
      <c r="BT36" s="88">
        <f t="shared" si="168"/>
        <v>0</v>
      </c>
      <c r="BU36" s="88">
        <f t="shared" si="168"/>
        <v>0</v>
      </c>
      <c r="BV36" s="88">
        <f t="shared" si="168"/>
        <v>0</v>
      </c>
      <c r="BW36" s="88">
        <f t="shared" si="168"/>
        <v>0</v>
      </c>
      <c r="BX36" s="88">
        <f t="shared" si="168"/>
        <v>0</v>
      </c>
      <c r="BY36" s="88">
        <f t="shared" si="168"/>
        <v>0</v>
      </c>
      <c r="BZ36" s="88">
        <f t="shared" si="168"/>
        <v>0</v>
      </c>
      <c r="CA36" s="88">
        <f t="shared" si="168"/>
        <v>0</v>
      </c>
      <c r="CB36" s="88">
        <f t="shared" si="168"/>
        <v>0</v>
      </c>
    </row>
    <row r="37">
      <c r="A37" s="181" t="s">
        <v>213</v>
      </c>
      <c r="B37" s="31">
        <f t="shared" si="120"/>
        <v>0</v>
      </c>
      <c r="C37" s="31">
        <f t="shared" ref="C37:G37" si="169">0</f>
        <v>0</v>
      </c>
      <c r="D37" s="31">
        <f t="shared" si="169"/>
        <v>0</v>
      </c>
      <c r="E37" s="31">
        <f t="shared" si="169"/>
        <v>0</v>
      </c>
      <c r="F37" s="31">
        <f t="shared" si="169"/>
        <v>0</v>
      </c>
      <c r="G37" s="31">
        <f t="shared" si="169"/>
        <v>0</v>
      </c>
      <c r="H37" s="179">
        <f t="shared" si="72"/>
        <v>0</v>
      </c>
      <c r="I37" s="31">
        <f t="shared" si="73"/>
        <v>0</v>
      </c>
      <c r="J37" s="31">
        <f t="shared" ref="J37:BG37" si="170">0</f>
        <v>0</v>
      </c>
      <c r="K37" s="31">
        <f t="shared" si="170"/>
        <v>0</v>
      </c>
      <c r="L37" s="31">
        <f t="shared" si="170"/>
        <v>0</v>
      </c>
      <c r="M37" s="31">
        <f t="shared" si="170"/>
        <v>0</v>
      </c>
      <c r="N37" s="31">
        <f t="shared" si="170"/>
        <v>0</v>
      </c>
      <c r="O37" s="31">
        <f t="shared" si="170"/>
        <v>0</v>
      </c>
      <c r="P37" s="31">
        <f t="shared" si="170"/>
        <v>0</v>
      </c>
      <c r="Q37" s="31">
        <f t="shared" si="170"/>
        <v>0</v>
      </c>
      <c r="R37" s="31">
        <f t="shared" si="170"/>
        <v>0</v>
      </c>
      <c r="S37" s="31">
        <f t="shared" si="170"/>
        <v>0</v>
      </c>
      <c r="T37" s="31">
        <f t="shared" si="170"/>
        <v>0</v>
      </c>
      <c r="U37" s="31">
        <f t="shared" si="170"/>
        <v>0</v>
      </c>
      <c r="V37" s="31">
        <f t="shared" si="170"/>
        <v>0</v>
      </c>
      <c r="W37" s="31">
        <f t="shared" si="170"/>
        <v>0</v>
      </c>
      <c r="X37" s="31">
        <f t="shared" si="170"/>
        <v>0</v>
      </c>
      <c r="Y37" s="31">
        <f t="shared" si="170"/>
        <v>0</v>
      </c>
      <c r="Z37" s="31">
        <f t="shared" si="170"/>
        <v>0</v>
      </c>
      <c r="AA37" s="31">
        <f t="shared" si="170"/>
        <v>0</v>
      </c>
      <c r="AB37" s="31">
        <f t="shared" si="170"/>
        <v>0</v>
      </c>
      <c r="AC37" s="31">
        <f t="shared" si="170"/>
        <v>0</v>
      </c>
      <c r="AD37" s="31">
        <f t="shared" si="170"/>
        <v>0</v>
      </c>
      <c r="AE37" s="31">
        <f t="shared" si="170"/>
        <v>0</v>
      </c>
      <c r="AF37" s="31">
        <f t="shared" si="170"/>
        <v>0</v>
      </c>
      <c r="AG37" s="31">
        <f t="shared" si="170"/>
        <v>0</v>
      </c>
      <c r="AH37" s="31">
        <f t="shared" si="170"/>
        <v>0</v>
      </c>
      <c r="AI37" s="31">
        <f t="shared" si="170"/>
        <v>0</v>
      </c>
      <c r="AJ37" s="31">
        <f t="shared" si="170"/>
        <v>0</v>
      </c>
      <c r="AK37" s="31">
        <f t="shared" si="170"/>
        <v>0</v>
      </c>
      <c r="AL37" s="31">
        <f t="shared" si="170"/>
        <v>0</v>
      </c>
      <c r="AM37" s="31">
        <f t="shared" si="170"/>
        <v>0</v>
      </c>
      <c r="AN37" s="31">
        <f t="shared" si="170"/>
        <v>0</v>
      </c>
      <c r="AO37" s="31">
        <f t="shared" si="170"/>
        <v>0</v>
      </c>
      <c r="AP37" s="31">
        <f t="shared" si="170"/>
        <v>0</v>
      </c>
      <c r="AQ37" s="31">
        <f t="shared" si="170"/>
        <v>0</v>
      </c>
      <c r="AR37" s="31">
        <f t="shared" si="170"/>
        <v>0</v>
      </c>
      <c r="AS37" s="31">
        <f t="shared" si="170"/>
        <v>0</v>
      </c>
      <c r="AT37" s="31">
        <f t="shared" si="170"/>
        <v>0</v>
      </c>
      <c r="AU37" s="31">
        <f t="shared" si="170"/>
        <v>0</v>
      </c>
      <c r="AV37" s="31">
        <f t="shared" si="170"/>
        <v>0</v>
      </c>
      <c r="AW37" s="31">
        <f t="shared" si="170"/>
        <v>0</v>
      </c>
      <c r="AX37" s="31">
        <f t="shared" si="170"/>
        <v>0</v>
      </c>
      <c r="AY37" s="31">
        <f t="shared" si="170"/>
        <v>0</v>
      </c>
      <c r="AZ37" s="31">
        <f t="shared" si="170"/>
        <v>0</v>
      </c>
      <c r="BA37" s="31">
        <f t="shared" si="170"/>
        <v>0</v>
      </c>
      <c r="BB37" s="31">
        <f t="shared" si="170"/>
        <v>0</v>
      </c>
      <c r="BC37" s="31">
        <f t="shared" si="170"/>
        <v>0</v>
      </c>
      <c r="BD37" s="31">
        <f t="shared" si="170"/>
        <v>0</v>
      </c>
      <c r="BE37" s="31">
        <f t="shared" si="170"/>
        <v>0</v>
      </c>
      <c r="BF37" s="31">
        <f t="shared" si="170"/>
        <v>0</v>
      </c>
      <c r="BG37" s="31">
        <f t="shared" si="170"/>
        <v>0</v>
      </c>
      <c r="BH37" s="88">
        <f t="shared" si="79"/>
        <v>0</v>
      </c>
      <c r="BI37" s="88">
        <f t="shared" ref="BI37:CB37" si="171">0</f>
        <v>0</v>
      </c>
      <c r="BJ37" s="88">
        <f t="shared" si="171"/>
        <v>0</v>
      </c>
      <c r="BK37" s="10">
        <f t="shared" si="171"/>
        <v>0</v>
      </c>
      <c r="BL37" s="88">
        <f t="shared" si="171"/>
        <v>0</v>
      </c>
      <c r="BM37" s="88">
        <f t="shared" si="171"/>
        <v>0</v>
      </c>
      <c r="BN37" s="88">
        <f t="shared" si="171"/>
        <v>0</v>
      </c>
      <c r="BO37" s="88">
        <f t="shared" si="171"/>
        <v>0</v>
      </c>
      <c r="BP37" s="88">
        <f t="shared" si="171"/>
        <v>0</v>
      </c>
      <c r="BQ37" s="88">
        <f t="shared" si="171"/>
        <v>0</v>
      </c>
      <c r="BR37" s="88">
        <f t="shared" si="171"/>
        <v>0</v>
      </c>
      <c r="BS37" s="180">
        <f t="shared" si="171"/>
        <v>0</v>
      </c>
      <c r="BT37" s="88">
        <f t="shared" si="171"/>
        <v>0</v>
      </c>
      <c r="BU37" s="88">
        <f t="shared" si="171"/>
        <v>0</v>
      </c>
      <c r="BV37" s="88">
        <f t="shared" si="171"/>
        <v>0</v>
      </c>
      <c r="BW37" s="88">
        <f t="shared" si="171"/>
        <v>0</v>
      </c>
      <c r="BX37" s="88">
        <f t="shared" si="171"/>
        <v>0</v>
      </c>
      <c r="BY37" s="88">
        <f t="shared" si="171"/>
        <v>0</v>
      </c>
      <c r="BZ37" s="88">
        <f t="shared" si="171"/>
        <v>0</v>
      </c>
      <c r="CA37" s="88">
        <f t="shared" si="171"/>
        <v>0</v>
      </c>
      <c r="CB37" s="88">
        <f t="shared" si="171"/>
        <v>0</v>
      </c>
    </row>
    <row r="38">
      <c r="A38" s="181" t="s">
        <v>214</v>
      </c>
      <c r="B38" s="31">
        <f t="shared" si="120"/>
        <v>0</v>
      </c>
      <c r="C38" s="31">
        <f t="shared" ref="C38:G38" si="172">0</f>
        <v>0</v>
      </c>
      <c r="D38" s="31">
        <f t="shared" si="172"/>
        <v>0</v>
      </c>
      <c r="E38" s="31">
        <f t="shared" si="172"/>
        <v>0</v>
      </c>
      <c r="F38" s="31">
        <f t="shared" si="172"/>
        <v>0</v>
      </c>
      <c r="G38" s="31">
        <f t="shared" si="172"/>
        <v>0</v>
      </c>
      <c r="H38" s="179">
        <f t="shared" si="72"/>
        <v>0</v>
      </c>
      <c r="I38" s="31">
        <f t="shared" si="73"/>
        <v>0</v>
      </c>
      <c r="J38" s="31">
        <f t="shared" ref="J38:BG38" si="173">0</f>
        <v>0</v>
      </c>
      <c r="K38" s="31">
        <f t="shared" si="173"/>
        <v>0</v>
      </c>
      <c r="L38" s="31">
        <f t="shared" si="173"/>
        <v>0</v>
      </c>
      <c r="M38" s="31">
        <f t="shared" si="173"/>
        <v>0</v>
      </c>
      <c r="N38" s="31">
        <f t="shared" si="173"/>
        <v>0</v>
      </c>
      <c r="O38" s="31">
        <f t="shared" si="173"/>
        <v>0</v>
      </c>
      <c r="P38" s="31">
        <f t="shared" si="173"/>
        <v>0</v>
      </c>
      <c r="Q38" s="31">
        <f t="shared" si="173"/>
        <v>0</v>
      </c>
      <c r="R38" s="31">
        <f t="shared" si="173"/>
        <v>0</v>
      </c>
      <c r="S38" s="31">
        <f t="shared" si="173"/>
        <v>0</v>
      </c>
      <c r="T38" s="31">
        <f t="shared" si="173"/>
        <v>0</v>
      </c>
      <c r="U38" s="31">
        <f t="shared" si="173"/>
        <v>0</v>
      </c>
      <c r="V38" s="31">
        <f t="shared" si="173"/>
        <v>0</v>
      </c>
      <c r="W38" s="31">
        <f t="shared" si="173"/>
        <v>0</v>
      </c>
      <c r="X38" s="31">
        <f t="shared" si="173"/>
        <v>0</v>
      </c>
      <c r="Y38" s="31">
        <f t="shared" si="173"/>
        <v>0</v>
      </c>
      <c r="Z38" s="31">
        <f t="shared" si="173"/>
        <v>0</v>
      </c>
      <c r="AA38" s="31">
        <f t="shared" si="173"/>
        <v>0</v>
      </c>
      <c r="AB38" s="31">
        <f t="shared" si="173"/>
        <v>0</v>
      </c>
      <c r="AC38" s="31">
        <f t="shared" si="173"/>
        <v>0</v>
      </c>
      <c r="AD38" s="31">
        <f t="shared" si="173"/>
        <v>0</v>
      </c>
      <c r="AE38" s="31">
        <f t="shared" si="173"/>
        <v>0</v>
      </c>
      <c r="AF38" s="31">
        <f t="shared" si="173"/>
        <v>0</v>
      </c>
      <c r="AG38" s="31">
        <f t="shared" si="173"/>
        <v>0</v>
      </c>
      <c r="AH38" s="31">
        <f t="shared" si="173"/>
        <v>0</v>
      </c>
      <c r="AI38" s="31">
        <f t="shared" si="173"/>
        <v>0</v>
      </c>
      <c r="AJ38" s="31">
        <f t="shared" si="173"/>
        <v>0</v>
      </c>
      <c r="AK38" s="31">
        <f t="shared" si="173"/>
        <v>0</v>
      </c>
      <c r="AL38" s="31">
        <f t="shared" si="173"/>
        <v>0</v>
      </c>
      <c r="AM38" s="31">
        <f t="shared" si="173"/>
        <v>0</v>
      </c>
      <c r="AN38" s="31">
        <f t="shared" si="173"/>
        <v>0</v>
      </c>
      <c r="AO38" s="31">
        <f t="shared" si="173"/>
        <v>0</v>
      </c>
      <c r="AP38" s="31">
        <f t="shared" si="173"/>
        <v>0</v>
      </c>
      <c r="AQ38" s="31">
        <f t="shared" si="173"/>
        <v>0</v>
      </c>
      <c r="AR38" s="31">
        <f t="shared" si="173"/>
        <v>0</v>
      </c>
      <c r="AS38" s="31">
        <f t="shared" si="173"/>
        <v>0</v>
      </c>
      <c r="AT38" s="31">
        <f t="shared" si="173"/>
        <v>0</v>
      </c>
      <c r="AU38" s="31">
        <f t="shared" si="173"/>
        <v>0</v>
      </c>
      <c r="AV38" s="31">
        <f t="shared" si="173"/>
        <v>0</v>
      </c>
      <c r="AW38" s="31">
        <f t="shared" si="173"/>
        <v>0</v>
      </c>
      <c r="AX38" s="31">
        <f t="shared" si="173"/>
        <v>0</v>
      </c>
      <c r="AY38" s="31">
        <f t="shared" si="173"/>
        <v>0</v>
      </c>
      <c r="AZ38" s="31">
        <f t="shared" si="173"/>
        <v>0</v>
      </c>
      <c r="BA38" s="31">
        <f t="shared" si="173"/>
        <v>0</v>
      </c>
      <c r="BB38" s="31">
        <f t="shared" si="173"/>
        <v>0</v>
      </c>
      <c r="BC38" s="31">
        <f t="shared" si="173"/>
        <v>0</v>
      </c>
      <c r="BD38" s="31">
        <f t="shared" si="173"/>
        <v>0</v>
      </c>
      <c r="BE38" s="31">
        <f t="shared" si="173"/>
        <v>0</v>
      </c>
      <c r="BF38" s="31">
        <f t="shared" si="173"/>
        <v>0</v>
      </c>
      <c r="BG38" s="31">
        <f t="shared" si="173"/>
        <v>0</v>
      </c>
      <c r="BH38" s="88">
        <f t="shared" si="79"/>
        <v>0</v>
      </c>
      <c r="BI38" s="88">
        <f t="shared" ref="BI38:CB38" si="174">0</f>
        <v>0</v>
      </c>
      <c r="BJ38" s="88">
        <f t="shared" si="174"/>
        <v>0</v>
      </c>
      <c r="BK38" s="10">
        <f t="shared" si="174"/>
        <v>0</v>
      </c>
      <c r="BL38" s="88">
        <f t="shared" si="174"/>
        <v>0</v>
      </c>
      <c r="BM38" s="88">
        <f t="shared" si="174"/>
        <v>0</v>
      </c>
      <c r="BN38" s="88">
        <f t="shared" si="174"/>
        <v>0</v>
      </c>
      <c r="BO38" s="88">
        <f t="shared" si="174"/>
        <v>0</v>
      </c>
      <c r="BP38" s="88">
        <f t="shared" si="174"/>
        <v>0</v>
      </c>
      <c r="BQ38" s="88">
        <f t="shared" si="174"/>
        <v>0</v>
      </c>
      <c r="BR38" s="88">
        <f t="shared" si="174"/>
        <v>0</v>
      </c>
      <c r="BS38" s="180">
        <f t="shared" si="174"/>
        <v>0</v>
      </c>
      <c r="BT38" s="88">
        <f t="shared" si="174"/>
        <v>0</v>
      </c>
      <c r="BU38" s="88">
        <f t="shared" si="174"/>
        <v>0</v>
      </c>
      <c r="BV38" s="88">
        <f t="shared" si="174"/>
        <v>0</v>
      </c>
      <c r="BW38" s="88">
        <f t="shared" si="174"/>
        <v>0</v>
      </c>
      <c r="BX38" s="88">
        <f t="shared" si="174"/>
        <v>0</v>
      </c>
      <c r="BY38" s="88">
        <f t="shared" si="174"/>
        <v>0</v>
      </c>
      <c r="BZ38" s="88">
        <f t="shared" si="174"/>
        <v>0</v>
      </c>
      <c r="CA38" s="88">
        <f t="shared" si="174"/>
        <v>0</v>
      </c>
      <c r="CB38" s="88">
        <f t="shared" si="174"/>
        <v>0</v>
      </c>
    </row>
    <row r="39">
      <c r="A39" s="181" t="s">
        <v>215</v>
      </c>
      <c r="B39" s="31">
        <f t="shared" si="120"/>
        <v>0</v>
      </c>
      <c r="C39" s="31">
        <f t="shared" ref="C39:G39" si="175">0</f>
        <v>0</v>
      </c>
      <c r="D39" s="31">
        <f t="shared" si="175"/>
        <v>0</v>
      </c>
      <c r="E39" s="31">
        <f t="shared" si="175"/>
        <v>0</v>
      </c>
      <c r="F39" s="31">
        <f t="shared" si="175"/>
        <v>0</v>
      </c>
      <c r="G39" s="31">
        <f t="shared" si="175"/>
        <v>0</v>
      </c>
      <c r="H39" s="179">
        <f t="shared" si="72"/>
        <v>0</v>
      </c>
      <c r="I39" s="31">
        <f t="shared" si="73"/>
        <v>0</v>
      </c>
      <c r="J39" s="31">
        <f t="shared" ref="J39:BG39" si="176">0</f>
        <v>0</v>
      </c>
      <c r="K39" s="31">
        <f t="shared" si="176"/>
        <v>0</v>
      </c>
      <c r="L39" s="31">
        <f t="shared" si="176"/>
        <v>0</v>
      </c>
      <c r="M39" s="31">
        <f t="shared" si="176"/>
        <v>0</v>
      </c>
      <c r="N39" s="31">
        <f t="shared" si="176"/>
        <v>0</v>
      </c>
      <c r="O39" s="31">
        <f t="shared" si="176"/>
        <v>0</v>
      </c>
      <c r="P39" s="31">
        <f t="shared" si="176"/>
        <v>0</v>
      </c>
      <c r="Q39" s="31">
        <f t="shared" si="176"/>
        <v>0</v>
      </c>
      <c r="R39" s="31">
        <f t="shared" si="176"/>
        <v>0</v>
      </c>
      <c r="S39" s="31">
        <f t="shared" si="176"/>
        <v>0</v>
      </c>
      <c r="T39" s="31">
        <f t="shared" si="176"/>
        <v>0</v>
      </c>
      <c r="U39" s="31">
        <f t="shared" si="176"/>
        <v>0</v>
      </c>
      <c r="V39" s="31">
        <f t="shared" si="176"/>
        <v>0</v>
      </c>
      <c r="W39" s="31">
        <f t="shared" si="176"/>
        <v>0</v>
      </c>
      <c r="X39" s="31">
        <f t="shared" si="176"/>
        <v>0</v>
      </c>
      <c r="Y39" s="31">
        <f t="shared" si="176"/>
        <v>0</v>
      </c>
      <c r="Z39" s="31">
        <f t="shared" si="176"/>
        <v>0</v>
      </c>
      <c r="AA39" s="31">
        <f t="shared" si="176"/>
        <v>0</v>
      </c>
      <c r="AB39" s="31">
        <f t="shared" si="176"/>
        <v>0</v>
      </c>
      <c r="AC39" s="31">
        <f t="shared" si="176"/>
        <v>0</v>
      </c>
      <c r="AD39" s="31">
        <f t="shared" si="176"/>
        <v>0</v>
      </c>
      <c r="AE39" s="31">
        <f t="shared" si="176"/>
        <v>0</v>
      </c>
      <c r="AF39" s="31">
        <f t="shared" si="176"/>
        <v>0</v>
      </c>
      <c r="AG39" s="31">
        <f t="shared" si="176"/>
        <v>0</v>
      </c>
      <c r="AH39" s="31">
        <f t="shared" si="176"/>
        <v>0</v>
      </c>
      <c r="AI39" s="31">
        <f t="shared" si="176"/>
        <v>0</v>
      </c>
      <c r="AJ39" s="31">
        <f t="shared" si="176"/>
        <v>0</v>
      </c>
      <c r="AK39" s="31">
        <f t="shared" si="176"/>
        <v>0</v>
      </c>
      <c r="AL39" s="31">
        <f t="shared" si="176"/>
        <v>0</v>
      </c>
      <c r="AM39" s="31">
        <f t="shared" si="176"/>
        <v>0</v>
      </c>
      <c r="AN39" s="31">
        <f t="shared" si="176"/>
        <v>0</v>
      </c>
      <c r="AO39" s="31">
        <f t="shared" si="176"/>
        <v>0</v>
      </c>
      <c r="AP39" s="31">
        <f t="shared" si="176"/>
        <v>0</v>
      </c>
      <c r="AQ39" s="31">
        <f t="shared" si="176"/>
        <v>0</v>
      </c>
      <c r="AR39" s="31">
        <f t="shared" si="176"/>
        <v>0</v>
      </c>
      <c r="AS39" s="31">
        <f t="shared" si="176"/>
        <v>0</v>
      </c>
      <c r="AT39" s="31">
        <f t="shared" si="176"/>
        <v>0</v>
      </c>
      <c r="AU39" s="31">
        <f t="shared" si="176"/>
        <v>0</v>
      </c>
      <c r="AV39" s="31">
        <f t="shared" si="176"/>
        <v>0</v>
      </c>
      <c r="AW39" s="31">
        <f t="shared" si="176"/>
        <v>0</v>
      </c>
      <c r="AX39" s="31">
        <f t="shared" si="176"/>
        <v>0</v>
      </c>
      <c r="AY39" s="31">
        <f t="shared" si="176"/>
        <v>0</v>
      </c>
      <c r="AZ39" s="31">
        <f t="shared" si="176"/>
        <v>0</v>
      </c>
      <c r="BA39" s="31">
        <f t="shared" si="176"/>
        <v>0</v>
      </c>
      <c r="BB39" s="31">
        <f t="shared" si="176"/>
        <v>0</v>
      </c>
      <c r="BC39" s="31">
        <f t="shared" si="176"/>
        <v>0</v>
      </c>
      <c r="BD39" s="31">
        <f t="shared" si="176"/>
        <v>0</v>
      </c>
      <c r="BE39" s="31">
        <f t="shared" si="176"/>
        <v>0</v>
      </c>
      <c r="BF39" s="31">
        <f t="shared" si="176"/>
        <v>0</v>
      </c>
      <c r="BG39" s="31">
        <f t="shared" si="176"/>
        <v>0</v>
      </c>
      <c r="BH39" s="88">
        <f t="shared" si="79"/>
        <v>0</v>
      </c>
      <c r="BI39" s="88">
        <f t="shared" ref="BI39:CB39" si="177">0</f>
        <v>0</v>
      </c>
      <c r="BJ39" s="88">
        <f t="shared" si="177"/>
        <v>0</v>
      </c>
      <c r="BK39" s="10">
        <f t="shared" si="177"/>
        <v>0</v>
      </c>
      <c r="BL39" s="88">
        <f t="shared" si="177"/>
        <v>0</v>
      </c>
      <c r="BM39" s="88">
        <f t="shared" si="177"/>
        <v>0</v>
      </c>
      <c r="BN39" s="88">
        <f t="shared" si="177"/>
        <v>0</v>
      </c>
      <c r="BO39" s="88">
        <f t="shared" si="177"/>
        <v>0</v>
      </c>
      <c r="BP39" s="88">
        <f t="shared" si="177"/>
        <v>0</v>
      </c>
      <c r="BQ39" s="88">
        <f t="shared" si="177"/>
        <v>0</v>
      </c>
      <c r="BR39" s="88">
        <f t="shared" si="177"/>
        <v>0</v>
      </c>
      <c r="BS39" s="180">
        <f t="shared" si="177"/>
        <v>0</v>
      </c>
      <c r="BT39" s="88">
        <f t="shared" si="177"/>
        <v>0</v>
      </c>
      <c r="BU39" s="88">
        <f t="shared" si="177"/>
        <v>0</v>
      </c>
      <c r="BV39" s="88">
        <f t="shared" si="177"/>
        <v>0</v>
      </c>
      <c r="BW39" s="88">
        <f t="shared" si="177"/>
        <v>0</v>
      </c>
      <c r="BX39" s="88">
        <f t="shared" si="177"/>
        <v>0</v>
      </c>
      <c r="BY39" s="88">
        <f t="shared" si="177"/>
        <v>0</v>
      </c>
      <c r="BZ39" s="88">
        <f t="shared" si="177"/>
        <v>0</v>
      </c>
      <c r="CA39" s="88">
        <f t="shared" si="177"/>
        <v>0</v>
      </c>
      <c r="CB39" s="88">
        <f t="shared" si="177"/>
        <v>0</v>
      </c>
    </row>
    <row r="40">
      <c r="A40" s="181" t="s">
        <v>216</v>
      </c>
      <c r="B40" s="31">
        <f t="shared" si="120"/>
        <v>0</v>
      </c>
      <c r="C40" s="31">
        <f t="shared" ref="C40:G40" si="178">0</f>
        <v>0</v>
      </c>
      <c r="D40" s="31">
        <f t="shared" si="178"/>
        <v>0</v>
      </c>
      <c r="E40" s="31">
        <f t="shared" si="178"/>
        <v>0</v>
      </c>
      <c r="F40" s="31">
        <f t="shared" si="178"/>
        <v>0</v>
      </c>
      <c r="G40" s="31">
        <f t="shared" si="178"/>
        <v>0</v>
      </c>
      <c r="H40" s="179">
        <f t="shared" si="72"/>
        <v>0</v>
      </c>
      <c r="I40" s="31">
        <f t="shared" si="73"/>
        <v>0</v>
      </c>
      <c r="J40" s="31">
        <f t="shared" ref="J40:BG40" si="179">0</f>
        <v>0</v>
      </c>
      <c r="K40" s="31">
        <f t="shared" si="179"/>
        <v>0</v>
      </c>
      <c r="L40" s="31">
        <f t="shared" si="179"/>
        <v>0</v>
      </c>
      <c r="M40" s="31">
        <f t="shared" si="179"/>
        <v>0</v>
      </c>
      <c r="N40" s="31">
        <f t="shared" si="179"/>
        <v>0</v>
      </c>
      <c r="O40" s="31">
        <f t="shared" si="179"/>
        <v>0</v>
      </c>
      <c r="P40" s="31">
        <f t="shared" si="179"/>
        <v>0</v>
      </c>
      <c r="Q40" s="31">
        <f t="shared" si="179"/>
        <v>0</v>
      </c>
      <c r="R40" s="31">
        <f t="shared" si="179"/>
        <v>0</v>
      </c>
      <c r="S40" s="31">
        <f t="shared" si="179"/>
        <v>0</v>
      </c>
      <c r="T40" s="31">
        <f t="shared" si="179"/>
        <v>0</v>
      </c>
      <c r="U40" s="31">
        <f t="shared" si="179"/>
        <v>0</v>
      </c>
      <c r="V40" s="31">
        <f t="shared" si="179"/>
        <v>0</v>
      </c>
      <c r="W40" s="31">
        <f t="shared" si="179"/>
        <v>0</v>
      </c>
      <c r="X40" s="31">
        <f t="shared" si="179"/>
        <v>0</v>
      </c>
      <c r="Y40" s="31">
        <f t="shared" si="179"/>
        <v>0</v>
      </c>
      <c r="Z40" s="31">
        <f t="shared" si="179"/>
        <v>0</v>
      </c>
      <c r="AA40" s="31">
        <f t="shared" si="179"/>
        <v>0</v>
      </c>
      <c r="AB40" s="31">
        <f t="shared" si="179"/>
        <v>0</v>
      </c>
      <c r="AC40" s="31">
        <f t="shared" si="179"/>
        <v>0</v>
      </c>
      <c r="AD40" s="31">
        <f t="shared" si="179"/>
        <v>0</v>
      </c>
      <c r="AE40" s="31">
        <f t="shared" si="179"/>
        <v>0</v>
      </c>
      <c r="AF40" s="31">
        <f t="shared" si="179"/>
        <v>0</v>
      </c>
      <c r="AG40" s="31">
        <f t="shared" si="179"/>
        <v>0</v>
      </c>
      <c r="AH40" s="31">
        <f t="shared" si="179"/>
        <v>0</v>
      </c>
      <c r="AI40" s="31">
        <f t="shared" si="179"/>
        <v>0</v>
      </c>
      <c r="AJ40" s="31">
        <f t="shared" si="179"/>
        <v>0</v>
      </c>
      <c r="AK40" s="31">
        <f t="shared" si="179"/>
        <v>0</v>
      </c>
      <c r="AL40" s="31">
        <f t="shared" si="179"/>
        <v>0</v>
      </c>
      <c r="AM40" s="31">
        <f t="shared" si="179"/>
        <v>0</v>
      </c>
      <c r="AN40" s="31">
        <f t="shared" si="179"/>
        <v>0</v>
      </c>
      <c r="AO40" s="31">
        <f t="shared" si="179"/>
        <v>0</v>
      </c>
      <c r="AP40" s="31">
        <f t="shared" si="179"/>
        <v>0</v>
      </c>
      <c r="AQ40" s="31">
        <f t="shared" si="179"/>
        <v>0</v>
      </c>
      <c r="AR40" s="31">
        <f t="shared" si="179"/>
        <v>0</v>
      </c>
      <c r="AS40" s="31">
        <f t="shared" si="179"/>
        <v>0</v>
      </c>
      <c r="AT40" s="31">
        <f t="shared" si="179"/>
        <v>0</v>
      </c>
      <c r="AU40" s="31">
        <f t="shared" si="179"/>
        <v>0</v>
      </c>
      <c r="AV40" s="31">
        <f t="shared" si="179"/>
        <v>0</v>
      </c>
      <c r="AW40" s="31">
        <f t="shared" si="179"/>
        <v>0</v>
      </c>
      <c r="AX40" s="31">
        <f t="shared" si="179"/>
        <v>0</v>
      </c>
      <c r="AY40" s="31">
        <f t="shared" si="179"/>
        <v>0</v>
      </c>
      <c r="AZ40" s="31">
        <f t="shared" si="179"/>
        <v>0</v>
      </c>
      <c r="BA40" s="31">
        <f t="shared" si="179"/>
        <v>0</v>
      </c>
      <c r="BB40" s="31">
        <f t="shared" si="179"/>
        <v>0</v>
      </c>
      <c r="BC40" s="31">
        <f t="shared" si="179"/>
        <v>0</v>
      </c>
      <c r="BD40" s="31">
        <f t="shared" si="179"/>
        <v>0</v>
      </c>
      <c r="BE40" s="31">
        <f t="shared" si="179"/>
        <v>0</v>
      </c>
      <c r="BF40" s="31">
        <f t="shared" si="179"/>
        <v>0</v>
      </c>
      <c r="BG40" s="31">
        <f t="shared" si="179"/>
        <v>0</v>
      </c>
      <c r="BH40" s="88">
        <f t="shared" si="79"/>
        <v>0</v>
      </c>
      <c r="BI40" s="88">
        <f t="shared" ref="BI40:BX40" si="180">0</f>
        <v>0</v>
      </c>
      <c r="BJ40" s="88">
        <f t="shared" si="180"/>
        <v>0</v>
      </c>
      <c r="BK40" s="10">
        <f t="shared" si="180"/>
        <v>0</v>
      </c>
      <c r="BL40" s="88">
        <f t="shared" si="180"/>
        <v>0</v>
      </c>
      <c r="BM40" s="88">
        <f t="shared" si="180"/>
        <v>0</v>
      </c>
      <c r="BN40" s="88">
        <f t="shared" si="180"/>
        <v>0</v>
      </c>
      <c r="BO40" s="88">
        <f t="shared" si="180"/>
        <v>0</v>
      </c>
      <c r="BP40" s="88">
        <f t="shared" si="180"/>
        <v>0</v>
      </c>
      <c r="BQ40" s="88">
        <f t="shared" si="180"/>
        <v>0</v>
      </c>
      <c r="BR40" s="88">
        <f t="shared" si="180"/>
        <v>0</v>
      </c>
      <c r="BS40" s="180">
        <f t="shared" si="180"/>
        <v>0</v>
      </c>
      <c r="BT40" s="88">
        <f t="shared" si="180"/>
        <v>0</v>
      </c>
      <c r="BU40" s="88">
        <f t="shared" si="180"/>
        <v>0</v>
      </c>
      <c r="BV40" s="88">
        <f t="shared" si="180"/>
        <v>0</v>
      </c>
      <c r="BW40" s="88">
        <f t="shared" si="180"/>
        <v>0</v>
      </c>
      <c r="BX40" s="88">
        <f t="shared" si="180"/>
        <v>0</v>
      </c>
      <c r="BY40" s="88">
        <f>IF(INDIRECT(ADDRESS(ROW() - 38, COLUMN())) = "C6", 10, 0)</f>
        <v>0</v>
      </c>
      <c r="BZ40" s="88">
        <f t="shared" ref="BZ40:CB40" si="181">0</f>
        <v>0</v>
      </c>
      <c r="CA40" s="88">
        <f t="shared" si="181"/>
        <v>0</v>
      </c>
      <c r="CB40" s="88">
        <f t="shared" si="181"/>
        <v>0</v>
      </c>
    </row>
    <row r="41">
      <c r="A41" s="181" t="s">
        <v>217</v>
      </c>
      <c r="B41" s="31">
        <f t="shared" si="120"/>
        <v>0</v>
      </c>
      <c r="C41" s="31">
        <f t="shared" ref="C41:G41" si="182">0</f>
        <v>0</v>
      </c>
      <c r="D41" s="31">
        <f t="shared" si="182"/>
        <v>0</v>
      </c>
      <c r="E41" s="31">
        <f t="shared" si="182"/>
        <v>0</v>
      </c>
      <c r="F41" s="31">
        <f t="shared" si="182"/>
        <v>0</v>
      </c>
      <c r="G41" s="31">
        <f t="shared" si="182"/>
        <v>0</v>
      </c>
      <c r="H41" s="179">
        <f t="shared" si="72"/>
        <v>0</v>
      </c>
      <c r="I41" s="31">
        <f t="shared" si="73"/>
        <v>0</v>
      </c>
      <c r="J41" s="31">
        <f t="shared" ref="J41:BG41" si="183">0</f>
        <v>0</v>
      </c>
      <c r="K41" s="31">
        <f t="shared" si="183"/>
        <v>0</v>
      </c>
      <c r="L41" s="31">
        <f t="shared" si="183"/>
        <v>0</v>
      </c>
      <c r="M41" s="31">
        <f t="shared" si="183"/>
        <v>0</v>
      </c>
      <c r="N41" s="31">
        <f t="shared" si="183"/>
        <v>0</v>
      </c>
      <c r="O41" s="31">
        <f t="shared" si="183"/>
        <v>0</v>
      </c>
      <c r="P41" s="31">
        <f t="shared" si="183"/>
        <v>0</v>
      </c>
      <c r="Q41" s="31">
        <f t="shared" si="183"/>
        <v>0</v>
      </c>
      <c r="R41" s="31">
        <f t="shared" si="183"/>
        <v>0</v>
      </c>
      <c r="S41" s="31">
        <f t="shared" si="183"/>
        <v>0</v>
      </c>
      <c r="T41" s="31">
        <f t="shared" si="183"/>
        <v>0</v>
      </c>
      <c r="U41" s="31">
        <f t="shared" si="183"/>
        <v>0</v>
      </c>
      <c r="V41" s="31">
        <f t="shared" si="183"/>
        <v>0</v>
      </c>
      <c r="W41" s="31">
        <f t="shared" si="183"/>
        <v>0</v>
      </c>
      <c r="X41" s="31">
        <f t="shared" si="183"/>
        <v>0</v>
      </c>
      <c r="Y41" s="31">
        <f t="shared" si="183"/>
        <v>0</v>
      </c>
      <c r="Z41" s="31">
        <f t="shared" si="183"/>
        <v>0</v>
      </c>
      <c r="AA41" s="31">
        <f t="shared" si="183"/>
        <v>0</v>
      </c>
      <c r="AB41" s="31">
        <f t="shared" si="183"/>
        <v>0</v>
      </c>
      <c r="AC41" s="31">
        <f t="shared" si="183"/>
        <v>0</v>
      </c>
      <c r="AD41" s="31">
        <f t="shared" si="183"/>
        <v>0</v>
      </c>
      <c r="AE41" s="31">
        <f t="shared" si="183"/>
        <v>0</v>
      </c>
      <c r="AF41" s="31">
        <f t="shared" si="183"/>
        <v>0</v>
      </c>
      <c r="AG41" s="31">
        <f t="shared" si="183"/>
        <v>0</v>
      </c>
      <c r="AH41" s="31">
        <f t="shared" si="183"/>
        <v>0</v>
      </c>
      <c r="AI41" s="31">
        <f t="shared" si="183"/>
        <v>0</v>
      </c>
      <c r="AJ41" s="31">
        <f t="shared" si="183"/>
        <v>0</v>
      </c>
      <c r="AK41" s="31">
        <f t="shared" si="183"/>
        <v>0</v>
      </c>
      <c r="AL41" s="31">
        <f t="shared" si="183"/>
        <v>0</v>
      </c>
      <c r="AM41" s="31">
        <f t="shared" si="183"/>
        <v>0</v>
      </c>
      <c r="AN41" s="31">
        <f t="shared" si="183"/>
        <v>0</v>
      </c>
      <c r="AO41" s="31">
        <f t="shared" si="183"/>
        <v>0</v>
      </c>
      <c r="AP41" s="31">
        <f t="shared" si="183"/>
        <v>0</v>
      </c>
      <c r="AQ41" s="31">
        <f t="shared" si="183"/>
        <v>0</v>
      </c>
      <c r="AR41" s="31">
        <f t="shared" si="183"/>
        <v>0</v>
      </c>
      <c r="AS41" s="31">
        <f t="shared" si="183"/>
        <v>0</v>
      </c>
      <c r="AT41" s="31">
        <f t="shared" si="183"/>
        <v>0</v>
      </c>
      <c r="AU41" s="31">
        <f t="shared" si="183"/>
        <v>0</v>
      </c>
      <c r="AV41" s="31">
        <f t="shared" si="183"/>
        <v>0</v>
      </c>
      <c r="AW41" s="31">
        <f t="shared" si="183"/>
        <v>0</v>
      </c>
      <c r="AX41" s="31">
        <f t="shared" si="183"/>
        <v>0</v>
      </c>
      <c r="AY41" s="31">
        <f t="shared" si="183"/>
        <v>0</v>
      </c>
      <c r="AZ41" s="31">
        <f t="shared" si="183"/>
        <v>0</v>
      </c>
      <c r="BA41" s="31">
        <f t="shared" si="183"/>
        <v>0</v>
      </c>
      <c r="BB41" s="31">
        <f t="shared" si="183"/>
        <v>0</v>
      </c>
      <c r="BC41" s="31">
        <f t="shared" si="183"/>
        <v>0</v>
      </c>
      <c r="BD41" s="31">
        <f t="shared" si="183"/>
        <v>0</v>
      </c>
      <c r="BE41" s="31">
        <f t="shared" si="183"/>
        <v>0</v>
      </c>
      <c r="BF41" s="31">
        <f t="shared" si="183"/>
        <v>0</v>
      </c>
      <c r="BG41" s="31">
        <f t="shared" si="183"/>
        <v>0</v>
      </c>
      <c r="BH41" s="88">
        <f t="shared" si="79"/>
        <v>0</v>
      </c>
      <c r="BI41" s="88">
        <f t="shared" ref="BI41:BX41" si="184">0</f>
        <v>0</v>
      </c>
      <c r="BJ41" s="88">
        <f t="shared" si="184"/>
        <v>0</v>
      </c>
      <c r="BK41" s="10">
        <f t="shared" si="184"/>
        <v>0</v>
      </c>
      <c r="BL41" s="88">
        <f t="shared" si="184"/>
        <v>0</v>
      </c>
      <c r="BM41" s="88">
        <f t="shared" si="184"/>
        <v>0</v>
      </c>
      <c r="BN41" s="88">
        <f t="shared" si="184"/>
        <v>0</v>
      </c>
      <c r="BO41" s="88">
        <f t="shared" si="184"/>
        <v>0</v>
      </c>
      <c r="BP41" s="88">
        <f t="shared" si="184"/>
        <v>0</v>
      </c>
      <c r="BQ41" s="88">
        <f t="shared" si="184"/>
        <v>0</v>
      </c>
      <c r="BR41" s="88">
        <f t="shared" si="184"/>
        <v>0</v>
      </c>
      <c r="BS41" s="180">
        <f t="shared" si="184"/>
        <v>0</v>
      </c>
      <c r="BT41" s="88">
        <f t="shared" si="184"/>
        <v>0</v>
      </c>
      <c r="BU41" s="88">
        <f t="shared" si="184"/>
        <v>0</v>
      </c>
      <c r="BV41" s="88">
        <f t="shared" si="184"/>
        <v>0</v>
      </c>
      <c r="BW41" s="88">
        <f t="shared" si="184"/>
        <v>0</v>
      </c>
      <c r="BX41" s="88">
        <f t="shared" si="184"/>
        <v>0</v>
      </c>
      <c r="BY41" s="88">
        <f>IF(INDIRECT(ADDRESS(ROW() - 39, COLUMN())) = "C6", 80, 0)</f>
        <v>0</v>
      </c>
      <c r="BZ41" s="88">
        <f t="shared" ref="BZ41:CB41" si="185">0</f>
        <v>0</v>
      </c>
      <c r="CA41" s="88">
        <f t="shared" si="185"/>
        <v>0</v>
      </c>
      <c r="CB41" s="88">
        <f t="shared" si="185"/>
        <v>0</v>
      </c>
    </row>
    <row r="42">
      <c r="A42" s="181" t="s">
        <v>218</v>
      </c>
      <c r="B42" s="31">
        <f t="shared" si="120"/>
        <v>0</v>
      </c>
      <c r="C42" s="31">
        <f t="shared" ref="C42:G42" si="186">0</f>
        <v>0</v>
      </c>
      <c r="D42" s="31">
        <f t="shared" si="186"/>
        <v>0</v>
      </c>
      <c r="E42" s="31">
        <f t="shared" si="186"/>
        <v>0</v>
      </c>
      <c r="F42" s="31">
        <f t="shared" si="186"/>
        <v>0</v>
      </c>
      <c r="G42" s="31">
        <f t="shared" si="186"/>
        <v>0</v>
      </c>
      <c r="H42" s="179">
        <f t="shared" si="72"/>
        <v>0</v>
      </c>
      <c r="I42" s="31">
        <f t="shared" si="73"/>
        <v>0</v>
      </c>
      <c r="J42" s="31">
        <f t="shared" ref="J42:BG42" si="187">0</f>
        <v>0</v>
      </c>
      <c r="K42" s="31">
        <f t="shared" si="187"/>
        <v>0</v>
      </c>
      <c r="L42" s="31">
        <f t="shared" si="187"/>
        <v>0</v>
      </c>
      <c r="M42" s="31">
        <f t="shared" si="187"/>
        <v>0</v>
      </c>
      <c r="N42" s="31">
        <f t="shared" si="187"/>
        <v>0</v>
      </c>
      <c r="O42" s="31">
        <f t="shared" si="187"/>
        <v>0</v>
      </c>
      <c r="P42" s="31">
        <f t="shared" si="187"/>
        <v>0</v>
      </c>
      <c r="Q42" s="31">
        <f t="shared" si="187"/>
        <v>0</v>
      </c>
      <c r="R42" s="31">
        <f t="shared" si="187"/>
        <v>0</v>
      </c>
      <c r="S42" s="31">
        <f t="shared" si="187"/>
        <v>0</v>
      </c>
      <c r="T42" s="31">
        <f t="shared" si="187"/>
        <v>0</v>
      </c>
      <c r="U42" s="31">
        <f t="shared" si="187"/>
        <v>0</v>
      </c>
      <c r="V42" s="31">
        <f t="shared" si="187"/>
        <v>0</v>
      </c>
      <c r="W42" s="31">
        <f t="shared" si="187"/>
        <v>0</v>
      </c>
      <c r="X42" s="31">
        <f t="shared" si="187"/>
        <v>0</v>
      </c>
      <c r="Y42" s="31">
        <f t="shared" si="187"/>
        <v>0</v>
      </c>
      <c r="Z42" s="31">
        <f t="shared" si="187"/>
        <v>0</v>
      </c>
      <c r="AA42" s="31">
        <f t="shared" si="187"/>
        <v>0</v>
      </c>
      <c r="AB42" s="31">
        <f t="shared" si="187"/>
        <v>0</v>
      </c>
      <c r="AC42" s="31">
        <f t="shared" si="187"/>
        <v>0</v>
      </c>
      <c r="AD42" s="31">
        <f t="shared" si="187"/>
        <v>0</v>
      </c>
      <c r="AE42" s="31">
        <f t="shared" si="187"/>
        <v>0</v>
      </c>
      <c r="AF42" s="31">
        <f t="shared" si="187"/>
        <v>0</v>
      </c>
      <c r="AG42" s="31">
        <f t="shared" si="187"/>
        <v>0</v>
      </c>
      <c r="AH42" s="31">
        <f t="shared" si="187"/>
        <v>0</v>
      </c>
      <c r="AI42" s="31">
        <f t="shared" si="187"/>
        <v>0</v>
      </c>
      <c r="AJ42" s="31">
        <f t="shared" si="187"/>
        <v>0</v>
      </c>
      <c r="AK42" s="31">
        <f t="shared" si="187"/>
        <v>0</v>
      </c>
      <c r="AL42" s="31">
        <f t="shared" si="187"/>
        <v>0</v>
      </c>
      <c r="AM42" s="31">
        <f t="shared" si="187"/>
        <v>0</v>
      </c>
      <c r="AN42" s="31">
        <f t="shared" si="187"/>
        <v>0</v>
      </c>
      <c r="AO42" s="31">
        <f t="shared" si="187"/>
        <v>0</v>
      </c>
      <c r="AP42" s="31">
        <f t="shared" si="187"/>
        <v>0</v>
      </c>
      <c r="AQ42" s="31">
        <f t="shared" si="187"/>
        <v>0</v>
      </c>
      <c r="AR42" s="31">
        <f t="shared" si="187"/>
        <v>0</v>
      </c>
      <c r="AS42" s="31">
        <f t="shared" si="187"/>
        <v>0</v>
      </c>
      <c r="AT42" s="31">
        <f t="shared" si="187"/>
        <v>0</v>
      </c>
      <c r="AU42" s="31">
        <f t="shared" si="187"/>
        <v>0</v>
      </c>
      <c r="AV42" s="31">
        <f t="shared" si="187"/>
        <v>0</v>
      </c>
      <c r="AW42" s="31">
        <f t="shared" si="187"/>
        <v>0</v>
      </c>
      <c r="AX42" s="31">
        <f t="shared" si="187"/>
        <v>0</v>
      </c>
      <c r="AY42" s="31">
        <f t="shared" si="187"/>
        <v>0</v>
      </c>
      <c r="AZ42" s="31">
        <f t="shared" si="187"/>
        <v>0</v>
      </c>
      <c r="BA42" s="31">
        <f t="shared" si="187"/>
        <v>0</v>
      </c>
      <c r="BB42" s="31">
        <f t="shared" si="187"/>
        <v>0</v>
      </c>
      <c r="BC42" s="31">
        <f t="shared" si="187"/>
        <v>0</v>
      </c>
      <c r="BD42" s="31">
        <f t="shared" si="187"/>
        <v>0</v>
      </c>
      <c r="BE42" s="31">
        <f t="shared" si="187"/>
        <v>0</v>
      </c>
      <c r="BF42" s="31">
        <f t="shared" si="187"/>
        <v>0</v>
      </c>
      <c r="BG42" s="31">
        <f t="shared" si="187"/>
        <v>0</v>
      </c>
      <c r="BH42" s="88">
        <f t="shared" si="79"/>
        <v>0</v>
      </c>
      <c r="BI42" s="88">
        <f t="shared" ref="BI42:CB42" si="188">0</f>
        <v>0</v>
      </c>
      <c r="BJ42" s="88">
        <f t="shared" si="188"/>
        <v>0</v>
      </c>
      <c r="BK42" s="10">
        <f t="shared" si="188"/>
        <v>0</v>
      </c>
      <c r="BL42" s="88">
        <f t="shared" si="188"/>
        <v>0</v>
      </c>
      <c r="BM42" s="88">
        <f t="shared" si="188"/>
        <v>0</v>
      </c>
      <c r="BN42" s="88">
        <f t="shared" si="188"/>
        <v>0</v>
      </c>
      <c r="BO42" s="88">
        <f t="shared" si="188"/>
        <v>0</v>
      </c>
      <c r="BP42" s="88">
        <f t="shared" si="188"/>
        <v>0</v>
      </c>
      <c r="BQ42" s="88">
        <f t="shared" si="188"/>
        <v>0</v>
      </c>
      <c r="BR42" s="88">
        <f t="shared" si="188"/>
        <v>0</v>
      </c>
      <c r="BS42" s="180">
        <f t="shared" si="188"/>
        <v>0</v>
      </c>
      <c r="BT42" s="88">
        <f t="shared" si="188"/>
        <v>0</v>
      </c>
      <c r="BU42" s="88">
        <f t="shared" si="188"/>
        <v>0</v>
      </c>
      <c r="BV42" s="88">
        <f t="shared" si="188"/>
        <v>0</v>
      </c>
      <c r="BW42" s="88">
        <f t="shared" si="188"/>
        <v>0</v>
      </c>
      <c r="BX42" s="88">
        <f t="shared" si="188"/>
        <v>0</v>
      </c>
      <c r="BY42" s="88">
        <f t="shared" si="188"/>
        <v>0</v>
      </c>
      <c r="BZ42" s="88">
        <f t="shared" si="188"/>
        <v>0</v>
      </c>
      <c r="CA42" s="88">
        <f t="shared" si="188"/>
        <v>0</v>
      </c>
      <c r="CB42" s="88">
        <f t="shared" si="188"/>
        <v>0</v>
      </c>
    </row>
    <row r="43">
      <c r="A43" s="181" t="s">
        <v>219</v>
      </c>
      <c r="B43" s="31">
        <f t="shared" si="120"/>
        <v>0</v>
      </c>
      <c r="C43" s="31">
        <f t="shared" ref="C43:G43" si="189">0</f>
        <v>0</v>
      </c>
      <c r="D43" s="31">
        <f t="shared" si="189"/>
        <v>0</v>
      </c>
      <c r="E43" s="31">
        <f t="shared" si="189"/>
        <v>0</v>
      </c>
      <c r="F43" s="31">
        <f t="shared" si="189"/>
        <v>0</v>
      </c>
      <c r="G43" s="31">
        <f t="shared" si="189"/>
        <v>0</v>
      </c>
      <c r="H43" s="179">
        <f t="shared" si="72"/>
        <v>0</v>
      </c>
      <c r="I43" s="31">
        <f t="shared" si="73"/>
        <v>0</v>
      </c>
      <c r="J43" s="31">
        <f t="shared" ref="J43:BG43" si="190">0</f>
        <v>0</v>
      </c>
      <c r="K43" s="31">
        <f t="shared" si="190"/>
        <v>0</v>
      </c>
      <c r="L43" s="31">
        <f t="shared" si="190"/>
        <v>0</v>
      </c>
      <c r="M43" s="31">
        <f t="shared" si="190"/>
        <v>0</v>
      </c>
      <c r="N43" s="31">
        <f t="shared" si="190"/>
        <v>0</v>
      </c>
      <c r="O43" s="31">
        <f t="shared" si="190"/>
        <v>0</v>
      </c>
      <c r="P43" s="31">
        <f t="shared" si="190"/>
        <v>0</v>
      </c>
      <c r="Q43" s="31">
        <f t="shared" si="190"/>
        <v>0</v>
      </c>
      <c r="R43" s="31">
        <f t="shared" si="190"/>
        <v>0</v>
      </c>
      <c r="S43" s="31">
        <f t="shared" si="190"/>
        <v>0</v>
      </c>
      <c r="T43" s="31">
        <f t="shared" si="190"/>
        <v>0</v>
      </c>
      <c r="U43" s="31">
        <f t="shared" si="190"/>
        <v>0</v>
      </c>
      <c r="V43" s="31">
        <f t="shared" si="190"/>
        <v>0</v>
      </c>
      <c r="W43" s="31">
        <f t="shared" si="190"/>
        <v>0</v>
      </c>
      <c r="X43" s="31">
        <f t="shared" si="190"/>
        <v>0</v>
      </c>
      <c r="Y43" s="31">
        <f t="shared" si="190"/>
        <v>0</v>
      </c>
      <c r="Z43" s="31">
        <f t="shared" si="190"/>
        <v>0</v>
      </c>
      <c r="AA43" s="31">
        <f t="shared" si="190"/>
        <v>0</v>
      </c>
      <c r="AB43" s="31">
        <f t="shared" si="190"/>
        <v>0</v>
      </c>
      <c r="AC43" s="31">
        <f t="shared" si="190"/>
        <v>0</v>
      </c>
      <c r="AD43" s="31">
        <f t="shared" si="190"/>
        <v>0</v>
      </c>
      <c r="AE43" s="31">
        <f t="shared" si="190"/>
        <v>0</v>
      </c>
      <c r="AF43" s="31">
        <f t="shared" si="190"/>
        <v>0</v>
      </c>
      <c r="AG43" s="31">
        <f t="shared" si="190"/>
        <v>0</v>
      </c>
      <c r="AH43" s="31">
        <f t="shared" si="190"/>
        <v>0</v>
      </c>
      <c r="AI43" s="31">
        <f t="shared" si="190"/>
        <v>0</v>
      </c>
      <c r="AJ43" s="31">
        <f t="shared" si="190"/>
        <v>0</v>
      </c>
      <c r="AK43" s="31">
        <f t="shared" si="190"/>
        <v>0</v>
      </c>
      <c r="AL43" s="31">
        <f t="shared" si="190"/>
        <v>0</v>
      </c>
      <c r="AM43" s="31">
        <f t="shared" si="190"/>
        <v>0</v>
      </c>
      <c r="AN43" s="31">
        <f t="shared" si="190"/>
        <v>0</v>
      </c>
      <c r="AO43" s="31">
        <f t="shared" si="190"/>
        <v>0</v>
      </c>
      <c r="AP43" s="31">
        <f t="shared" si="190"/>
        <v>0</v>
      </c>
      <c r="AQ43" s="31">
        <f t="shared" si="190"/>
        <v>0</v>
      </c>
      <c r="AR43" s="31">
        <f t="shared" si="190"/>
        <v>0</v>
      </c>
      <c r="AS43" s="31">
        <f t="shared" si="190"/>
        <v>0</v>
      </c>
      <c r="AT43" s="31">
        <f t="shared" si="190"/>
        <v>0</v>
      </c>
      <c r="AU43" s="31">
        <f t="shared" si="190"/>
        <v>0</v>
      </c>
      <c r="AV43" s="31">
        <f t="shared" si="190"/>
        <v>0</v>
      </c>
      <c r="AW43" s="31">
        <f t="shared" si="190"/>
        <v>0</v>
      </c>
      <c r="AX43" s="31">
        <f t="shared" si="190"/>
        <v>0</v>
      </c>
      <c r="AY43" s="31">
        <f t="shared" si="190"/>
        <v>0</v>
      </c>
      <c r="AZ43" s="31">
        <f t="shared" si="190"/>
        <v>0</v>
      </c>
      <c r="BA43" s="31">
        <f t="shared" si="190"/>
        <v>0</v>
      </c>
      <c r="BB43" s="31">
        <f t="shared" si="190"/>
        <v>0</v>
      </c>
      <c r="BC43" s="31">
        <f t="shared" si="190"/>
        <v>0</v>
      </c>
      <c r="BD43" s="31">
        <f t="shared" si="190"/>
        <v>0</v>
      </c>
      <c r="BE43" s="31">
        <f t="shared" si="190"/>
        <v>0</v>
      </c>
      <c r="BF43" s="31">
        <f t="shared" si="190"/>
        <v>0</v>
      </c>
      <c r="BG43" s="31">
        <f t="shared" si="190"/>
        <v>0</v>
      </c>
      <c r="BH43" s="88">
        <f t="shared" si="79"/>
        <v>0</v>
      </c>
      <c r="BI43" s="88">
        <f t="shared" ref="BI43:CB43" si="191">0</f>
        <v>0</v>
      </c>
      <c r="BJ43" s="88">
        <f t="shared" si="191"/>
        <v>0</v>
      </c>
      <c r="BK43" s="10">
        <f t="shared" si="191"/>
        <v>0</v>
      </c>
      <c r="BL43" s="88">
        <f t="shared" si="191"/>
        <v>0</v>
      </c>
      <c r="BM43" s="88">
        <f t="shared" si="191"/>
        <v>0</v>
      </c>
      <c r="BN43" s="88">
        <f t="shared" si="191"/>
        <v>0</v>
      </c>
      <c r="BO43" s="88">
        <f t="shared" si="191"/>
        <v>0</v>
      </c>
      <c r="BP43" s="88">
        <f t="shared" si="191"/>
        <v>0</v>
      </c>
      <c r="BQ43" s="88">
        <f t="shared" si="191"/>
        <v>0</v>
      </c>
      <c r="BR43" s="88">
        <f t="shared" si="191"/>
        <v>0</v>
      </c>
      <c r="BS43" s="180">
        <f t="shared" si="191"/>
        <v>0</v>
      </c>
      <c r="BT43" s="88">
        <f t="shared" si="191"/>
        <v>0</v>
      </c>
      <c r="BU43" s="88">
        <f t="shared" si="191"/>
        <v>0</v>
      </c>
      <c r="BV43" s="88">
        <f t="shared" si="191"/>
        <v>0</v>
      </c>
      <c r="BW43" s="88">
        <f t="shared" si="191"/>
        <v>0</v>
      </c>
      <c r="BX43" s="88">
        <f t="shared" si="191"/>
        <v>0</v>
      </c>
      <c r="BY43" s="88">
        <f t="shared" si="191"/>
        <v>0</v>
      </c>
      <c r="BZ43" s="88">
        <f t="shared" si="191"/>
        <v>0</v>
      </c>
      <c r="CA43" s="88">
        <f t="shared" si="191"/>
        <v>0</v>
      </c>
      <c r="CB43" s="88">
        <f t="shared" si="191"/>
        <v>0</v>
      </c>
    </row>
    <row r="44">
      <c r="A44" s="181" t="s">
        <v>220</v>
      </c>
      <c r="B44" s="31">
        <f t="shared" si="120"/>
        <v>0</v>
      </c>
      <c r="C44" s="31">
        <f t="shared" ref="C44:G44" si="192">0</f>
        <v>0</v>
      </c>
      <c r="D44" s="31">
        <f t="shared" si="192"/>
        <v>0</v>
      </c>
      <c r="E44" s="31">
        <f t="shared" si="192"/>
        <v>0</v>
      </c>
      <c r="F44" s="31">
        <f t="shared" si="192"/>
        <v>0</v>
      </c>
      <c r="G44" s="31">
        <f t="shared" si="192"/>
        <v>0</v>
      </c>
      <c r="H44" s="179">
        <f t="shared" si="72"/>
        <v>0</v>
      </c>
      <c r="I44" s="31">
        <f t="shared" si="73"/>
        <v>0</v>
      </c>
      <c r="J44" s="31">
        <f t="shared" ref="J44:M44" si="193">0</f>
        <v>0</v>
      </c>
      <c r="K44" s="31">
        <f t="shared" si="193"/>
        <v>0</v>
      </c>
      <c r="L44" s="31">
        <f t="shared" si="193"/>
        <v>0</v>
      </c>
      <c r="M44" s="31">
        <f t="shared" si="193"/>
        <v>0</v>
      </c>
      <c r="N44" s="31">
        <f t="shared" ref="N44:N45" si="198">0</f>
        <v>0</v>
      </c>
      <c r="O44" s="31">
        <f t="shared" ref="O44:BG44" si="194">0</f>
        <v>0</v>
      </c>
      <c r="P44" s="31">
        <f t="shared" si="194"/>
        <v>0</v>
      </c>
      <c r="Q44" s="31">
        <f t="shared" si="194"/>
        <v>0</v>
      </c>
      <c r="R44" s="31">
        <f t="shared" si="194"/>
        <v>0</v>
      </c>
      <c r="S44" s="31">
        <f t="shared" si="194"/>
        <v>0</v>
      </c>
      <c r="T44" s="31">
        <f t="shared" si="194"/>
        <v>0</v>
      </c>
      <c r="U44" s="31">
        <f t="shared" si="194"/>
        <v>0</v>
      </c>
      <c r="V44" s="31">
        <f t="shared" si="194"/>
        <v>0</v>
      </c>
      <c r="W44" s="31">
        <f t="shared" si="194"/>
        <v>0</v>
      </c>
      <c r="X44" s="31">
        <f t="shared" si="194"/>
        <v>0</v>
      </c>
      <c r="Y44" s="31">
        <f t="shared" si="194"/>
        <v>0</v>
      </c>
      <c r="Z44" s="31">
        <f t="shared" si="194"/>
        <v>0</v>
      </c>
      <c r="AA44" s="31">
        <f t="shared" si="194"/>
        <v>0</v>
      </c>
      <c r="AB44" s="31">
        <f t="shared" si="194"/>
        <v>0</v>
      </c>
      <c r="AC44" s="31">
        <f t="shared" si="194"/>
        <v>0</v>
      </c>
      <c r="AD44" s="31">
        <f t="shared" si="194"/>
        <v>0</v>
      </c>
      <c r="AE44" s="31">
        <f t="shared" si="194"/>
        <v>0</v>
      </c>
      <c r="AF44" s="31">
        <f t="shared" si="194"/>
        <v>0</v>
      </c>
      <c r="AG44" s="31">
        <f t="shared" si="194"/>
        <v>0</v>
      </c>
      <c r="AH44" s="31">
        <f t="shared" si="194"/>
        <v>0</v>
      </c>
      <c r="AI44" s="31">
        <f t="shared" si="194"/>
        <v>0</v>
      </c>
      <c r="AJ44" s="31">
        <f t="shared" si="194"/>
        <v>0</v>
      </c>
      <c r="AK44" s="31">
        <f t="shared" si="194"/>
        <v>0</v>
      </c>
      <c r="AL44" s="31">
        <f t="shared" si="194"/>
        <v>0</v>
      </c>
      <c r="AM44" s="31">
        <f t="shared" si="194"/>
        <v>0</v>
      </c>
      <c r="AN44" s="31">
        <f t="shared" si="194"/>
        <v>0</v>
      </c>
      <c r="AO44" s="31">
        <f t="shared" si="194"/>
        <v>0</v>
      </c>
      <c r="AP44" s="31">
        <f t="shared" si="194"/>
        <v>0</v>
      </c>
      <c r="AQ44" s="31">
        <f t="shared" si="194"/>
        <v>0</v>
      </c>
      <c r="AR44" s="31">
        <f t="shared" si="194"/>
        <v>0</v>
      </c>
      <c r="AS44" s="31">
        <f t="shared" si="194"/>
        <v>0</v>
      </c>
      <c r="AT44" s="31">
        <f t="shared" si="194"/>
        <v>0</v>
      </c>
      <c r="AU44" s="31">
        <f t="shared" si="194"/>
        <v>0</v>
      </c>
      <c r="AV44" s="31">
        <f t="shared" si="194"/>
        <v>0</v>
      </c>
      <c r="AW44" s="31">
        <f t="shared" si="194"/>
        <v>0</v>
      </c>
      <c r="AX44" s="31">
        <f t="shared" si="194"/>
        <v>0</v>
      </c>
      <c r="AY44" s="31">
        <f t="shared" si="194"/>
        <v>0</v>
      </c>
      <c r="AZ44" s="31">
        <f t="shared" si="194"/>
        <v>0</v>
      </c>
      <c r="BA44" s="31">
        <f t="shared" si="194"/>
        <v>0</v>
      </c>
      <c r="BB44" s="31">
        <f t="shared" si="194"/>
        <v>0</v>
      </c>
      <c r="BC44" s="31">
        <f t="shared" si="194"/>
        <v>0</v>
      </c>
      <c r="BD44" s="31">
        <f t="shared" si="194"/>
        <v>0</v>
      </c>
      <c r="BE44" s="31">
        <f t="shared" si="194"/>
        <v>0</v>
      </c>
      <c r="BF44" s="31">
        <f t="shared" si="194"/>
        <v>0</v>
      </c>
      <c r="BG44" s="31">
        <f t="shared" si="194"/>
        <v>0</v>
      </c>
      <c r="BH44" s="88">
        <f t="shared" si="79"/>
        <v>0</v>
      </c>
      <c r="BI44" s="88">
        <f t="shared" ref="BI44:CB44" si="195">0</f>
        <v>0</v>
      </c>
      <c r="BJ44" s="88">
        <f t="shared" si="195"/>
        <v>0</v>
      </c>
      <c r="BK44" s="10">
        <f t="shared" si="195"/>
        <v>0</v>
      </c>
      <c r="BL44" s="88">
        <f t="shared" si="195"/>
        <v>0</v>
      </c>
      <c r="BM44" s="88">
        <f t="shared" si="195"/>
        <v>0</v>
      </c>
      <c r="BN44" s="88">
        <f t="shared" si="195"/>
        <v>0</v>
      </c>
      <c r="BO44" s="88">
        <f t="shared" si="195"/>
        <v>0</v>
      </c>
      <c r="BP44" s="88">
        <f t="shared" si="195"/>
        <v>0</v>
      </c>
      <c r="BQ44" s="88">
        <f t="shared" si="195"/>
        <v>0</v>
      </c>
      <c r="BR44" s="88">
        <f t="shared" si="195"/>
        <v>0</v>
      </c>
      <c r="BS44" s="180">
        <f t="shared" si="195"/>
        <v>0</v>
      </c>
      <c r="BT44" s="88">
        <f t="shared" si="195"/>
        <v>0</v>
      </c>
      <c r="BU44" s="88">
        <f t="shared" si="195"/>
        <v>0</v>
      </c>
      <c r="BV44" s="88">
        <f t="shared" si="195"/>
        <v>0</v>
      </c>
      <c r="BW44" s="88">
        <f t="shared" si="195"/>
        <v>0</v>
      </c>
      <c r="BX44" s="88">
        <f t="shared" si="195"/>
        <v>0</v>
      </c>
      <c r="BY44" s="88">
        <f t="shared" si="195"/>
        <v>0</v>
      </c>
      <c r="BZ44" s="88">
        <f t="shared" si="195"/>
        <v>0</v>
      </c>
      <c r="CA44" s="88">
        <f t="shared" si="195"/>
        <v>0</v>
      </c>
      <c r="CB44" s="88">
        <f t="shared" si="195"/>
        <v>0</v>
      </c>
    </row>
    <row r="45">
      <c r="A45" s="181" t="s">
        <v>221</v>
      </c>
      <c r="B45" s="31">
        <f t="shared" si="120"/>
        <v>0</v>
      </c>
      <c r="C45" s="31">
        <f t="shared" ref="C45:G45" si="196">0</f>
        <v>0</v>
      </c>
      <c r="D45" s="31">
        <f t="shared" si="196"/>
        <v>0</v>
      </c>
      <c r="E45" s="31">
        <f t="shared" si="196"/>
        <v>0</v>
      </c>
      <c r="F45" s="31">
        <f t="shared" si="196"/>
        <v>0</v>
      </c>
      <c r="G45" s="31">
        <f t="shared" si="196"/>
        <v>0</v>
      </c>
      <c r="H45" s="179">
        <f t="shared" si="72"/>
        <v>0</v>
      </c>
      <c r="I45" s="31">
        <f t="shared" si="73"/>
        <v>0</v>
      </c>
      <c r="J45" s="31">
        <f t="shared" ref="J45:M45" si="197">0</f>
        <v>0</v>
      </c>
      <c r="K45" s="31">
        <f t="shared" si="197"/>
        <v>0</v>
      </c>
      <c r="L45" s="31">
        <f t="shared" si="197"/>
        <v>0</v>
      </c>
      <c r="M45" s="31">
        <f t="shared" si="197"/>
        <v>0</v>
      </c>
      <c r="N45" s="31">
        <f t="shared" si="198"/>
        <v>0</v>
      </c>
      <c r="O45" s="31">
        <f t="shared" ref="O45:BG45" si="199">0</f>
        <v>0</v>
      </c>
      <c r="P45" s="31">
        <f t="shared" si="199"/>
        <v>0</v>
      </c>
      <c r="Q45" s="31">
        <f t="shared" si="199"/>
        <v>0</v>
      </c>
      <c r="R45" s="31">
        <f t="shared" si="199"/>
        <v>0</v>
      </c>
      <c r="S45" s="31">
        <f t="shared" si="199"/>
        <v>0</v>
      </c>
      <c r="T45" s="31">
        <f t="shared" si="199"/>
        <v>0</v>
      </c>
      <c r="U45" s="31">
        <f t="shared" si="199"/>
        <v>0</v>
      </c>
      <c r="V45" s="31">
        <f t="shared" si="199"/>
        <v>0</v>
      </c>
      <c r="W45" s="31">
        <f t="shared" si="199"/>
        <v>0</v>
      </c>
      <c r="X45" s="31">
        <f t="shared" si="199"/>
        <v>0</v>
      </c>
      <c r="Y45" s="31">
        <f t="shared" si="199"/>
        <v>0</v>
      </c>
      <c r="Z45" s="31">
        <f t="shared" si="199"/>
        <v>0</v>
      </c>
      <c r="AA45" s="31">
        <f t="shared" si="199"/>
        <v>0</v>
      </c>
      <c r="AB45" s="31">
        <f t="shared" si="199"/>
        <v>0</v>
      </c>
      <c r="AC45" s="31">
        <f t="shared" si="199"/>
        <v>0</v>
      </c>
      <c r="AD45" s="31">
        <f t="shared" si="199"/>
        <v>0</v>
      </c>
      <c r="AE45" s="31">
        <f t="shared" si="199"/>
        <v>0</v>
      </c>
      <c r="AF45" s="31">
        <f t="shared" si="199"/>
        <v>0</v>
      </c>
      <c r="AG45" s="31">
        <f t="shared" si="199"/>
        <v>0</v>
      </c>
      <c r="AH45" s="31">
        <f t="shared" si="199"/>
        <v>0</v>
      </c>
      <c r="AI45" s="31">
        <f t="shared" si="199"/>
        <v>0</v>
      </c>
      <c r="AJ45" s="31">
        <f t="shared" si="199"/>
        <v>0</v>
      </c>
      <c r="AK45" s="31">
        <f t="shared" si="199"/>
        <v>0</v>
      </c>
      <c r="AL45" s="31">
        <f t="shared" si="199"/>
        <v>0</v>
      </c>
      <c r="AM45" s="31">
        <f t="shared" si="199"/>
        <v>0</v>
      </c>
      <c r="AN45" s="31">
        <f t="shared" si="199"/>
        <v>0</v>
      </c>
      <c r="AO45" s="31">
        <f t="shared" si="199"/>
        <v>0</v>
      </c>
      <c r="AP45" s="31">
        <f t="shared" si="199"/>
        <v>0</v>
      </c>
      <c r="AQ45" s="31">
        <f t="shared" si="199"/>
        <v>0</v>
      </c>
      <c r="AR45" s="31">
        <f t="shared" si="199"/>
        <v>0</v>
      </c>
      <c r="AS45" s="31">
        <f t="shared" si="199"/>
        <v>0</v>
      </c>
      <c r="AT45" s="31">
        <f t="shared" si="199"/>
        <v>0</v>
      </c>
      <c r="AU45" s="31">
        <f t="shared" si="199"/>
        <v>0</v>
      </c>
      <c r="AV45" s="31">
        <f t="shared" si="199"/>
        <v>0</v>
      </c>
      <c r="AW45" s="31">
        <f t="shared" si="199"/>
        <v>0</v>
      </c>
      <c r="AX45" s="31">
        <f t="shared" si="199"/>
        <v>0</v>
      </c>
      <c r="AY45" s="31">
        <f t="shared" si="199"/>
        <v>0</v>
      </c>
      <c r="AZ45" s="31">
        <f t="shared" si="199"/>
        <v>0</v>
      </c>
      <c r="BA45" s="31">
        <f t="shared" si="199"/>
        <v>0</v>
      </c>
      <c r="BB45" s="31">
        <f t="shared" si="199"/>
        <v>0</v>
      </c>
      <c r="BC45" s="31">
        <f t="shared" si="199"/>
        <v>0</v>
      </c>
      <c r="BD45" s="31">
        <f t="shared" si="199"/>
        <v>0</v>
      </c>
      <c r="BE45" s="31">
        <f t="shared" si="199"/>
        <v>0</v>
      </c>
      <c r="BF45" s="31">
        <f t="shared" si="199"/>
        <v>0</v>
      </c>
      <c r="BG45" s="31">
        <f t="shared" si="199"/>
        <v>0</v>
      </c>
      <c r="BH45" s="88">
        <f t="shared" si="79"/>
        <v>0</v>
      </c>
      <c r="BI45" s="88">
        <f t="shared" ref="BI45:CB45" si="200">0</f>
        <v>0</v>
      </c>
      <c r="BJ45" s="88">
        <f t="shared" si="200"/>
        <v>0</v>
      </c>
      <c r="BK45" s="10">
        <f t="shared" si="200"/>
        <v>0</v>
      </c>
      <c r="BL45" s="88">
        <f t="shared" si="200"/>
        <v>0</v>
      </c>
      <c r="BM45" s="88">
        <f t="shared" si="200"/>
        <v>0</v>
      </c>
      <c r="BN45" s="88">
        <f t="shared" si="200"/>
        <v>0</v>
      </c>
      <c r="BO45" s="88">
        <f t="shared" si="200"/>
        <v>0</v>
      </c>
      <c r="BP45" s="88">
        <f t="shared" si="200"/>
        <v>0</v>
      </c>
      <c r="BQ45" s="88">
        <f t="shared" si="200"/>
        <v>0</v>
      </c>
      <c r="BR45" s="88">
        <f t="shared" si="200"/>
        <v>0</v>
      </c>
      <c r="BS45" s="180">
        <f t="shared" si="200"/>
        <v>0</v>
      </c>
      <c r="BT45" s="88">
        <f t="shared" si="200"/>
        <v>0</v>
      </c>
      <c r="BU45" s="88">
        <f t="shared" si="200"/>
        <v>0</v>
      </c>
      <c r="BV45" s="88">
        <f t="shared" si="200"/>
        <v>0</v>
      </c>
      <c r="BW45" s="88">
        <f t="shared" si="200"/>
        <v>0</v>
      </c>
      <c r="BX45" s="88">
        <f t="shared" si="200"/>
        <v>0</v>
      </c>
      <c r="BY45" s="88">
        <f t="shared" si="200"/>
        <v>0</v>
      </c>
      <c r="BZ45" s="88">
        <f t="shared" si="200"/>
        <v>0</v>
      </c>
      <c r="CA45" s="88">
        <f t="shared" si="200"/>
        <v>0</v>
      </c>
      <c r="CB45" s="88">
        <f t="shared" si="200"/>
        <v>0</v>
      </c>
    </row>
    <row r="46">
      <c r="A46" s="181" t="s">
        <v>222</v>
      </c>
      <c r="B46" s="31">
        <f t="shared" si="120"/>
        <v>0</v>
      </c>
      <c r="C46" s="31">
        <f t="shared" ref="C46:G46" si="201">0</f>
        <v>0</v>
      </c>
      <c r="D46" s="31">
        <f t="shared" si="201"/>
        <v>0</v>
      </c>
      <c r="E46" s="31">
        <f t="shared" si="201"/>
        <v>0</v>
      </c>
      <c r="F46" s="31">
        <f t="shared" si="201"/>
        <v>0</v>
      </c>
      <c r="G46" s="31">
        <f t="shared" si="201"/>
        <v>0</v>
      </c>
      <c r="H46" s="179">
        <f t="shared" si="72"/>
        <v>0</v>
      </c>
      <c r="I46" s="31">
        <f t="shared" si="73"/>
        <v>0</v>
      </c>
      <c r="J46" s="31">
        <f t="shared" ref="J46:M46" si="202">0</f>
        <v>0</v>
      </c>
      <c r="K46" s="31">
        <f t="shared" si="202"/>
        <v>0</v>
      </c>
      <c r="L46" s="31">
        <f t="shared" si="202"/>
        <v>0</v>
      </c>
      <c r="M46" s="31">
        <f t="shared" si="202"/>
        <v>0</v>
      </c>
      <c r="N46" s="31">
        <f>10</f>
        <v>10</v>
      </c>
      <c r="O46" s="31">
        <f t="shared" ref="O46:BG46" si="203">0</f>
        <v>0</v>
      </c>
      <c r="P46" s="31">
        <f t="shared" si="203"/>
        <v>0</v>
      </c>
      <c r="Q46" s="31">
        <f t="shared" si="203"/>
        <v>0</v>
      </c>
      <c r="R46" s="31">
        <f t="shared" si="203"/>
        <v>0</v>
      </c>
      <c r="S46" s="31">
        <f t="shared" si="203"/>
        <v>0</v>
      </c>
      <c r="T46" s="31">
        <f t="shared" si="203"/>
        <v>0</v>
      </c>
      <c r="U46" s="31">
        <f t="shared" si="203"/>
        <v>0</v>
      </c>
      <c r="V46" s="31">
        <f t="shared" si="203"/>
        <v>0</v>
      </c>
      <c r="W46" s="31">
        <f t="shared" si="203"/>
        <v>0</v>
      </c>
      <c r="X46" s="31">
        <f t="shared" si="203"/>
        <v>0</v>
      </c>
      <c r="Y46" s="31">
        <f t="shared" si="203"/>
        <v>0</v>
      </c>
      <c r="Z46" s="31">
        <f t="shared" si="203"/>
        <v>0</v>
      </c>
      <c r="AA46" s="31">
        <f t="shared" si="203"/>
        <v>0</v>
      </c>
      <c r="AB46" s="31">
        <f t="shared" si="203"/>
        <v>0</v>
      </c>
      <c r="AC46" s="31">
        <f t="shared" si="203"/>
        <v>0</v>
      </c>
      <c r="AD46" s="31">
        <f t="shared" si="203"/>
        <v>0</v>
      </c>
      <c r="AE46" s="31">
        <f t="shared" si="203"/>
        <v>0</v>
      </c>
      <c r="AF46" s="31">
        <f t="shared" si="203"/>
        <v>0</v>
      </c>
      <c r="AG46" s="31">
        <f t="shared" si="203"/>
        <v>0</v>
      </c>
      <c r="AH46" s="31">
        <f t="shared" si="203"/>
        <v>0</v>
      </c>
      <c r="AI46" s="31">
        <f t="shared" si="203"/>
        <v>0</v>
      </c>
      <c r="AJ46" s="31">
        <f t="shared" si="203"/>
        <v>0</v>
      </c>
      <c r="AK46" s="31">
        <f t="shared" si="203"/>
        <v>0</v>
      </c>
      <c r="AL46" s="31">
        <f t="shared" si="203"/>
        <v>0</v>
      </c>
      <c r="AM46" s="31">
        <f t="shared" si="203"/>
        <v>0</v>
      </c>
      <c r="AN46" s="31">
        <f t="shared" si="203"/>
        <v>0</v>
      </c>
      <c r="AO46" s="31">
        <f t="shared" si="203"/>
        <v>0</v>
      </c>
      <c r="AP46" s="31">
        <f t="shared" si="203"/>
        <v>0</v>
      </c>
      <c r="AQ46" s="31">
        <f t="shared" si="203"/>
        <v>0</v>
      </c>
      <c r="AR46" s="31">
        <f t="shared" si="203"/>
        <v>0</v>
      </c>
      <c r="AS46" s="31">
        <f t="shared" si="203"/>
        <v>0</v>
      </c>
      <c r="AT46" s="31">
        <f t="shared" si="203"/>
        <v>0</v>
      </c>
      <c r="AU46" s="31">
        <f t="shared" si="203"/>
        <v>0</v>
      </c>
      <c r="AV46" s="31">
        <f t="shared" si="203"/>
        <v>0</v>
      </c>
      <c r="AW46" s="31">
        <f t="shared" si="203"/>
        <v>0</v>
      </c>
      <c r="AX46" s="31">
        <f t="shared" si="203"/>
        <v>0</v>
      </c>
      <c r="AY46" s="31">
        <f t="shared" si="203"/>
        <v>0</v>
      </c>
      <c r="AZ46" s="31">
        <f t="shared" si="203"/>
        <v>0</v>
      </c>
      <c r="BA46" s="31">
        <f t="shared" si="203"/>
        <v>0</v>
      </c>
      <c r="BB46" s="31">
        <f t="shared" si="203"/>
        <v>0</v>
      </c>
      <c r="BC46" s="31">
        <f t="shared" si="203"/>
        <v>0</v>
      </c>
      <c r="BD46" s="31">
        <f t="shared" si="203"/>
        <v>0</v>
      </c>
      <c r="BE46" s="31">
        <f t="shared" si="203"/>
        <v>0</v>
      </c>
      <c r="BF46" s="31">
        <f t="shared" si="203"/>
        <v>0</v>
      </c>
      <c r="BG46" s="31">
        <f t="shared" si="203"/>
        <v>0</v>
      </c>
      <c r="BH46" s="88">
        <f t="shared" si="79"/>
        <v>0</v>
      </c>
      <c r="BI46" s="88">
        <f t="shared" ref="BI46:BQ46" si="204">0</f>
        <v>0</v>
      </c>
      <c r="BJ46" s="88">
        <f t="shared" si="204"/>
        <v>0</v>
      </c>
      <c r="BK46" s="10">
        <f t="shared" si="204"/>
        <v>0</v>
      </c>
      <c r="BL46" s="88">
        <f t="shared" si="204"/>
        <v>0</v>
      </c>
      <c r="BM46" s="88">
        <f t="shared" si="204"/>
        <v>0</v>
      </c>
      <c r="BN46" s="88">
        <f t="shared" si="204"/>
        <v>0</v>
      </c>
      <c r="BO46" s="88">
        <f t="shared" si="204"/>
        <v>0</v>
      </c>
      <c r="BP46" s="88">
        <f t="shared" si="204"/>
        <v>0</v>
      </c>
      <c r="BQ46" s="88">
        <f t="shared" si="204"/>
        <v>0</v>
      </c>
      <c r="BR46" s="88">
        <f>IF(INDIRECT(ADDRESS(ROW() - 44, COLUMN())) = "C6", 10, 0)</f>
        <v>0</v>
      </c>
      <c r="BS46" s="180">
        <f t="shared" ref="BS46:CB46" si="205">0</f>
        <v>0</v>
      </c>
      <c r="BT46" s="88">
        <f t="shared" si="205"/>
        <v>0</v>
      </c>
      <c r="BU46" s="88">
        <f t="shared" si="205"/>
        <v>0</v>
      </c>
      <c r="BV46" s="88">
        <f t="shared" si="205"/>
        <v>0</v>
      </c>
      <c r="BW46" s="88">
        <f t="shared" si="205"/>
        <v>0</v>
      </c>
      <c r="BX46" s="88">
        <f t="shared" si="205"/>
        <v>0</v>
      </c>
      <c r="BY46" s="88">
        <f t="shared" si="205"/>
        <v>0</v>
      </c>
      <c r="BZ46" s="88">
        <f t="shared" si="205"/>
        <v>0</v>
      </c>
      <c r="CA46" s="88">
        <f t="shared" si="205"/>
        <v>0</v>
      </c>
      <c r="CB46" s="88">
        <f t="shared" si="205"/>
        <v>0</v>
      </c>
    </row>
    <row r="47">
      <c r="A47" s="181" t="s">
        <v>223</v>
      </c>
      <c r="B47" s="31">
        <f t="shared" si="120"/>
        <v>0</v>
      </c>
      <c r="C47" s="31">
        <f t="shared" ref="C47:G47" si="206">0</f>
        <v>0</v>
      </c>
      <c r="D47" s="31">
        <f t="shared" si="206"/>
        <v>0</v>
      </c>
      <c r="E47" s="31">
        <f t="shared" si="206"/>
        <v>0</v>
      </c>
      <c r="F47" s="31">
        <f t="shared" si="206"/>
        <v>0</v>
      </c>
      <c r="G47" s="31">
        <f t="shared" si="206"/>
        <v>0</v>
      </c>
      <c r="H47" s="179">
        <f t="shared" si="72"/>
        <v>0</v>
      </c>
      <c r="I47" s="31">
        <f t="shared" si="73"/>
        <v>0</v>
      </c>
      <c r="J47" s="31">
        <f t="shared" ref="J47:BG47" si="207">0</f>
        <v>0</v>
      </c>
      <c r="K47" s="31">
        <f t="shared" si="207"/>
        <v>0</v>
      </c>
      <c r="L47" s="31">
        <f t="shared" si="207"/>
        <v>0</v>
      </c>
      <c r="M47" s="31">
        <f t="shared" si="207"/>
        <v>0</v>
      </c>
      <c r="N47" s="31">
        <f t="shared" si="207"/>
        <v>0</v>
      </c>
      <c r="O47" s="31">
        <f t="shared" si="207"/>
        <v>0</v>
      </c>
      <c r="P47" s="31">
        <f t="shared" si="207"/>
        <v>0</v>
      </c>
      <c r="Q47" s="31">
        <f t="shared" si="207"/>
        <v>0</v>
      </c>
      <c r="R47" s="31">
        <f t="shared" si="207"/>
        <v>0</v>
      </c>
      <c r="S47" s="31">
        <f t="shared" si="207"/>
        <v>0</v>
      </c>
      <c r="T47" s="31">
        <f t="shared" si="207"/>
        <v>0</v>
      </c>
      <c r="U47" s="31">
        <f t="shared" si="207"/>
        <v>0</v>
      </c>
      <c r="V47" s="31">
        <f t="shared" si="207"/>
        <v>0</v>
      </c>
      <c r="W47" s="31">
        <f t="shared" si="207"/>
        <v>0</v>
      </c>
      <c r="X47" s="31">
        <f t="shared" si="207"/>
        <v>0</v>
      </c>
      <c r="Y47" s="31">
        <f t="shared" si="207"/>
        <v>0</v>
      </c>
      <c r="Z47" s="31">
        <f t="shared" si="207"/>
        <v>0</v>
      </c>
      <c r="AA47" s="31">
        <f t="shared" si="207"/>
        <v>0</v>
      </c>
      <c r="AB47" s="31">
        <f t="shared" si="207"/>
        <v>0</v>
      </c>
      <c r="AC47" s="31">
        <f t="shared" si="207"/>
        <v>0</v>
      </c>
      <c r="AD47" s="31">
        <f t="shared" si="207"/>
        <v>0</v>
      </c>
      <c r="AE47" s="31">
        <f t="shared" si="207"/>
        <v>0</v>
      </c>
      <c r="AF47" s="31">
        <f t="shared" si="207"/>
        <v>0</v>
      </c>
      <c r="AG47" s="31">
        <f t="shared" si="207"/>
        <v>0</v>
      </c>
      <c r="AH47" s="31">
        <f t="shared" si="207"/>
        <v>0</v>
      </c>
      <c r="AI47" s="31">
        <f t="shared" si="207"/>
        <v>0</v>
      </c>
      <c r="AJ47" s="31">
        <f t="shared" si="207"/>
        <v>0</v>
      </c>
      <c r="AK47" s="31">
        <f t="shared" si="207"/>
        <v>0</v>
      </c>
      <c r="AL47" s="31">
        <f t="shared" si="207"/>
        <v>0</v>
      </c>
      <c r="AM47" s="31">
        <f t="shared" si="207"/>
        <v>0</v>
      </c>
      <c r="AN47" s="31">
        <f t="shared" si="207"/>
        <v>0</v>
      </c>
      <c r="AO47" s="31">
        <f t="shared" si="207"/>
        <v>0</v>
      </c>
      <c r="AP47" s="31">
        <f t="shared" si="207"/>
        <v>0</v>
      </c>
      <c r="AQ47" s="31">
        <f t="shared" si="207"/>
        <v>0</v>
      </c>
      <c r="AR47" s="31">
        <f t="shared" si="207"/>
        <v>0</v>
      </c>
      <c r="AS47" s="31">
        <f t="shared" si="207"/>
        <v>0</v>
      </c>
      <c r="AT47" s="31">
        <f t="shared" si="207"/>
        <v>0</v>
      </c>
      <c r="AU47" s="31">
        <f t="shared" si="207"/>
        <v>0</v>
      </c>
      <c r="AV47" s="31">
        <f t="shared" si="207"/>
        <v>0</v>
      </c>
      <c r="AW47" s="31">
        <f t="shared" si="207"/>
        <v>0</v>
      </c>
      <c r="AX47" s="31">
        <f t="shared" si="207"/>
        <v>0</v>
      </c>
      <c r="AY47" s="31">
        <f t="shared" si="207"/>
        <v>0</v>
      </c>
      <c r="AZ47" s="31">
        <f t="shared" si="207"/>
        <v>0</v>
      </c>
      <c r="BA47" s="31">
        <f t="shared" si="207"/>
        <v>0</v>
      </c>
      <c r="BB47" s="31">
        <f t="shared" si="207"/>
        <v>0</v>
      </c>
      <c r="BC47" s="31">
        <f t="shared" si="207"/>
        <v>0</v>
      </c>
      <c r="BD47" s="31">
        <f t="shared" si="207"/>
        <v>0</v>
      </c>
      <c r="BE47" s="31">
        <f t="shared" si="207"/>
        <v>0</v>
      </c>
      <c r="BF47" s="31">
        <f t="shared" si="207"/>
        <v>0</v>
      </c>
      <c r="BG47" s="31">
        <f t="shared" si="207"/>
        <v>0</v>
      </c>
      <c r="BH47" s="88">
        <f t="shared" si="79"/>
        <v>0</v>
      </c>
      <c r="BI47" s="88">
        <f t="shared" ref="BI47:CB47" si="208">0</f>
        <v>0</v>
      </c>
      <c r="BJ47" s="88">
        <f t="shared" si="208"/>
        <v>0</v>
      </c>
      <c r="BK47" s="10">
        <f t="shared" si="208"/>
        <v>0</v>
      </c>
      <c r="BL47" s="88">
        <f t="shared" si="208"/>
        <v>0</v>
      </c>
      <c r="BM47" s="88">
        <f t="shared" si="208"/>
        <v>0</v>
      </c>
      <c r="BN47" s="88">
        <f t="shared" si="208"/>
        <v>0</v>
      </c>
      <c r="BO47" s="88">
        <f t="shared" si="208"/>
        <v>0</v>
      </c>
      <c r="BP47" s="88">
        <f t="shared" si="208"/>
        <v>0</v>
      </c>
      <c r="BQ47" s="88">
        <f t="shared" si="208"/>
        <v>0</v>
      </c>
      <c r="BR47" s="88">
        <f t="shared" si="208"/>
        <v>0</v>
      </c>
      <c r="BS47" s="180">
        <f t="shared" si="208"/>
        <v>0</v>
      </c>
      <c r="BT47" s="88">
        <f t="shared" si="208"/>
        <v>0</v>
      </c>
      <c r="BU47" s="88">
        <f t="shared" si="208"/>
        <v>0</v>
      </c>
      <c r="BV47" s="88">
        <f t="shared" si="208"/>
        <v>0</v>
      </c>
      <c r="BW47" s="88">
        <f t="shared" si="208"/>
        <v>0</v>
      </c>
      <c r="BX47" s="88">
        <f t="shared" si="208"/>
        <v>0</v>
      </c>
      <c r="BY47" s="88">
        <f t="shared" si="208"/>
        <v>0</v>
      </c>
      <c r="BZ47" s="88">
        <f t="shared" si="208"/>
        <v>0</v>
      </c>
      <c r="CA47" s="88">
        <f t="shared" si="208"/>
        <v>0</v>
      </c>
      <c r="CB47" s="88">
        <f t="shared" si="208"/>
        <v>0</v>
      </c>
    </row>
    <row r="48">
      <c r="A48" s="181" t="s">
        <v>224</v>
      </c>
      <c r="B48" s="31">
        <f t="shared" si="120"/>
        <v>0</v>
      </c>
      <c r="C48" s="31">
        <f t="shared" ref="C48:G48" si="209">0</f>
        <v>0</v>
      </c>
      <c r="D48" s="31">
        <f t="shared" si="209"/>
        <v>0</v>
      </c>
      <c r="E48" s="31">
        <f t="shared" si="209"/>
        <v>0</v>
      </c>
      <c r="F48" s="31">
        <f t="shared" si="209"/>
        <v>0</v>
      </c>
      <c r="G48" s="31">
        <f t="shared" si="209"/>
        <v>0</v>
      </c>
      <c r="H48" s="179">
        <f t="shared" si="72"/>
        <v>0</v>
      </c>
      <c r="I48" s="31">
        <f t="shared" si="73"/>
        <v>0</v>
      </c>
      <c r="J48" s="31">
        <f t="shared" ref="J48:BG48" si="210">0</f>
        <v>0</v>
      </c>
      <c r="K48" s="31">
        <f t="shared" si="210"/>
        <v>0</v>
      </c>
      <c r="L48" s="31">
        <f t="shared" si="210"/>
        <v>0</v>
      </c>
      <c r="M48" s="31">
        <f t="shared" si="210"/>
        <v>0</v>
      </c>
      <c r="N48" s="31">
        <f t="shared" si="210"/>
        <v>0</v>
      </c>
      <c r="O48" s="31">
        <f t="shared" si="210"/>
        <v>0</v>
      </c>
      <c r="P48" s="31">
        <f t="shared" si="210"/>
        <v>0</v>
      </c>
      <c r="Q48" s="31">
        <f t="shared" si="210"/>
        <v>0</v>
      </c>
      <c r="R48" s="31">
        <f t="shared" si="210"/>
        <v>0</v>
      </c>
      <c r="S48" s="31">
        <f t="shared" si="210"/>
        <v>0</v>
      </c>
      <c r="T48" s="31">
        <f t="shared" si="210"/>
        <v>0</v>
      </c>
      <c r="U48" s="31">
        <f t="shared" si="210"/>
        <v>0</v>
      </c>
      <c r="V48" s="31">
        <f t="shared" si="210"/>
        <v>0</v>
      </c>
      <c r="W48" s="31">
        <f t="shared" si="210"/>
        <v>0</v>
      </c>
      <c r="X48" s="31">
        <f t="shared" si="210"/>
        <v>0</v>
      </c>
      <c r="Y48" s="31">
        <f t="shared" si="210"/>
        <v>0</v>
      </c>
      <c r="Z48" s="31">
        <f t="shared" si="210"/>
        <v>0</v>
      </c>
      <c r="AA48" s="31">
        <f t="shared" si="210"/>
        <v>0</v>
      </c>
      <c r="AB48" s="31">
        <f t="shared" si="210"/>
        <v>0</v>
      </c>
      <c r="AC48" s="31">
        <f t="shared" si="210"/>
        <v>0</v>
      </c>
      <c r="AD48" s="31">
        <f t="shared" si="210"/>
        <v>0</v>
      </c>
      <c r="AE48" s="31">
        <f t="shared" si="210"/>
        <v>0</v>
      </c>
      <c r="AF48" s="31">
        <f t="shared" si="210"/>
        <v>0</v>
      </c>
      <c r="AG48" s="31">
        <f t="shared" si="210"/>
        <v>0</v>
      </c>
      <c r="AH48" s="31">
        <f t="shared" si="210"/>
        <v>0</v>
      </c>
      <c r="AI48" s="31">
        <f t="shared" si="210"/>
        <v>0</v>
      </c>
      <c r="AJ48" s="31">
        <f t="shared" si="210"/>
        <v>0</v>
      </c>
      <c r="AK48" s="31">
        <f t="shared" si="210"/>
        <v>0</v>
      </c>
      <c r="AL48" s="31">
        <f t="shared" si="210"/>
        <v>0</v>
      </c>
      <c r="AM48" s="31">
        <f t="shared" si="210"/>
        <v>0</v>
      </c>
      <c r="AN48" s="31">
        <f t="shared" si="210"/>
        <v>0</v>
      </c>
      <c r="AO48" s="31">
        <f t="shared" si="210"/>
        <v>0</v>
      </c>
      <c r="AP48" s="31">
        <f t="shared" si="210"/>
        <v>0</v>
      </c>
      <c r="AQ48" s="31">
        <f t="shared" si="210"/>
        <v>0</v>
      </c>
      <c r="AR48" s="31">
        <f t="shared" si="210"/>
        <v>0</v>
      </c>
      <c r="AS48" s="31">
        <f t="shared" si="210"/>
        <v>0</v>
      </c>
      <c r="AT48" s="31">
        <f t="shared" si="210"/>
        <v>0</v>
      </c>
      <c r="AU48" s="31">
        <f t="shared" si="210"/>
        <v>0</v>
      </c>
      <c r="AV48" s="31">
        <f t="shared" si="210"/>
        <v>0</v>
      </c>
      <c r="AW48" s="31">
        <f t="shared" si="210"/>
        <v>0</v>
      </c>
      <c r="AX48" s="31">
        <f t="shared" si="210"/>
        <v>0</v>
      </c>
      <c r="AY48" s="31">
        <f t="shared" si="210"/>
        <v>0</v>
      </c>
      <c r="AZ48" s="31">
        <f t="shared" si="210"/>
        <v>0</v>
      </c>
      <c r="BA48" s="31">
        <f t="shared" si="210"/>
        <v>0</v>
      </c>
      <c r="BB48" s="31">
        <f t="shared" si="210"/>
        <v>0</v>
      </c>
      <c r="BC48" s="31">
        <f t="shared" si="210"/>
        <v>0</v>
      </c>
      <c r="BD48" s="31">
        <f t="shared" si="210"/>
        <v>0</v>
      </c>
      <c r="BE48" s="31">
        <f t="shared" si="210"/>
        <v>0</v>
      </c>
      <c r="BF48" s="31">
        <f t="shared" si="210"/>
        <v>0</v>
      </c>
      <c r="BG48" s="31">
        <f t="shared" si="210"/>
        <v>0</v>
      </c>
      <c r="BH48" s="88">
        <f t="shared" si="79"/>
        <v>0</v>
      </c>
      <c r="BI48" s="88">
        <f t="shared" ref="BI48:CB48" si="211">0</f>
        <v>0</v>
      </c>
      <c r="BJ48" s="88">
        <f t="shared" si="211"/>
        <v>0</v>
      </c>
      <c r="BK48" s="10">
        <f t="shared" si="211"/>
        <v>0</v>
      </c>
      <c r="BL48" s="88">
        <f t="shared" si="211"/>
        <v>0</v>
      </c>
      <c r="BM48" s="88">
        <f t="shared" si="211"/>
        <v>0</v>
      </c>
      <c r="BN48" s="88">
        <f t="shared" si="211"/>
        <v>0</v>
      </c>
      <c r="BO48" s="88">
        <f t="shared" si="211"/>
        <v>0</v>
      </c>
      <c r="BP48" s="88">
        <f t="shared" si="211"/>
        <v>0</v>
      </c>
      <c r="BQ48" s="88">
        <f t="shared" si="211"/>
        <v>0</v>
      </c>
      <c r="BR48" s="88">
        <f t="shared" si="211"/>
        <v>0</v>
      </c>
      <c r="BS48" s="180">
        <f t="shared" si="211"/>
        <v>0</v>
      </c>
      <c r="BT48" s="88">
        <f t="shared" si="211"/>
        <v>0</v>
      </c>
      <c r="BU48" s="88">
        <f t="shared" si="211"/>
        <v>0</v>
      </c>
      <c r="BV48" s="88">
        <f t="shared" si="211"/>
        <v>0</v>
      </c>
      <c r="BW48" s="88">
        <f t="shared" si="211"/>
        <v>0</v>
      </c>
      <c r="BX48" s="88">
        <f t="shared" si="211"/>
        <v>0</v>
      </c>
      <c r="BY48" s="88">
        <f t="shared" si="211"/>
        <v>0</v>
      </c>
      <c r="BZ48" s="88">
        <f t="shared" si="211"/>
        <v>0</v>
      </c>
      <c r="CA48" s="88">
        <f t="shared" si="211"/>
        <v>0</v>
      </c>
      <c r="CB48" s="88">
        <f t="shared" si="211"/>
        <v>0</v>
      </c>
    </row>
    <row r="49">
      <c r="A49" s="181" t="s">
        <v>225</v>
      </c>
      <c r="B49" s="31">
        <f t="shared" si="120"/>
        <v>0</v>
      </c>
      <c r="C49" s="31">
        <f t="shared" ref="C49:G49" si="212">0</f>
        <v>0</v>
      </c>
      <c r="D49" s="31">
        <f t="shared" si="212"/>
        <v>0</v>
      </c>
      <c r="E49" s="31">
        <f t="shared" si="212"/>
        <v>0</v>
      </c>
      <c r="F49" s="31">
        <f t="shared" si="212"/>
        <v>0</v>
      </c>
      <c r="G49" s="31">
        <f t="shared" si="212"/>
        <v>0</v>
      </c>
      <c r="H49" s="179">
        <f t="shared" si="72"/>
        <v>0</v>
      </c>
      <c r="I49" s="31">
        <f t="shared" si="73"/>
        <v>0</v>
      </c>
      <c r="J49" s="31">
        <f t="shared" ref="J49:BG49" si="213">0</f>
        <v>0</v>
      </c>
      <c r="K49" s="31">
        <f t="shared" si="213"/>
        <v>0</v>
      </c>
      <c r="L49" s="31">
        <f t="shared" si="213"/>
        <v>0</v>
      </c>
      <c r="M49" s="31">
        <f t="shared" si="213"/>
        <v>0</v>
      </c>
      <c r="N49" s="31">
        <f t="shared" si="213"/>
        <v>0</v>
      </c>
      <c r="O49" s="31">
        <f t="shared" si="213"/>
        <v>0</v>
      </c>
      <c r="P49" s="31">
        <f t="shared" si="213"/>
        <v>0</v>
      </c>
      <c r="Q49" s="31">
        <f t="shared" si="213"/>
        <v>0</v>
      </c>
      <c r="R49" s="31">
        <f t="shared" si="213"/>
        <v>0</v>
      </c>
      <c r="S49" s="31">
        <f t="shared" si="213"/>
        <v>0</v>
      </c>
      <c r="T49" s="31">
        <f t="shared" si="213"/>
        <v>0</v>
      </c>
      <c r="U49" s="31">
        <f t="shared" si="213"/>
        <v>0</v>
      </c>
      <c r="V49" s="31">
        <f t="shared" si="213"/>
        <v>0</v>
      </c>
      <c r="W49" s="31">
        <f t="shared" si="213"/>
        <v>0</v>
      </c>
      <c r="X49" s="31">
        <f t="shared" si="213"/>
        <v>0</v>
      </c>
      <c r="Y49" s="31">
        <f t="shared" si="213"/>
        <v>0</v>
      </c>
      <c r="Z49" s="31">
        <f t="shared" si="213"/>
        <v>0</v>
      </c>
      <c r="AA49" s="31">
        <f t="shared" si="213"/>
        <v>0</v>
      </c>
      <c r="AB49" s="31">
        <f t="shared" si="213"/>
        <v>0</v>
      </c>
      <c r="AC49" s="31">
        <f t="shared" si="213"/>
        <v>0</v>
      </c>
      <c r="AD49" s="31">
        <f t="shared" si="213"/>
        <v>0</v>
      </c>
      <c r="AE49" s="31">
        <f t="shared" si="213"/>
        <v>0</v>
      </c>
      <c r="AF49" s="31">
        <f t="shared" si="213"/>
        <v>0</v>
      </c>
      <c r="AG49" s="31">
        <f t="shared" si="213"/>
        <v>0</v>
      </c>
      <c r="AH49" s="31">
        <f t="shared" si="213"/>
        <v>0</v>
      </c>
      <c r="AI49" s="31">
        <f t="shared" si="213"/>
        <v>0</v>
      </c>
      <c r="AJ49" s="31">
        <f t="shared" si="213"/>
        <v>0</v>
      </c>
      <c r="AK49" s="31">
        <f t="shared" si="213"/>
        <v>0</v>
      </c>
      <c r="AL49" s="31">
        <f t="shared" si="213"/>
        <v>0</v>
      </c>
      <c r="AM49" s="31">
        <f t="shared" si="213"/>
        <v>0</v>
      </c>
      <c r="AN49" s="31">
        <f t="shared" si="213"/>
        <v>0</v>
      </c>
      <c r="AO49" s="31">
        <f t="shared" si="213"/>
        <v>0</v>
      </c>
      <c r="AP49" s="31">
        <f t="shared" si="213"/>
        <v>0</v>
      </c>
      <c r="AQ49" s="31">
        <f t="shared" si="213"/>
        <v>0</v>
      </c>
      <c r="AR49" s="31">
        <f t="shared" si="213"/>
        <v>0</v>
      </c>
      <c r="AS49" s="31">
        <f t="shared" si="213"/>
        <v>0</v>
      </c>
      <c r="AT49" s="31">
        <f t="shared" si="213"/>
        <v>0</v>
      </c>
      <c r="AU49" s="31">
        <f t="shared" si="213"/>
        <v>0</v>
      </c>
      <c r="AV49" s="31">
        <f t="shared" si="213"/>
        <v>0</v>
      </c>
      <c r="AW49" s="31">
        <f t="shared" si="213"/>
        <v>0</v>
      </c>
      <c r="AX49" s="31">
        <f t="shared" si="213"/>
        <v>0</v>
      </c>
      <c r="AY49" s="31">
        <f t="shared" si="213"/>
        <v>0</v>
      </c>
      <c r="AZ49" s="31">
        <f t="shared" si="213"/>
        <v>0</v>
      </c>
      <c r="BA49" s="31">
        <f t="shared" si="213"/>
        <v>0</v>
      </c>
      <c r="BB49" s="31">
        <f t="shared" si="213"/>
        <v>0</v>
      </c>
      <c r="BC49" s="31">
        <f t="shared" si="213"/>
        <v>0</v>
      </c>
      <c r="BD49" s="31">
        <f t="shared" si="213"/>
        <v>0</v>
      </c>
      <c r="BE49" s="31">
        <f t="shared" si="213"/>
        <v>0</v>
      </c>
      <c r="BF49" s="31">
        <f t="shared" si="213"/>
        <v>0</v>
      </c>
      <c r="BG49" s="31">
        <f t="shared" si="213"/>
        <v>0</v>
      </c>
      <c r="BH49" s="88">
        <f t="shared" si="79"/>
        <v>0</v>
      </c>
      <c r="BI49" s="88">
        <f t="shared" ref="BI49:CB49" si="214">0</f>
        <v>0</v>
      </c>
      <c r="BJ49" s="88">
        <f t="shared" si="214"/>
        <v>0</v>
      </c>
      <c r="BK49" s="10">
        <f t="shared" si="214"/>
        <v>0</v>
      </c>
      <c r="BL49" s="88">
        <f t="shared" si="214"/>
        <v>0</v>
      </c>
      <c r="BM49" s="88">
        <f t="shared" si="214"/>
        <v>0</v>
      </c>
      <c r="BN49" s="88">
        <f t="shared" si="214"/>
        <v>0</v>
      </c>
      <c r="BO49" s="88">
        <f t="shared" si="214"/>
        <v>0</v>
      </c>
      <c r="BP49" s="88">
        <f t="shared" si="214"/>
        <v>0</v>
      </c>
      <c r="BQ49" s="88">
        <f t="shared" si="214"/>
        <v>0</v>
      </c>
      <c r="BR49" s="88">
        <f t="shared" si="214"/>
        <v>0</v>
      </c>
      <c r="BS49" s="180">
        <f t="shared" si="214"/>
        <v>0</v>
      </c>
      <c r="BT49" s="88">
        <f t="shared" si="214"/>
        <v>0</v>
      </c>
      <c r="BU49" s="88">
        <f t="shared" si="214"/>
        <v>0</v>
      </c>
      <c r="BV49" s="88">
        <f t="shared" si="214"/>
        <v>0</v>
      </c>
      <c r="BW49" s="88">
        <f t="shared" si="214"/>
        <v>0</v>
      </c>
      <c r="BX49" s="88">
        <f t="shared" si="214"/>
        <v>0</v>
      </c>
      <c r="BY49" s="88">
        <f t="shared" si="214"/>
        <v>0</v>
      </c>
      <c r="BZ49" s="88">
        <f t="shared" si="214"/>
        <v>0</v>
      </c>
      <c r="CA49" s="88">
        <f t="shared" si="214"/>
        <v>0</v>
      </c>
      <c r="CB49" s="88">
        <f t="shared" si="214"/>
        <v>0</v>
      </c>
    </row>
    <row r="50">
      <c r="A50" s="181" t="s">
        <v>226</v>
      </c>
      <c r="B50" s="31">
        <f t="shared" si="120"/>
        <v>0</v>
      </c>
      <c r="C50" s="31">
        <f t="shared" ref="C50:G50" si="215">0</f>
        <v>0</v>
      </c>
      <c r="D50" s="31">
        <f t="shared" si="215"/>
        <v>0</v>
      </c>
      <c r="E50" s="31">
        <f t="shared" si="215"/>
        <v>0</v>
      </c>
      <c r="F50" s="31">
        <f t="shared" si="215"/>
        <v>0</v>
      </c>
      <c r="G50" s="31">
        <f t="shared" si="215"/>
        <v>0</v>
      </c>
      <c r="H50" s="179">
        <f t="shared" si="72"/>
        <v>0</v>
      </c>
      <c r="I50" s="31">
        <f t="shared" si="73"/>
        <v>0</v>
      </c>
      <c r="J50" s="31">
        <f t="shared" ref="J50:BG50" si="216">0</f>
        <v>0</v>
      </c>
      <c r="K50" s="31">
        <f t="shared" si="216"/>
        <v>0</v>
      </c>
      <c r="L50" s="31">
        <f t="shared" si="216"/>
        <v>0</v>
      </c>
      <c r="M50" s="31">
        <f t="shared" si="216"/>
        <v>0</v>
      </c>
      <c r="N50" s="31">
        <f t="shared" si="216"/>
        <v>0</v>
      </c>
      <c r="O50" s="31">
        <f t="shared" si="216"/>
        <v>0</v>
      </c>
      <c r="P50" s="31">
        <f t="shared" si="216"/>
        <v>0</v>
      </c>
      <c r="Q50" s="31">
        <f t="shared" si="216"/>
        <v>0</v>
      </c>
      <c r="R50" s="31">
        <f t="shared" si="216"/>
        <v>0</v>
      </c>
      <c r="S50" s="31">
        <f t="shared" si="216"/>
        <v>0</v>
      </c>
      <c r="T50" s="31">
        <f t="shared" si="216"/>
        <v>0</v>
      </c>
      <c r="U50" s="31">
        <f t="shared" si="216"/>
        <v>0</v>
      </c>
      <c r="V50" s="31">
        <f t="shared" si="216"/>
        <v>0</v>
      </c>
      <c r="W50" s="31">
        <f t="shared" si="216"/>
        <v>0</v>
      </c>
      <c r="X50" s="31">
        <f t="shared" si="216"/>
        <v>0</v>
      </c>
      <c r="Y50" s="31">
        <f t="shared" si="216"/>
        <v>0</v>
      </c>
      <c r="Z50" s="31">
        <f t="shared" si="216"/>
        <v>0</v>
      </c>
      <c r="AA50" s="31">
        <f t="shared" si="216"/>
        <v>0</v>
      </c>
      <c r="AB50" s="31">
        <f t="shared" si="216"/>
        <v>0</v>
      </c>
      <c r="AC50" s="31">
        <f t="shared" si="216"/>
        <v>0</v>
      </c>
      <c r="AD50" s="31">
        <f t="shared" si="216"/>
        <v>0</v>
      </c>
      <c r="AE50" s="31">
        <f t="shared" si="216"/>
        <v>0</v>
      </c>
      <c r="AF50" s="31">
        <f t="shared" si="216"/>
        <v>0</v>
      </c>
      <c r="AG50" s="31">
        <f t="shared" si="216"/>
        <v>0</v>
      </c>
      <c r="AH50" s="31">
        <f t="shared" si="216"/>
        <v>0</v>
      </c>
      <c r="AI50" s="31">
        <f t="shared" si="216"/>
        <v>0</v>
      </c>
      <c r="AJ50" s="31">
        <f t="shared" si="216"/>
        <v>0</v>
      </c>
      <c r="AK50" s="31">
        <f t="shared" si="216"/>
        <v>0</v>
      </c>
      <c r="AL50" s="31">
        <f t="shared" si="216"/>
        <v>0</v>
      </c>
      <c r="AM50" s="31">
        <f t="shared" si="216"/>
        <v>0</v>
      </c>
      <c r="AN50" s="31">
        <f t="shared" si="216"/>
        <v>0</v>
      </c>
      <c r="AO50" s="31">
        <f t="shared" si="216"/>
        <v>0</v>
      </c>
      <c r="AP50" s="31">
        <f t="shared" si="216"/>
        <v>0</v>
      </c>
      <c r="AQ50" s="31">
        <f t="shared" si="216"/>
        <v>0</v>
      </c>
      <c r="AR50" s="31">
        <f t="shared" si="216"/>
        <v>0</v>
      </c>
      <c r="AS50" s="31">
        <f t="shared" si="216"/>
        <v>0</v>
      </c>
      <c r="AT50" s="31">
        <f t="shared" si="216"/>
        <v>0</v>
      </c>
      <c r="AU50" s="31">
        <f t="shared" si="216"/>
        <v>0</v>
      </c>
      <c r="AV50" s="31">
        <f t="shared" si="216"/>
        <v>0</v>
      </c>
      <c r="AW50" s="31">
        <f t="shared" si="216"/>
        <v>0</v>
      </c>
      <c r="AX50" s="31">
        <f t="shared" si="216"/>
        <v>0</v>
      </c>
      <c r="AY50" s="31">
        <f t="shared" si="216"/>
        <v>0</v>
      </c>
      <c r="AZ50" s="31">
        <f t="shared" si="216"/>
        <v>0</v>
      </c>
      <c r="BA50" s="31">
        <f t="shared" si="216"/>
        <v>0</v>
      </c>
      <c r="BB50" s="31">
        <f t="shared" si="216"/>
        <v>0</v>
      </c>
      <c r="BC50" s="31">
        <f t="shared" si="216"/>
        <v>0</v>
      </c>
      <c r="BD50" s="31">
        <f t="shared" si="216"/>
        <v>0</v>
      </c>
      <c r="BE50" s="31">
        <f t="shared" si="216"/>
        <v>0</v>
      </c>
      <c r="BF50" s="31">
        <f t="shared" si="216"/>
        <v>0</v>
      </c>
      <c r="BG50" s="31">
        <f t="shared" si="216"/>
        <v>0</v>
      </c>
      <c r="BH50" s="88">
        <f t="shared" si="79"/>
        <v>0</v>
      </c>
      <c r="BI50" s="88">
        <f t="shared" ref="BI50:CB50" si="217">0</f>
        <v>0</v>
      </c>
      <c r="BJ50" s="88">
        <f t="shared" si="217"/>
        <v>0</v>
      </c>
      <c r="BK50" s="10">
        <f t="shared" si="217"/>
        <v>0</v>
      </c>
      <c r="BL50" s="88">
        <f t="shared" si="217"/>
        <v>0</v>
      </c>
      <c r="BM50" s="88">
        <f t="shared" si="217"/>
        <v>0</v>
      </c>
      <c r="BN50" s="88">
        <f t="shared" si="217"/>
        <v>0</v>
      </c>
      <c r="BO50" s="88">
        <f t="shared" si="217"/>
        <v>0</v>
      </c>
      <c r="BP50" s="88">
        <f t="shared" si="217"/>
        <v>0</v>
      </c>
      <c r="BQ50" s="88">
        <f t="shared" si="217"/>
        <v>0</v>
      </c>
      <c r="BR50" s="88">
        <f t="shared" si="217"/>
        <v>0</v>
      </c>
      <c r="BS50" s="180">
        <f t="shared" si="217"/>
        <v>0</v>
      </c>
      <c r="BT50" s="88">
        <f t="shared" si="217"/>
        <v>0</v>
      </c>
      <c r="BU50" s="88">
        <f t="shared" si="217"/>
        <v>0</v>
      </c>
      <c r="BV50" s="88">
        <f t="shared" si="217"/>
        <v>0</v>
      </c>
      <c r="BW50" s="88">
        <f t="shared" si="217"/>
        <v>0</v>
      </c>
      <c r="BX50" s="88">
        <f t="shared" si="217"/>
        <v>0</v>
      </c>
      <c r="BY50" s="88">
        <f t="shared" si="217"/>
        <v>0</v>
      </c>
      <c r="BZ50" s="88">
        <f t="shared" si="217"/>
        <v>0</v>
      </c>
      <c r="CA50" s="88">
        <f t="shared" si="217"/>
        <v>0</v>
      </c>
      <c r="CB50" s="88">
        <f t="shared" si="217"/>
        <v>0</v>
      </c>
    </row>
    <row r="51">
      <c r="A51" s="181" t="s">
        <v>227</v>
      </c>
      <c r="B51" s="31">
        <f t="shared" si="120"/>
        <v>0</v>
      </c>
      <c r="C51" s="31">
        <f t="shared" ref="C51:G51" si="218">0</f>
        <v>0</v>
      </c>
      <c r="D51" s="31">
        <f t="shared" si="218"/>
        <v>0</v>
      </c>
      <c r="E51" s="31">
        <f t="shared" si="218"/>
        <v>0</v>
      </c>
      <c r="F51" s="31">
        <f t="shared" si="218"/>
        <v>0</v>
      </c>
      <c r="G51" s="31">
        <f t="shared" si="218"/>
        <v>0</v>
      </c>
      <c r="H51" s="179">
        <f t="shared" si="72"/>
        <v>0</v>
      </c>
      <c r="I51" s="31">
        <f t="shared" si="73"/>
        <v>0</v>
      </c>
      <c r="J51" s="31">
        <f t="shared" ref="J51:BG51" si="219">0</f>
        <v>0</v>
      </c>
      <c r="K51" s="31">
        <f t="shared" si="219"/>
        <v>0</v>
      </c>
      <c r="L51" s="31">
        <f t="shared" si="219"/>
        <v>0</v>
      </c>
      <c r="M51" s="31">
        <f t="shared" si="219"/>
        <v>0</v>
      </c>
      <c r="N51" s="31">
        <f t="shared" si="219"/>
        <v>0</v>
      </c>
      <c r="O51" s="31">
        <f t="shared" si="219"/>
        <v>0</v>
      </c>
      <c r="P51" s="31">
        <f t="shared" si="219"/>
        <v>0</v>
      </c>
      <c r="Q51" s="31">
        <f t="shared" si="219"/>
        <v>0</v>
      </c>
      <c r="R51" s="31">
        <f t="shared" si="219"/>
        <v>0</v>
      </c>
      <c r="S51" s="31">
        <f t="shared" si="219"/>
        <v>0</v>
      </c>
      <c r="T51" s="31">
        <f t="shared" si="219"/>
        <v>0</v>
      </c>
      <c r="U51" s="31">
        <f t="shared" si="219"/>
        <v>0</v>
      </c>
      <c r="V51" s="31">
        <f t="shared" si="219"/>
        <v>0</v>
      </c>
      <c r="W51" s="31">
        <f t="shared" si="219"/>
        <v>0</v>
      </c>
      <c r="X51" s="31">
        <f t="shared" si="219"/>
        <v>0</v>
      </c>
      <c r="Y51" s="31">
        <f t="shared" si="219"/>
        <v>0</v>
      </c>
      <c r="Z51" s="31">
        <f t="shared" si="219"/>
        <v>0</v>
      </c>
      <c r="AA51" s="31">
        <f t="shared" si="219"/>
        <v>0</v>
      </c>
      <c r="AB51" s="31">
        <f t="shared" si="219"/>
        <v>0</v>
      </c>
      <c r="AC51" s="31">
        <f t="shared" si="219"/>
        <v>0</v>
      </c>
      <c r="AD51" s="31">
        <f t="shared" si="219"/>
        <v>0</v>
      </c>
      <c r="AE51" s="31">
        <f t="shared" si="219"/>
        <v>0</v>
      </c>
      <c r="AF51" s="31">
        <f t="shared" si="219"/>
        <v>0</v>
      </c>
      <c r="AG51" s="31">
        <f t="shared" si="219"/>
        <v>0</v>
      </c>
      <c r="AH51" s="31">
        <f t="shared" si="219"/>
        <v>0</v>
      </c>
      <c r="AI51" s="31">
        <f t="shared" si="219"/>
        <v>0</v>
      </c>
      <c r="AJ51" s="31">
        <f t="shared" si="219"/>
        <v>0</v>
      </c>
      <c r="AK51" s="31">
        <f t="shared" si="219"/>
        <v>0</v>
      </c>
      <c r="AL51" s="31">
        <f t="shared" si="219"/>
        <v>0</v>
      </c>
      <c r="AM51" s="31">
        <f t="shared" si="219"/>
        <v>0</v>
      </c>
      <c r="AN51" s="31">
        <f t="shared" si="219"/>
        <v>0</v>
      </c>
      <c r="AO51" s="31">
        <f t="shared" si="219"/>
        <v>0</v>
      </c>
      <c r="AP51" s="31">
        <f t="shared" si="219"/>
        <v>0</v>
      </c>
      <c r="AQ51" s="31">
        <f t="shared" si="219"/>
        <v>0</v>
      </c>
      <c r="AR51" s="31">
        <f t="shared" si="219"/>
        <v>0</v>
      </c>
      <c r="AS51" s="31">
        <f t="shared" si="219"/>
        <v>0</v>
      </c>
      <c r="AT51" s="31">
        <f t="shared" si="219"/>
        <v>0</v>
      </c>
      <c r="AU51" s="31">
        <f t="shared" si="219"/>
        <v>0</v>
      </c>
      <c r="AV51" s="31">
        <f t="shared" si="219"/>
        <v>0</v>
      </c>
      <c r="AW51" s="31">
        <f t="shared" si="219"/>
        <v>0</v>
      </c>
      <c r="AX51" s="31">
        <f t="shared" si="219"/>
        <v>0</v>
      </c>
      <c r="AY51" s="31">
        <f t="shared" si="219"/>
        <v>0</v>
      </c>
      <c r="AZ51" s="31">
        <f t="shared" si="219"/>
        <v>0</v>
      </c>
      <c r="BA51" s="31">
        <f t="shared" si="219"/>
        <v>0</v>
      </c>
      <c r="BB51" s="31">
        <f t="shared" si="219"/>
        <v>0</v>
      </c>
      <c r="BC51" s="31">
        <f t="shared" si="219"/>
        <v>0</v>
      </c>
      <c r="BD51" s="31">
        <f t="shared" si="219"/>
        <v>0</v>
      </c>
      <c r="BE51" s="31">
        <f t="shared" si="219"/>
        <v>0</v>
      </c>
      <c r="BF51" s="31">
        <f t="shared" si="219"/>
        <v>0</v>
      </c>
      <c r="BG51" s="31">
        <f t="shared" si="219"/>
        <v>0</v>
      </c>
      <c r="BH51" s="88">
        <f t="shared" si="79"/>
        <v>0</v>
      </c>
      <c r="BI51" s="88">
        <f t="shared" ref="BI51:CB51" si="220">0</f>
        <v>0</v>
      </c>
      <c r="BJ51" s="88">
        <f t="shared" si="220"/>
        <v>0</v>
      </c>
      <c r="BK51" s="10">
        <f t="shared" si="220"/>
        <v>0</v>
      </c>
      <c r="BL51" s="88">
        <f t="shared" si="220"/>
        <v>0</v>
      </c>
      <c r="BM51" s="88">
        <f t="shared" si="220"/>
        <v>0</v>
      </c>
      <c r="BN51" s="88">
        <f t="shared" si="220"/>
        <v>0</v>
      </c>
      <c r="BO51" s="88">
        <f t="shared" si="220"/>
        <v>0</v>
      </c>
      <c r="BP51" s="88">
        <f t="shared" si="220"/>
        <v>0</v>
      </c>
      <c r="BQ51" s="88">
        <f t="shared" si="220"/>
        <v>0</v>
      </c>
      <c r="BR51" s="88">
        <f t="shared" si="220"/>
        <v>0</v>
      </c>
      <c r="BS51" s="180">
        <f t="shared" si="220"/>
        <v>0</v>
      </c>
      <c r="BT51" s="88">
        <f t="shared" si="220"/>
        <v>0</v>
      </c>
      <c r="BU51" s="88">
        <f t="shared" si="220"/>
        <v>0</v>
      </c>
      <c r="BV51" s="88">
        <f t="shared" si="220"/>
        <v>0</v>
      </c>
      <c r="BW51" s="88">
        <f t="shared" si="220"/>
        <v>0</v>
      </c>
      <c r="BX51" s="88">
        <f t="shared" si="220"/>
        <v>0</v>
      </c>
      <c r="BY51" s="88">
        <f t="shared" si="220"/>
        <v>0</v>
      </c>
      <c r="BZ51" s="88">
        <f t="shared" si="220"/>
        <v>0</v>
      </c>
      <c r="CA51" s="88">
        <f t="shared" si="220"/>
        <v>0</v>
      </c>
      <c r="CB51" s="88">
        <f t="shared" si="220"/>
        <v>0</v>
      </c>
    </row>
    <row r="52">
      <c r="A52" s="181" t="s">
        <v>228</v>
      </c>
      <c r="B52" s="31">
        <f t="shared" si="120"/>
        <v>0</v>
      </c>
      <c r="C52" s="31">
        <f t="shared" ref="C52:G52" si="221">0</f>
        <v>0</v>
      </c>
      <c r="D52" s="31">
        <f t="shared" si="221"/>
        <v>0</v>
      </c>
      <c r="E52" s="31">
        <f t="shared" si="221"/>
        <v>0</v>
      </c>
      <c r="F52" s="31">
        <f t="shared" si="221"/>
        <v>0</v>
      </c>
      <c r="G52" s="31">
        <f t="shared" si="221"/>
        <v>0</v>
      </c>
      <c r="H52" s="179">
        <f t="shared" si="72"/>
        <v>0</v>
      </c>
      <c r="I52" s="31">
        <f t="shared" si="73"/>
        <v>0</v>
      </c>
      <c r="J52" s="31">
        <f t="shared" ref="J52:BG52" si="222">0</f>
        <v>0</v>
      </c>
      <c r="K52" s="31">
        <f t="shared" si="222"/>
        <v>0</v>
      </c>
      <c r="L52" s="31">
        <f t="shared" si="222"/>
        <v>0</v>
      </c>
      <c r="M52" s="31">
        <f t="shared" si="222"/>
        <v>0</v>
      </c>
      <c r="N52" s="31">
        <f t="shared" si="222"/>
        <v>0</v>
      </c>
      <c r="O52" s="31">
        <f t="shared" si="222"/>
        <v>0</v>
      </c>
      <c r="P52" s="31">
        <f t="shared" si="222"/>
        <v>0</v>
      </c>
      <c r="Q52" s="31">
        <f t="shared" si="222"/>
        <v>0</v>
      </c>
      <c r="R52" s="31">
        <f t="shared" si="222"/>
        <v>0</v>
      </c>
      <c r="S52" s="31">
        <f t="shared" si="222"/>
        <v>0</v>
      </c>
      <c r="T52" s="31">
        <f t="shared" si="222"/>
        <v>0</v>
      </c>
      <c r="U52" s="31">
        <f t="shared" si="222"/>
        <v>0</v>
      </c>
      <c r="V52" s="31">
        <f t="shared" si="222"/>
        <v>0</v>
      </c>
      <c r="W52" s="31">
        <f t="shared" si="222"/>
        <v>0</v>
      </c>
      <c r="X52" s="31">
        <f t="shared" si="222"/>
        <v>0</v>
      </c>
      <c r="Y52" s="31">
        <f t="shared" si="222"/>
        <v>0</v>
      </c>
      <c r="Z52" s="31">
        <f t="shared" si="222"/>
        <v>0</v>
      </c>
      <c r="AA52" s="31">
        <f t="shared" si="222"/>
        <v>0</v>
      </c>
      <c r="AB52" s="31">
        <f t="shared" si="222"/>
        <v>0</v>
      </c>
      <c r="AC52" s="31">
        <f t="shared" si="222"/>
        <v>0</v>
      </c>
      <c r="AD52" s="31">
        <f t="shared" si="222"/>
        <v>0</v>
      </c>
      <c r="AE52" s="31">
        <f t="shared" si="222"/>
        <v>0</v>
      </c>
      <c r="AF52" s="31">
        <f t="shared" si="222"/>
        <v>0</v>
      </c>
      <c r="AG52" s="31">
        <f t="shared" si="222"/>
        <v>0</v>
      </c>
      <c r="AH52" s="31">
        <f t="shared" si="222"/>
        <v>0</v>
      </c>
      <c r="AI52" s="31">
        <f t="shared" si="222"/>
        <v>0</v>
      </c>
      <c r="AJ52" s="31">
        <f t="shared" si="222"/>
        <v>0</v>
      </c>
      <c r="AK52" s="31">
        <f t="shared" si="222"/>
        <v>0</v>
      </c>
      <c r="AL52" s="31">
        <f t="shared" si="222"/>
        <v>0</v>
      </c>
      <c r="AM52" s="31">
        <f t="shared" si="222"/>
        <v>0</v>
      </c>
      <c r="AN52" s="31">
        <f t="shared" si="222"/>
        <v>0</v>
      </c>
      <c r="AO52" s="31">
        <f t="shared" si="222"/>
        <v>0</v>
      </c>
      <c r="AP52" s="31">
        <f t="shared" si="222"/>
        <v>0</v>
      </c>
      <c r="AQ52" s="31">
        <f t="shared" si="222"/>
        <v>0</v>
      </c>
      <c r="AR52" s="31">
        <f t="shared" si="222"/>
        <v>0</v>
      </c>
      <c r="AS52" s="31">
        <f t="shared" si="222"/>
        <v>0</v>
      </c>
      <c r="AT52" s="31">
        <f t="shared" si="222"/>
        <v>0</v>
      </c>
      <c r="AU52" s="31">
        <f t="shared" si="222"/>
        <v>0</v>
      </c>
      <c r="AV52" s="31">
        <f t="shared" si="222"/>
        <v>0</v>
      </c>
      <c r="AW52" s="31">
        <f t="shared" si="222"/>
        <v>0</v>
      </c>
      <c r="AX52" s="31">
        <f t="shared" si="222"/>
        <v>0</v>
      </c>
      <c r="AY52" s="31">
        <f t="shared" si="222"/>
        <v>0</v>
      </c>
      <c r="AZ52" s="31">
        <f t="shared" si="222"/>
        <v>0</v>
      </c>
      <c r="BA52" s="31">
        <f t="shared" si="222"/>
        <v>0</v>
      </c>
      <c r="BB52" s="31">
        <f t="shared" si="222"/>
        <v>0</v>
      </c>
      <c r="BC52" s="31">
        <f t="shared" si="222"/>
        <v>0</v>
      </c>
      <c r="BD52" s="31">
        <f t="shared" si="222"/>
        <v>0</v>
      </c>
      <c r="BE52" s="31">
        <f t="shared" si="222"/>
        <v>0</v>
      </c>
      <c r="BF52" s="31">
        <f t="shared" si="222"/>
        <v>0</v>
      </c>
      <c r="BG52" s="31">
        <f t="shared" si="222"/>
        <v>0</v>
      </c>
      <c r="BH52" s="88">
        <f t="shared" si="79"/>
        <v>0</v>
      </c>
      <c r="BI52" s="88">
        <f t="shared" ref="BI52:CB52" si="223">0</f>
        <v>0</v>
      </c>
      <c r="BJ52" s="88">
        <f t="shared" si="223"/>
        <v>0</v>
      </c>
      <c r="BK52" s="10">
        <f t="shared" si="223"/>
        <v>0</v>
      </c>
      <c r="BL52" s="88">
        <f t="shared" si="223"/>
        <v>0</v>
      </c>
      <c r="BM52" s="88">
        <f t="shared" si="223"/>
        <v>0</v>
      </c>
      <c r="BN52" s="88">
        <f t="shared" si="223"/>
        <v>0</v>
      </c>
      <c r="BO52" s="88">
        <f t="shared" si="223"/>
        <v>0</v>
      </c>
      <c r="BP52" s="88">
        <f t="shared" si="223"/>
        <v>0</v>
      </c>
      <c r="BQ52" s="88">
        <f t="shared" si="223"/>
        <v>0</v>
      </c>
      <c r="BR52" s="88">
        <f t="shared" si="223"/>
        <v>0</v>
      </c>
      <c r="BS52" s="180">
        <f t="shared" si="223"/>
        <v>0</v>
      </c>
      <c r="BT52" s="88">
        <f t="shared" si="223"/>
        <v>0</v>
      </c>
      <c r="BU52" s="88">
        <f t="shared" si="223"/>
        <v>0</v>
      </c>
      <c r="BV52" s="88">
        <f t="shared" si="223"/>
        <v>0</v>
      </c>
      <c r="BW52" s="88">
        <f t="shared" si="223"/>
        <v>0</v>
      </c>
      <c r="BX52" s="88">
        <f t="shared" si="223"/>
        <v>0</v>
      </c>
      <c r="BY52" s="88">
        <f t="shared" si="223"/>
        <v>0</v>
      </c>
      <c r="BZ52" s="88">
        <f t="shared" si="223"/>
        <v>0</v>
      </c>
      <c r="CA52" s="88">
        <f t="shared" si="223"/>
        <v>0</v>
      </c>
      <c r="CB52" s="88">
        <f t="shared" si="223"/>
        <v>0</v>
      </c>
    </row>
    <row r="53">
      <c r="A53" s="181" t="s">
        <v>229</v>
      </c>
      <c r="B53" s="31">
        <f t="shared" si="120"/>
        <v>0</v>
      </c>
      <c r="C53" s="31">
        <f t="shared" ref="C53:G53" si="224">0</f>
        <v>0</v>
      </c>
      <c r="D53" s="31">
        <f t="shared" si="224"/>
        <v>0</v>
      </c>
      <c r="E53" s="31">
        <f t="shared" si="224"/>
        <v>0</v>
      </c>
      <c r="F53" s="31">
        <f t="shared" si="224"/>
        <v>0</v>
      </c>
      <c r="G53" s="31">
        <f t="shared" si="224"/>
        <v>0</v>
      </c>
      <c r="H53" s="179">
        <f t="shared" si="72"/>
        <v>0</v>
      </c>
      <c r="I53" s="31">
        <f t="shared" si="73"/>
        <v>0</v>
      </c>
      <c r="J53" s="31">
        <f t="shared" ref="J53:BG53" si="225">0</f>
        <v>0</v>
      </c>
      <c r="K53" s="31">
        <f t="shared" si="225"/>
        <v>0</v>
      </c>
      <c r="L53" s="31">
        <f t="shared" si="225"/>
        <v>0</v>
      </c>
      <c r="M53" s="31">
        <f t="shared" si="225"/>
        <v>0</v>
      </c>
      <c r="N53" s="31">
        <f t="shared" si="225"/>
        <v>0</v>
      </c>
      <c r="O53" s="31">
        <f t="shared" si="225"/>
        <v>0</v>
      </c>
      <c r="P53" s="31">
        <f t="shared" si="225"/>
        <v>0</v>
      </c>
      <c r="Q53" s="31">
        <f t="shared" si="225"/>
        <v>0</v>
      </c>
      <c r="R53" s="31">
        <f t="shared" si="225"/>
        <v>0</v>
      </c>
      <c r="S53" s="31">
        <f t="shared" si="225"/>
        <v>0</v>
      </c>
      <c r="T53" s="31">
        <f t="shared" si="225"/>
        <v>0</v>
      </c>
      <c r="U53" s="31">
        <f t="shared" si="225"/>
        <v>0</v>
      </c>
      <c r="V53" s="31">
        <f t="shared" si="225"/>
        <v>0</v>
      </c>
      <c r="W53" s="31">
        <f t="shared" si="225"/>
        <v>0</v>
      </c>
      <c r="X53" s="31">
        <f t="shared" si="225"/>
        <v>0</v>
      </c>
      <c r="Y53" s="31">
        <f t="shared" si="225"/>
        <v>0</v>
      </c>
      <c r="Z53" s="31">
        <f t="shared" si="225"/>
        <v>0</v>
      </c>
      <c r="AA53" s="31">
        <f t="shared" si="225"/>
        <v>0</v>
      </c>
      <c r="AB53" s="31">
        <f t="shared" si="225"/>
        <v>0</v>
      </c>
      <c r="AC53" s="31">
        <f t="shared" si="225"/>
        <v>0</v>
      </c>
      <c r="AD53" s="31">
        <f t="shared" si="225"/>
        <v>0</v>
      </c>
      <c r="AE53" s="31">
        <f t="shared" si="225"/>
        <v>0</v>
      </c>
      <c r="AF53" s="31">
        <f t="shared" si="225"/>
        <v>0</v>
      </c>
      <c r="AG53" s="31">
        <f t="shared" si="225"/>
        <v>0</v>
      </c>
      <c r="AH53" s="31">
        <f t="shared" si="225"/>
        <v>0</v>
      </c>
      <c r="AI53" s="31">
        <f t="shared" si="225"/>
        <v>0</v>
      </c>
      <c r="AJ53" s="31">
        <f t="shared" si="225"/>
        <v>0</v>
      </c>
      <c r="AK53" s="31">
        <f t="shared" si="225"/>
        <v>0</v>
      </c>
      <c r="AL53" s="31">
        <f t="shared" si="225"/>
        <v>0</v>
      </c>
      <c r="AM53" s="31">
        <f t="shared" si="225"/>
        <v>0</v>
      </c>
      <c r="AN53" s="31">
        <f t="shared" si="225"/>
        <v>0</v>
      </c>
      <c r="AO53" s="31">
        <f t="shared" si="225"/>
        <v>0</v>
      </c>
      <c r="AP53" s="31">
        <f t="shared" si="225"/>
        <v>0</v>
      </c>
      <c r="AQ53" s="31">
        <f t="shared" si="225"/>
        <v>0</v>
      </c>
      <c r="AR53" s="31">
        <f t="shared" si="225"/>
        <v>0</v>
      </c>
      <c r="AS53" s="31">
        <f t="shared" si="225"/>
        <v>0</v>
      </c>
      <c r="AT53" s="31">
        <f t="shared" si="225"/>
        <v>0</v>
      </c>
      <c r="AU53" s="31">
        <f t="shared" si="225"/>
        <v>0</v>
      </c>
      <c r="AV53" s="31">
        <f t="shared" si="225"/>
        <v>0</v>
      </c>
      <c r="AW53" s="31">
        <f t="shared" si="225"/>
        <v>0</v>
      </c>
      <c r="AX53" s="31">
        <f t="shared" si="225"/>
        <v>0</v>
      </c>
      <c r="AY53" s="31">
        <f t="shared" si="225"/>
        <v>0</v>
      </c>
      <c r="AZ53" s="31">
        <f t="shared" si="225"/>
        <v>0</v>
      </c>
      <c r="BA53" s="31">
        <f t="shared" si="225"/>
        <v>0</v>
      </c>
      <c r="BB53" s="31">
        <f t="shared" si="225"/>
        <v>0</v>
      </c>
      <c r="BC53" s="31">
        <f t="shared" si="225"/>
        <v>0</v>
      </c>
      <c r="BD53" s="31">
        <f t="shared" si="225"/>
        <v>0</v>
      </c>
      <c r="BE53" s="31">
        <f t="shared" si="225"/>
        <v>0</v>
      </c>
      <c r="BF53" s="31">
        <f t="shared" si="225"/>
        <v>0</v>
      </c>
      <c r="BG53" s="31">
        <f t="shared" si="225"/>
        <v>0</v>
      </c>
      <c r="BH53" s="88">
        <f t="shared" si="79"/>
        <v>0</v>
      </c>
      <c r="BI53" s="88">
        <f t="shared" ref="BI53:CB53" si="226">0</f>
        <v>0</v>
      </c>
      <c r="BJ53" s="88">
        <f t="shared" si="226"/>
        <v>0</v>
      </c>
      <c r="BK53" s="10">
        <f t="shared" si="226"/>
        <v>0</v>
      </c>
      <c r="BL53" s="88">
        <f t="shared" si="226"/>
        <v>0</v>
      </c>
      <c r="BM53" s="88">
        <f t="shared" si="226"/>
        <v>0</v>
      </c>
      <c r="BN53" s="88">
        <f t="shared" si="226"/>
        <v>0</v>
      </c>
      <c r="BO53" s="88">
        <f t="shared" si="226"/>
        <v>0</v>
      </c>
      <c r="BP53" s="88">
        <f t="shared" si="226"/>
        <v>0</v>
      </c>
      <c r="BQ53" s="88">
        <f t="shared" si="226"/>
        <v>0</v>
      </c>
      <c r="BR53" s="88">
        <f t="shared" si="226"/>
        <v>0</v>
      </c>
      <c r="BS53" s="180">
        <f t="shared" si="226"/>
        <v>0</v>
      </c>
      <c r="BT53" s="88">
        <f t="shared" si="226"/>
        <v>0</v>
      </c>
      <c r="BU53" s="88">
        <f t="shared" si="226"/>
        <v>0</v>
      </c>
      <c r="BV53" s="88">
        <f t="shared" si="226"/>
        <v>0</v>
      </c>
      <c r="BW53" s="88">
        <f t="shared" si="226"/>
        <v>0</v>
      </c>
      <c r="BX53" s="88">
        <f t="shared" si="226"/>
        <v>0</v>
      </c>
      <c r="BY53" s="88">
        <f t="shared" si="226"/>
        <v>0</v>
      </c>
      <c r="BZ53" s="88">
        <f t="shared" si="226"/>
        <v>0</v>
      </c>
      <c r="CA53" s="88">
        <f t="shared" si="226"/>
        <v>0</v>
      </c>
      <c r="CB53" s="88">
        <f t="shared" si="226"/>
        <v>0</v>
      </c>
    </row>
    <row r="54">
      <c r="A54" s="181" t="s">
        <v>230</v>
      </c>
      <c r="B54" s="31">
        <f t="shared" si="120"/>
        <v>0</v>
      </c>
      <c r="C54" s="31">
        <f t="shared" ref="C54:G54" si="227">0</f>
        <v>0</v>
      </c>
      <c r="D54" s="31">
        <f t="shared" si="227"/>
        <v>0</v>
      </c>
      <c r="E54" s="31">
        <f t="shared" si="227"/>
        <v>0</v>
      </c>
      <c r="F54" s="31">
        <f t="shared" si="227"/>
        <v>0</v>
      </c>
      <c r="G54" s="31">
        <f t="shared" si="227"/>
        <v>0</v>
      </c>
      <c r="H54" s="179">
        <f t="shared" si="72"/>
        <v>0</v>
      </c>
      <c r="I54" s="31">
        <f t="shared" si="73"/>
        <v>0</v>
      </c>
      <c r="J54" s="31">
        <f t="shared" ref="J54:BG54" si="228">0</f>
        <v>0</v>
      </c>
      <c r="K54" s="31">
        <f t="shared" si="228"/>
        <v>0</v>
      </c>
      <c r="L54" s="31">
        <f t="shared" si="228"/>
        <v>0</v>
      </c>
      <c r="M54" s="31">
        <f t="shared" si="228"/>
        <v>0</v>
      </c>
      <c r="N54" s="31">
        <f t="shared" si="228"/>
        <v>0</v>
      </c>
      <c r="O54" s="31">
        <f t="shared" si="228"/>
        <v>0</v>
      </c>
      <c r="P54" s="31">
        <f t="shared" si="228"/>
        <v>0</v>
      </c>
      <c r="Q54" s="31">
        <f t="shared" si="228"/>
        <v>0</v>
      </c>
      <c r="R54" s="31">
        <f t="shared" si="228"/>
        <v>0</v>
      </c>
      <c r="S54" s="31">
        <f t="shared" si="228"/>
        <v>0</v>
      </c>
      <c r="T54" s="31">
        <f t="shared" si="228"/>
        <v>0</v>
      </c>
      <c r="U54" s="31">
        <f t="shared" si="228"/>
        <v>0</v>
      </c>
      <c r="V54" s="31">
        <f t="shared" si="228"/>
        <v>0</v>
      </c>
      <c r="W54" s="31">
        <f t="shared" si="228"/>
        <v>0</v>
      </c>
      <c r="X54" s="31">
        <f t="shared" si="228"/>
        <v>0</v>
      </c>
      <c r="Y54" s="31">
        <f t="shared" si="228"/>
        <v>0</v>
      </c>
      <c r="Z54" s="31">
        <f t="shared" si="228"/>
        <v>0</v>
      </c>
      <c r="AA54" s="31">
        <f t="shared" si="228"/>
        <v>0</v>
      </c>
      <c r="AB54" s="31">
        <f t="shared" si="228"/>
        <v>0</v>
      </c>
      <c r="AC54" s="31">
        <f t="shared" si="228"/>
        <v>0</v>
      </c>
      <c r="AD54" s="31">
        <f t="shared" si="228"/>
        <v>0</v>
      </c>
      <c r="AE54" s="31">
        <f t="shared" si="228"/>
        <v>0</v>
      </c>
      <c r="AF54" s="31">
        <f t="shared" si="228"/>
        <v>0</v>
      </c>
      <c r="AG54" s="31">
        <f t="shared" si="228"/>
        <v>0</v>
      </c>
      <c r="AH54" s="31">
        <f t="shared" si="228"/>
        <v>0</v>
      </c>
      <c r="AI54" s="31">
        <f t="shared" si="228"/>
        <v>0</v>
      </c>
      <c r="AJ54" s="31">
        <f t="shared" si="228"/>
        <v>0</v>
      </c>
      <c r="AK54" s="31">
        <f t="shared" si="228"/>
        <v>0</v>
      </c>
      <c r="AL54" s="31">
        <f t="shared" si="228"/>
        <v>0</v>
      </c>
      <c r="AM54" s="31">
        <f t="shared" si="228"/>
        <v>0</v>
      </c>
      <c r="AN54" s="31">
        <f t="shared" si="228"/>
        <v>0</v>
      </c>
      <c r="AO54" s="31">
        <f t="shared" si="228"/>
        <v>0</v>
      </c>
      <c r="AP54" s="31">
        <f t="shared" si="228"/>
        <v>0</v>
      </c>
      <c r="AQ54" s="31">
        <f t="shared" si="228"/>
        <v>0</v>
      </c>
      <c r="AR54" s="31">
        <f t="shared" si="228"/>
        <v>0</v>
      </c>
      <c r="AS54" s="31">
        <f t="shared" si="228"/>
        <v>0</v>
      </c>
      <c r="AT54" s="31">
        <f t="shared" si="228"/>
        <v>0</v>
      </c>
      <c r="AU54" s="31">
        <f t="shared" si="228"/>
        <v>0</v>
      </c>
      <c r="AV54" s="31">
        <f t="shared" si="228"/>
        <v>0</v>
      </c>
      <c r="AW54" s="31">
        <f t="shared" si="228"/>
        <v>0</v>
      </c>
      <c r="AX54" s="31">
        <f t="shared" si="228"/>
        <v>0</v>
      </c>
      <c r="AY54" s="31">
        <f t="shared" si="228"/>
        <v>0</v>
      </c>
      <c r="AZ54" s="31">
        <f t="shared" si="228"/>
        <v>0</v>
      </c>
      <c r="BA54" s="31">
        <f t="shared" si="228"/>
        <v>0</v>
      </c>
      <c r="BB54" s="31">
        <f t="shared" si="228"/>
        <v>0</v>
      </c>
      <c r="BC54" s="31">
        <f t="shared" si="228"/>
        <v>0</v>
      </c>
      <c r="BD54" s="31">
        <f t="shared" si="228"/>
        <v>0</v>
      </c>
      <c r="BE54" s="31">
        <f t="shared" si="228"/>
        <v>0</v>
      </c>
      <c r="BF54" s="31">
        <f t="shared" si="228"/>
        <v>0</v>
      </c>
      <c r="BG54" s="31">
        <f t="shared" si="228"/>
        <v>0</v>
      </c>
      <c r="BH54" s="88">
        <f t="shared" si="79"/>
        <v>0</v>
      </c>
      <c r="BI54" s="88">
        <f t="shared" ref="BI54:CB54" si="229">0</f>
        <v>0</v>
      </c>
      <c r="BJ54" s="88">
        <f t="shared" si="229"/>
        <v>0</v>
      </c>
      <c r="BK54" s="10">
        <f t="shared" si="229"/>
        <v>0</v>
      </c>
      <c r="BL54" s="88">
        <f t="shared" si="229"/>
        <v>0</v>
      </c>
      <c r="BM54" s="88">
        <f t="shared" si="229"/>
        <v>0</v>
      </c>
      <c r="BN54" s="88">
        <f t="shared" si="229"/>
        <v>0</v>
      </c>
      <c r="BO54" s="88">
        <f t="shared" si="229"/>
        <v>0</v>
      </c>
      <c r="BP54" s="88">
        <f t="shared" si="229"/>
        <v>0</v>
      </c>
      <c r="BQ54" s="88">
        <f t="shared" si="229"/>
        <v>0</v>
      </c>
      <c r="BR54" s="88">
        <f t="shared" si="229"/>
        <v>0</v>
      </c>
      <c r="BS54" s="180">
        <f t="shared" si="229"/>
        <v>0</v>
      </c>
      <c r="BT54" s="88">
        <f t="shared" si="229"/>
        <v>0</v>
      </c>
      <c r="BU54" s="88">
        <f t="shared" si="229"/>
        <v>0</v>
      </c>
      <c r="BV54" s="88">
        <f t="shared" si="229"/>
        <v>0</v>
      </c>
      <c r="BW54" s="88">
        <f t="shared" si="229"/>
        <v>0</v>
      </c>
      <c r="BX54" s="88">
        <f t="shared" si="229"/>
        <v>0</v>
      </c>
      <c r="BY54" s="88">
        <f t="shared" si="229"/>
        <v>0</v>
      </c>
      <c r="BZ54" s="88">
        <f t="shared" si="229"/>
        <v>0</v>
      </c>
      <c r="CA54" s="88">
        <f t="shared" si="229"/>
        <v>0</v>
      </c>
      <c r="CB54" s="88">
        <f t="shared" si="229"/>
        <v>0</v>
      </c>
    </row>
    <row r="55">
      <c r="A55" s="181" t="s">
        <v>231</v>
      </c>
      <c r="B55" s="31">
        <f t="shared" si="120"/>
        <v>0</v>
      </c>
      <c r="C55" s="31">
        <f t="shared" ref="C55:G55" si="230">0</f>
        <v>0</v>
      </c>
      <c r="D55" s="31">
        <f t="shared" si="230"/>
        <v>0</v>
      </c>
      <c r="E55" s="31">
        <f t="shared" si="230"/>
        <v>0</v>
      </c>
      <c r="F55" s="31">
        <f t="shared" si="230"/>
        <v>0</v>
      </c>
      <c r="G55" s="31">
        <f t="shared" si="230"/>
        <v>0</v>
      </c>
      <c r="H55" s="179">
        <f t="shared" si="72"/>
        <v>0</v>
      </c>
      <c r="I55" s="31">
        <f t="shared" si="73"/>
        <v>0</v>
      </c>
      <c r="J55" s="31">
        <f t="shared" ref="J55:BG55" si="231">0</f>
        <v>0</v>
      </c>
      <c r="K55" s="31">
        <f t="shared" si="231"/>
        <v>0</v>
      </c>
      <c r="L55" s="31">
        <f t="shared" si="231"/>
        <v>0</v>
      </c>
      <c r="M55" s="31">
        <f t="shared" si="231"/>
        <v>0</v>
      </c>
      <c r="N55" s="31">
        <f t="shared" si="231"/>
        <v>0</v>
      </c>
      <c r="O55" s="31">
        <f t="shared" si="231"/>
        <v>0</v>
      </c>
      <c r="P55" s="31">
        <f t="shared" si="231"/>
        <v>0</v>
      </c>
      <c r="Q55" s="31">
        <f t="shared" si="231"/>
        <v>0</v>
      </c>
      <c r="R55" s="31">
        <f t="shared" si="231"/>
        <v>0</v>
      </c>
      <c r="S55" s="31">
        <f t="shared" si="231"/>
        <v>0</v>
      </c>
      <c r="T55" s="31">
        <f t="shared" si="231"/>
        <v>0</v>
      </c>
      <c r="U55" s="31">
        <f t="shared" si="231"/>
        <v>0</v>
      </c>
      <c r="V55" s="31">
        <f t="shared" si="231"/>
        <v>0</v>
      </c>
      <c r="W55" s="31">
        <f t="shared" si="231"/>
        <v>0</v>
      </c>
      <c r="X55" s="31">
        <f t="shared" si="231"/>
        <v>0</v>
      </c>
      <c r="Y55" s="31">
        <f t="shared" si="231"/>
        <v>0</v>
      </c>
      <c r="Z55" s="31">
        <f t="shared" si="231"/>
        <v>0</v>
      </c>
      <c r="AA55" s="31">
        <f t="shared" si="231"/>
        <v>0</v>
      </c>
      <c r="AB55" s="31">
        <f t="shared" si="231"/>
        <v>0</v>
      </c>
      <c r="AC55" s="31">
        <f t="shared" si="231"/>
        <v>0</v>
      </c>
      <c r="AD55" s="31">
        <f t="shared" si="231"/>
        <v>0</v>
      </c>
      <c r="AE55" s="31">
        <f t="shared" si="231"/>
        <v>0</v>
      </c>
      <c r="AF55" s="31">
        <f t="shared" si="231"/>
        <v>0</v>
      </c>
      <c r="AG55" s="31">
        <f t="shared" si="231"/>
        <v>0</v>
      </c>
      <c r="AH55" s="31">
        <f t="shared" si="231"/>
        <v>0</v>
      </c>
      <c r="AI55" s="31">
        <f t="shared" si="231"/>
        <v>0</v>
      </c>
      <c r="AJ55" s="31">
        <f t="shared" si="231"/>
        <v>0</v>
      </c>
      <c r="AK55" s="31">
        <f t="shared" si="231"/>
        <v>0</v>
      </c>
      <c r="AL55" s="31">
        <f t="shared" si="231"/>
        <v>0</v>
      </c>
      <c r="AM55" s="31">
        <f t="shared" si="231"/>
        <v>0</v>
      </c>
      <c r="AN55" s="31">
        <f t="shared" si="231"/>
        <v>0</v>
      </c>
      <c r="AO55" s="31">
        <f t="shared" si="231"/>
        <v>0</v>
      </c>
      <c r="AP55" s="31">
        <f t="shared" si="231"/>
        <v>0</v>
      </c>
      <c r="AQ55" s="31">
        <f t="shared" si="231"/>
        <v>0</v>
      </c>
      <c r="AR55" s="31">
        <f t="shared" si="231"/>
        <v>0</v>
      </c>
      <c r="AS55" s="31">
        <f t="shared" si="231"/>
        <v>0</v>
      </c>
      <c r="AT55" s="31">
        <f t="shared" si="231"/>
        <v>0</v>
      </c>
      <c r="AU55" s="31">
        <f t="shared" si="231"/>
        <v>0</v>
      </c>
      <c r="AV55" s="31">
        <f t="shared" si="231"/>
        <v>0</v>
      </c>
      <c r="AW55" s="31">
        <f t="shared" si="231"/>
        <v>0</v>
      </c>
      <c r="AX55" s="31">
        <f t="shared" si="231"/>
        <v>0</v>
      </c>
      <c r="AY55" s="31">
        <f t="shared" si="231"/>
        <v>0</v>
      </c>
      <c r="AZ55" s="31">
        <f t="shared" si="231"/>
        <v>0</v>
      </c>
      <c r="BA55" s="31">
        <f t="shared" si="231"/>
        <v>0</v>
      </c>
      <c r="BB55" s="31">
        <f t="shared" si="231"/>
        <v>0</v>
      </c>
      <c r="BC55" s="31">
        <f t="shared" si="231"/>
        <v>0</v>
      </c>
      <c r="BD55" s="31">
        <f t="shared" si="231"/>
        <v>0</v>
      </c>
      <c r="BE55" s="31">
        <f t="shared" si="231"/>
        <v>0</v>
      </c>
      <c r="BF55" s="31">
        <f t="shared" si="231"/>
        <v>0</v>
      </c>
      <c r="BG55" s="31">
        <f t="shared" si="231"/>
        <v>0</v>
      </c>
      <c r="BH55" s="88">
        <f t="shared" si="79"/>
        <v>0</v>
      </c>
      <c r="BI55" s="88">
        <f t="shared" ref="BI55:CB55" si="232">0</f>
        <v>0</v>
      </c>
      <c r="BJ55" s="88">
        <f t="shared" si="232"/>
        <v>0</v>
      </c>
      <c r="BK55" s="10">
        <f t="shared" si="232"/>
        <v>0</v>
      </c>
      <c r="BL55" s="88">
        <f t="shared" si="232"/>
        <v>0</v>
      </c>
      <c r="BM55" s="88">
        <f t="shared" si="232"/>
        <v>0</v>
      </c>
      <c r="BN55" s="88">
        <f t="shared" si="232"/>
        <v>0</v>
      </c>
      <c r="BO55" s="88">
        <f t="shared" si="232"/>
        <v>0</v>
      </c>
      <c r="BP55" s="88">
        <f t="shared" si="232"/>
        <v>0</v>
      </c>
      <c r="BQ55" s="88">
        <f t="shared" si="232"/>
        <v>0</v>
      </c>
      <c r="BR55" s="88">
        <f t="shared" si="232"/>
        <v>0</v>
      </c>
      <c r="BS55" s="180">
        <f t="shared" si="232"/>
        <v>0</v>
      </c>
      <c r="BT55" s="88">
        <f t="shared" si="232"/>
        <v>0</v>
      </c>
      <c r="BU55" s="88">
        <f t="shared" si="232"/>
        <v>0</v>
      </c>
      <c r="BV55" s="88">
        <f t="shared" si="232"/>
        <v>0</v>
      </c>
      <c r="BW55" s="88">
        <f t="shared" si="232"/>
        <v>0</v>
      </c>
      <c r="BX55" s="88">
        <f t="shared" si="232"/>
        <v>0</v>
      </c>
      <c r="BY55" s="88">
        <f t="shared" si="232"/>
        <v>0</v>
      </c>
      <c r="BZ55" s="88">
        <f t="shared" si="232"/>
        <v>0</v>
      </c>
      <c r="CA55" s="88">
        <f t="shared" si="232"/>
        <v>0</v>
      </c>
      <c r="CB55" s="88">
        <f t="shared" si="232"/>
        <v>0</v>
      </c>
    </row>
    <row r="56">
      <c r="A56" s="181" t="s">
        <v>232</v>
      </c>
      <c r="B56" s="31">
        <f t="shared" si="120"/>
        <v>0</v>
      </c>
      <c r="C56" s="31">
        <f t="shared" ref="C56:G56" si="233">0</f>
        <v>0</v>
      </c>
      <c r="D56" s="31">
        <f t="shared" si="233"/>
        <v>0</v>
      </c>
      <c r="E56" s="31">
        <f t="shared" si="233"/>
        <v>0</v>
      </c>
      <c r="F56" s="31">
        <f t="shared" si="233"/>
        <v>0</v>
      </c>
      <c r="G56" s="31">
        <f t="shared" si="233"/>
        <v>0</v>
      </c>
      <c r="H56" s="179">
        <f t="shared" si="72"/>
        <v>0</v>
      </c>
      <c r="I56" s="31">
        <f t="shared" si="73"/>
        <v>0</v>
      </c>
      <c r="J56" s="31">
        <f t="shared" ref="J56:BG56" si="234">0</f>
        <v>0</v>
      </c>
      <c r="K56" s="31">
        <f t="shared" si="234"/>
        <v>0</v>
      </c>
      <c r="L56" s="31">
        <f t="shared" si="234"/>
        <v>0</v>
      </c>
      <c r="M56" s="31">
        <f t="shared" si="234"/>
        <v>0</v>
      </c>
      <c r="N56" s="31">
        <f t="shared" si="234"/>
        <v>0</v>
      </c>
      <c r="O56" s="31">
        <f t="shared" si="234"/>
        <v>0</v>
      </c>
      <c r="P56" s="31">
        <f t="shared" si="234"/>
        <v>0</v>
      </c>
      <c r="Q56" s="31">
        <f t="shared" si="234"/>
        <v>0</v>
      </c>
      <c r="R56" s="31">
        <f t="shared" si="234"/>
        <v>0</v>
      </c>
      <c r="S56" s="31">
        <f t="shared" si="234"/>
        <v>0</v>
      </c>
      <c r="T56" s="31">
        <f t="shared" si="234"/>
        <v>0</v>
      </c>
      <c r="U56" s="31">
        <f t="shared" si="234"/>
        <v>0</v>
      </c>
      <c r="V56" s="31">
        <f t="shared" si="234"/>
        <v>0</v>
      </c>
      <c r="W56" s="31">
        <f t="shared" si="234"/>
        <v>0</v>
      </c>
      <c r="X56" s="31">
        <f t="shared" si="234"/>
        <v>0</v>
      </c>
      <c r="Y56" s="31">
        <f t="shared" si="234"/>
        <v>0</v>
      </c>
      <c r="Z56" s="31">
        <f t="shared" si="234"/>
        <v>0</v>
      </c>
      <c r="AA56" s="31">
        <f t="shared" si="234"/>
        <v>0</v>
      </c>
      <c r="AB56" s="31">
        <f t="shared" si="234"/>
        <v>0</v>
      </c>
      <c r="AC56" s="31">
        <f t="shared" si="234"/>
        <v>0</v>
      </c>
      <c r="AD56" s="31">
        <f t="shared" si="234"/>
        <v>0</v>
      </c>
      <c r="AE56" s="31">
        <f t="shared" si="234"/>
        <v>0</v>
      </c>
      <c r="AF56" s="31">
        <f t="shared" si="234"/>
        <v>0</v>
      </c>
      <c r="AG56" s="31">
        <f t="shared" si="234"/>
        <v>0</v>
      </c>
      <c r="AH56" s="31">
        <f t="shared" si="234"/>
        <v>0</v>
      </c>
      <c r="AI56" s="31">
        <f t="shared" si="234"/>
        <v>0</v>
      </c>
      <c r="AJ56" s="31">
        <f t="shared" si="234"/>
        <v>0</v>
      </c>
      <c r="AK56" s="31">
        <f t="shared" si="234"/>
        <v>0</v>
      </c>
      <c r="AL56" s="31">
        <f t="shared" si="234"/>
        <v>0</v>
      </c>
      <c r="AM56" s="31">
        <f t="shared" si="234"/>
        <v>0</v>
      </c>
      <c r="AN56" s="31">
        <f t="shared" si="234"/>
        <v>0</v>
      </c>
      <c r="AO56" s="31">
        <f t="shared" si="234"/>
        <v>0</v>
      </c>
      <c r="AP56" s="31">
        <f t="shared" si="234"/>
        <v>0</v>
      </c>
      <c r="AQ56" s="31">
        <f t="shared" si="234"/>
        <v>0</v>
      </c>
      <c r="AR56" s="31">
        <f t="shared" si="234"/>
        <v>0</v>
      </c>
      <c r="AS56" s="31">
        <f t="shared" si="234"/>
        <v>0</v>
      </c>
      <c r="AT56" s="31">
        <f t="shared" si="234"/>
        <v>0</v>
      </c>
      <c r="AU56" s="31">
        <f t="shared" si="234"/>
        <v>0</v>
      </c>
      <c r="AV56" s="31">
        <f t="shared" si="234"/>
        <v>0</v>
      </c>
      <c r="AW56" s="31">
        <f t="shared" si="234"/>
        <v>0</v>
      </c>
      <c r="AX56" s="31">
        <f t="shared" si="234"/>
        <v>0</v>
      </c>
      <c r="AY56" s="31">
        <f t="shared" si="234"/>
        <v>0</v>
      </c>
      <c r="AZ56" s="31">
        <f t="shared" si="234"/>
        <v>0</v>
      </c>
      <c r="BA56" s="31">
        <f t="shared" si="234"/>
        <v>0</v>
      </c>
      <c r="BB56" s="31">
        <f t="shared" si="234"/>
        <v>0</v>
      </c>
      <c r="BC56" s="31">
        <f t="shared" si="234"/>
        <v>0</v>
      </c>
      <c r="BD56" s="31">
        <f t="shared" si="234"/>
        <v>0</v>
      </c>
      <c r="BE56" s="31">
        <f t="shared" si="234"/>
        <v>0</v>
      </c>
      <c r="BF56" s="31">
        <f t="shared" si="234"/>
        <v>0</v>
      </c>
      <c r="BG56" s="31">
        <f t="shared" si="234"/>
        <v>0</v>
      </c>
      <c r="BH56" s="88">
        <f t="shared" si="79"/>
        <v>0</v>
      </c>
      <c r="BI56" s="88">
        <f t="shared" ref="BI56:BV56" si="235">0</f>
        <v>0</v>
      </c>
      <c r="BJ56" s="88">
        <f t="shared" si="235"/>
        <v>0</v>
      </c>
      <c r="BK56" s="10">
        <f t="shared" si="235"/>
        <v>0</v>
      </c>
      <c r="BL56" s="88">
        <f t="shared" si="235"/>
        <v>0</v>
      </c>
      <c r="BM56" s="88">
        <f t="shared" si="235"/>
        <v>0</v>
      </c>
      <c r="BN56" s="88">
        <f t="shared" si="235"/>
        <v>0</v>
      </c>
      <c r="BO56" s="88">
        <f t="shared" si="235"/>
        <v>0</v>
      </c>
      <c r="BP56" s="88">
        <f t="shared" si="235"/>
        <v>0</v>
      </c>
      <c r="BQ56" s="88">
        <f t="shared" si="235"/>
        <v>0</v>
      </c>
      <c r="BR56" s="88">
        <f t="shared" si="235"/>
        <v>0</v>
      </c>
      <c r="BS56" s="180">
        <f t="shared" si="235"/>
        <v>0</v>
      </c>
      <c r="BT56" s="88">
        <f t="shared" si="235"/>
        <v>0</v>
      </c>
      <c r="BU56" s="88">
        <f t="shared" si="235"/>
        <v>0</v>
      </c>
      <c r="BV56" s="88">
        <f t="shared" si="235"/>
        <v>0</v>
      </c>
      <c r="BW56" s="88">
        <f>60</f>
        <v>60</v>
      </c>
      <c r="BX56" s="88">
        <f t="shared" ref="BX56:CB56" si="236">0</f>
        <v>0</v>
      </c>
      <c r="BY56" s="88">
        <f t="shared" si="236"/>
        <v>0</v>
      </c>
      <c r="BZ56" s="88">
        <f t="shared" si="236"/>
        <v>0</v>
      </c>
      <c r="CA56" s="88">
        <f t="shared" si="236"/>
        <v>0</v>
      </c>
      <c r="CB56" s="88">
        <f t="shared" si="236"/>
        <v>0</v>
      </c>
    </row>
    <row r="57">
      <c r="A57" s="181" t="s">
        <v>233</v>
      </c>
      <c r="B57" s="31">
        <f t="shared" si="120"/>
        <v>0</v>
      </c>
      <c r="C57" s="31">
        <f t="shared" ref="C57:G57" si="237">0</f>
        <v>0</v>
      </c>
      <c r="D57" s="31">
        <f t="shared" si="237"/>
        <v>0</v>
      </c>
      <c r="E57" s="31">
        <f t="shared" si="237"/>
        <v>0</v>
      </c>
      <c r="F57" s="31">
        <f t="shared" si="237"/>
        <v>0</v>
      </c>
      <c r="G57" s="31">
        <f t="shared" si="237"/>
        <v>0</v>
      </c>
      <c r="H57" s="179">
        <f t="shared" si="72"/>
        <v>0</v>
      </c>
      <c r="I57" s="31">
        <f t="shared" si="73"/>
        <v>0</v>
      </c>
      <c r="J57" s="31">
        <f t="shared" ref="J57:BG57" si="238">0</f>
        <v>0</v>
      </c>
      <c r="K57" s="31">
        <f t="shared" si="238"/>
        <v>0</v>
      </c>
      <c r="L57" s="31">
        <f t="shared" si="238"/>
        <v>0</v>
      </c>
      <c r="M57" s="31">
        <f t="shared" si="238"/>
        <v>0</v>
      </c>
      <c r="N57" s="31">
        <f t="shared" si="238"/>
        <v>0</v>
      </c>
      <c r="O57" s="31">
        <f t="shared" si="238"/>
        <v>0</v>
      </c>
      <c r="P57" s="31">
        <f t="shared" si="238"/>
        <v>0</v>
      </c>
      <c r="Q57" s="31">
        <f t="shared" si="238"/>
        <v>0</v>
      </c>
      <c r="R57" s="31">
        <f t="shared" si="238"/>
        <v>0</v>
      </c>
      <c r="S57" s="31">
        <f t="shared" si="238"/>
        <v>0</v>
      </c>
      <c r="T57" s="31">
        <f t="shared" si="238"/>
        <v>0</v>
      </c>
      <c r="U57" s="31">
        <f t="shared" si="238"/>
        <v>0</v>
      </c>
      <c r="V57" s="31">
        <f t="shared" si="238"/>
        <v>0</v>
      </c>
      <c r="W57" s="31">
        <f t="shared" si="238"/>
        <v>0</v>
      </c>
      <c r="X57" s="31">
        <f t="shared" si="238"/>
        <v>0</v>
      </c>
      <c r="Y57" s="31">
        <f t="shared" si="238"/>
        <v>0</v>
      </c>
      <c r="Z57" s="31">
        <f t="shared" si="238"/>
        <v>0</v>
      </c>
      <c r="AA57" s="31">
        <f t="shared" si="238"/>
        <v>0</v>
      </c>
      <c r="AB57" s="31">
        <f t="shared" si="238"/>
        <v>0</v>
      </c>
      <c r="AC57" s="31">
        <f t="shared" si="238"/>
        <v>0</v>
      </c>
      <c r="AD57" s="31">
        <f t="shared" si="238"/>
        <v>0</v>
      </c>
      <c r="AE57" s="31">
        <f t="shared" si="238"/>
        <v>0</v>
      </c>
      <c r="AF57" s="31">
        <f t="shared" si="238"/>
        <v>0</v>
      </c>
      <c r="AG57" s="31">
        <f t="shared" si="238"/>
        <v>0</v>
      </c>
      <c r="AH57" s="31">
        <f t="shared" si="238"/>
        <v>0</v>
      </c>
      <c r="AI57" s="31">
        <f t="shared" si="238"/>
        <v>0</v>
      </c>
      <c r="AJ57" s="31">
        <f t="shared" si="238"/>
        <v>0</v>
      </c>
      <c r="AK57" s="31">
        <f t="shared" si="238"/>
        <v>0</v>
      </c>
      <c r="AL57" s="31">
        <f t="shared" si="238"/>
        <v>0</v>
      </c>
      <c r="AM57" s="31">
        <f t="shared" si="238"/>
        <v>0</v>
      </c>
      <c r="AN57" s="31">
        <f t="shared" si="238"/>
        <v>0</v>
      </c>
      <c r="AO57" s="31">
        <f t="shared" si="238"/>
        <v>0</v>
      </c>
      <c r="AP57" s="31">
        <f t="shared" si="238"/>
        <v>0</v>
      </c>
      <c r="AQ57" s="31">
        <f t="shared" si="238"/>
        <v>0</v>
      </c>
      <c r="AR57" s="31">
        <f t="shared" si="238"/>
        <v>0</v>
      </c>
      <c r="AS57" s="31">
        <f t="shared" si="238"/>
        <v>0</v>
      </c>
      <c r="AT57" s="31">
        <f t="shared" si="238"/>
        <v>0</v>
      </c>
      <c r="AU57" s="31">
        <f t="shared" si="238"/>
        <v>0</v>
      </c>
      <c r="AV57" s="31">
        <f t="shared" si="238"/>
        <v>0</v>
      </c>
      <c r="AW57" s="31">
        <f t="shared" si="238"/>
        <v>0</v>
      </c>
      <c r="AX57" s="31">
        <f t="shared" si="238"/>
        <v>0</v>
      </c>
      <c r="AY57" s="31">
        <f t="shared" si="238"/>
        <v>0</v>
      </c>
      <c r="AZ57" s="31">
        <f t="shared" si="238"/>
        <v>0</v>
      </c>
      <c r="BA57" s="31">
        <f t="shared" si="238"/>
        <v>0</v>
      </c>
      <c r="BB57" s="31">
        <f t="shared" si="238"/>
        <v>0</v>
      </c>
      <c r="BC57" s="31">
        <f t="shared" si="238"/>
        <v>0</v>
      </c>
      <c r="BD57" s="31">
        <f t="shared" si="238"/>
        <v>0</v>
      </c>
      <c r="BE57" s="31">
        <f t="shared" si="238"/>
        <v>0</v>
      </c>
      <c r="BF57" s="31">
        <f t="shared" si="238"/>
        <v>0</v>
      </c>
      <c r="BG57" s="31">
        <f t="shared" si="238"/>
        <v>0</v>
      </c>
      <c r="BH57" s="88">
        <f t="shared" si="79"/>
        <v>0</v>
      </c>
      <c r="BI57" s="88">
        <f t="shared" ref="BI57:CB57" si="239">0</f>
        <v>0</v>
      </c>
      <c r="BJ57" s="88">
        <f t="shared" si="239"/>
        <v>0</v>
      </c>
      <c r="BK57" s="10">
        <f t="shared" si="239"/>
        <v>0</v>
      </c>
      <c r="BL57" s="88">
        <f t="shared" si="239"/>
        <v>0</v>
      </c>
      <c r="BM57" s="88">
        <f t="shared" si="239"/>
        <v>0</v>
      </c>
      <c r="BN57" s="88">
        <f t="shared" si="239"/>
        <v>0</v>
      </c>
      <c r="BO57" s="88">
        <f t="shared" si="239"/>
        <v>0</v>
      </c>
      <c r="BP57" s="88">
        <f t="shared" si="239"/>
        <v>0</v>
      </c>
      <c r="BQ57" s="88">
        <f t="shared" si="239"/>
        <v>0</v>
      </c>
      <c r="BR57" s="88">
        <f t="shared" si="239"/>
        <v>0</v>
      </c>
      <c r="BS57" s="180">
        <f t="shared" si="239"/>
        <v>0</v>
      </c>
      <c r="BT57" s="88">
        <f t="shared" si="239"/>
        <v>0</v>
      </c>
      <c r="BU57" s="88">
        <f t="shared" si="239"/>
        <v>0</v>
      </c>
      <c r="BV57" s="88">
        <f t="shared" si="239"/>
        <v>0</v>
      </c>
      <c r="BW57" s="88">
        <f t="shared" si="239"/>
        <v>0</v>
      </c>
      <c r="BX57" s="88">
        <f t="shared" si="239"/>
        <v>0</v>
      </c>
      <c r="BY57" s="88">
        <f t="shared" si="239"/>
        <v>0</v>
      </c>
      <c r="BZ57" s="88">
        <f t="shared" si="239"/>
        <v>0</v>
      </c>
      <c r="CA57" s="88">
        <f t="shared" si="239"/>
        <v>0</v>
      </c>
      <c r="CB57" s="88">
        <f t="shared" si="239"/>
        <v>0</v>
      </c>
    </row>
    <row r="58">
      <c r="A58" s="181" t="s">
        <v>234</v>
      </c>
      <c r="B58" s="31">
        <f t="shared" si="120"/>
        <v>0</v>
      </c>
      <c r="C58" s="31">
        <f t="shared" ref="C58:G58" si="240">0</f>
        <v>0</v>
      </c>
      <c r="D58" s="31">
        <f t="shared" si="240"/>
        <v>0</v>
      </c>
      <c r="E58" s="31">
        <f t="shared" si="240"/>
        <v>0</v>
      </c>
      <c r="F58" s="31">
        <f t="shared" si="240"/>
        <v>0</v>
      </c>
      <c r="G58" s="31">
        <f t="shared" si="240"/>
        <v>0</v>
      </c>
      <c r="H58" s="179">
        <f t="shared" si="72"/>
        <v>0</v>
      </c>
      <c r="I58" s="31">
        <f t="shared" si="73"/>
        <v>0</v>
      </c>
      <c r="J58" s="31">
        <f t="shared" ref="J58:BG58" si="241">0</f>
        <v>0</v>
      </c>
      <c r="K58" s="31">
        <f t="shared" si="241"/>
        <v>0</v>
      </c>
      <c r="L58" s="31">
        <f t="shared" si="241"/>
        <v>0</v>
      </c>
      <c r="M58" s="31">
        <f t="shared" si="241"/>
        <v>0</v>
      </c>
      <c r="N58" s="31">
        <f t="shared" si="241"/>
        <v>0</v>
      </c>
      <c r="O58" s="31">
        <f t="shared" si="241"/>
        <v>0</v>
      </c>
      <c r="P58" s="31">
        <f t="shared" si="241"/>
        <v>0</v>
      </c>
      <c r="Q58" s="31">
        <f t="shared" si="241"/>
        <v>0</v>
      </c>
      <c r="R58" s="31">
        <f t="shared" si="241"/>
        <v>0</v>
      </c>
      <c r="S58" s="31">
        <f t="shared" si="241"/>
        <v>0</v>
      </c>
      <c r="T58" s="31">
        <f t="shared" si="241"/>
        <v>0</v>
      </c>
      <c r="U58" s="31">
        <f t="shared" si="241"/>
        <v>0</v>
      </c>
      <c r="V58" s="31">
        <f t="shared" si="241"/>
        <v>0</v>
      </c>
      <c r="W58" s="31">
        <f t="shared" si="241"/>
        <v>0</v>
      </c>
      <c r="X58" s="31">
        <f t="shared" si="241"/>
        <v>0</v>
      </c>
      <c r="Y58" s="31">
        <f t="shared" si="241"/>
        <v>0</v>
      </c>
      <c r="Z58" s="31">
        <f t="shared" si="241"/>
        <v>0</v>
      </c>
      <c r="AA58" s="31">
        <f t="shared" si="241"/>
        <v>0</v>
      </c>
      <c r="AB58" s="31">
        <f t="shared" si="241"/>
        <v>0</v>
      </c>
      <c r="AC58" s="31">
        <f t="shared" si="241"/>
        <v>0</v>
      </c>
      <c r="AD58" s="31">
        <f t="shared" si="241"/>
        <v>0</v>
      </c>
      <c r="AE58" s="31">
        <f t="shared" si="241"/>
        <v>0</v>
      </c>
      <c r="AF58" s="31">
        <f t="shared" si="241"/>
        <v>0</v>
      </c>
      <c r="AG58" s="31">
        <f t="shared" si="241"/>
        <v>0</v>
      </c>
      <c r="AH58" s="31">
        <f t="shared" si="241"/>
        <v>0</v>
      </c>
      <c r="AI58" s="31">
        <f t="shared" si="241"/>
        <v>0</v>
      </c>
      <c r="AJ58" s="31">
        <f t="shared" si="241"/>
        <v>0</v>
      </c>
      <c r="AK58" s="31">
        <f t="shared" si="241"/>
        <v>0</v>
      </c>
      <c r="AL58" s="31">
        <f t="shared" si="241"/>
        <v>0</v>
      </c>
      <c r="AM58" s="31">
        <f t="shared" si="241"/>
        <v>0</v>
      </c>
      <c r="AN58" s="31">
        <f t="shared" si="241"/>
        <v>0</v>
      </c>
      <c r="AO58" s="31">
        <f t="shared" si="241"/>
        <v>0</v>
      </c>
      <c r="AP58" s="31">
        <f t="shared" si="241"/>
        <v>0</v>
      </c>
      <c r="AQ58" s="31">
        <f t="shared" si="241"/>
        <v>0</v>
      </c>
      <c r="AR58" s="31">
        <f t="shared" si="241"/>
        <v>0</v>
      </c>
      <c r="AS58" s="31">
        <f t="shared" si="241"/>
        <v>0</v>
      </c>
      <c r="AT58" s="31">
        <f t="shared" si="241"/>
        <v>0</v>
      </c>
      <c r="AU58" s="31">
        <f t="shared" si="241"/>
        <v>0</v>
      </c>
      <c r="AV58" s="31">
        <f t="shared" si="241"/>
        <v>0</v>
      </c>
      <c r="AW58" s="31">
        <f t="shared" si="241"/>
        <v>0</v>
      </c>
      <c r="AX58" s="31">
        <f t="shared" si="241"/>
        <v>0</v>
      </c>
      <c r="AY58" s="31">
        <f t="shared" si="241"/>
        <v>0</v>
      </c>
      <c r="AZ58" s="31">
        <f t="shared" si="241"/>
        <v>0</v>
      </c>
      <c r="BA58" s="31">
        <f t="shared" si="241"/>
        <v>0</v>
      </c>
      <c r="BB58" s="31">
        <f t="shared" si="241"/>
        <v>0</v>
      </c>
      <c r="BC58" s="31">
        <f t="shared" si="241"/>
        <v>0</v>
      </c>
      <c r="BD58" s="31">
        <f t="shared" si="241"/>
        <v>0</v>
      </c>
      <c r="BE58" s="31">
        <f t="shared" si="241"/>
        <v>0</v>
      </c>
      <c r="BF58" s="31">
        <f t="shared" si="241"/>
        <v>0</v>
      </c>
      <c r="BG58" s="31">
        <f t="shared" si="241"/>
        <v>0</v>
      </c>
      <c r="BH58" s="88">
        <f t="shared" si="79"/>
        <v>0</v>
      </c>
      <c r="BI58" s="88">
        <f t="shared" ref="BI58:CB58" si="242">0</f>
        <v>0</v>
      </c>
      <c r="BJ58" s="88">
        <f t="shared" si="242"/>
        <v>0</v>
      </c>
      <c r="BK58" s="10">
        <f t="shared" si="242"/>
        <v>0</v>
      </c>
      <c r="BL58" s="88">
        <f t="shared" si="242"/>
        <v>0</v>
      </c>
      <c r="BM58" s="88">
        <f t="shared" si="242"/>
        <v>0</v>
      </c>
      <c r="BN58" s="88">
        <f t="shared" si="242"/>
        <v>0</v>
      </c>
      <c r="BO58" s="88">
        <f t="shared" si="242"/>
        <v>0</v>
      </c>
      <c r="BP58" s="88">
        <f t="shared" si="242"/>
        <v>0</v>
      </c>
      <c r="BQ58" s="88">
        <f t="shared" si="242"/>
        <v>0</v>
      </c>
      <c r="BR58" s="88">
        <f t="shared" si="242"/>
        <v>0</v>
      </c>
      <c r="BS58" s="180">
        <f t="shared" si="242"/>
        <v>0</v>
      </c>
      <c r="BT58" s="88">
        <f t="shared" si="242"/>
        <v>0</v>
      </c>
      <c r="BU58" s="88">
        <f t="shared" si="242"/>
        <v>0</v>
      </c>
      <c r="BV58" s="88">
        <f t="shared" si="242"/>
        <v>0</v>
      </c>
      <c r="BW58" s="88">
        <f t="shared" si="242"/>
        <v>0</v>
      </c>
      <c r="BX58" s="88">
        <f t="shared" si="242"/>
        <v>0</v>
      </c>
      <c r="BY58" s="88">
        <f t="shared" si="242"/>
        <v>0</v>
      </c>
      <c r="BZ58" s="88">
        <f t="shared" si="242"/>
        <v>0</v>
      </c>
      <c r="CA58" s="88">
        <f t="shared" si="242"/>
        <v>0</v>
      </c>
      <c r="CB58" s="88">
        <f t="shared" si="242"/>
        <v>0</v>
      </c>
    </row>
    <row r="59">
      <c r="A59" s="181" t="s">
        <v>235</v>
      </c>
      <c r="B59" s="31">
        <f t="shared" si="120"/>
        <v>0</v>
      </c>
      <c r="C59" s="31">
        <f t="shared" ref="C59:G59" si="243">0</f>
        <v>0</v>
      </c>
      <c r="D59" s="31">
        <f t="shared" si="243"/>
        <v>0</v>
      </c>
      <c r="E59" s="31">
        <f t="shared" si="243"/>
        <v>0</v>
      </c>
      <c r="F59" s="31">
        <f t="shared" si="243"/>
        <v>0</v>
      </c>
      <c r="G59" s="31">
        <f t="shared" si="243"/>
        <v>0</v>
      </c>
      <c r="H59" s="179">
        <f t="shared" si="72"/>
        <v>0</v>
      </c>
      <c r="I59" s="31">
        <f t="shared" si="73"/>
        <v>0</v>
      </c>
      <c r="J59" s="31">
        <f t="shared" ref="J59:BG59" si="244">0</f>
        <v>0</v>
      </c>
      <c r="K59" s="31">
        <f t="shared" si="244"/>
        <v>0</v>
      </c>
      <c r="L59" s="31">
        <f t="shared" si="244"/>
        <v>0</v>
      </c>
      <c r="M59" s="31">
        <f t="shared" si="244"/>
        <v>0</v>
      </c>
      <c r="N59" s="31">
        <f t="shared" si="244"/>
        <v>0</v>
      </c>
      <c r="O59" s="31">
        <f t="shared" si="244"/>
        <v>0</v>
      </c>
      <c r="P59" s="31">
        <f t="shared" si="244"/>
        <v>0</v>
      </c>
      <c r="Q59" s="31">
        <f t="shared" si="244"/>
        <v>0</v>
      </c>
      <c r="R59" s="31">
        <f t="shared" si="244"/>
        <v>0</v>
      </c>
      <c r="S59" s="31">
        <f t="shared" si="244"/>
        <v>0</v>
      </c>
      <c r="T59" s="31">
        <f t="shared" si="244"/>
        <v>0</v>
      </c>
      <c r="U59" s="31">
        <f t="shared" si="244"/>
        <v>0</v>
      </c>
      <c r="V59" s="31">
        <f t="shared" si="244"/>
        <v>0</v>
      </c>
      <c r="W59" s="31">
        <f t="shared" si="244"/>
        <v>0</v>
      </c>
      <c r="X59" s="31">
        <f t="shared" si="244"/>
        <v>0</v>
      </c>
      <c r="Y59" s="31">
        <f t="shared" si="244"/>
        <v>0</v>
      </c>
      <c r="Z59" s="31">
        <f t="shared" si="244"/>
        <v>0</v>
      </c>
      <c r="AA59" s="31">
        <f t="shared" si="244"/>
        <v>0</v>
      </c>
      <c r="AB59" s="31">
        <f t="shared" si="244"/>
        <v>0</v>
      </c>
      <c r="AC59" s="31">
        <f t="shared" si="244"/>
        <v>0</v>
      </c>
      <c r="AD59" s="31">
        <f t="shared" si="244"/>
        <v>0</v>
      </c>
      <c r="AE59" s="31">
        <f t="shared" si="244"/>
        <v>0</v>
      </c>
      <c r="AF59" s="31">
        <f t="shared" si="244"/>
        <v>0</v>
      </c>
      <c r="AG59" s="31">
        <f t="shared" si="244"/>
        <v>0</v>
      </c>
      <c r="AH59" s="31">
        <f t="shared" si="244"/>
        <v>0</v>
      </c>
      <c r="AI59" s="31">
        <f t="shared" si="244"/>
        <v>0</v>
      </c>
      <c r="AJ59" s="31">
        <f t="shared" si="244"/>
        <v>0</v>
      </c>
      <c r="AK59" s="31">
        <f t="shared" si="244"/>
        <v>0</v>
      </c>
      <c r="AL59" s="31">
        <f t="shared" si="244"/>
        <v>0</v>
      </c>
      <c r="AM59" s="31">
        <f t="shared" si="244"/>
        <v>0</v>
      </c>
      <c r="AN59" s="31">
        <f t="shared" si="244"/>
        <v>0</v>
      </c>
      <c r="AO59" s="31">
        <f t="shared" si="244"/>
        <v>0</v>
      </c>
      <c r="AP59" s="31">
        <f t="shared" si="244"/>
        <v>0</v>
      </c>
      <c r="AQ59" s="31">
        <f t="shared" si="244"/>
        <v>0</v>
      </c>
      <c r="AR59" s="31">
        <f t="shared" si="244"/>
        <v>0</v>
      </c>
      <c r="AS59" s="31">
        <f t="shared" si="244"/>
        <v>0</v>
      </c>
      <c r="AT59" s="31">
        <f t="shared" si="244"/>
        <v>0</v>
      </c>
      <c r="AU59" s="31">
        <f t="shared" si="244"/>
        <v>0</v>
      </c>
      <c r="AV59" s="31">
        <f t="shared" si="244"/>
        <v>0</v>
      </c>
      <c r="AW59" s="31">
        <f t="shared" si="244"/>
        <v>0</v>
      </c>
      <c r="AX59" s="31">
        <f t="shared" si="244"/>
        <v>0</v>
      </c>
      <c r="AY59" s="31">
        <f t="shared" si="244"/>
        <v>0</v>
      </c>
      <c r="AZ59" s="31">
        <f t="shared" si="244"/>
        <v>0</v>
      </c>
      <c r="BA59" s="31">
        <f t="shared" si="244"/>
        <v>0</v>
      </c>
      <c r="BB59" s="31">
        <f t="shared" si="244"/>
        <v>0</v>
      </c>
      <c r="BC59" s="31">
        <f t="shared" si="244"/>
        <v>0</v>
      </c>
      <c r="BD59" s="31">
        <f t="shared" si="244"/>
        <v>0</v>
      </c>
      <c r="BE59" s="31">
        <f t="shared" si="244"/>
        <v>0</v>
      </c>
      <c r="BF59" s="31">
        <f t="shared" si="244"/>
        <v>0</v>
      </c>
      <c r="BG59" s="31">
        <f t="shared" si="244"/>
        <v>0</v>
      </c>
      <c r="BH59" s="88">
        <f t="shared" si="79"/>
        <v>0</v>
      </c>
      <c r="BI59" s="88">
        <f t="shared" ref="BI59:CB59" si="245">0</f>
        <v>0</v>
      </c>
      <c r="BJ59" s="88">
        <f t="shared" si="245"/>
        <v>0</v>
      </c>
      <c r="BK59" s="10">
        <f t="shared" si="245"/>
        <v>0</v>
      </c>
      <c r="BL59" s="88">
        <f t="shared" si="245"/>
        <v>0</v>
      </c>
      <c r="BM59" s="88">
        <f t="shared" si="245"/>
        <v>0</v>
      </c>
      <c r="BN59" s="88">
        <f t="shared" si="245"/>
        <v>0</v>
      </c>
      <c r="BO59" s="88">
        <f t="shared" si="245"/>
        <v>0</v>
      </c>
      <c r="BP59" s="88">
        <f t="shared" si="245"/>
        <v>0</v>
      </c>
      <c r="BQ59" s="88">
        <f t="shared" si="245"/>
        <v>0</v>
      </c>
      <c r="BR59" s="88">
        <f t="shared" si="245"/>
        <v>0</v>
      </c>
      <c r="BS59" s="180">
        <f t="shared" si="245"/>
        <v>0</v>
      </c>
      <c r="BT59" s="88">
        <f t="shared" si="245"/>
        <v>0</v>
      </c>
      <c r="BU59" s="88">
        <f t="shared" si="245"/>
        <v>0</v>
      </c>
      <c r="BV59" s="88">
        <f t="shared" si="245"/>
        <v>0</v>
      </c>
      <c r="BW59" s="88">
        <f t="shared" si="245"/>
        <v>0</v>
      </c>
      <c r="BX59" s="88">
        <f t="shared" si="245"/>
        <v>0</v>
      </c>
      <c r="BY59" s="88">
        <f t="shared" si="245"/>
        <v>0</v>
      </c>
      <c r="BZ59" s="88">
        <f t="shared" si="245"/>
        <v>0</v>
      </c>
      <c r="CA59" s="88">
        <f t="shared" si="245"/>
        <v>0</v>
      </c>
      <c r="CB59" s="88">
        <f t="shared" si="245"/>
        <v>0</v>
      </c>
    </row>
    <row r="60">
      <c r="A60" s="181" t="s">
        <v>236</v>
      </c>
      <c r="B60" s="31">
        <f t="shared" si="120"/>
        <v>0</v>
      </c>
      <c r="C60" s="31">
        <f t="shared" ref="C60:G60" si="246">0</f>
        <v>0</v>
      </c>
      <c r="D60" s="31">
        <f t="shared" si="246"/>
        <v>0</v>
      </c>
      <c r="E60" s="31">
        <f t="shared" si="246"/>
        <v>0</v>
      </c>
      <c r="F60" s="31">
        <f t="shared" si="246"/>
        <v>0</v>
      </c>
      <c r="G60" s="31">
        <f t="shared" si="246"/>
        <v>0</v>
      </c>
      <c r="H60" s="179">
        <f t="shared" si="72"/>
        <v>0</v>
      </c>
      <c r="I60" s="31">
        <f t="shared" si="73"/>
        <v>0</v>
      </c>
      <c r="J60" s="31">
        <f t="shared" ref="J60:BG60" si="247">0</f>
        <v>0</v>
      </c>
      <c r="K60" s="31">
        <f t="shared" si="247"/>
        <v>0</v>
      </c>
      <c r="L60" s="31">
        <f t="shared" si="247"/>
        <v>0</v>
      </c>
      <c r="M60" s="31">
        <f t="shared" si="247"/>
        <v>0</v>
      </c>
      <c r="N60" s="31">
        <f t="shared" si="247"/>
        <v>0</v>
      </c>
      <c r="O60" s="31">
        <f t="shared" si="247"/>
        <v>0</v>
      </c>
      <c r="P60" s="31">
        <f t="shared" si="247"/>
        <v>0</v>
      </c>
      <c r="Q60" s="31">
        <f t="shared" si="247"/>
        <v>0</v>
      </c>
      <c r="R60" s="31">
        <f t="shared" si="247"/>
        <v>0</v>
      </c>
      <c r="S60" s="31">
        <f t="shared" si="247"/>
        <v>0</v>
      </c>
      <c r="T60" s="31">
        <f t="shared" si="247"/>
        <v>0</v>
      </c>
      <c r="U60" s="31">
        <f t="shared" si="247"/>
        <v>0</v>
      </c>
      <c r="V60" s="31">
        <f t="shared" si="247"/>
        <v>0</v>
      </c>
      <c r="W60" s="31">
        <f t="shared" si="247"/>
        <v>0</v>
      </c>
      <c r="X60" s="31">
        <f t="shared" si="247"/>
        <v>0</v>
      </c>
      <c r="Y60" s="31">
        <f t="shared" si="247"/>
        <v>0</v>
      </c>
      <c r="Z60" s="31">
        <f t="shared" si="247"/>
        <v>0</v>
      </c>
      <c r="AA60" s="31">
        <f t="shared" si="247"/>
        <v>0</v>
      </c>
      <c r="AB60" s="31">
        <f t="shared" si="247"/>
        <v>0</v>
      </c>
      <c r="AC60" s="31">
        <f t="shared" si="247"/>
        <v>0</v>
      </c>
      <c r="AD60" s="31">
        <f t="shared" si="247"/>
        <v>0</v>
      </c>
      <c r="AE60" s="31">
        <f t="shared" si="247"/>
        <v>0</v>
      </c>
      <c r="AF60" s="31">
        <f t="shared" si="247"/>
        <v>0</v>
      </c>
      <c r="AG60" s="31">
        <f t="shared" si="247"/>
        <v>0</v>
      </c>
      <c r="AH60" s="31">
        <f t="shared" si="247"/>
        <v>0</v>
      </c>
      <c r="AI60" s="31">
        <f t="shared" si="247"/>
        <v>0</v>
      </c>
      <c r="AJ60" s="31">
        <f t="shared" si="247"/>
        <v>0</v>
      </c>
      <c r="AK60" s="31">
        <f t="shared" si="247"/>
        <v>0</v>
      </c>
      <c r="AL60" s="31">
        <f t="shared" si="247"/>
        <v>0</v>
      </c>
      <c r="AM60" s="31">
        <f t="shared" si="247"/>
        <v>0</v>
      </c>
      <c r="AN60" s="31">
        <f t="shared" si="247"/>
        <v>0</v>
      </c>
      <c r="AO60" s="31">
        <f t="shared" si="247"/>
        <v>0</v>
      </c>
      <c r="AP60" s="31">
        <f t="shared" si="247"/>
        <v>0</v>
      </c>
      <c r="AQ60" s="31">
        <f t="shared" si="247"/>
        <v>0</v>
      </c>
      <c r="AR60" s="31">
        <f t="shared" si="247"/>
        <v>0</v>
      </c>
      <c r="AS60" s="31">
        <f t="shared" si="247"/>
        <v>0</v>
      </c>
      <c r="AT60" s="31">
        <f t="shared" si="247"/>
        <v>0</v>
      </c>
      <c r="AU60" s="31">
        <f t="shared" si="247"/>
        <v>0</v>
      </c>
      <c r="AV60" s="31">
        <f t="shared" si="247"/>
        <v>0</v>
      </c>
      <c r="AW60" s="31">
        <f t="shared" si="247"/>
        <v>0</v>
      </c>
      <c r="AX60" s="31">
        <f t="shared" si="247"/>
        <v>0</v>
      </c>
      <c r="AY60" s="31">
        <f t="shared" si="247"/>
        <v>0</v>
      </c>
      <c r="AZ60" s="31">
        <f t="shared" si="247"/>
        <v>0</v>
      </c>
      <c r="BA60" s="31">
        <f t="shared" si="247"/>
        <v>0</v>
      </c>
      <c r="BB60" s="31">
        <f t="shared" si="247"/>
        <v>0</v>
      </c>
      <c r="BC60" s="31">
        <f t="shared" si="247"/>
        <v>0</v>
      </c>
      <c r="BD60" s="31">
        <f t="shared" si="247"/>
        <v>0</v>
      </c>
      <c r="BE60" s="31">
        <f t="shared" si="247"/>
        <v>0</v>
      </c>
      <c r="BF60" s="31">
        <f t="shared" si="247"/>
        <v>0</v>
      </c>
      <c r="BG60" s="31">
        <f t="shared" si="247"/>
        <v>0</v>
      </c>
      <c r="BH60" s="88">
        <f t="shared" si="79"/>
        <v>0</v>
      </c>
      <c r="BI60" s="88">
        <f t="shared" ref="BI60:CB60" si="248">0</f>
        <v>0</v>
      </c>
      <c r="BJ60" s="88">
        <f t="shared" si="248"/>
        <v>0</v>
      </c>
      <c r="BK60" s="10">
        <f t="shared" si="248"/>
        <v>0</v>
      </c>
      <c r="BL60" s="88">
        <f t="shared" si="248"/>
        <v>0</v>
      </c>
      <c r="BM60" s="88">
        <f t="shared" si="248"/>
        <v>0</v>
      </c>
      <c r="BN60" s="88">
        <f t="shared" si="248"/>
        <v>0</v>
      </c>
      <c r="BO60" s="88">
        <f t="shared" si="248"/>
        <v>0</v>
      </c>
      <c r="BP60" s="88">
        <f t="shared" si="248"/>
        <v>0</v>
      </c>
      <c r="BQ60" s="88">
        <f t="shared" si="248"/>
        <v>0</v>
      </c>
      <c r="BR60" s="88">
        <f t="shared" si="248"/>
        <v>0</v>
      </c>
      <c r="BS60" s="180">
        <f t="shared" si="248"/>
        <v>0</v>
      </c>
      <c r="BT60" s="88">
        <f t="shared" si="248"/>
        <v>0</v>
      </c>
      <c r="BU60" s="88">
        <f t="shared" si="248"/>
        <v>0</v>
      </c>
      <c r="BV60" s="88">
        <f t="shared" si="248"/>
        <v>0</v>
      </c>
      <c r="BW60" s="88">
        <f t="shared" si="248"/>
        <v>0</v>
      </c>
      <c r="BX60" s="88">
        <f t="shared" si="248"/>
        <v>0</v>
      </c>
      <c r="BY60" s="88">
        <f t="shared" si="248"/>
        <v>0</v>
      </c>
      <c r="BZ60" s="88">
        <f t="shared" si="248"/>
        <v>0</v>
      </c>
      <c r="CA60" s="88">
        <f t="shared" si="248"/>
        <v>0</v>
      </c>
      <c r="CB60" s="88">
        <f t="shared" si="248"/>
        <v>0</v>
      </c>
    </row>
    <row r="61">
      <c r="A61" s="181" t="s">
        <v>237</v>
      </c>
      <c r="B61" s="31">
        <f t="shared" si="120"/>
        <v>0</v>
      </c>
      <c r="C61" s="31">
        <f t="shared" ref="C61:G61" si="249">0</f>
        <v>0</v>
      </c>
      <c r="D61" s="31">
        <f t="shared" si="249"/>
        <v>0</v>
      </c>
      <c r="E61" s="31">
        <f t="shared" si="249"/>
        <v>0</v>
      </c>
      <c r="F61" s="31">
        <f t="shared" si="249"/>
        <v>0</v>
      </c>
      <c r="G61" s="31">
        <f t="shared" si="249"/>
        <v>0</v>
      </c>
      <c r="H61" s="179">
        <f t="shared" si="72"/>
        <v>0</v>
      </c>
      <c r="I61" s="31">
        <f t="shared" si="73"/>
        <v>0</v>
      </c>
      <c r="J61" s="31">
        <f t="shared" ref="J61:BG61" si="250">0</f>
        <v>0</v>
      </c>
      <c r="K61" s="31">
        <f t="shared" si="250"/>
        <v>0</v>
      </c>
      <c r="L61" s="31">
        <f t="shared" si="250"/>
        <v>0</v>
      </c>
      <c r="M61" s="31">
        <f t="shared" si="250"/>
        <v>0</v>
      </c>
      <c r="N61" s="31">
        <f t="shared" si="250"/>
        <v>0</v>
      </c>
      <c r="O61" s="31">
        <f t="shared" si="250"/>
        <v>0</v>
      </c>
      <c r="P61" s="31">
        <f t="shared" si="250"/>
        <v>0</v>
      </c>
      <c r="Q61" s="31">
        <f t="shared" si="250"/>
        <v>0</v>
      </c>
      <c r="R61" s="31">
        <f t="shared" si="250"/>
        <v>0</v>
      </c>
      <c r="S61" s="31">
        <f t="shared" si="250"/>
        <v>0</v>
      </c>
      <c r="T61" s="31">
        <f t="shared" si="250"/>
        <v>0</v>
      </c>
      <c r="U61" s="31">
        <f t="shared" si="250"/>
        <v>0</v>
      </c>
      <c r="V61" s="31">
        <f t="shared" si="250"/>
        <v>0</v>
      </c>
      <c r="W61" s="31">
        <f t="shared" si="250"/>
        <v>0</v>
      </c>
      <c r="X61" s="31">
        <f t="shared" si="250"/>
        <v>0</v>
      </c>
      <c r="Y61" s="31">
        <f t="shared" si="250"/>
        <v>0</v>
      </c>
      <c r="Z61" s="31">
        <f t="shared" si="250"/>
        <v>0</v>
      </c>
      <c r="AA61" s="31">
        <f t="shared" si="250"/>
        <v>0</v>
      </c>
      <c r="AB61" s="31">
        <f t="shared" si="250"/>
        <v>0</v>
      </c>
      <c r="AC61" s="31">
        <f t="shared" si="250"/>
        <v>0</v>
      </c>
      <c r="AD61" s="31">
        <f t="shared" si="250"/>
        <v>0</v>
      </c>
      <c r="AE61" s="31">
        <f t="shared" si="250"/>
        <v>0</v>
      </c>
      <c r="AF61" s="31">
        <f t="shared" si="250"/>
        <v>0</v>
      </c>
      <c r="AG61" s="31">
        <f t="shared" si="250"/>
        <v>0</v>
      </c>
      <c r="AH61" s="31">
        <f t="shared" si="250"/>
        <v>0</v>
      </c>
      <c r="AI61" s="31">
        <f t="shared" si="250"/>
        <v>0</v>
      </c>
      <c r="AJ61" s="31">
        <f t="shared" si="250"/>
        <v>0</v>
      </c>
      <c r="AK61" s="31">
        <f t="shared" si="250"/>
        <v>0</v>
      </c>
      <c r="AL61" s="31">
        <f t="shared" si="250"/>
        <v>0</v>
      </c>
      <c r="AM61" s="31">
        <f t="shared" si="250"/>
        <v>0</v>
      </c>
      <c r="AN61" s="31">
        <f t="shared" si="250"/>
        <v>0</v>
      </c>
      <c r="AO61" s="31">
        <f t="shared" si="250"/>
        <v>0</v>
      </c>
      <c r="AP61" s="31">
        <f t="shared" si="250"/>
        <v>0</v>
      </c>
      <c r="AQ61" s="31">
        <f t="shared" si="250"/>
        <v>0</v>
      </c>
      <c r="AR61" s="31">
        <f t="shared" si="250"/>
        <v>0</v>
      </c>
      <c r="AS61" s="31">
        <f t="shared" si="250"/>
        <v>0</v>
      </c>
      <c r="AT61" s="31">
        <f t="shared" si="250"/>
        <v>0</v>
      </c>
      <c r="AU61" s="31">
        <f t="shared" si="250"/>
        <v>0</v>
      </c>
      <c r="AV61" s="31">
        <f t="shared" si="250"/>
        <v>0</v>
      </c>
      <c r="AW61" s="31">
        <f t="shared" si="250"/>
        <v>0</v>
      </c>
      <c r="AX61" s="31">
        <f t="shared" si="250"/>
        <v>0</v>
      </c>
      <c r="AY61" s="31">
        <f t="shared" si="250"/>
        <v>0</v>
      </c>
      <c r="AZ61" s="31">
        <f t="shared" si="250"/>
        <v>0</v>
      </c>
      <c r="BA61" s="31">
        <f t="shared" si="250"/>
        <v>0</v>
      </c>
      <c r="BB61" s="31">
        <f t="shared" si="250"/>
        <v>0</v>
      </c>
      <c r="BC61" s="31">
        <f t="shared" si="250"/>
        <v>0</v>
      </c>
      <c r="BD61" s="31">
        <f t="shared" si="250"/>
        <v>0</v>
      </c>
      <c r="BE61" s="31">
        <f t="shared" si="250"/>
        <v>0</v>
      </c>
      <c r="BF61" s="31">
        <f t="shared" si="250"/>
        <v>0</v>
      </c>
      <c r="BG61" s="31">
        <f t="shared" si="250"/>
        <v>0</v>
      </c>
      <c r="BH61" s="88">
        <f t="shared" si="79"/>
        <v>0</v>
      </c>
      <c r="BI61" s="88">
        <f t="shared" ref="BI61:CB61" si="251">0</f>
        <v>0</v>
      </c>
      <c r="BJ61" s="88">
        <f t="shared" si="251"/>
        <v>0</v>
      </c>
      <c r="BK61" s="10">
        <f t="shared" si="251"/>
        <v>0</v>
      </c>
      <c r="BL61" s="88">
        <f t="shared" si="251"/>
        <v>0</v>
      </c>
      <c r="BM61" s="88">
        <f t="shared" si="251"/>
        <v>0</v>
      </c>
      <c r="BN61" s="88">
        <f t="shared" si="251"/>
        <v>0</v>
      </c>
      <c r="BO61" s="88">
        <f t="shared" si="251"/>
        <v>0</v>
      </c>
      <c r="BP61" s="88">
        <f t="shared" si="251"/>
        <v>0</v>
      </c>
      <c r="BQ61" s="88">
        <f t="shared" si="251"/>
        <v>0</v>
      </c>
      <c r="BR61" s="88">
        <f t="shared" si="251"/>
        <v>0</v>
      </c>
      <c r="BS61" s="180">
        <f t="shared" si="251"/>
        <v>0</v>
      </c>
      <c r="BT61" s="88">
        <f t="shared" si="251"/>
        <v>0</v>
      </c>
      <c r="BU61" s="88">
        <f t="shared" si="251"/>
        <v>0</v>
      </c>
      <c r="BV61" s="88">
        <f t="shared" si="251"/>
        <v>0</v>
      </c>
      <c r="BW61" s="88">
        <f t="shared" si="251"/>
        <v>0</v>
      </c>
      <c r="BX61" s="88">
        <f t="shared" si="251"/>
        <v>0</v>
      </c>
      <c r="BY61" s="88">
        <f t="shared" si="251"/>
        <v>0</v>
      </c>
      <c r="BZ61" s="88">
        <f t="shared" si="251"/>
        <v>0</v>
      </c>
      <c r="CA61" s="88">
        <f t="shared" si="251"/>
        <v>0</v>
      </c>
      <c r="CB61" s="88">
        <f t="shared" si="251"/>
        <v>0</v>
      </c>
    </row>
    <row r="62">
      <c r="A62" s="181" t="s">
        <v>238</v>
      </c>
      <c r="B62" s="31">
        <f t="shared" si="120"/>
        <v>0</v>
      </c>
      <c r="C62" s="31">
        <f t="shared" ref="C62:G62" si="252">0</f>
        <v>0</v>
      </c>
      <c r="D62" s="31">
        <f t="shared" si="252"/>
        <v>0</v>
      </c>
      <c r="E62" s="31">
        <f t="shared" si="252"/>
        <v>0</v>
      </c>
      <c r="F62" s="31">
        <f t="shared" si="252"/>
        <v>0</v>
      </c>
      <c r="G62" s="31">
        <f t="shared" si="252"/>
        <v>0</v>
      </c>
      <c r="H62" s="179">
        <f t="shared" si="72"/>
        <v>0</v>
      </c>
      <c r="I62" s="31">
        <f t="shared" si="73"/>
        <v>0</v>
      </c>
      <c r="J62" s="31">
        <f t="shared" ref="J62:BG62" si="253">0</f>
        <v>0</v>
      </c>
      <c r="K62" s="31">
        <f t="shared" si="253"/>
        <v>0</v>
      </c>
      <c r="L62" s="31">
        <f t="shared" si="253"/>
        <v>0</v>
      </c>
      <c r="M62" s="31">
        <f t="shared" si="253"/>
        <v>0</v>
      </c>
      <c r="N62" s="31">
        <f t="shared" si="253"/>
        <v>0</v>
      </c>
      <c r="O62" s="31">
        <f t="shared" si="253"/>
        <v>0</v>
      </c>
      <c r="P62" s="31">
        <f t="shared" si="253"/>
        <v>0</v>
      </c>
      <c r="Q62" s="31">
        <f t="shared" si="253"/>
        <v>0</v>
      </c>
      <c r="R62" s="31">
        <f t="shared" si="253"/>
        <v>0</v>
      </c>
      <c r="S62" s="31">
        <f t="shared" si="253"/>
        <v>0</v>
      </c>
      <c r="T62" s="31">
        <f t="shared" si="253"/>
        <v>0</v>
      </c>
      <c r="U62" s="31">
        <f t="shared" si="253"/>
        <v>0</v>
      </c>
      <c r="V62" s="31">
        <f t="shared" si="253"/>
        <v>0</v>
      </c>
      <c r="W62" s="31">
        <f t="shared" si="253"/>
        <v>0</v>
      </c>
      <c r="X62" s="31">
        <f t="shared" si="253"/>
        <v>0</v>
      </c>
      <c r="Y62" s="31">
        <f t="shared" si="253"/>
        <v>0</v>
      </c>
      <c r="Z62" s="31">
        <f t="shared" si="253"/>
        <v>0</v>
      </c>
      <c r="AA62" s="31">
        <f t="shared" si="253"/>
        <v>0</v>
      </c>
      <c r="AB62" s="31">
        <f t="shared" si="253"/>
        <v>0</v>
      </c>
      <c r="AC62" s="31">
        <f t="shared" si="253"/>
        <v>0</v>
      </c>
      <c r="AD62" s="31">
        <f t="shared" si="253"/>
        <v>0</v>
      </c>
      <c r="AE62" s="31">
        <f t="shared" si="253"/>
        <v>0</v>
      </c>
      <c r="AF62" s="31">
        <f t="shared" si="253"/>
        <v>0</v>
      </c>
      <c r="AG62" s="31">
        <f t="shared" si="253"/>
        <v>0</v>
      </c>
      <c r="AH62" s="31">
        <f t="shared" si="253"/>
        <v>0</v>
      </c>
      <c r="AI62" s="31">
        <f t="shared" si="253"/>
        <v>0</v>
      </c>
      <c r="AJ62" s="31">
        <f t="shared" si="253"/>
        <v>0</v>
      </c>
      <c r="AK62" s="31">
        <f t="shared" si="253"/>
        <v>0</v>
      </c>
      <c r="AL62" s="31">
        <f t="shared" si="253"/>
        <v>0</v>
      </c>
      <c r="AM62" s="31">
        <f t="shared" si="253"/>
        <v>0</v>
      </c>
      <c r="AN62" s="31">
        <f t="shared" si="253"/>
        <v>0</v>
      </c>
      <c r="AO62" s="31">
        <f t="shared" si="253"/>
        <v>0</v>
      </c>
      <c r="AP62" s="31">
        <f t="shared" si="253"/>
        <v>0</v>
      </c>
      <c r="AQ62" s="31">
        <f t="shared" si="253"/>
        <v>0</v>
      </c>
      <c r="AR62" s="31">
        <f t="shared" si="253"/>
        <v>0</v>
      </c>
      <c r="AS62" s="31">
        <f t="shared" si="253"/>
        <v>0</v>
      </c>
      <c r="AT62" s="31">
        <f t="shared" si="253"/>
        <v>0</v>
      </c>
      <c r="AU62" s="31">
        <f t="shared" si="253"/>
        <v>0</v>
      </c>
      <c r="AV62" s="31">
        <f t="shared" si="253"/>
        <v>0</v>
      </c>
      <c r="AW62" s="31">
        <f t="shared" si="253"/>
        <v>0</v>
      </c>
      <c r="AX62" s="31">
        <f t="shared" si="253"/>
        <v>0</v>
      </c>
      <c r="AY62" s="31">
        <f t="shared" si="253"/>
        <v>0</v>
      </c>
      <c r="AZ62" s="31">
        <f t="shared" si="253"/>
        <v>0</v>
      </c>
      <c r="BA62" s="31">
        <f t="shared" si="253"/>
        <v>0</v>
      </c>
      <c r="BB62" s="31">
        <f t="shared" si="253"/>
        <v>0</v>
      </c>
      <c r="BC62" s="31">
        <f t="shared" si="253"/>
        <v>0</v>
      </c>
      <c r="BD62" s="31">
        <f t="shared" si="253"/>
        <v>0</v>
      </c>
      <c r="BE62" s="31">
        <f t="shared" si="253"/>
        <v>0</v>
      </c>
      <c r="BF62" s="31">
        <f t="shared" si="253"/>
        <v>0</v>
      </c>
      <c r="BG62" s="31">
        <f t="shared" si="253"/>
        <v>0</v>
      </c>
      <c r="BH62" s="88">
        <f t="shared" si="79"/>
        <v>0</v>
      </c>
      <c r="BI62" s="88">
        <f t="shared" ref="BI62:CB62" si="254">0</f>
        <v>0</v>
      </c>
      <c r="BJ62" s="88">
        <f t="shared" si="254"/>
        <v>0</v>
      </c>
      <c r="BK62" s="10">
        <f t="shared" si="254"/>
        <v>0</v>
      </c>
      <c r="BL62" s="88">
        <f t="shared" si="254"/>
        <v>0</v>
      </c>
      <c r="BM62" s="88">
        <f t="shared" si="254"/>
        <v>0</v>
      </c>
      <c r="BN62" s="88">
        <f t="shared" si="254"/>
        <v>0</v>
      </c>
      <c r="BO62" s="88">
        <f t="shared" si="254"/>
        <v>0</v>
      </c>
      <c r="BP62" s="88">
        <f t="shared" si="254"/>
        <v>0</v>
      </c>
      <c r="BQ62" s="88">
        <f t="shared" si="254"/>
        <v>0</v>
      </c>
      <c r="BR62" s="88">
        <f t="shared" si="254"/>
        <v>0</v>
      </c>
      <c r="BS62" s="180">
        <f t="shared" si="254"/>
        <v>0</v>
      </c>
      <c r="BT62" s="88">
        <f t="shared" si="254"/>
        <v>0</v>
      </c>
      <c r="BU62" s="88">
        <f t="shared" si="254"/>
        <v>0</v>
      </c>
      <c r="BV62" s="88">
        <f t="shared" si="254"/>
        <v>0</v>
      </c>
      <c r="BW62" s="88">
        <f t="shared" si="254"/>
        <v>0</v>
      </c>
      <c r="BX62" s="88">
        <f t="shared" si="254"/>
        <v>0</v>
      </c>
      <c r="BY62" s="88">
        <f t="shared" si="254"/>
        <v>0</v>
      </c>
      <c r="BZ62" s="88">
        <f t="shared" si="254"/>
        <v>0</v>
      </c>
      <c r="CA62" s="88">
        <f t="shared" si="254"/>
        <v>0</v>
      </c>
      <c r="CB62" s="88">
        <f t="shared" si="254"/>
        <v>0</v>
      </c>
    </row>
    <row r="63">
      <c r="A63" s="181" t="s">
        <v>239</v>
      </c>
      <c r="B63" s="31">
        <f t="shared" si="120"/>
        <v>0</v>
      </c>
      <c r="C63" s="31">
        <f t="shared" ref="C63:G63" si="255">0</f>
        <v>0</v>
      </c>
      <c r="D63" s="31">
        <f t="shared" si="255"/>
        <v>0</v>
      </c>
      <c r="E63" s="31">
        <f t="shared" si="255"/>
        <v>0</v>
      </c>
      <c r="F63" s="31">
        <f t="shared" si="255"/>
        <v>0</v>
      </c>
      <c r="G63" s="31">
        <f t="shared" si="255"/>
        <v>0</v>
      </c>
      <c r="H63" s="179">
        <f t="shared" si="72"/>
        <v>0</v>
      </c>
      <c r="I63" s="31">
        <f t="shared" si="73"/>
        <v>0</v>
      </c>
      <c r="J63" s="31">
        <f t="shared" ref="J63:BG63" si="256">0</f>
        <v>0</v>
      </c>
      <c r="K63" s="31">
        <f t="shared" si="256"/>
        <v>0</v>
      </c>
      <c r="L63" s="31">
        <f t="shared" si="256"/>
        <v>0</v>
      </c>
      <c r="M63" s="31">
        <f t="shared" si="256"/>
        <v>0</v>
      </c>
      <c r="N63" s="31">
        <f t="shared" si="256"/>
        <v>0</v>
      </c>
      <c r="O63" s="31">
        <f t="shared" si="256"/>
        <v>0</v>
      </c>
      <c r="P63" s="31">
        <f t="shared" si="256"/>
        <v>0</v>
      </c>
      <c r="Q63" s="31">
        <f t="shared" si="256"/>
        <v>0</v>
      </c>
      <c r="R63" s="31">
        <f t="shared" si="256"/>
        <v>0</v>
      </c>
      <c r="S63" s="31">
        <f t="shared" si="256"/>
        <v>0</v>
      </c>
      <c r="T63" s="31">
        <f t="shared" si="256"/>
        <v>0</v>
      </c>
      <c r="U63" s="31">
        <f t="shared" si="256"/>
        <v>0</v>
      </c>
      <c r="V63" s="31">
        <f t="shared" si="256"/>
        <v>0</v>
      </c>
      <c r="W63" s="31">
        <f t="shared" si="256"/>
        <v>0</v>
      </c>
      <c r="X63" s="31">
        <f t="shared" si="256"/>
        <v>0</v>
      </c>
      <c r="Y63" s="31">
        <f t="shared" si="256"/>
        <v>0</v>
      </c>
      <c r="Z63" s="31">
        <f t="shared" si="256"/>
        <v>0</v>
      </c>
      <c r="AA63" s="31">
        <f t="shared" si="256"/>
        <v>0</v>
      </c>
      <c r="AB63" s="31">
        <f t="shared" si="256"/>
        <v>0</v>
      </c>
      <c r="AC63" s="31">
        <f t="shared" si="256"/>
        <v>0</v>
      </c>
      <c r="AD63" s="31">
        <f t="shared" si="256"/>
        <v>0</v>
      </c>
      <c r="AE63" s="31">
        <f t="shared" si="256"/>
        <v>0</v>
      </c>
      <c r="AF63" s="31">
        <f t="shared" si="256"/>
        <v>0</v>
      </c>
      <c r="AG63" s="31">
        <f t="shared" si="256"/>
        <v>0</v>
      </c>
      <c r="AH63" s="31">
        <f t="shared" si="256"/>
        <v>0</v>
      </c>
      <c r="AI63" s="31">
        <f t="shared" si="256"/>
        <v>0</v>
      </c>
      <c r="AJ63" s="31">
        <f t="shared" si="256"/>
        <v>0</v>
      </c>
      <c r="AK63" s="31">
        <f t="shared" si="256"/>
        <v>0</v>
      </c>
      <c r="AL63" s="31">
        <f t="shared" si="256"/>
        <v>0</v>
      </c>
      <c r="AM63" s="31">
        <f t="shared" si="256"/>
        <v>0</v>
      </c>
      <c r="AN63" s="31">
        <f t="shared" si="256"/>
        <v>0</v>
      </c>
      <c r="AO63" s="31">
        <f t="shared" si="256"/>
        <v>0</v>
      </c>
      <c r="AP63" s="31">
        <f t="shared" si="256"/>
        <v>0</v>
      </c>
      <c r="AQ63" s="31">
        <f t="shared" si="256"/>
        <v>0</v>
      </c>
      <c r="AR63" s="31">
        <f t="shared" si="256"/>
        <v>0</v>
      </c>
      <c r="AS63" s="31">
        <f t="shared" si="256"/>
        <v>0</v>
      </c>
      <c r="AT63" s="31">
        <f t="shared" si="256"/>
        <v>0</v>
      </c>
      <c r="AU63" s="31">
        <f t="shared" si="256"/>
        <v>0</v>
      </c>
      <c r="AV63" s="31">
        <f t="shared" si="256"/>
        <v>0</v>
      </c>
      <c r="AW63" s="31">
        <f t="shared" si="256"/>
        <v>0</v>
      </c>
      <c r="AX63" s="31">
        <f t="shared" si="256"/>
        <v>0</v>
      </c>
      <c r="AY63" s="31">
        <f t="shared" si="256"/>
        <v>0</v>
      </c>
      <c r="AZ63" s="31">
        <f t="shared" si="256"/>
        <v>0</v>
      </c>
      <c r="BA63" s="31">
        <f t="shared" si="256"/>
        <v>0</v>
      </c>
      <c r="BB63" s="31">
        <f t="shared" si="256"/>
        <v>0</v>
      </c>
      <c r="BC63" s="31">
        <f t="shared" si="256"/>
        <v>0</v>
      </c>
      <c r="BD63" s="31">
        <f t="shared" si="256"/>
        <v>0</v>
      </c>
      <c r="BE63" s="31">
        <f t="shared" si="256"/>
        <v>0</v>
      </c>
      <c r="BF63" s="31">
        <f t="shared" si="256"/>
        <v>0</v>
      </c>
      <c r="BG63" s="31">
        <f t="shared" si="256"/>
        <v>0</v>
      </c>
      <c r="BH63" s="88">
        <f t="shared" si="79"/>
        <v>0</v>
      </c>
      <c r="BI63" s="88">
        <f t="shared" ref="BI63:CB63" si="257">0</f>
        <v>0</v>
      </c>
      <c r="BJ63" s="88">
        <f t="shared" si="257"/>
        <v>0</v>
      </c>
      <c r="BK63" s="10">
        <f t="shared" si="257"/>
        <v>0</v>
      </c>
      <c r="BL63" s="88">
        <f t="shared" si="257"/>
        <v>0</v>
      </c>
      <c r="BM63" s="88">
        <f t="shared" si="257"/>
        <v>0</v>
      </c>
      <c r="BN63" s="88">
        <f t="shared" si="257"/>
        <v>0</v>
      </c>
      <c r="BO63" s="88">
        <f t="shared" si="257"/>
        <v>0</v>
      </c>
      <c r="BP63" s="88">
        <f t="shared" si="257"/>
        <v>0</v>
      </c>
      <c r="BQ63" s="88">
        <f t="shared" si="257"/>
        <v>0</v>
      </c>
      <c r="BR63" s="88">
        <f t="shared" si="257"/>
        <v>0</v>
      </c>
      <c r="BS63" s="180">
        <f t="shared" si="257"/>
        <v>0</v>
      </c>
      <c r="BT63" s="88">
        <f t="shared" si="257"/>
        <v>0</v>
      </c>
      <c r="BU63" s="88">
        <f t="shared" si="257"/>
        <v>0</v>
      </c>
      <c r="BV63" s="88">
        <f t="shared" si="257"/>
        <v>0</v>
      </c>
      <c r="BW63" s="88">
        <f t="shared" si="257"/>
        <v>0</v>
      </c>
      <c r="BX63" s="88">
        <f t="shared" si="257"/>
        <v>0</v>
      </c>
      <c r="BY63" s="88">
        <f t="shared" si="257"/>
        <v>0</v>
      </c>
      <c r="BZ63" s="88">
        <f t="shared" si="257"/>
        <v>0</v>
      </c>
      <c r="CA63" s="88">
        <f t="shared" si="257"/>
        <v>0</v>
      </c>
      <c r="CB63" s="88">
        <f t="shared" si="257"/>
        <v>0</v>
      </c>
    </row>
    <row r="64">
      <c r="A64" s="181" t="s">
        <v>240</v>
      </c>
      <c r="B64" s="31">
        <f t="shared" ref="B64:CB64" si="258">0</f>
        <v>0</v>
      </c>
      <c r="C64" s="31">
        <f t="shared" si="258"/>
        <v>0</v>
      </c>
      <c r="D64" s="31">
        <f t="shared" si="258"/>
        <v>0</v>
      </c>
      <c r="E64" s="31">
        <f t="shared" si="258"/>
        <v>0</v>
      </c>
      <c r="F64" s="31">
        <f t="shared" si="258"/>
        <v>0</v>
      </c>
      <c r="G64" s="31">
        <f t="shared" si="258"/>
        <v>0</v>
      </c>
      <c r="H64" s="179">
        <f t="shared" si="258"/>
        <v>0</v>
      </c>
      <c r="I64" s="31">
        <f t="shared" si="258"/>
        <v>0</v>
      </c>
      <c r="J64" s="31">
        <f t="shared" si="258"/>
        <v>0</v>
      </c>
      <c r="K64" s="31">
        <f t="shared" si="258"/>
        <v>0</v>
      </c>
      <c r="L64" s="31">
        <f t="shared" si="258"/>
        <v>0</v>
      </c>
      <c r="M64" s="31">
        <f t="shared" si="258"/>
        <v>0</v>
      </c>
      <c r="N64" s="31">
        <f t="shared" si="258"/>
        <v>0</v>
      </c>
      <c r="O64" s="31">
        <f t="shared" si="258"/>
        <v>0</v>
      </c>
      <c r="P64" s="31">
        <f t="shared" si="258"/>
        <v>0</v>
      </c>
      <c r="Q64" s="31">
        <f t="shared" si="258"/>
        <v>0</v>
      </c>
      <c r="R64" s="31">
        <f t="shared" si="258"/>
        <v>0</v>
      </c>
      <c r="S64" s="31">
        <f t="shared" si="258"/>
        <v>0</v>
      </c>
      <c r="T64" s="31">
        <f t="shared" si="258"/>
        <v>0</v>
      </c>
      <c r="U64" s="31">
        <f t="shared" si="258"/>
        <v>0</v>
      </c>
      <c r="V64" s="31">
        <f t="shared" si="258"/>
        <v>0</v>
      </c>
      <c r="W64" s="31">
        <f t="shared" si="258"/>
        <v>0</v>
      </c>
      <c r="X64" s="31">
        <f t="shared" si="258"/>
        <v>0</v>
      </c>
      <c r="Y64" s="31">
        <f t="shared" si="258"/>
        <v>0</v>
      </c>
      <c r="Z64" s="31">
        <f t="shared" si="258"/>
        <v>0</v>
      </c>
      <c r="AA64" s="31">
        <f t="shared" si="258"/>
        <v>0</v>
      </c>
      <c r="AB64" s="31">
        <f t="shared" si="258"/>
        <v>0</v>
      </c>
      <c r="AC64" s="31">
        <f t="shared" si="258"/>
        <v>0</v>
      </c>
      <c r="AD64" s="31">
        <f t="shared" si="258"/>
        <v>0</v>
      </c>
      <c r="AE64" s="31">
        <f t="shared" si="258"/>
        <v>0</v>
      </c>
      <c r="AF64" s="31">
        <f t="shared" si="258"/>
        <v>0</v>
      </c>
      <c r="AG64" s="31">
        <f t="shared" si="258"/>
        <v>0</v>
      </c>
      <c r="AH64" s="31">
        <f t="shared" si="258"/>
        <v>0</v>
      </c>
      <c r="AI64" s="31">
        <f t="shared" si="258"/>
        <v>0</v>
      </c>
      <c r="AJ64" s="31">
        <f t="shared" si="258"/>
        <v>0</v>
      </c>
      <c r="AK64" s="31">
        <f t="shared" si="258"/>
        <v>0</v>
      </c>
      <c r="AL64" s="31">
        <f t="shared" si="258"/>
        <v>0</v>
      </c>
      <c r="AM64" s="31">
        <f t="shared" si="258"/>
        <v>0</v>
      </c>
      <c r="AN64" s="31">
        <f t="shared" si="258"/>
        <v>0</v>
      </c>
      <c r="AO64" s="31">
        <f t="shared" si="258"/>
        <v>0</v>
      </c>
      <c r="AP64" s="31">
        <f t="shared" si="258"/>
        <v>0</v>
      </c>
      <c r="AQ64" s="31">
        <f t="shared" si="258"/>
        <v>0</v>
      </c>
      <c r="AR64" s="31">
        <f t="shared" si="258"/>
        <v>0</v>
      </c>
      <c r="AS64" s="31">
        <f t="shared" si="258"/>
        <v>0</v>
      </c>
      <c r="AT64" s="31">
        <f t="shared" si="258"/>
        <v>0</v>
      </c>
      <c r="AU64" s="31">
        <f t="shared" si="258"/>
        <v>0</v>
      </c>
      <c r="AV64" s="31">
        <f t="shared" si="258"/>
        <v>0</v>
      </c>
      <c r="AW64" s="31">
        <f t="shared" si="258"/>
        <v>0</v>
      </c>
      <c r="AX64" s="31">
        <f t="shared" si="258"/>
        <v>0</v>
      </c>
      <c r="AY64" s="31">
        <f t="shared" si="258"/>
        <v>0</v>
      </c>
      <c r="AZ64" s="31">
        <f t="shared" si="258"/>
        <v>0</v>
      </c>
      <c r="BA64" s="31">
        <f t="shared" si="258"/>
        <v>0</v>
      </c>
      <c r="BB64" s="31">
        <f t="shared" si="258"/>
        <v>0</v>
      </c>
      <c r="BC64" s="31">
        <f t="shared" si="258"/>
        <v>0</v>
      </c>
      <c r="BD64" s="31">
        <f t="shared" si="258"/>
        <v>0</v>
      </c>
      <c r="BE64" s="31">
        <f t="shared" si="258"/>
        <v>0</v>
      </c>
      <c r="BF64" s="31">
        <f t="shared" si="258"/>
        <v>0</v>
      </c>
      <c r="BG64" s="31">
        <f t="shared" si="258"/>
        <v>0</v>
      </c>
      <c r="BH64" s="88">
        <f t="shared" si="258"/>
        <v>0</v>
      </c>
      <c r="BI64" s="88">
        <f t="shared" si="258"/>
        <v>0</v>
      </c>
      <c r="BJ64" s="88">
        <f t="shared" si="258"/>
        <v>0</v>
      </c>
      <c r="BK64" s="10">
        <f t="shared" si="258"/>
        <v>0</v>
      </c>
      <c r="BL64" s="88">
        <f t="shared" si="258"/>
        <v>0</v>
      </c>
      <c r="BM64" s="88">
        <f t="shared" si="258"/>
        <v>0</v>
      </c>
      <c r="BN64" s="88">
        <f t="shared" si="258"/>
        <v>0</v>
      </c>
      <c r="BO64" s="88">
        <f t="shared" si="258"/>
        <v>0</v>
      </c>
      <c r="BP64" s="88">
        <f t="shared" si="258"/>
        <v>0</v>
      </c>
      <c r="BQ64" s="88">
        <f t="shared" si="258"/>
        <v>0</v>
      </c>
      <c r="BR64" s="88">
        <f t="shared" si="258"/>
        <v>0</v>
      </c>
      <c r="BS64" s="180">
        <f t="shared" si="258"/>
        <v>0</v>
      </c>
      <c r="BT64" s="88">
        <f t="shared" si="258"/>
        <v>0</v>
      </c>
      <c r="BU64" s="88">
        <f t="shared" si="258"/>
        <v>0</v>
      </c>
      <c r="BV64" s="88">
        <f t="shared" si="258"/>
        <v>0</v>
      </c>
      <c r="BW64" s="88">
        <f t="shared" si="258"/>
        <v>0</v>
      </c>
      <c r="BX64" s="88">
        <f t="shared" si="258"/>
        <v>0</v>
      </c>
      <c r="BY64" s="88">
        <f t="shared" si="258"/>
        <v>0</v>
      </c>
      <c r="BZ64" s="88">
        <f t="shared" si="258"/>
        <v>0</v>
      </c>
      <c r="CA64" s="88">
        <f t="shared" si="258"/>
        <v>0</v>
      </c>
      <c r="CB64" s="88">
        <f t="shared" si="258"/>
        <v>0</v>
      </c>
    </row>
    <row r="65">
      <c r="A65" s="181" t="s">
        <v>241</v>
      </c>
      <c r="B65" s="31">
        <f t="shared" ref="B65:G65" si="259">0</f>
        <v>0</v>
      </c>
      <c r="C65" s="31">
        <f t="shared" si="259"/>
        <v>0</v>
      </c>
      <c r="D65" s="31">
        <f t="shared" si="259"/>
        <v>0</v>
      </c>
      <c r="E65" s="31">
        <f t="shared" si="259"/>
        <v>0</v>
      </c>
      <c r="F65" s="31">
        <f t="shared" si="259"/>
        <v>0</v>
      </c>
      <c r="G65" s="31">
        <f t="shared" si="259"/>
        <v>0</v>
      </c>
      <c r="H65" s="179">
        <f t="shared" ref="H65:H71" si="263">0</f>
        <v>0</v>
      </c>
      <c r="I65" s="31">
        <f t="shared" ref="I65:BG65" si="260">0</f>
        <v>0</v>
      </c>
      <c r="J65" s="31">
        <f t="shared" si="260"/>
        <v>0</v>
      </c>
      <c r="K65" s="31">
        <f t="shared" si="260"/>
        <v>0</v>
      </c>
      <c r="L65" s="31">
        <f t="shared" si="260"/>
        <v>0</v>
      </c>
      <c r="M65" s="31">
        <f t="shared" si="260"/>
        <v>0</v>
      </c>
      <c r="N65" s="31">
        <f t="shared" si="260"/>
        <v>0</v>
      </c>
      <c r="O65" s="31">
        <f t="shared" si="260"/>
        <v>0</v>
      </c>
      <c r="P65" s="31">
        <f t="shared" si="260"/>
        <v>0</v>
      </c>
      <c r="Q65" s="31">
        <f t="shared" si="260"/>
        <v>0</v>
      </c>
      <c r="R65" s="31">
        <f t="shared" si="260"/>
        <v>0</v>
      </c>
      <c r="S65" s="31">
        <f t="shared" si="260"/>
        <v>0</v>
      </c>
      <c r="T65" s="31">
        <f t="shared" si="260"/>
        <v>0</v>
      </c>
      <c r="U65" s="31">
        <f t="shared" si="260"/>
        <v>0</v>
      </c>
      <c r="V65" s="31">
        <f t="shared" si="260"/>
        <v>0</v>
      </c>
      <c r="W65" s="31">
        <f t="shared" si="260"/>
        <v>0</v>
      </c>
      <c r="X65" s="31">
        <f t="shared" si="260"/>
        <v>0</v>
      </c>
      <c r="Y65" s="31">
        <f t="shared" si="260"/>
        <v>0</v>
      </c>
      <c r="Z65" s="31">
        <f t="shared" si="260"/>
        <v>0</v>
      </c>
      <c r="AA65" s="31">
        <f t="shared" si="260"/>
        <v>0</v>
      </c>
      <c r="AB65" s="31">
        <f t="shared" si="260"/>
        <v>0</v>
      </c>
      <c r="AC65" s="31">
        <f t="shared" si="260"/>
        <v>0</v>
      </c>
      <c r="AD65" s="31">
        <f t="shared" si="260"/>
        <v>0</v>
      </c>
      <c r="AE65" s="31">
        <f t="shared" si="260"/>
        <v>0</v>
      </c>
      <c r="AF65" s="31">
        <f t="shared" si="260"/>
        <v>0</v>
      </c>
      <c r="AG65" s="31">
        <f t="shared" si="260"/>
        <v>0</v>
      </c>
      <c r="AH65" s="31">
        <f t="shared" si="260"/>
        <v>0</v>
      </c>
      <c r="AI65" s="31">
        <f t="shared" si="260"/>
        <v>0</v>
      </c>
      <c r="AJ65" s="31">
        <f t="shared" si="260"/>
        <v>0</v>
      </c>
      <c r="AK65" s="31">
        <f t="shared" si="260"/>
        <v>0</v>
      </c>
      <c r="AL65" s="31">
        <f t="shared" si="260"/>
        <v>0</v>
      </c>
      <c r="AM65" s="31">
        <f t="shared" si="260"/>
        <v>0</v>
      </c>
      <c r="AN65" s="31">
        <f t="shared" si="260"/>
        <v>0</v>
      </c>
      <c r="AO65" s="31">
        <f t="shared" si="260"/>
        <v>0</v>
      </c>
      <c r="AP65" s="31">
        <f t="shared" si="260"/>
        <v>0</v>
      </c>
      <c r="AQ65" s="31">
        <f t="shared" si="260"/>
        <v>0</v>
      </c>
      <c r="AR65" s="31">
        <f t="shared" si="260"/>
        <v>0</v>
      </c>
      <c r="AS65" s="31">
        <f t="shared" si="260"/>
        <v>0</v>
      </c>
      <c r="AT65" s="31">
        <f t="shared" si="260"/>
        <v>0</v>
      </c>
      <c r="AU65" s="31">
        <f t="shared" si="260"/>
        <v>0</v>
      </c>
      <c r="AV65" s="31">
        <f t="shared" si="260"/>
        <v>0</v>
      </c>
      <c r="AW65" s="31">
        <f t="shared" si="260"/>
        <v>0</v>
      </c>
      <c r="AX65" s="31">
        <f t="shared" si="260"/>
        <v>0</v>
      </c>
      <c r="AY65" s="31">
        <f t="shared" si="260"/>
        <v>0</v>
      </c>
      <c r="AZ65" s="31">
        <f t="shared" si="260"/>
        <v>0</v>
      </c>
      <c r="BA65" s="31">
        <f t="shared" si="260"/>
        <v>0</v>
      </c>
      <c r="BB65" s="31">
        <f t="shared" si="260"/>
        <v>0</v>
      </c>
      <c r="BC65" s="31">
        <f t="shared" si="260"/>
        <v>0</v>
      </c>
      <c r="BD65" s="31">
        <f t="shared" si="260"/>
        <v>0</v>
      </c>
      <c r="BE65" s="31">
        <f t="shared" si="260"/>
        <v>0</v>
      </c>
      <c r="BF65" s="31">
        <f t="shared" si="260"/>
        <v>0</v>
      </c>
      <c r="BG65" s="31">
        <f t="shared" si="260"/>
        <v>0</v>
      </c>
      <c r="BH65" s="88">
        <f t="shared" ref="BH65:CB65" si="261">0</f>
        <v>0</v>
      </c>
      <c r="BI65" s="88">
        <f t="shared" si="261"/>
        <v>0</v>
      </c>
      <c r="BJ65" s="88">
        <f t="shared" si="261"/>
        <v>0</v>
      </c>
      <c r="BK65" s="10">
        <f t="shared" si="261"/>
        <v>0</v>
      </c>
      <c r="BL65" s="88">
        <f t="shared" si="261"/>
        <v>0</v>
      </c>
      <c r="BM65" s="88">
        <f t="shared" si="261"/>
        <v>0</v>
      </c>
      <c r="BN65" s="88">
        <f t="shared" si="261"/>
        <v>0</v>
      </c>
      <c r="BO65" s="88">
        <f t="shared" si="261"/>
        <v>0</v>
      </c>
      <c r="BP65" s="88">
        <f t="shared" si="261"/>
        <v>0</v>
      </c>
      <c r="BQ65" s="88">
        <f t="shared" si="261"/>
        <v>0</v>
      </c>
      <c r="BR65" s="88">
        <f t="shared" si="261"/>
        <v>0</v>
      </c>
      <c r="BS65" s="180">
        <f t="shared" si="261"/>
        <v>0</v>
      </c>
      <c r="BT65" s="88">
        <f t="shared" si="261"/>
        <v>0</v>
      </c>
      <c r="BU65" s="88">
        <f t="shared" si="261"/>
        <v>0</v>
      </c>
      <c r="BV65" s="88">
        <f t="shared" si="261"/>
        <v>0</v>
      </c>
      <c r="BW65" s="88">
        <f t="shared" si="261"/>
        <v>0</v>
      </c>
      <c r="BX65" s="88">
        <f t="shared" si="261"/>
        <v>0</v>
      </c>
      <c r="BY65" s="88">
        <f t="shared" si="261"/>
        <v>0</v>
      </c>
      <c r="BZ65" s="88">
        <f t="shared" si="261"/>
        <v>0</v>
      </c>
      <c r="CA65" s="88">
        <f t="shared" si="261"/>
        <v>0</v>
      </c>
      <c r="CB65" s="88">
        <f t="shared" si="261"/>
        <v>0</v>
      </c>
    </row>
    <row r="66">
      <c r="A66" s="181" t="s">
        <v>242</v>
      </c>
      <c r="B66" s="31">
        <f t="shared" ref="B66:G66" si="262">0</f>
        <v>0</v>
      </c>
      <c r="C66" s="31">
        <f t="shared" si="262"/>
        <v>0</v>
      </c>
      <c r="D66" s="31">
        <f t="shared" si="262"/>
        <v>0</v>
      </c>
      <c r="E66" s="31">
        <f t="shared" si="262"/>
        <v>0</v>
      </c>
      <c r="F66" s="31">
        <f t="shared" si="262"/>
        <v>0</v>
      </c>
      <c r="G66" s="31">
        <f t="shared" si="262"/>
        <v>0</v>
      </c>
      <c r="H66" s="179">
        <f t="shared" si="263"/>
        <v>0</v>
      </c>
      <c r="I66" s="31">
        <f t="shared" ref="I66:BG66" si="264">0</f>
        <v>0</v>
      </c>
      <c r="J66" s="31">
        <f t="shared" si="264"/>
        <v>0</v>
      </c>
      <c r="K66" s="31">
        <f t="shared" si="264"/>
        <v>0</v>
      </c>
      <c r="L66" s="31">
        <f t="shared" si="264"/>
        <v>0</v>
      </c>
      <c r="M66" s="31">
        <f t="shared" si="264"/>
        <v>0</v>
      </c>
      <c r="N66" s="31">
        <f t="shared" si="264"/>
        <v>0</v>
      </c>
      <c r="O66" s="31">
        <f t="shared" si="264"/>
        <v>0</v>
      </c>
      <c r="P66" s="31">
        <f t="shared" si="264"/>
        <v>0</v>
      </c>
      <c r="Q66" s="31">
        <f t="shared" si="264"/>
        <v>0</v>
      </c>
      <c r="R66" s="31">
        <f t="shared" si="264"/>
        <v>0</v>
      </c>
      <c r="S66" s="31">
        <f t="shared" si="264"/>
        <v>0</v>
      </c>
      <c r="T66" s="31">
        <f t="shared" si="264"/>
        <v>0</v>
      </c>
      <c r="U66" s="31">
        <f t="shared" si="264"/>
        <v>0</v>
      </c>
      <c r="V66" s="31">
        <f t="shared" si="264"/>
        <v>0</v>
      </c>
      <c r="W66" s="31">
        <f t="shared" si="264"/>
        <v>0</v>
      </c>
      <c r="X66" s="31">
        <f t="shared" si="264"/>
        <v>0</v>
      </c>
      <c r="Y66" s="31">
        <f t="shared" si="264"/>
        <v>0</v>
      </c>
      <c r="Z66" s="31">
        <f t="shared" si="264"/>
        <v>0</v>
      </c>
      <c r="AA66" s="31">
        <f t="shared" si="264"/>
        <v>0</v>
      </c>
      <c r="AB66" s="31">
        <f t="shared" si="264"/>
        <v>0</v>
      </c>
      <c r="AC66" s="31">
        <f t="shared" si="264"/>
        <v>0</v>
      </c>
      <c r="AD66" s="31">
        <f t="shared" si="264"/>
        <v>0</v>
      </c>
      <c r="AE66" s="31">
        <f t="shared" si="264"/>
        <v>0</v>
      </c>
      <c r="AF66" s="31">
        <f t="shared" si="264"/>
        <v>0</v>
      </c>
      <c r="AG66" s="31">
        <f t="shared" si="264"/>
        <v>0</v>
      </c>
      <c r="AH66" s="31">
        <f t="shared" si="264"/>
        <v>0</v>
      </c>
      <c r="AI66" s="31">
        <f t="shared" si="264"/>
        <v>0</v>
      </c>
      <c r="AJ66" s="31">
        <f t="shared" si="264"/>
        <v>0</v>
      </c>
      <c r="AK66" s="31">
        <f t="shared" si="264"/>
        <v>0</v>
      </c>
      <c r="AL66" s="31">
        <f t="shared" si="264"/>
        <v>0</v>
      </c>
      <c r="AM66" s="31">
        <f t="shared" si="264"/>
        <v>0</v>
      </c>
      <c r="AN66" s="31">
        <f t="shared" si="264"/>
        <v>0</v>
      </c>
      <c r="AO66" s="31">
        <f t="shared" si="264"/>
        <v>0</v>
      </c>
      <c r="AP66" s="31">
        <f t="shared" si="264"/>
        <v>0</v>
      </c>
      <c r="AQ66" s="31">
        <f t="shared" si="264"/>
        <v>0</v>
      </c>
      <c r="AR66" s="31">
        <f t="shared" si="264"/>
        <v>0</v>
      </c>
      <c r="AS66" s="31">
        <f t="shared" si="264"/>
        <v>0</v>
      </c>
      <c r="AT66" s="31">
        <f t="shared" si="264"/>
        <v>0</v>
      </c>
      <c r="AU66" s="31">
        <f t="shared" si="264"/>
        <v>0</v>
      </c>
      <c r="AV66" s="31">
        <f t="shared" si="264"/>
        <v>0</v>
      </c>
      <c r="AW66" s="31">
        <f t="shared" si="264"/>
        <v>0</v>
      </c>
      <c r="AX66" s="31">
        <f t="shared" si="264"/>
        <v>0</v>
      </c>
      <c r="AY66" s="31">
        <f t="shared" si="264"/>
        <v>0</v>
      </c>
      <c r="AZ66" s="31">
        <f t="shared" si="264"/>
        <v>0</v>
      </c>
      <c r="BA66" s="31">
        <f t="shared" si="264"/>
        <v>0</v>
      </c>
      <c r="BB66" s="31">
        <f t="shared" si="264"/>
        <v>0</v>
      </c>
      <c r="BC66" s="31">
        <f t="shared" si="264"/>
        <v>0</v>
      </c>
      <c r="BD66" s="31">
        <f t="shared" si="264"/>
        <v>0</v>
      </c>
      <c r="BE66" s="31">
        <f t="shared" si="264"/>
        <v>0</v>
      </c>
      <c r="BF66" s="31">
        <f t="shared" si="264"/>
        <v>0</v>
      </c>
      <c r="BG66" s="31">
        <f t="shared" si="264"/>
        <v>0</v>
      </c>
      <c r="BH66" s="88">
        <f t="shared" ref="BH66:CB66" si="265">0</f>
        <v>0</v>
      </c>
      <c r="BI66" s="88">
        <f t="shared" si="265"/>
        <v>0</v>
      </c>
      <c r="BJ66" s="88">
        <f t="shared" si="265"/>
        <v>0</v>
      </c>
      <c r="BK66" s="10">
        <f t="shared" si="265"/>
        <v>0</v>
      </c>
      <c r="BL66" s="88">
        <f t="shared" si="265"/>
        <v>0</v>
      </c>
      <c r="BM66" s="88">
        <f t="shared" si="265"/>
        <v>0</v>
      </c>
      <c r="BN66" s="88">
        <f t="shared" si="265"/>
        <v>0</v>
      </c>
      <c r="BO66" s="88">
        <f t="shared" si="265"/>
        <v>0</v>
      </c>
      <c r="BP66" s="88">
        <f t="shared" si="265"/>
        <v>0</v>
      </c>
      <c r="BQ66" s="88">
        <f t="shared" si="265"/>
        <v>0</v>
      </c>
      <c r="BR66" s="88">
        <f t="shared" si="265"/>
        <v>0</v>
      </c>
      <c r="BS66" s="180">
        <f t="shared" si="265"/>
        <v>0</v>
      </c>
      <c r="BT66" s="88">
        <f t="shared" si="265"/>
        <v>0</v>
      </c>
      <c r="BU66" s="88">
        <f t="shared" si="265"/>
        <v>0</v>
      </c>
      <c r="BV66" s="88">
        <f t="shared" si="265"/>
        <v>0</v>
      </c>
      <c r="BW66" s="88">
        <f t="shared" si="265"/>
        <v>0</v>
      </c>
      <c r="BX66" s="88">
        <f t="shared" si="265"/>
        <v>0</v>
      </c>
      <c r="BY66" s="88">
        <f t="shared" si="265"/>
        <v>0</v>
      </c>
      <c r="BZ66" s="88">
        <f t="shared" si="265"/>
        <v>0</v>
      </c>
      <c r="CA66" s="88">
        <f t="shared" si="265"/>
        <v>0</v>
      </c>
      <c r="CB66" s="88">
        <f t="shared" si="265"/>
        <v>0</v>
      </c>
    </row>
    <row r="67">
      <c r="A67" s="181" t="s">
        <v>243</v>
      </c>
      <c r="B67" s="31">
        <f t="shared" ref="B67:G67" si="266">0</f>
        <v>0</v>
      </c>
      <c r="C67" s="31">
        <f t="shared" si="266"/>
        <v>0</v>
      </c>
      <c r="D67" s="31">
        <f t="shared" si="266"/>
        <v>0</v>
      </c>
      <c r="E67" s="31">
        <f t="shared" si="266"/>
        <v>0</v>
      </c>
      <c r="F67" s="31">
        <f t="shared" si="266"/>
        <v>0</v>
      </c>
      <c r="G67" s="31">
        <f t="shared" si="266"/>
        <v>0</v>
      </c>
      <c r="H67" s="179">
        <f t="shared" si="263"/>
        <v>0</v>
      </c>
      <c r="I67" s="31">
        <f t="shared" ref="I67:BG67" si="267">0</f>
        <v>0</v>
      </c>
      <c r="J67" s="31">
        <f t="shared" si="267"/>
        <v>0</v>
      </c>
      <c r="K67" s="31">
        <f t="shared" si="267"/>
        <v>0</v>
      </c>
      <c r="L67" s="31">
        <f t="shared" si="267"/>
        <v>0</v>
      </c>
      <c r="M67" s="31">
        <f t="shared" si="267"/>
        <v>0</v>
      </c>
      <c r="N67" s="31">
        <f t="shared" si="267"/>
        <v>0</v>
      </c>
      <c r="O67" s="31">
        <f t="shared" si="267"/>
        <v>0</v>
      </c>
      <c r="P67" s="31">
        <f t="shared" si="267"/>
        <v>0</v>
      </c>
      <c r="Q67" s="31">
        <f t="shared" si="267"/>
        <v>0</v>
      </c>
      <c r="R67" s="31">
        <f t="shared" si="267"/>
        <v>0</v>
      </c>
      <c r="S67" s="31">
        <f t="shared" si="267"/>
        <v>0</v>
      </c>
      <c r="T67" s="31">
        <f t="shared" si="267"/>
        <v>0</v>
      </c>
      <c r="U67" s="31">
        <f t="shared" si="267"/>
        <v>0</v>
      </c>
      <c r="V67" s="31">
        <f t="shared" si="267"/>
        <v>0</v>
      </c>
      <c r="W67" s="31">
        <f t="shared" si="267"/>
        <v>0</v>
      </c>
      <c r="X67" s="31">
        <f t="shared" si="267"/>
        <v>0</v>
      </c>
      <c r="Y67" s="31">
        <f t="shared" si="267"/>
        <v>0</v>
      </c>
      <c r="Z67" s="31">
        <f t="shared" si="267"/>
        <v>0</v>
      </c>
      <c r="AA67" s="31">
        <f t="shared" si="267"/>
        <v>0</v>
      </c>
      <c r="AB67" s="31">
        <f t="shared" si="267"/>
        <v>0</v>
      </c>
      <c r="AC67" s="31">
        <f t="shared" si="267"/>
        <v>0</v>
      </c>
      <c r="AD67" s="31">
        <f t="shared" si="267"/>
        <v>0</v>
      </c>
      <c r="AE67" s="31">
        <f t="shared" si="267"/>
        <v>0</v>
      </c>
      <c r="AF67" s="31">
        <f t="shared" si="267"/>
        <v>0</v>
      </c>
      <c r="AG67" s="31">
        <f t="shared" si="267"/>
        <v>0</v>
      </c>
      <c r="AH67" s="31">
        <f t="shared" si="267"/>
        <v>0</v>
      </c>
      <c r="AI67" s="31">
        <f t="shared" si="267"/>
        <v>0</v>
      </c>
      <c r="AJ67" s="31">
        <f t="shared" si="267"/>
        <v>0</v>
      </c>
      <c r="AK67" s="31">
        <f t="shared" si="267"/>
        <v>0</v>
      </c>
      <c r="AL67" s="31">
        <f t="shared" si="267"/>
        <v>0</v>
      </c>
      <c r="AM67" s="31">
        <f t="shared" si="267"/>
        <v>0</v>
      </c>
      <c r="AN67" s="31">
        <f t="shared" si="267"/>
        <v>0</v>
      </c>
      <c r="AO67" s="31">
        <f t="shared" si="267"/>
        <v>0</v>
      </c>
      <c r="AP67" s="31">
        <f t="shared" si="267"/>
        <v>0</v>
      </c>
      <c r="AQ67" s="31">
        <f t="shared" si="267"/>
        <v>0</v>
      </c>
      <c r="AR67" s="31">
        <f t="shared" si="267"/>
        <v>0</v>
      </c>
      <c r="AS67" s="31">
        <f t="shared" si="267"/>
        <v>0</v>
      </c>
      <c r="AT67" s="31">
        <f t="shared" si="267"/>
        <v>0</v>
      </c>
      <c r="AU67" s="31">
        <f t="shared" si="267"/>
        <v>0</v>
      </c>
      <c r="AV67" s="31">
        <f t="shared" si="267"/>
        <v>0</v>
      </c>
      <c r="AW67" s="31">
        <f t="shared" si="267"/>
        <v>0</v>
      </c>
      <c r="AX67" s="31">
        <f t="shared" si="267"/>
        <v>0</v>
      </c>
      <c r="AY67" s="31">
        <f t="shared" si="267"/>
        <v>0</v>
      </c>
      <c r="AZ67" s="31">
        <f t="shared" si="267"/>
        <v>0</v>
      </c>
      <c r="BA67" s="31">
        <f t="shared" si="267"/>
        <v>0</v>
      </c>
      <c r="BB67" s="31">
        <f t="shared" si="267"/>
        <v>0</v>
      </c>
      <c r="BC67" s="31">
        <f t="shared" si="267"/>
        <v>0</v>
      </c>
      <c r="BD67" s="31">
        <f t="shared" si="267"/>
        <v>0</v>
      </c>
      <c r="BE67" s="31">
        <f t="shared" si="267"/>
        <v>0</v>
      </c>
      <c r="BF67" s="31">
        <f t="shared" si="267"/>
        <v>0</v>
      </c>
      <c r="BG67" s="31">
        <f t="shared" si="267"/>
        <v>0</v>
      </c>
      <c r="BH67" s="88">
        <f t="shared" ref="BH67:CB67" si="268">0</f>
        <v>0</v>
      </c>
      <c r="BI67" s="88">
        <f t="shared" si="268"/>
        <v>0</v>
      </c>
      <c r="BJ67" s="88">
        <f t="shared" si="268"/>
        <v>0</v>
      </c>
      <c r="BK67" s="10">
        <f t="shared" si="268"/>
        <v>0</v>
      </c>
      <c r="BL67" s="88">
        <f t="shared" si="268"/>
        <v>0</v>
      </c>
      <c r="BM67" s="88">
        <f t="shared" si="268"/>
        <v>0</v>
      </c>
      <c r="BN67" s="88">
        <f t="shared" si="268"/>
        <v>0</v>
      </c>
      <c r="BO67" s="88">
        <f t="shared" si="268"/>
        <v>0</v>
      </c>
      <c r="BP67" s="88">
        <f t="shared" si="268"/>
        <v>0</v>
      </c>
      <c r="BQ67" s="88">
        <f t="shared" si="268"/>
        <v>0</v>
      </c>
      <c r="BR67" s="88">
        <f t="shared" si="268"/>
        <v>0</v>
      </c>
      <c r="BS67" s="180">
        <f t="shared" si="268"/>
        <v>0</v>
      </c>
      <c r="BT67" s="88">
        <f t="shared" si="268"/>
        <v>0</v>
      </c>
      <c r="BU67" s="88">
        <f t="shared" si="268"/>
        <v>0</v>
      </c>
      <c r="BV67" s="88">
        <f t="shared" si="268"/>
        <v>0</v>
      </c>
      <c r="BW67" s="88">
        <f t="shared" si="268"/>
        <v>0</v>
      </c>
      <c r="BX67" s="88">
        <f t="shared" si="268"/>
        <v>0</v>
      </c>
      <c r="BY67" s="88">
        <f t="shared" si="268"/>
        <v>0</v>
      </c>
      <c r="BZ67" s="88">
        <f t="shared" si="268"/>
        <v>0</v>
      </c>
      <c r="CA67" s="88">
        <f t="shared" si="268"/>
        <v>0</v>
      </c>
      <c r="CB67" s="88">
        <f t="shared" si="268"/>
        <v>0</v>
      </c>
    </row>
    <row r="68">
      <c r="A68" s="181" t="s">
        <v>244</v>
      </c>
      <c r="B68" s="31">
        <f t="shared" ref="B68:G68" si="269">0</f>
        <v>0</v>
      </c>
      <c r="C68" s="31">
        <f t="shared" si="269"/>
        <v>0</v>
      </c>
      <c r="D68" s="31">
        <f t="shared" si="269"/>
        <v>0</v>
      </c>
      <c r="E68" s="31">
        <f t="shared" si="269"/>
        <v>0</v>
      </c>
      <c r="F68" s="31">
        <f t="shared" si="269"/>
        <v>0</v>
      </c>
      <c r="G68" s="31">
        <f t="shared" si="269"/>
        <v>0</v>
      </c>
      <c r="H68" s="179">
        <f t="shared" si="263"/>
        <v>0</v>
      </c>
      <c r="I68" s="31">
        <f t="shared" ref="I68:BG68" si="270">0</f>
        <v>0</v>
      </c>
      <c r="J68" s="31">
        <f t="shared" si="270"/>
        <v>0</v>
      </c>
      <c r="K68" s="31">
        <f t="shared" si="270"/>
        <v>0</v>
      </c>
      <c r="L68" s="31">
        <f t="shared" si="270"/>
        <v>0</v>
      </c>
      <c r="M68" s="31">
        <f t="shared" si="270"/>
        <v>0</v>
      </c>
      <c r="N68" s="31">
        <f t="shared" si="270"/>
        <v>0</v>
      </c>
      <c r="O68" s="31">
        <f t="shared" si="270"/>
        <v>0</v>
      </c>
      <c r="P68" s="31">
        <f t="shared" si="270"/>
        <v>0</v>
      </c>
      <c r="Q68" s="31">
        <f t="shared" si="270"/>
        <v>0</v>
      </c>
      <c r="R68" s="31">
        <f t="shared" si="270"/>
        <v>0</v>
      </c>
      <c r="S68" s="31">
        <f t="shared" si="270"/>
        <v>0</v>
      </c>
      <c r="T68" s="31">
        <f t="shared" si="270"/>
        <v>0</v>
      </c>
      <c r="U68" s="31">
        <f t="shared" si="270"/>
        <v>0</v>
      </c>
      <c r="V68" s="31">
        <f t="shared" si="270"/>
        <v>0</v>
      </c>
      <c r="W68" s="31">
        <f t="shared" si="270"/>
        <v>0</v>
      </c>
      <c r="X68" s="31">
        <f t="shared" si="270"/>
        <v>0</v>
      </c>
      <c r="Y68" s="31">
        <f t="shared" si="270"/>
        <v>0</v>
      </c>
      <c r="Z68" s="31">
        <f t="shared" si="270"/>
        <v>0</v>
      </c>
      <c r="AA68" s="31">
        <f t="shared" si="270"/>
        <v>0</v>
      </c>
      <c r="AB68" s="31">
        <f t="shared" si="270"/>
        <v>0</v>
      </c>
      <c r="AC68" s="31">
        <f t="shared" si="270"/>
        <v>0</v>
      </c>
      <c r="AD68" s="31">
        <f t="shared" si="270"/>
        <v>0</v>
      </c>
      <c r="AE68" s="31">
        <f t="shared" si="270"/>
        <v>0</v>
      </c>
      <c r="AF68" s="31">
        <f t="shared" si="270"/>
        <v>0</v>
      </c>
      <c r="AG68" s="31">
        <f t="shared" si="270"/>
        <v>0</v>
      </c>
      <c r="AH68" s="31">
        <f t="shared" si="270"/>
        <v>0</v>
      </c>
      <c r="AI68" s="31">
        <f t="shared" si="270"/>
        <v>0</v>
      </c>
      <c r="AJ68" s="31">
        <f t="shared" si="270"/>
        <v>0</v>
      </c>
      <c r="AK68" s="31">
        <f t="shared" si="270"/>
        <v>0</v>
      </c>
      <c r="AL68" s="31">
        <f t="shared" si="270"/>
        <v>0</v>
      </c>
      <c r="AM68" s="31">
        <f t="shared" si="270"/>
        <v>0</v>
      </c>
      <c r="AN68" s="31">
        <f t="shared" si="270"/>
        <v>0</v>
      </c>
      <c r="AO68" s="31">
        <f t="shared" si="270"/>
        <v>0</v>
      </c>
      <c r="AP68" s="31">
        <f t="shared" si="270"/>
        <v>0</v>
      </c>
      <c r="AQ68" s="31">
        <f t="shared" si="270"/>
        <v>0</v>
      </c>
      <c r="AR68" s="31">
        <f t="shared" si="270"/>
        <v>0</v>
      </c>
      <c r="AS68" s="31">
        <f t="shared" si="270"/>
        <v>0</v>
      </c>
      <c r="AT68" s="31">
        <f t="shared" si="270"/>
        <v>0</v>
      </c>
      <c r="AU68" s="31">
        <f t="shared" si="270"/>
        <v>0</v>
      </c>
      <c r="AV68" s="31">
        <f t="shared" si="270"/>
        <v>0</v>
      </c>
      <c r="AW68" s="31">
        <f t="shared" si="270"/>
        <v>0</v>
      </c>
      <c r="AX68" s="31">
        <f t="shared" si="270"/>
        <v>0</v>
      </c>
      <c r="AY68" s="31">
        <f t="shared" si="270"/>
        <v>0</v>
      </c>
      <c r="AZ68" s="31">
        <f t="shared" si="270"/>
        <v>0</v>
      </c>
      <c r="BA68" s="31">
        <f t="shared" si="270"/>
        <v>0</v>
      </c>
      <c r="BB68" s="31">
        <f t="shared" si="270"/>
        <v>0</v>
      </c>
      <c r="BC68" s="31">
        <f t="shared" si="270"/>
        <v>0</v>
      </c>
      <c r="BD68" s="31">
        <f t="shared" si="270"/>
        <v>0</v>
      </c>
      <c r="BE68" s="31">
        <f t="shared" si="270"/>
        <v>0</v>
      </c>
      <c r="BF68" s="31">
        <f t="shared" si="270"/>
        <v>0</v>
      </c>
      <c r="BG68" s="31">
        <f t="shared" si="270"/>
        <v>0</v>
      </c>
      <c r="BH68" s="88">
        <f t="shared" ref="BH68:CB68" si="271">0</f>
        <v>0</v>
      </c>
      <c r="BI68" s="88">
        <f t="shared" si="271"/>
        <v>0</v>
      </c>
      <c r="BJ68" s="88">
        <f t="shared" si="271"/>
        <v>0</v>
      </c>
      <c r="BK68" s="10">
        <f t="shared" si="271"/>
        <v>0</v>
      </c>
      <c r="BL68" s="88">
        <f t="shared" si="271"/>
        <v>0</v>
      </c>
      <c r="BM68" s="88">
        <f t="shared" si="271"/>
        <v>0</v>
      </c>
      <c r="BN68" s="88">
        <f t="shared" si="271"/>
        <v>0</v>
      </c>
      <c r="BO68" s="88">
        <f t="shared" si="271"/>
        <v>0</v>
      </c>
      <c r="BP68" s="88">
        <f t="shared" si="271"/>
        <v>0</v>
      </c>
      <c r="BQ68" s="88">
        <f t="shared" si="271"/>
        <v>0</v>
      </c>
      <c r="BR68" s="88">
        <f t="shared" si="271"/>
        <v>0</v>
      </c>
      <c r="BS68" s="180">
        <f t="shared" si="271"/>
        <v>0</v>
      </c>
      <c r="BT68" s="88">
        <f t="shared" si="271"/>
        <v>0</v>
      </c>
      <c r="BU68" s="88">
        <f t="shared" si="271"/>
        <v>0</v>
      </c>
      <c r="BV68" s="88">
        <f t="shared" si="271"/>
        <v>0</v>
      </c>
      <c r="BW68" s="88">
        <f t="shared" si="271"/>
        <v>0</v>
      </c>
      <c r="BX68" s="88">
        <f t="shared" si="271"/>
        <v>0</v>
      </c>
      <c r="BY68" s="88">
        <f t="shared" si="271"/>
        <v>0</v>
      </c>
      <c r="BZ68" s="88">
        <f t="shared" si="271"/>
        <v>0</v>
      </c>
      <c r="CA68" s="88">
        <f t="shared" si="271"/>
        <v>0</v>
      </c>
      <c r="CB68" s="88">
        <f t="shared" si="271"/>
        <v>0</v>
      </c>
    </row>
    <row r="69">
      <c r="A69" s="181" t="s">
        <v>408</v>
      </c>
      <c r="B69" s="31">
        <f t="shared" ref="B69:G69" si="272">0</f>
        <v>0</v>
      </c>
      <c r="C69" s="31">
        <f t="shared" si="272"/>
        <v>0</v>
      </c>
      <c r="D69" s="31">
        <f t="shared" si="272"/>
        <v>0</v>
      </c>
      <c r="E69" s="31">
        <f t="shared" si="272"/>
        <v>0</v>
      </c>
      <c r="F69" s="31">
        <f t="shared" si="272"/>
        <v>0</v>
      </c>
      <c r="G69" s="31">
        <f t="shared" si="272"/>
        <v>0</v>
      </c>
      <c r="H69" s="179">
        <f t="shared" si="263"/>
        <v>0</v>
      </c>
      <c r="I69" s="31">
        <f t="shared" ref="I69:BG69" si="273">0</f>
        <v>0</v>
      </c>
      <c r="J69" s="31">
        <f t="shared" si="273"/>
        <v>0</v>
      </c>
      <c r="K69" s="31">
        <f t="shared" si="273"/>
        <v>0</v>
      </c>
      <c r="L69" s="31">
        <f t="shared" si="273"/>
        <v>0</v>
      </c>
      <c r="M69" s="31">
        <f t="shared" si="273"/>
        <v>0</v>
      </c>
      <c r="N69" s="31">
        <f t="shared" si="273"/>
        <v>0</v>
      </c>
      <c r="O69" s="31">
        <f t="shared" si="273"/>
        <v>0</v>
      </c>
      <c r="P69" s="31">
        <f t="shared" si="273"/>
        <v>0</v>
      </c>
      <c r="Q69" s="31">
        <f t="shared" si="273"/>
        <v>0</v>
      </c>
      <c r="R69" s="31">
        <f t="shared" si="273"/>
        <v>0</v>
      </c>
      <c r="S69" s="31">
        <f t="shared" si="273"/>
        <v>0</v>
      </c>
      <c r="T69" s="31">
        <f t="shared" si="273"/>
        <v>0</v>
      </c>
      <c r="U69" s="31">
        <f t="shared" si="273"/>
        <v>0</v>
      </c>
      <c r="V69" s="31">
        <f t="shared" si="273"/>
        <v>0</v>
      </c>
      <c r="W69" s="31">
        <f t="shared" si="273"/>
        <v>0</v>
      </c>
      <c r="X69" s="31">
        <f t="shared" si="273"/>
        <v>0</v>
      </c>
      <c r="Y69" s="31">
        <f t="shared" si="273"/>
        <v>0</v>
      </c>
      <c r="Z69" s="31">
        <f t="shared" si="273"/>
        <v>0</v>
      </c>
      <c r="AA69" s="31">
        <f t="shared" si="273"/>
        <v>0</v>
      </c>
      <c r="AB69" s="31">
        <f t="shared" si="273"/>
        <v>0</v>
      </c>
      <c r="AC69" s="31">
        <f t="shared" si="273"/>
        <v>0</v>
      </c>
      <c r="AD69" s="31">
        <f t="shared" si="273"/>
        <v>0</v>
      </c>
      <c r="AE69" s="31">
        <f t="shared" si="273"/>
        <v>0</v>
      </c>
      <c r="AF69" s="31">
        <f t="shared" si="273"/>
        <v>0</v>
      </c>
      <c r="AG69" s="31">
        <f t="shared" si="273"/>
        <v>0</v>
      </c>
      <c r="AH69" s="31">
        <f t="shared" si="273"/>
        <v>0</v>
      </c>
      <c r="AI69" s="31">
        <f t="shared" si="273"/>
        <v>0</v>
      </c>
      <c r="AJ69" s="31">
        <f t="shared" si="273"/>
        <v>0</v>
      </c>
      <c r="AK69" s="31">
        <f t="shared" si="273"/>
        <v>0</v>
      </c>
      <c r="AL69" s="31">
        <f t="shared" si="273"/>
        <v>0</v>
      </c>
      <c r="AM69" s="31">
        <f t="shared" si="273"/>
        <v>0</v>
      </c>
      <c r="AN69" s="31">
        <f t="shared" si="273"/>
        <v>0</v>
      </c>
      <c r="AO69" s="31">
        <f t="shared" si="273"/>
        <v>0</v>
      </c>
      <c r="AP69" s="31">
        <f t="shared" si="273"/>
        <v>0</v>
      </c>
      <c r="AQ69" s="31">
        <f t="shared" si="273"/>
        <v>0</v>
      </c>
      <c r="AR69" s="31">
        <f t="shared" si="273"/>
        <v>0</v>
      </c>
      <c r="AS69" s="31">
        <f t="shared" si="273"/>
        <v>0</v>
      </c>
      <c r="AT69" s="31">
        <f t="shared" si="273"/>
        <v>0</v>
      </c>
      <c r="AU69" s="31">
        <f t="shared" si="273"/>
        <v>0</v>
      </c>
      <c r="AV69" s="31">
        <f t="shared" si="273"/>
        <v>0</v>
      </c>
      <c r="AW69" s="31">
        <f t="shared" si="273"/>
        <v>0</v>
      </c>
      <c r="AX69" s="31">
        <f t="shared" si="273"/>
        <v>0</v>
      </c>
      <c r="AY69" s="31">
        <f t="shared" si="273"/>
        <v>0</v>
      </c>
      <c r="AZ69" s="31">
        <f t="shared" si="273"/>
        <v>0</v>
      </c>
      <c r="BA69" s="31">
        <f t="shared" si="273"/>
        <v>0</v>
      </c>
      <c r="BB69" s="31">
        <f t="shared" si="273"/>
        <v>0</v>
      </c>
      <c r="BC69" s="31">
        <f t="shared" si="273"/>
        <v>0</v>
      </c>
      <c r="BD69" s="31">
        <f t="shared" si="273"/>
        <v>0</v>
      </c>
      <c r="BE69" s="31">
        <f t="shared" si="273"/>
        <v>0</v>
      </c>
      <c r="BF69" s="31">
        <f t="shared" si="273"/>
        <v>0</v>
      </c>
      <c r="BG69" s="31">
        <f t="shared" si="273"/>
        <v>0</v>
      </c>
      <c r="BH69" s="88">
        <f t="shared" ref="BH69:CB69" si="274">0</f>
        <v>0</v>
      </c>
      <c r="BI69" s="88">
        <f t="shared" si="274"/>
        <v>0</v>
      </c>
      <c r="BJ69" s="88">
        <f t="shared" si="274"/>
        <v>0</v>
      </c>
      <c r="BK69" s="10">
        <f t="shared" si="274"/>
        <v>0</v>
      </c>
      <c r="BL69" s="88">
        <f t="shared" si="274"/>
        <v>0</v>
      </c>
      <c r="BM69" s="88">
        <f t="shared" si="274"/>
        <v>0</v>
      </c>
      <c r="BN69" s="88">
        <f t="shared" si="274"/>
        <v>0</v>
      </c>
      <c r="BO69" s="88">
        <f t="shared" si="274"/>
        <v>0</v>
      </c>
      <c r="BP69" s="88">
        <f t="shared" si="274"/>
        <v>0</v>
      </c>
      <c r="BQ69" s="88">
        <f t="shared" si="274"/>
        <v>0</v>
      </c>
      <c r="BR69" s="88">
        <f t="shared" si="274"/>
        <v>0</v>
      </c>
      <c r="BS69" s="180">
        <f t="shared" si="274"/>
        <v>0</v>
      </c>
      <c r="BT69" s="88">
        <f t="shared" si="274"/>
        <v>0</v>
      </c>
      <c r="BU69" s="88">
        <f t="shared" si="274"/>
        <v>0</v>
      </c>
      <c r="BV69" s="88">
        <f t="shared" si="274"/>
        <v>0</v>
      </c>
      <c r="BW69" s="88">
        <f t="shared" si="274"/>
        <v>0</v>
      </c>
      <c r="BX69" s="88">
        <f t="shared" si="274"/>
        <v>0</v>
      </c>
      <c r="BY69" s="88">
        <f t="shared" si="274"/>
        <v>0</v>
      </c>
      <c r="BZ69" s="88">
        <f t="shared" si="274"/>
        <v>0</v>
      </c>
      <c r="CA69" s="88">
        <f t="shared" si="274"/>
        <v>0</v>
      </c>
      <c r="CB69" s="88">
        <f t="shared" si="274"/>
        <v>0</v>
      </c>
    </row>
    <row r="70">
      <c r="A70" s="181" t="s">
        <v>409</v>
      </c>
      <c r="B70" s="31">
        <f t="shared" ref="B70:G70" si="275">0</f>
        <v>0</v>
      </c>
      <c r="C70" s="31">
        <f t="shared" si="275"/>
        <v>0</v>
      </c>
      <c r="D70" s="31">
        <f t="shared" si="275"/>
        <v>0</v>
      </c>
      <c r="E70" s="31">
        <f t="shared" si="275"/>
        <v>0</v>
      </c>
      <c r="F70" s="31">
        <f t="shared" si="275"/>
        <v>0</v>
      </c>
      <c r="G70" s="31">
        <f t="shared" si="275"/>
        <v>0</v>
      </c>
      <c r="H70" s="179">
        <f t="shared" si="263"/>
        <v>0</v>
      </c>
      <c r="I70" s="31">
        <f t="shared" ref="I70:J70" si="276">0</f>
        <v>0</v>
      </c>
      <c r="J70" s="31">
        <f t="shared" si="276"/>
        <v>0</v>
      </c>
      <c r="K70" s="31">
        <f>IF(INDIRECT(ADDRESS(ROW() - 68, COLUMN())) = "C0", 0, 15)</f>
        <v>15</v>
      </c>
      <c r="L70" s="31">
        <f t="shared" ref="L70:BG70" si="277">0</f>
        <v>0</v>
      </c>
      <c r="M70" s="31">
        <f t="shared" si="277"/>
        <v>0</v>
      </c>
      <c r="N70" s="31">
        <f t="shared" si="277"/>
        <v>0</v>
      </c>
      <c r="O70" s="31">
        <f t="shared" si="277"/>
        <v>0</v>
      </c>
      <c r="P70" s="31">
        <f t="shared" si="277"/>
        <v>0</v>
      </c>
      <c r="Q70" s="31">
        <f t="shared" si="277"/>
        <v>0</v>
      </c>
      <c r="R70" s="31">
        <f t="shared" si="277"/>
        <v>0</v>
      </c>
      <c r="S70" s="31">
        <f t="shared" si="277"/>
        <v>0</v>
      </c>
      <c r="T70" s="31">
        <f t="shared" si="277"/>
        <v>0</v>
      </c>
      <c r="U70" s="31">
        <f t="shared" si="277"/>
        <v>0</v>
      </c>
      <c r="V70" s="31">
        <f t="shared" si="277"/>
        <v>0</v>
      </c>
      <c r="W70" s="31">
        <f t="shared" si="277"/>
        <v>0</v>
      </c>
      <c r="X70" s="31">
        <f t="shared" si="277"/>
        <v>0</v>
      </c>
      <c r="Y70" s="31">
        <f t="shared" si="277"/>
        <v>0</v>
      </c>
      <c r="Z70" s="31">
        <f t="shared" si="277"/>
        <v>0</v>
      </c>
      <c r="AA70" s="31">
        <f t="shared" si="277"/>
        <v>0</v>
      </c>
      <c r="AB70" s="31">
        <f t="shared" si="277"/>
        <v>0</v>
      </c>
      <c r="AC70" s="31">
        <f t="shared" si="277"/>
        <v>0</v>
      </c>
      <c r="AD70" s="31">
        <f t="shared" si="277"/>
        <v>0</v>
      </c>
      <c r="AE70" s="31">
        <f t="shared" si="277"/>
        <v>0</v>
      </c>
      <c r="AF70" s="31">
        <f t="shared" si="277"/>
        <v>0</v>
      </c>
      <c r="AG70" s="31">
        <f t="shared" si="277"/>
        <v>0</v>
      </c>
      <c r="AH70" s="31">
        <f t="shared" si="277"/>
        <v>0</v>
      </c>
      <c r="AI70" s="31">
        <f t="shared" si="277"/>
        <v>0</v>
      </c>
      <c r="AJ70" s="31">
        <f t="shared" si="277"/>
        <v>0</v>
      </c>
      <c r="AK70" s="31">
        <f t="shared" si="277"/>
        <v>0</v>
      </c>
      <c r="AL70" s="31">
        <f t="shared" si="277"/>
        <v>0</v>
      </c>
      <c r="AM70" s="31">
        <f t="shared" si="277"/>
        <v>0</v>
      </c>
      <c r="AN70" s="31">
        <f t="shared" si="277"/>
        <v>0</v>
      </c>
      <c r="AO70" s="31">
        <f t="shared" si="277"/>
        <v>0</v>
      </c>
      <c r="AP70" s="31">
        <f t="shared" si="277"/>
        <v>0</v>
      </c>
      <c r="AQ70" s="31">
        <f t="shared" si="277"/>
        <v>0</v>
      </c>
      <c r="AR70" s="31">
        <f t="shared" si="277"/>
        <v>0</v>
      </c>
      <c r="AS70" s="31">
        <f t="shared" si="277"/>
        <v>0</v>
      </c>
      <c r="AT70" s="31">
        <f t="shared" si="277"/>
        <v>0</v>
      </c>
      <c r="AU70" s="31">
        <f t="shared" si="277"/>
        <v>0</v>
      </c>
      <c r="AV70" s="31">
        <f t="shared" si="277"/>
        <v>0</v>
      </c>
      <c r="AW70" s="31">
        <f t="shared" si="277"/>
        <v>0</v>
      </c>
      <c r="AX70" s="31">
        <f t="shared" si="277"/>
        <v>0</v>
      </c>
      <c r="AY70" s="31">
        <f t="shared" si="277"/>
        <v>0</v>
      </c>
      <c r="AZ70" s="31">
        <f t="shared" si="277"/>
        <v>0</v>
      </c>
      <c r="BA70" s="31">
        <f t="shared" si="277"/>
        <v>0</v>
      </c>
      <c r="BB70" s="31">
        <f t="shared" si="277"/>
        <v>0</v>
      </c>
      <c r="BC70" s="31">
        <f t="shared" si="277"/>
        <v>0</v>
      </c>
      <c r="BD70" s="31">
        <f t="shared" si="277"/>
        <v>0</v>
      </c>
      <c r="BE70" s="31">
        <f t="shared" si="277"/>
        <v>0</v>
      </c>
      <c r="BF70" s="31">
        <f t="shared" si="277"/>
        <v>0</v>
      </c>
      <c r="BG70" s="31">
        <f t="shared" si="277"/>
        <v>0</v>
      </c>
      <c r="BH70" s="88">
        <f t="shared" ref="BH70:CB70" si="278">0</f>
        <v>0</v>
      </c>
      <c r="BI70" s="88">
        <f t="shared" si="278"/>
        <v>0</v>
      </c>
      <c r="BJ70" s="88">
        <f t="shared" si="278"/>
        <v>0</v>
      </c>
      <c r="BK70" s="10">
        <f t="shared" si="278"/>
        <v>0</v>
      </c>
      <c r="BL70" s="88">
        <f t="shared" si="278"/>
        <v>0</v>
      </c>
      <c r="BM70" s="88">
        <f t="shared" si="278"/>
        <v>0</v>
      </c>
      <c r="BN70" s="88">
        <f t="shared" si="278"/>
        <v>0</v>
      </c>
      <c r="BO70" s="88">
        <f t="shared" si="278"/>
        <v>0</v>
      </c>
      <c r="BP70" s="88">
        <f t="shared" si="278"/>
        <v>0</v>
      </c>
      <c r="BQ70" s="88">
        <f t="shared" si="278"/>
        <v>0</v>
      </c>
      <c r="BR70" s="88">
        <f t="shared" si="278"/>
        <v>0</v>
      </c>
      <c r="BS70" s="180">
        <f t="shared" si="278"/>
        <v>0</v>
      </c>
      <c r="BT70" s="88">
        <f t="shared" si="278"/>
        <v>0</v>
      </c>
      <c r="BU70" s="88">
        <f t="shared" si="278"/>
        <v>0</v>
      </c>
      <c r="BV70" s="88">
        <f t="shared" si="278"/>
        <v>0</v>
      </c>
      <c r="BW70" s="88">
        <f t="shared" si="278"/>
        <v>0</v>
      </c>
      <c r="BX70" s="88">
        <f t="shared" si="278"/>
        <v>0</v>
      </c>
      <c r="BY70" s="88">
        <f t="shared" si="278"/>
        <v>0</v>
      </c>
      <c r="BZ70" s="88">
        <f t="shared" si="278"/>
        <v>0</v>
      </c>
      <c r="CA70" s="88">
        <f t="shared" si="278"/>
        <v>0</v>
      </c>
      <c r="CB70" s="88">
        <f t="shared" si="278"/>
        <v>0</v>
      </c>
    </row>
    <row r="71">
      <c r="A71" s="181" t="s">
        <v>410</v>
      </c>
      <c r="B71" s="31">
        <f t="shared" ref="B71:G71" si="279">0</f>
        <v>0</v>
      </c>
      <c r="C71" s="31">
        <f t="shared" si="279"/>
        <v>0</v>
      </c>
      <c r="D71" s="31">
        <f t="shared" si="279"/>
        <v>0</v>
      </c>
      <c r="E71" s="31">
        <f t="shared" si="279"/>
        <v>0</v>
      </c>
      <c r="F71" s="31">
        <f t="shared" si="279"/>
        <v>0</v>
      </c>
      <c r="G71" s="31">
        <f t="shared" si="279"/>
        <v>0</v>
      </c>
      <c r="H71" s="179">
        <f t="shared" si="263"/>
        <v>0</v>
      </c>
      <c r="I71" s="31">
        <f t="shared" ref="I71:BB71" si="280">0</f>
        <v>0</v>
      </c>
      <c r="J71" s="31">
        <f t="shared" si="280"/>
        <v>0</v>
      </c>
      <c r="K71" s="31">
        <f t="shared" si="280"/>
        <v>0</v>
      </c>
      <c r="L71" s="31">
        <f t="shared" si="280"/>
        <v>0</v>
      </c>
      <c r="M71" s="31">
        <f t="shared" si="280"/>
        <v>0</v>
      </c>
      <c r="N71" s="31">
        <f t="shared" si="280"/>
        <v>0</v>
      </c>
      <c r="O71" s="31">
        <f t="shared" si="280"/>
        <v>0</v>
      </c>
      <c r="P71" s="31">
        <f t="shared" si="280"/>
        <v>0</v>
      </c>
      <c r="Q71" s="31">
        <f t="shared" si="280"/>
        <v>0</v>
      </c>
      <c r="R71" s="31">
        <f t="shared" si="280"/>
        <v>0</v>
      </c>
      <c r="S71" s="31">
        <f t="shared" si="280"/>
        <v>0</v>
      </c>
      <c r="T71" s="31">
        <f t="shared" si="280"/>
        <v>0</v>
      </c>
      <c r="U71" s="31">
        <f t="shared" si="280"/>
        <v>0</v>
      </c>
      <c r="V71" s="31">
        <f t="shared" si="280"/>
        <v>0</v>
      </c>
      <c r="W71" s="31">
        <f t="shared" si="280"/>
        <v>0</v>
      </c>
      <c r="X71" s="31">
        <f t="shared" si="280"/>
        <v>0</v>
      </c>
      <c r="Y71" s="31">
        <f t="shared" si="280"/>
        <v>0</v>
      </c>
      <c r="Z71" s="31">
        <f t="shared" si="280"/>
        <v>0</v>
      </c>
      <c r="AA71" s="31">
        <f t="shared" si="280"/>
        <v>0</v>
      </c>
      <c r="AB71" s="31">
        <f t="shared" si="280"/>
        <v>0</v>
      </c>
      <c r="AC71" s="31">
        <f t="shared" si="280"/>
        <v>0</v>
      </c>
      <c r="AD71" s="31">
        <f t="shared" si="280"/>
        <v>0</v>
      </c>
      <c r="AE71" s="31">
        <f t="shared" si="280"/>
        <v>0</v>
      </c>
      <c r="AF71" s="31">
        <f t="shared" si="280"/>
        <v>0</v>
      </c>
      <c r="AG71" s="31">
        <f t="shared" si="280"/>
        <v>0</v>
      </c>
      <c r="AH71" s="31">
        <f t="shared" si="280"/>
        <v>0</v>
      </c>
      <c r="AI71" s="31">
        <f t="shared" si="280"/>
        <v>0</v>
      </c>
      <c r="AJ71" s="31">
        <f t="shared" si="280"/>
        <v>0</v>
      </c>
      <c r="AK71" s="31">
        <f t="shared" si="280"/>
        <v>0</v>
      </c>
      <c r="AL71" s="31">
        <f t="shared" si="280"/>
        <v>0</v>
      </c>
      <c r="AM71" s="31">
        <f t="shared" si="280"/>
        <v>0</v>
      </c>
      <c r="AN71" s="31">
        <f t="shared" si="280"/>
        <v>0</v>
      </c>
      <c r="AO71" s="31">
        <f t="shared" si="280"/>
        <v>0</v>
      </c>
      <c r="AP71" s="31">
        <f t="shared" si="280"/>
        <v>0</v>
      </c>
      <c r="AQ71" s="31">
        <f t="shared" si="280"/>
        <v>0</v>
      </c>
      <c r="AR71" s="31">
        <f t="shared" si="280"/>
        <v>0</v>
      </c>
      <c r="AS71" s="31">
        <f t="shared" si="280"/>
        <v>0</v>
      </c>
      <c r="AT71" s="31">
        <f t="shared" si="280"/>
        <v>0</v>
      </c>
      <c r="AU71" s="31">
        <f t="shared" si="280"/>
        <v>0</v>
      </c>
      <c r="AV71" s="31">
        <f t="shared" si="280"/>
        <v>0</v>
      </c>
      <c r="AW71" s="31">
        <f t="shared" si="280"/>
        <v>0</v>
      </c>
      <c r="AX71" s="31">
        <f t="shared" si="280"/>
        <v>0</v>
      </c>
      <c r="AY71" s="31">
        <f t="shared" si="280"/>
        <v>0</v>
      </c>
      <c r="AZ71" s="31">
        <f t="shared" si="280"/>
        <v>0</v>
      </c>
      <c r="BA71" s="31">
        <f t="shared" si="280"/>
        <v>0</v>
      </c>
      <c r="BB71" s="31">
        <f t="shared" si="280"/>
        <v>0</v>
      </c>
      <c r="BC71" s="31">
        <f>IF(OR(INDIRECT(ADDRESS(ROW() - 69, COLUMN())) = "C0",INDIRECT(ADDRESS(ROW() - 69, COLUMN())) = "C1"), 0, 15)</f>
        <v>15</v>
      </c>
      <c r="BD71" s="31">
        <f t="shared" ref="BD71:BG71" si="281">0</f>
        <v>0</v>
      </c>
      <c r="BE71" s="31">
        <f t="shared" si="281"/>
        <v>0</v>
      </c>
      <c r="BF71" s="31">
        <f t="shared" si="281"/>
        <v>0</v>
      </c>
      <c r="BG71" s="31">
        <f t="shared" si="281"/>
        <v>0</v>
      </c>
      <c r="BH71" s="88">
        <f t="shared" ref="BH71:CB71" si="282">0</f>
        <v>0</v>
      </c>
      <c r="BI71" s="88">
        <f t="shared" si="282"/>
        <v>0</v>
      </c>
      <c r="BJ71" s="88">
        <f t="shared" si="282"/>
        <v>0</v>
      </c>
      <c r="BK71" s="10">
        <f t="shared" si="282"/>
        <v>0</v>
      </c>
      <c r="BL71" s="88">
        <f t="shared" si="282"/>
        <v>0</v>
      </c>
      <c r="BM71" s="88">
        <f t="shared" si="282"/>
        <v>0</v>
      </c>
      <c r="BN71" s="88">
        <f t="shared" si="282"/>
        <v>0</v>
      </c>
      <c r="BO71" s="88">
        <f t="shared" si="282"/>
        <v>0</v>
      </c>
      <c r="BP71" s="88">
        <f t="shared" si="282"/>
        <v>0</v>
      </c>
      <c r="BQ71" s="88">
        <f t="shared" si="282"/>
        <v>0</v>
      </c>
      <c r="BR71" s="88">
        <f t="shared" si="282"/>
        <v>0</v>
      </c>
      <c r="BS71" s="180">
        <f t="shared" si="282"/>
        <v>0</v>
      </c>
      <c r="BT71" s="88">
        <f t="shared" si="282"/>
        <v>0</v>
      </c>
      <c r="BU71" s="88">
        <f t="shared" si="282"/>
        <v>0</v>
      </c>
      <c r="BV71" s="88">
        <f t="shared" si="282"/>
        <v>0</v>
      </c>
      <c r="BW71" s="88">
        <f t="shared" si="282"/>
        <v>0</v>
      </c>
      <c r="BX71" s="88">
        <f t="shared" si="282"/>
        <v>0</v>
      </c>
      <c r="BY71" s="88">
        <f t="shared" si="282"/>
        <v>0</v>
      </c>
      <c r="BZ71" s="88">
        <f t="shared" si="282"/>
        <v>0</v>
      </c>
      <c r="CA71" s="88">
        <f t="shared" si="282"/>
        <v>0</v>
      </c>
      <c r="CB71" s="88">
        <f t="shared" si="282"/>
        <v>0</v>
      </c>
    </row>
    <row r="72">
      <c r="A72" s="181" t="s">
        <v>248</v>
      </c>
      <c r="B72" s="31">
        <f>0</f>
        <v>0</v>
      </c>
      <c r="C72" s="31">
        <f t="shared" ref="C72:AV72" si="283">0</f>
        <v>0</v>
      </c>
      <c r="D72" s="31">
        <f t="shared" si="283"/>
        <v>0</v>
      </c>
      <c r="E72" s="31">
        <f t="shared" si="283"/>
        <v>0</v>
      </c>
      <c r="F72" s="31">
        <f t="shared" si="283"/>
        <v>0</v>
      </c>
      <c r="G72" s="31">
        <f t="shared" si="283"/>
        <v>0</v>
      </c>
      <c r="H72" s="179">
        <f t="shared" si="283"/>
        <v>0</v>
      </c>
      <c r="I72" s="31">
        <f t="shared" si="283"/>
        <v>0</v>
      </c>
      <c r="J72" s="31">
        <f t="shared" si="283"/>
        <v>0</v>
      </c>
      <c r="K72" s="31">
        <f t="shared" si="283"/>
        <v>0</v>
      </c>
      <c r="L72" s="31">
        <f t="shared" si="283"/>
        <v>0</v>
      </c>
      <c r="M72" s="31">
        <f t="shared" si="283"/>
        <v>0</v>
      </c>
      <c r="N72" s="31">
        <f t="shared" si="283"/>
        <v>0</v>
      </c>
      <c r="O72" s="31">
        <f t="shared" si="283"/>
        <v>0</v>
      </c>
      <c r="P72" s="31">
        <f t="shared" si="283"/>
        <v>0</v>
      </c>
      <c r="Q72" s="31">
        <f t="shared" si="283"/>
        <v>0</v>
      </c>
      <c r="R72" s="31">
        <f t="shared" si="283"/>
        <v>0</v>
      </c>
      <c r="S72" s="31">
        <f t="shared" si="283"/>
        <v>0</v>
      </c>
      <c r="T72" s="31">
        <f t="shared" si="283"/>
        <v>0</v>
      </c>
      <c r="U72" s="31">
        <f t="shared" si="283"/>
        <v>0</v>
      </c>
      <c r="V72" s="31">
        <f t="shared" si="283"/>
        <v>0</v>
      </c>
      <c r="W72" s="31">
        <f t="shared" si="283"/>
        <v>0</v>
      </c>
      <c r="X72" s="31">
        <f t="shared" si="283"/>
        <v>0</v>
      </c>
      <c r="Y72" s="31">
        <f t="shared" si="283"/>
        <v>0</v>
      </c>
      <c r="Z72" s="31">
        <f t="shared" si="283"/>
        <v>0</v>
      </c>
      <c r="AA72" s="31">
        <f t="shared" si="283"/>
        <v>0</v>
      </c>
      <c r="AB72" s="31">
        <f t="shared" si="283"/>
        <v>0</v>
      </c>
      <c r="AC72" s="31">
        <f t="shared" si="283"/>
        <v>0</v>
      </c>
      <c r="AD72" s="31">
        <f t="shared" si="283"/>
        <v>0</v>
      </c>
      <c r="AE72" s="31">
        <f t="shared" si="283"/>
        <v>0</v>
      </c>
      <c r="AF72" s="31">
        <f t="shared" si="283"/>
        <v>0</v>
      </c>
      <c r="AG72" s="31">
        <f t="shared" si="283"/>
        <v>0</v>
      </c>
      <c r="AH72" s="31">
        <f t="shared" si="283"/>
        <v>0</v>
      </c>
      <c r="AI72" s="31">
        <f t="shared" si="283"/>
        <v>0</v>
      </c>
      <c r="AJ72" s="31">
        <f t="shared" si="283"/>
        <v>0</v>
      </c>
      <c r="AK72" s="31">
        <f t="shared" si="283"/>
        <v>0</v>
      </c>
      <c r="AL72" s="31">
        <f t="shared" si="283"/>
        <v>0</v>
      </c>
      <c r="AM72" s="31">
        <f t="shared" si="283"/>
        <v>0</v>
      </c>
      <c r="AN72" s="31">
        <f t="shared" si="283"/>
        <v>0</v>
      </c>
      <c r="AO72" s="31">
        <f t="shared" si="283"/>
        <v>0</v>
      </c>
      <c r="AP72" s="31">
        <f t="shared" si="283"/>
        <v>0</v>
      </c>
      <c r="AQ72" s="31">
        <f t="shared" si="283"/>
        <v>0</v>
      </c>
      <c r="AR72" s="31">
        <f t="shared" si="283"/>
        <v>0</v>
      </c>
      <c r="AS72" s="31">
        <f t="shared" si="283"/>
        <v>0</v>
      </c>
      <c r="AT72" s="31">
        <f t="shared" si="283"/>
        <v>0</v>
      </c>
      <c r="AU72" s="31">
        <f t="shared" si="283"/>
        <v>0</v>
      </c>
      <c r="AV72" s="31">
        <f t="shared" si="283"/>
        <v>0</v>
      </c>
      <c r="AW72" s="31">
        <f t="shared" ref="AW72:BG72" si="284">0</f>
        <v>0</v>
      </c>
      <c r="AX72" s="31">
        <f t="shared" si="284"/>
        <v>0</v>
      </c>
      <c r="AY72" s="31">
        <f t="shared" si="284"/>
        <v>0</v>
      </c>
      <c r="AZ72" s="31">
        <f t="shared" si="284"/>
        <v>0</v>
      </c>
      <c r="BA72" s="31">
        <f t="shared" si="284"/>
        <v>0</v>
      </c>
      <c r="BB72" s="31">
        <f t="shared" si="284"/>
        <v>0</v>
      </c>
      <c r="BC72" s="31">
        <f t="shared" si="284"/>
        <v>0</v>
      </c>
      <c r="BD72" s="31">
        <f t="shared" si="284"/>
        <v>0</v>
      </c>
      <c r="BE72" s="31">
        <f t="shared" si="284"/>
        <v>0</v>
      </c>
      <c r="BF72" s="31">
        <f t="shared" si="284"/>
        <v>0</v>
      </c>
      <c r="BG72" s="31">
        <f t="shared" si="284"/>
        <v>0</v>
      </c>
      <c r="BH72" s="88">
        <f t="shared" ref="BH72:CB72" si="285">0</f>
        <v>0</v>
      </c>
      <c r="BI72" s="88">
        <f t="shared" si="285"/>
        <v>0</v>
      </c>
      <c r="BJ72" s="88">
        <f t="shared" si="285"/>
        <v>0</v>
      </c>
      <c r="BK72" s="10">
        <f t="shared" si="285"/>
        <v>0</v>
      </c>
      <c r="BL72" s="88">
        <f t="shared" si="285"/>
        <v>0</v>
      </c>
      <c r="BM72" s="88">
        <f t="shared" si="285"/>
        <v>0</v>
      </c>
      <c r="BN72" s="88">
        <f t="shared" si="285"/>
        <v>0</v>
      </c>
      <c r="BO72" s="88">
        <f t="shared" si="285"/>
        <v>0</v>
      </c>
      <c r="BP72" s="88">
        <f t="shared" si="285"/>
        <v>0</v>
      </c>
      <c r="BQ72" s="88">
        <f t="shared" si="285"/>
        <v>0</v>
      </c>
      <c r="BR72" s="88">
        <f t="shared" si="285"/>
        <v>0</v>
      </c>
      <c r="BS72" s="180">
        <f t="shared" si="285"/>
        <v>0</v>
      </c>
      <c r="BT72" s="88">
        <f t="shared" si="285"/>
        <v>0</v>
      </c>
      <c r="BU72" s="88">
        <f t="shared" si="285"/>
        <v>0</v>
      </c>
      <c r="BV72" s="88">
        <f t="shared" si="285"/>
        <v>0</v>
      </c>
      <c r="BW72" s="88">
        <f t="shared" si="285"/>
        <v>0</v>
      </c>
      <c r="BX72" s="88">
        <f t="shared" si="285"/>
        <v>0</v>
      </c>
      <c r="BY72" s="88">
        <f t="shared" si="285"/>
        <v>0</v>
      </c>
      <c r="BZ72" s="88">
        <f t="shared" si="285"/>
        <v>0</v>
      </c>
      <c r="CA72" s="88">
        <f t="shared" si="285"/>
        <v>0</v>
      </c>
      <c r="CB72" s="88">
        <f t="shared" si="285"/>
        <v>0</v>
      </c>
    </row>
    <row r="73">
      <c r="B73" s="10"/>
      <c r="C73" s="10"/>
      <c r="D73" s="10"/>
      <c r="E73" s="10"/>
      <c r="F73" s="10"/>
      <c r="G73" s="10"/>
      <c r="H73" s="10"/>
      <c r="I73" s="10"/>
      <c r="J73" s="10"/>
      <c r="K73" s="10"/>
      <c r="L73" s="10"/>
      <c r="M73" s="10"/>
      <c r="N73" s="1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8.67"/>
    <col customWidth="1" min="2" max="2" width="14.44"/>
    <col customWidth="1" min="3" max="3" width="13.33"/>
    <col customWidth="1" min="4" max="4" width="12.22"/>
    <col customWidth="1" min="5" max="5" width="16.67"/>
    <col customWidth="1" min="6" max="6" width="15.67"/>
    <col customWidth="1" min="7" max="7" width="17.33"/>
    <col customWidth="1" min="8" max="8" width="17.44"/>
    <col customWidth="1" min="9" max="9" width="14.89"/>
    <col customWidth="1" min="10" max="10" width="13.11"/>
    <col customWidth="1" min="11" max="11" width="16.67"/>
  </cols>
  <sheetData>
    <row r="2">
      <c r="A2" s="4" t="s">
        <v>68</v>
      </c>
      <c r="B2" s="4" t="s">
        <v>362</v>
      </c>
      <c r="C2" s="4" t="s">
        <v>353</v>
      </c>
      <c r="D2" s="4" t="s">
        <v>371</v>
      </c>
      <c r="E2" s="4" t="s">
        <v>350</v>
      </c>
      <c r="F2" s="4" t="s">
        <v>374</v>
      </c>
      <c r="G2" s="4" t="s">
        <v>346</v>
      </c>
      <c r="H2" s="4" t="s">
        <v>378</v>
      </c>
      <c r="I2" s="4" t="s">
        <v>324</v>
      </c>
      <c r="J2" s="4" t="s">
        <v>341</v>
      </c>
      <c r="K2" s="4" t="s">
        <v>385</v>
      </c>
      <c r="L2" s="4" t="s">
        <v>390</v>
      </c>
      <c r="M2" s="4"/>
    </row>
    <row r="3">
      <c r="A3" s="4" t="s">
        <v>411</v>
      </c>
      <c r="B3" s="4" t="str">
        <f>"Paramita Papilio"</f>
        <v>Paramita Papilio</v>
      </c>
      <c r="C3" s="4" t="s">
        <v>412</v>
      </c>
      <c r="D3" s="4" t="s">
        <v>413</v>
      </c>
      <c r="E3" s="4" t="s">
        <v>414</v>
      </c>
      <c r="F3" s="4" t="s">
        <v>415</v>
      </c>
      <c r="G3" s="4" t="s">
        <v>416</v>
      </c>
      <c r="H3" s="4" t="s">
        <v>417</v>
      </c>
      <c r="I3" s="4" t="s">
        <v>418</v>
      </c>
      <c r="J3" s="4" t="s">
        <v>419</v>
      </c>
      <c r="K3" s="4" t="s">
        <v>420</v>
      </c>
      <c r="L3" s="4" t="s">
        <v>421</v>
      </c>
      <c r="M3" s="4"/>
    </row>
    <row r="4">
      <c r="A4" s="4" t="s">
        <v>422</v>
      </c>
      <c r="B4" s="10" t="str">
        <f>ROUND(MIN(4 * (INDIRECT(ADDRESS(ROW(), COLUMN() - 6)) + INDIRECT(ADDRESS(ROW(), COLUMN() - 5))), INDIRECT(ADDRESS(ROW() + 8, COLUMN() + 1)) * IF(INDIRECT(ADDRESS(ROW() - 14, COLUMN() - 3)) = 8, 5.66%, IF(INDIRECT(ADDRESS(ROW() - 14, COLUMN() - 3)) = 9, 5.96%, IF(INDIRECT(ADDRESS(ROW() - 14, COLUMN() - 3)) = 10, 6.26%, IF(INDIRECT(ADDRESS(ROW() - 14, COLUMN() - 3)) = 11, 6.56%, IF(INDIRECT(ADDRESS(ROW() - 14, COLUMN() - 3)) = 12, 6.85%, IF(INDIRECT(ADDRESS(ROW() - 14, COLUMN() - 3)) = 13, 7.15%, 0))))))),0)</f>
        <v>#VALUE!</v>
      </c>
      <c r="D4" s="88" t="str">
        <f> (IF(INDIRECT(ADDRESS(ROW() - 13, 6)) = 1, 40, IF(INDIRECT(ADDRESS(ROW() - 13, 6)) = 2, 43, IF(INDIRECT(ADDRESS(ROW() - 13, 6)) = 3, 46, IF(INDIRECT(ADDRESS(ROW() - 13, 6)) = 4, 50, IF(INDIRECT(ADDRESS(ROW() - 13, 6)) = 5, 53, IF(INDIRECT(ADDRESS(ROW() - 13, 6)) = 6, 56, IF(INDIRECT(ADDRESS(ROW() - 13, 6)) = 7, 60, IF(INDIRECT(ADDRESS(ROW() - 13, 6)) = 8, 64, IF(INDIRECT(ADDRESS(ROW() - 13, 6)) = 9, 68, IF(INDIRECT(ADDRESS(ROW() - 13, 6)) = 10, 72, IF(INDIRECT(ADDRESS(ROW() - 13, 6)) = 11, 76, IF(INDIRECT(ADDRESS(ROW() - 13, 6)) = 12, 80, IF(INDIRECT(ADDRESS(ROW() - 13, 6)) = 13, 85,0))))))))))))) + IF(INDIRECT(ADDRESS(ROW() - 1, 3)) = "C6", 50))% * INDIRECT(ADDRESS(ROW() + 4, 10))</f>
        <v>#VALUE!</v>
      </c>
      <c r="E4" s="88" t="str">
        <f> (IF(INDIRECT(ADDRESS(ROW() - 13, 6)) = 1, 57.5999999999999, IF(INDIRECT(ADDRESS(ROW() - 13, 6)) = 2, 61.9199999999999, IF(INDIRECT(ADDRESS(ROW() - 13, 6)) = 3, 66.24, IF(INDIRECT(ADDRESS(ROW() - 13, 6)) = 4, 72, IF(INDIRECT(ADDRESS(ROW() - 13, 6)) = 5, 76.32, IF(INDIRECT(ADDRESS(ROW() - 13, 6)) = 6, 80.64, IF(INDIRECT(ADDRESS(ROW() - 13, 6)) = 7, 86.4, IF(INDIRECT(ADDRESS(ROW() - 13, 6)) = 8, 92.16, IF(INDIRECT(ADDRESS(ROW() - 13, 6)) = 9, 97.92, IF(INDIRECT(ADDRESS(ROW() - 13, 6)) = 10, 103.679999999999, IF(INDIRECT(ADDRESS(ROW() - 13, 6)) = 11, 109.44, IF(INDIRECT(ADDRESS(ROW() - 13, 6)) = 12, 115.199999999999, IF(INDIRECT(ADDRESS(ROW() - 13, 6)) = 13, 122.399999999999,0))))))))))))))% * INDIRECT(ADDRESS(ROW() + 4, 10))</f>
        <v>#VALUE!</v>
      </c>
    </row>
    <row r="5">
      <c r="A5" s="4" t="s">
        <v>160</v>
      </c>
    </row>
    <row r="6">
      <c r="A6" s="181" t="s">
        <v>423</v>
      </c>
      <c r="H6" s="88">
        <f>MIN(30, IF(INDIRECT(ADDRESS(ROW() - 3, 3)) = "C6", (INDIRECT(ADDRESS(ROW() + 6, 10)) / 1000) * 0.6, 0))</f>
        <v>0</v>
      </c>
    </row>
    <row r="7">
      <c r="A7" s="181" t="s">
        <v>424</v>
      </c>
      <c r="H7" s="88">
        <f>MIN(60, IF(INDIRECT(ADDRESS(ROW() - 4, 3)) = "C6", (INDIRECT(ADDRESS(ROW() + 5, 10)) / 1000) * 1.2, 0))</f>
        <v>0</v>
      </c>
    </row>
    <row r="8">
      <c r="A8" s="181" t="s">
        <v>425</v>
      </c>
    </row>
    <row r="9">
      <c r="A9" s="181" t="s">
        <v>161</v>
      </c>
    </row>
    <row r="10">
      <c r="A10" s="181" t="s">
        <v>164</v>
      </c>
    </row>
    <row r="11">
      <c r="A11" s="181" t="s">
        <v>165</v>
      </c>
    </row>
    <row r="12">
      <c r="A12" s="181" t="s">
        <v>426</v>
      </c>
    </row>
    <row r="13">
      <c r="A13" s="181" t="s">
        <v>154</v>
      </c>
    </row>
    <row r="14">
      <c r="A14" s="181" t="s">
        <v>189</v>
      </c>
    </row>
    <row r="15">
      <c r="A15" s="181" t="s">
        <v>190</v>
      </c>
    </row>
    <row r="16">
      <c r="A16" s="181" t="s">
        <v>191</v>
      </c>
    </row>
    <row r="17">
      <c r="A17" s="181" t="s">
        <v>192</v>
      </c>
      <c r="F17" s="88">
        <f>MAX(0, (INDIRECT(ADDRESS(ROW() - 7, 10)) * 0.2))</f>
        <v>0</v>
      </c>
    </row>
    <row r="18">
      <c r="A18" s="181" t="s">
        <v>193</v>
      </c>
    </row>
    <row r="19">
      <c r="A19" s="181" t="s">
        <v>194</v>
      </c>
      <c r="C19" s="88">
        <f>MAX(0, (INDIRECT(ADDRESS(ROW() - 9, 10)) - 100) * 0.4)</f>
        <v>0</v>
      </c>
    </row>
    <row r="20">
      <c r="A20" s="181" t="s">
        <v>195</v>
      </c>
    </row>
    <row r="21">
      <c r="A21" s="181" t="s">
        <v>196</v>
      </c>
    </row>
    <row r="22">
      <c r="A22" s="181" t="s">
        <v>197</v>
      </c>
    </row>
    <row r="23">
      <c r="A23" s="181" t="s">
        <v>198</v>
      </c>
    </row>
    <row r="24">
      <c r="A24" s="181" t="s">
        <v>199</v>
      </c>
    </row>
    <row r="25">
      <c r="A25" s="181" t="s">
        <v>200</v>
      </c>
      <c r="G25" s="88">
        <f>0.15 * INDIRECT(ADDRESS(ROW() - 14, 10))</f>
        <v>0</v>
      </c>
      <c r="I25" s="88">
        <f>0.15 * INDIRECT(ADDRESS(ROW() - 14, 10))</f>
        <v>0</v>
      </c>
      <c r="L25" s="88">
        <f>(INDIRECT(ADDRESS(ROW() - 13, 10)) * 0.4 / 1000)</f>
        <v>0</v>
      </c>
    </row>
    <row r="26">
      <c r="A26" s="181" t="s">
        <v>201</v>
      </c>
      <c r="I26" s="88">
        <f>0.1 * INDIRECT(ADDRESS(ROW() - 15, 10))</f>
        <v>0</v>
      </c>
      <c r="J26" s="88">
        <f>0.06 * INDIRECT(ADDRESS(ROW() - 15, 10))</f>
        <v>0</v>
      </c>
      <c r="K26" s="88">
        <f>MIN(100, 0.1 * INDIRECT(ADDRESS(ROW() - 15, 10)))</f>
        <v>0</v>
      </c>
      <c r="L26" s="88">
        <f>(INDIRECT(ADDRESS(ROW() - 14, 10)) * 0.3 / 1000)</f>
        <v>0</v>
      </c>
    </row>
    <row r="27">
      <c r="A27" s="181" t="s">
        <v>202</v>
      </c>
    </row>
    <row r="28">
      <c r="A28" s="181" t="s">
        <v>203</v>
      </c>
      <c r="J28" s="88">
        <f>0.06 * INDIRECT(ADDRESS(ROW() - 17, 10))</f>
        <v>0</v>
      </c>
    </row>
    <row r="29">
      <c r="A29" s="181" t="s">
        <v>204</v>
      </c>
    </row>
    <row r="30">
      <c r="A30" s="181" t="s">
        <v>205</v>
      </c>
    </row>
    <row r="31">
      <c r="A31" s="181" t="s">
        <v>206</v>
      </c>
    </row>
    <row r="32">
      <c r="A32" s="181" t="s">
        <v>207</v>
      </c>
    </row>
    <row r="33">
      <c r="A33" s="181" t="s">
        <v>208</v>
      </c>
    </row>
    <row r="34">
      <c r="A34" s="181" t="s">
        <v>209</v>
      </c>
    </row>
    <row r="35">
      <c r="A35" s="181" t="s">
        <v>210</v>
      </c>
    </row>
    <row r="36">
      <c r="A36" s="181" t="s">
        <v>211</v>
      </c>
    </row>
    <row r="37">
      <c r="A37" s="181" t="s">
        <v>212</v>
      </c>
    </row>
    <row r="38">
      <c r="A38" s="181" t="s">
        <v>213</v>
      </c>
    </row>
    <row r="39">
      <c r="A39" s="181" t="s">
        <v>214</v>
      </c>
    </row>
    <row r="40">
      <c r="A40" s="181" t="s">
        <v>215</v>
      </c>
    </row>
    <row r="41">
      <c r="A41" s="181" t="s">
        <v>216</v>
      </c>
    </row>
    <row r="42">
      <c r="A42" s="181" t="s">
        <v>217</v>
      </c>
    </row>
    <row r="43">
      <c r="A43" s="181" t="s">
        <v>218</v>
      </c>
    </row>
    <row r="44">
      <c r="A44" s="181" t="s">
        <v>219</v>
      </c>
    </row>
    <row r="45">
      <c r="A45" s="181" t="s">
        <v>220</v>
      </c>
    </row>
    <row r="46">
      <c r="A46" s="181" t="s">
        <v>221</v>
      </c>
    </row>
    <row r="47">
      <c r="A47" s="181" t="s">
        <v>222</v>
      </c>
    </row>
    <row r="48">
      <c r="A48" s="181" t="s">
        <v>223</v>
      </c>
    </row>
    <row r="49">
      <c r="A49" s="181" t="s">
        <v>224</v>
      </c>
    </row>
    <row r="50">
      <c r="A50" s="181" t="s">
        <v>225</v>
      </c>
    </row>
    <row r="51">
      <c r="A51" s="181" t="s">
        <v>226</v>
      </c>
    </row>
    <row r="52">
      <c r="A52" s="181" t="s">
        <v>227</v>
      </c>
    </row>
    <row r="53">
      <c r="A53" s="181" t="s">
        <v>228</v>
      </c>
    </row>
    <row r="54">
      <c r="A54" s="181" t="s">
        <v>229</v>
      </c>
    </row>
    <row r="55">
      <c r="A55" s="181" t="s">
        <v>230</v>
      </c>
    </row>
    <row r="56">
      <c r="A56" s="181" t="s">
        <v>231</v>
      </c>
    </row>
    <row r="57">
      <c r="A57" s="181" t="s">
        <v>232</v>
      </c>
    </row>
    <row r="58">
      <c r="A58" s="181" t="s">
        <v>233</v>
      </c>
    </row>
    <row r="59">
      <c r="A59" s="181" t="s">
        <v>234</v>
      </c>
    </row>
    <row r="60">
      <c r="A60" s="181" t="s">
        <v>235</v>
      </c>
    </row>
    <row r="61">
      <c r="A61" s="181" t="s">
        <v>236</v>
      </c>
    </row>
    <row r="62">
      <c r="A62" s="181" t="s">
        <v>237</v>
      </c>
    </row>
    <row r="63">
      <c r="A63" s="181" t="s">
        <v>238</v>
      </c>
    </row>
    <row r="64">
      <c r="A64" s="181" t="s">
        <v>239</v>
      </c>
    </row>
    <row r="65">
      <c r="A65" s="181" t="s">
        <v>240</v>
      </c>
    </row>
    <row r="66">
      <c r="A66" s="181" t="s">
        <v>241</v>
      </c>
    </row>
    <row r="67">
      <c r="A67" s="181" t="s">
        <v>242</v>
      </c>
    </row>
    <row r="68">
      <c r="A68" s="181" t="s">
        <v>243</v>
      </c>
    </row>
    <row r="69">
      <c r="A69" s="181" t="s">
        <v>244</v>
      </c>
    </row>
    <row r="70">
      <c r="A70" s="181" t="s">
        <v>408</v>
      </c>
    </row>
    <row r="71">
      <c r="A71" s="181" t="s">
        <v>409</v>
      </c>
    </row>
    <row r="72">
      <c r="A72" s="181" t="s">
        <v>410</v>
      </c>
    </row>
    <row r="73">
      <c r="A73" s="181" t="s">
        <v>248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sheetData>
    <row r="2">
      <c r="A2" s="4" t="s">
        <v>68</v>
      </c>
      <c r="B2" s="1" t="s">
        <v>362</v>
      </c>
      <c r="C2" s="2"/>
      <c r="D2" s="2"/>
      <c r="E2" s="3"/>
      <c r="F2" s="1" t="s">
        <v>365</v>
      </c>
      <c r="G2" s="2"/>
      <c r="H2" s="2"/>
      <c r="I2" s="3"/>
      <c r="J2" s="1" t="s">
        <v>364</v>
      </c>
      <c r="K2" s="2"/>
      <c r="L2" s="2"/>
      <c r="M2" s="3"/>
      <c r="N2" s="1" t="s">
        <v>349</v>
      </c>
      <c r="O2" s="2"/>
      <c r="P2" s="2"/>
      <c r="Q2" s="3"/>
      <c r="R2" s="182"/>
      <c r="S2" s="182"/>
      <c r="T2" s="182"/>
      <c r="U2" s="182"/>
      <c r="V2" s="182"/>
      <c r="W2" s="182"/>
      <c r="X2" s="182"/>
      <c r="Y2" s="182"/>
    </row>
    <row r="3">
      <c r="A3" s="4" t="s">
        <v>427</v>
      </c>
      <c r="B3" s="4" t="s">
        <v>152</v>
      </c>
      <c r="C3" s="4" t="s">
        <v>120</v>
      </c>
      <c r="D3" s="4" t="s">
        <v>153</v>
      </c>
      <c r="E3" s="4" t="s">
        <v>165</v>
      </c>
      <c r="F3" s="4" t="s">
        <v>152</v>
      </c>
      <c r="G3" s="4" t="s">
        <v>120</v>
      </c>
      <c r="H3" s="4" t="s">
        <v>153</v>
      </c>
      <c r="I3" s="4" t="s">
        <v>165</v>
      </c>
      <c r="J3" s="4" t="s">
        <v>152</v>
      </c>
      <c r="K3" s="4" t="s">
        <v>120</v>
      </c>
      <c r="L3" s="4" t="s">
        <v>153</v>
      </c>
      <c r="M3" s="4" t="s">
        <v>165</v>
      </c>
      <c r="N3" s="4" t="s">
        <v>152</v>
      </c>
      <c r="O3" s="4" t="s">
        <v>120</v>
      </c>
      <c r="P3" s="4" t="s">
        <v>153</v>
      </c>
      <c r="Q3" s="4" t="s">
        <v>165</v>
      </c>
      <c r="R3" s="182"/>
      <c r="S3" s="182"/>
      <c r="T3" s="182"/>
      <c r="U3" s="182"/>
      <c r="V3" s="10"/>
      <c r="W3" s="10"/>
      <c r="X3" s="10"/>
      <c r="Y3" s="10"/>
    </row>
    <row r="4">
      <c r="A4" s="5" t="s">
        <v>180</v>
      </c>
      <c r="B4" s="88">
        <f t="shared" ref="B4:G4" si="1">0</f>
        <v>0</v>
      </c>
      <c r="C4" s="88">
        <f t="shared" si="1"/>
        <v>0</v>
      </c>
      <c r="D4" s="88">
        <f t="shared" si="1"/>
        <v>0</v>
      </c>
      <c r="E4" s="183">
        <f t="shared" si="1"/>
        <v>0</v>
      </c>
      <c r="F4" s="88">
        <f t="shared" si="1"/>
        <v>0</v>
      </c>
      <c r="G4" s="88">
        <f t="shared" si="1"/>
        <v>0</v>
      </c>
      <c r="H4" s="88">
        <f t="shared" ref="H4:H6" si="4">1.39</f>
        <v>1.39</v>
      </c>
      <c r="I4" s="183">
        <f t="shared" ref="I4:Q4" si="2">0</f>
        <v>0</v>
      </c>
      <c r="J4" s="88">
        <f t="shared" si="2"/>
        <v>0</v>
      </c>
      <c r="K4" s="88">
        <f t="shared" si="2"/>
        <v>0</v>
      </c>
      <c r="L4" s="88">
        <f t="shared" si="2"/>
        <v>0</v>
      </c>
      <c r="M4" s="183">
        <f t="shared" si="2"/>
        <v>0</v>
      </c>
      <c r="N4" s="88">
        <f t="shared" si="2"/>
        <v>0</v>
      </c>
      <c r="O4" s="88">
        <f t="shared" si="2"/>
        <v>0</v>
      </c>
      <c r="P4" s="88">
        <f t="shared" si="2"/>
        <v>0</v>
      </c>
      <c r="Q4" s="183">
        <f t="shared" si="2"/>
        <v>0</v>
      </c>
      <c r="R4" s="182"/>
      <c r="S4" s="182"/>
      <c r="T4" s="182"/>
      <c r="U4" s="182"/>
    </row>
    <row r="5">
      <c r="A5" s="5" t="s">
        <v>183</v>
      </c>
      <c r="B5" s="88">
        <f t="shared" ref="B5:G5" si="3">0</f>
        <v>0</v>
      </c>
      <c r="C5" s="88">
        <f t="shared" si="3"/>
        <v>0</v>
      </c>
      <c r="D5" s="88">
        <f t="shared" si="3"/>
        <v>0</v>
      </c>
      <c r="E5" s="183">
        <f t="shared" si="3"/>
        <v>0</v>
      </c>
      <c r="F5" s="88">
        <f t="shared" si="3"/>
        <v>0</v>
      </c>
      <c r="G5" s="88">
        <f t="shared" si="3"/>
        <v>0</v>
      </c>
      <c r="H5" s="10">
        <f t="shared" si="4"/>
        <v>1.39</v>
      </c>
      <c r="I5" s="183">
        <f t="shared" ref="I5:Q5" si="5">0</f>
        <v>0</v>
      </c>
      <c r="J5" s="88">
        <f t="shared" si="5"/>
        <v>0</v>
      </c>
      <c r="K5" s="88">
        <f t="shared" si="5"/>
        <v>0</v>
      </c>
      <c r="L5" s="88">
        <f t="shared" si="5"/>
        <v>0</v>
      </c>
      <c r="M5" s="183">
        <f t="shared" si="5"/>
        <v>0</v>
      </c>
      <c r="N5" s="88">
        <f t="shared" si="5"/>
        <v>0</v>
      </c>
      <c r="O5" s="88">
        <f t="shared" si="5"/>
        <v>0</v>
      </c>
      <c r="P5" s="88">
        <f t="shared" si="5"/>
        <v>0</v>
      </c>
      <c r="Q5" s="183">
        <f t="shared" si="5"/>
        <v>0</v>
      </c>
      <c r="R5" s="182"/>
      <c r="S5" s="182"/>
      <c r="T5" s="182"/>
      <c r="U5" s="182"/>
    </row>
    <row r="6">
      <c r="A6" s="5" t="s">
        <v>184</v>
      </c>
      <c r="B6" s="88">
        <f t="shared" ref="B6:G6" si="6">0</f>
        <v>0</v>
      </c>
      <c r="C6" s="88">
        <f t="shared" si="6"/>
        <v>0</v>
      </c>
      <c r="D6" s="88">
        <f t="shared" si="6"/>
        <v>0</v>
      </c>
      <c r="E6" s="183">
        <f t="shared" si="6"/>
        <v>0</v>
      </c>
      <c r="F6" s="88">
        <f t="shared" si="6"/>
        <v>0</v>
      </c>
      <c r="G6" s="88">
        <f t="shared" si="6"/>
        <v>0</v>
      </c>
      <c r="H6" s="88">
        <f t="shared" si="4"/>
        <v>1.39</v>
      </c>
      <c r="I6" s="183">
        <f t="shared" ref="I6:Q6" si="7">0</f>
        <v>0</v>
      </c>
      <c r="J6" s="88">
        <f t="shared" si="7"/>
        <v>0</v>
      </c>
      <c r="K6" s="88">
        <f t="shared" si="7"/>
        <v>0</v>
      </c>
      <c r="L6" s="88">
        <f t="shared" si="7"/>
        <v>0</v>
      </c>
      <c r="M6" s="183">
        <f t="shared" si="7"/>
        <v>0</v>
      </c>
      <c r="N6" s="88">
        <f t="shared" si="7"/>
        <v>0</v>
      </c>
      <c r="O6" s="88">
        <f t="shared" si="7"/>
        <v>0</v>
      </c>
      <c r="P6" s="88">
        <f t="shared" si="7"/>
        <v>0</v>
      </c>
      <c r="Q6" s="183">
        <f t="shared" si="7"/>
        <v>0</v>
      </c>
      <c r="R6" s="182"/>
      <c r="S6" s="182"/>
      <c r="T6" s="182"/>
      <c r="U6" s="182"/>
    </row>
    <row r="7">
      <c r="A7" s="5" t="s">
        <v>185</v>
      </c>
      <c r="B7" s="88">
        <f t="shared" ref="B7:C7" si="8">0</f>
        <v>0</v>
      </c>
      <c r="C7" s="88">
        <f t="shared" si="8"/>
        <v>0</v>
      </c>
      <c r="D7" s="88" t="str">
        <f>IF(OR(INDIRECT(ADDRESS(ROW() - 2, COLUMN() - 12)) = "C0", INDIRECT(ADDRESS(ROW() - 2, COLUMN() - 12)) = "C1"), 0, 20)</f>
        <v>#VALUE!</v>
      </c>
      <c r="E7" s="183">
        <f t="shared" ref="E7:G7" si="9">0</f>
        <v>0</v>
      </c>
      <c r="F7" s="88">
        <f t="shared" si="9"/>
        <v>0</v>
      </c>
      <c r="G7" s="88">
        <f t="shared" si="9"/>
        <v>0</v>
      </c>
      <c r="H7" s="88">
        <f>1.9</f>
        <v>1.9</v>
      </c>
      <c r="I7" s="183">
        <f t="shared" ref="I7:N7" si="10">0</f>
        <v>0</v>
      </c>
      <c r="J7" s="88">
        <f t="shared" si="10"/>
        <v>0</v>
      </c>
      <c r="K7" s="88">
        <f t="shared" si="10"/>
        <v>0</v>
      </c>
      <c r="L7" s="88">
        <f t="shared" si="10"/>
        <v>0</v>
      </c>
      <c r="M7" s="183">
        <f t="shared" si="10"/>
        <v>0</v>
      </c>
      <c r="N7" s="88">
        <f t="shared" si="10"/>
        <v>0</v>
      </c>
      <c r="O7" s="88">
        <f>156</f>
        <v>156</v>
      </c>
      <c r="P7" s="88">
        <f t="shared" ref="P7:Q7" si="11">0</f>
        <v>0</v>
      </c>
      <c r="Q7" s="183">
        <f t="shared" si="11"/>
        <v>0</v>
      </c>
      <c r="R7" s="182"/>
      <c r="S7" s="182"/>
      <c r="T7" s="182"/>
      <c r="U7" s="182"/>
      <c r="V7" s="10"/>
      <c r="W7" s="10"/>
      <c r="X7" s="10"/>
      <c r="Y7" s="10"/>
    </row>
    <row r="8">
      <c r="A8" s="5" t="s">
        <v>186</v>
      </c>
      <c r="B8" s="184">
        <f t="shared" ref="B8:G8" si="12">0</f>
        <v>0</v>
      </c>
      <c r="C8" s="184">
        <f t="shared" si="12"/>
        <v>0</v>
      </c>
      <c r="D8" s="184">
        <f t="shared" si="12"/>
        <v>0</v>
      </c>
      <c r="E8" s="185">
        <f t="shared" si="12"/>
        <v>0</v>
      </c>
      <c r="F8" s="184">
        <f t="shared" si="12"/>
        <v>0</v>
      </c>
      <c r="G8" s="184">
        <f t="shared" si="12"/>
        <v>0</v>
      </c>
      <c r="H8" s="184">
        <f>33</f>
        <v>33</v>
      </c>
      <c r="I8" s="185">
        <f t="shared" ref="I8:J8" si="13">0</f>
        <v>0</v>
      </c>
      <c r="J8" s="184">
        <f t="shared" si="13"/>
        <v>0</v>
      </c>
      <c r="K8" s="184">
        <f>IF(OR(INDIRECT(ADDRESS(ROW() - 3, 3)) = "C0", INDIRECT(ADDRESS(ROW() - 3, 3)) = "C1"), 0, 120)</f>
        <v>120</v>
      </c>
      <c r="L8" s="184">
        <f t="shared" ref="L8:N8" si="14">0</f>
        <v>0</v>
      </c>
      <c r="M8" s="185">
        <f t="shared" si="14"/>
        <v>0</v>
      </c>
      <c r="N8" s="184">
        <f t="shared" si="14"/>
        <v>0</v>
      </c>
      <c r="O8" s="184">
        <f>15.6</f>
        <v>15.6</v>
      </c>
      <c r="P8" s="184">
        <f t="shared" ref="P8:Q8" si="15">0</f>
        <v>0</v>
      </c>
      <c r="Q8" s="185">
        <f t="shared" si="15"/>
        <v>0</v>
      </c>
      <c r="R8" s="182"/>
      <c r="S8" s="182"/>
      <c r="T8" s="182"/>
      <c r="U8" s="182"/>
    </row>
  </sheetData>
  <mergeCells count="4">
    <mergeCell ref="B2:E2"/>
    <mergeCell ref="F2:I2"/>
    <mergeCell ref="J2:M2"/>
    <mergeCell ref="N2:Q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2" max="2" width="14.89"/>
    <col customWidth="1" min="3" max="3" width="13.78"/>
    <col customWidth="1" min="4" max="4" width="14.0"/>
    <col customWidth="1" min="5" max="5" width="13.78"/>
    <col customWidth="1" min="6" max="6" width="15.22"/>
    <col customWidth="1" min="7" max="7" width="15.0"/>
    <col customWidth="1" min="9" max="9" width="12.89"/>
    <col customWidth="1" min="11" max="11" width="12.11"/>
    <col customWidth="1" min="12" max="12" width="14.44"/>
    <col customWidth="1" min="13" max="13" width="13.33"/>
    <col customWidth="1" min="14" max="14" width="17.78"/>
    <col customWidth="1" min="17" max="17" width="13.56"/>
    <col customWidth="1" min="18" max="19" width="12.0"/>
    <col customWidth="1" min="21" max="21" width="14.89"/>
    <col customWidth="1" min="22" max="22" width="12.78"/>
    <col customWidth="1" min="24" max="24" width="17.78"/>
    <col customWidth="1" min="26" max="26" width="17.89"/>
    <col customWidth="1" min="29" max="29" width="12.67"/>
    <col customWidth="1" min="32" max="32" width="16.67"/>
    <col customWidth="1" min="33" max="33" width="18.11"/>
    <col customWidth="1" min="34" max="34" width="14.22"/>
    <col customWidth="1" min="35" max="35" width="17.67"/>
    <col customWidth="1" min="36" max="36" width="16.44"/>
    <col customWidth="1" min="37" max="37" width="13.67"/>
    <col customWidth="1" min="38" max="39" width="12.78"/>
    <col customWidth="1" min="40" max="40" width="12.89"/>
    <col customWidth="1" min="41" max="41" width="16.0"/>
    <col customWidth="1" min="45" max="45" width="13.11"/>
    <col customWidth="1" min="47" max="47" width="14.56"/>
    <col customWidth="1" min="49" max="49" width="12.11"/>
    <col customWidth="1" min="50" max="50" width="13.22"/>
    <col customWidth="1" min="51" max="52" width="13.33"/>
    <col customWidth="1" min="53" max="53" width="13.44"/>
    <col customWidth="1" min="54" max="54" width="13.33"/>
    <col customWidth="1" min="55" max="55" width="14.67"/>
    <col customWidth="1" min="56" max="56" width="12.44"/>
    <col customWidth="1" min="57" max="57" width="17.67"/>
    <col customWidth="1" min="58" max="58" width="16.56"/>
    <col customWidth="1" min="59" max="60" width="23.78"/>
    <col customWidth="1" min="61" max="61" width="20.0"/>
    <col customWidth="1" min="62" max="62" width="17.11"/>
    <col customWidth="1" min="64" max="64" width="14.33"/>
    <col customWidth="1" min="66" max="66" width="16.56"/>
    <col customWidth="1" min="67" max="67" width="13.67"/>
    <col customWidth="1" min="68" max="68" width="14.44"/>
    <col customWidth="1" min="69" max="69" width="19.22"/>
    <col customWidth="1" min="70" max="70" width="20.22"/>
    <col customWidth="1" min="72" max="72" width="15.11"/>
    <col customWidth="1" min="73" max="73" width="18.0"/>
    <col customWidth="1" min="75" max="75" width="22.67"/>
    <col customWidth="1" min="89" max="89" width="13.56"/>
  </cols>
  <sheetData>
    <row r="2">
      <c r="A2" s="4" t="s">
        <v>68</v>
      </c>
      <c r="B2" s="4" t="s">
        <v>362</v>
      </c>
      <c r="C2" s="4" t="s">
        <v>362</v>
      </c>
      <c r="D2" s="4" t="s">
        <v>319</v>
      </c>
      <c r="E2" s="4" t="s">
        <v>319</v>
      </c>
      <c r="F2" s="4" t="s">
        <v>323</v>
      </c>
      <c r="G2" s="4" t="s">
        <v>324</v>
      </c>
      <c r="H2" s="4" t="s">
        <v>326</v>
      </c>
      <c r="I2" s="4" t="s">
        <v>329</v>
      </c>
      <c r="J2" s="4" t="s">
        <v>331</v>
      </c>
      <c r="K2" s="4" t="s">
        <v>333</v>
      </c>
      <c r="L2" s="4" t="s">
        <v>334</v>
      </c>
      <c r="M2" s="4" t="s">
        <v>336</v>
      </c>
      <c r="N2" s="4" t="s">
        <v>336</v>
      </c>
      <c r="O2" s="4" t="s">
        <v>337</v>
      </c>
      <c r="P2" s="4" t="s">
        <v>338</v>
      </c>
      <c r="Q2" s="4" t="s">
        <v>365</v>
      </c>
      <c r="R2" s="4" t="s">
        <v>365</v>
      </c>
      <c r="S2" s="4" t="s">
        <v>370</v>
      </c>
      <c r="T2" s="4" t="s">
        <v>372</v>
      </c>
      <c r="U2" s="4" t="s">
        <v>363</v>
      </c>
      <c r="V2" s="4" t="s">
        <v>363</v>
      </c>
      <c r="W2" s="4" t="s">
        <v>364</v>
      </c>
      <c r="X2" s="4" t="s">
        <v>364</v>
      </c>
      <c r="Y2" s="4" t="s">
        <v>374</v>
      </c>
      <c r="Z2" s="4" t="s">
        <v>375</v>
      </c>
      <c r="AA2" s="4" t="s">
        <v>376</v>
      </c>
      <c r="AB2" s="4" t="s">
        <v>376</v>
      </c>
      <c r="AC2" s="4" t="s">
        <v>366</v>
      </c>
      <c r="AD2" s="4" t="s">
        <v>361</v>
      </c>
      <c r="AE2" s="4" t="s">
        <v>361</v>
      </c>
      <c r="AF2" s="4" t="s">
        <v>358</v>
      </c>
      <c r="AG2" s="4" t="s">
        <v>360</v>
      </c>
      <c r="AH2" s="4" t="s">
        <v>360</v>
      </c>
      <c r="AI2" s="4" t="s">
        <v>356</v>
      </c>
      <c r="AJ2" s="4" t="s">
        <v>356</v>
      </c>
      <c r="AK2" s="4" t="s">
        <v>356</v>
      </c>
      <c r="AL2" s="4" t="s">
        <v>359</v>
      </c>
      <c r="AM2" s="4" t="s">
        <v>359</v>
      </c>
      <c r="AN2" s="4" t="s">
        <v>353</v>
      </c>
      <c r="AO2" s="4" t="s">
        <v>353</v>
      </c>
      <c r="AP2" s="4" t="s">
        <v>353</v>
      </c>
      <c r="AQ2" s="4" t="s">
        <v>349</v>
      </c>
      <c r="AR2" s="4" t="s">
        <v>349</v>
      </c>
      <c r="AS2" s="4" t="s">
        <v>349</v>
      </c>
      <c r="AT2" s="4" t="s">
        <v>354</v>
      </c>
      <c r="AU2" s="4" t="s">
        <v>354</v>
      </c>
      <c r="AV2" s="4" t="s">
        <v>342</v>
      </c>
      <c r="AW2" s="4" t="s">
        <v>344</v>
      </c>
      <c r="AX2" s="4" t="s">
        <v>344</v>
      </c>
      <c r="AY2" s="4" t="s">
        <v>344</v>
      </c>
      <c r="AZ2" s="4" t="s">
        <v>355</v>
      </c>
      <c r="BA2" s="4" t="s">
        <v>355</v>
      </c>
      <c r="BB2" s="4" t="s">
        <v>355</v>
      </c>
      <c r="BC2" s="4" t="s">
        <v>347</v>
      </c>
      <c r="BD2" s="4" t="s">
        <v>347</v>
      </c>
      <c r="BE2" s="4" t="s">
        <v>347</v>
      </c>
      <c r="BF2" s="4" t="s">
        <v>347</v>
      </c>
      <c r="BG2" s="4" t="s">
        <v>347</v>
      </c>
      <c r="BH2" s="4" t="s">
        <v>348</v>
      </c>
      <c r="BI2" s="4" t="s">
        <v>343</v>
      </c>
      <c r="BJ2" s="4" t="s">
        <v>345</v>
      </c>
      <c r="BK2" s="4" t="s">
        <v>378</v>
      </c>
      <c r="BL2" s="4" t="s">
        <v>378</v>
      </c>
      <c r="BM2" s="4" t="s">
        <v>377</v>
      </c>
      <c r="BN2" s="4" t="s">
        <v>377</v>
      </c>
      <c r="BO2" s="4" t="s">
        <v>379</v>
      </c>
      <c r="BP2" s="4" t="s">
        <v>336</v>
      </c>
      <c r="BQ2" s="4" t="s">
        <v>351</v>
      </c>
      <c r="BR2" s="4" t="s">
        <v>380</v>
      </c>
      <c r="BS2" s="4" t="s">
        <v>381</v>
      </c>
      <c r="BT2" s="4" t="s">
        <v>381</v>
      </c>
      <c r="BU2" s="4" t="s">
        <v>381</v>
      </c>
      <c r="BV2" s="4" t="s">
        <v>381</v>
      </c>
      <c r="BW2" s="4" t="s">
        <v>381</v>
      </c>
      <c r="BX2" s="4" t="s">
        <v>373</v>
      </c>
      <c r="BY2" s="4" t="s">
        <v>383</v>
      </c>
      <c r="BZ2" s="4" t="s">
        <v>383</v>
      </c>
      <c r="CA2" s="4" t="s">
        <v>383</v>
      </c>
      <c r="CB2" s="4" t="s">
        <v>382</v>
      </c>
      <c r="CC2" s="4" t="s">
        <v>382</v>
      </c>
      <c r="CD2" s="4" t="s">
        <v>385</v>
      </c>
      <c r="CE2" s="4" t="s">
        <v>386</v>
      </c>
      <c r="CF2" s="4" t="s">
        <v>388</v>
      </c>
      <c r="CG2" s="4" t="s">
        <v>388</v>
      </c>
      <c r="CH2" s="4" t="s">
        <v>389</v>
      </c>
      <c r="CI2" s="4" t="s">
        <v>389</v>
      </c>
      <c r="CJ2" s="4" t="s">
        <v>389</v>
      </c>
      <c r="CK2" s="4" t="s">
        <v>389</v>
      </c>
      <c r="CL2" s="4" t="s">
        <v>392</v>
      </c>
      <c r="CM2" s="4" t="s">
        <v>393</v>
      </c>
      <c r="CN2" s="4" t="s">
        <v>393</v>
      </c>
      <c r="CO2" s="4" t="s">
        <v>391</v>
      </c>
      <c r="CP2" s="4" t="s">
        <v>394</v>
      </c>
      <c r="CQ2" s="4" t="s">
        <v>394</v>
      </c>
      <c r="CR2" s="4" t="s">
        <v>395</v>
      </c>
      <c r="CS2" s="4" t="s">
        <v>396</v>
      </c>
      <c r="CT2" s="4" t="s">
        <v>396</v>
      </c>
      <c r="CU2" s="4" t="s">
        <v>396</v>
      </c>
    </row>
    <row r="3">
      <c r="A3" s="4" t="s">
        <v>428</v>
      </c>
      <c r="B3" s="10" t="s">
        <v>429</v>
      </c>
      <c r="C3" s="10" t="s">
        <v>430</v>
      </c>
      <c r="D3" s="10" t="s">
        <v>431</v>
      </c>
      <c r="E3" s="10" t="s">
        <v>432</v>
      </c>
      <c r="F3" s="10" t="s">
        <v>433</v>
      </c>
      <c r="G3" s="10" t="s">
        <v>434</v>
      </c>
      <c r="H3" s="10" t="s">
        <v>435</v>
      </c>
      <c r="I3" s="10" t="s">
        <v>436</v>
      </c>
      <c r="J3" s="10" t="s">
        <v>437</v>
      </c>
      <c r="K3" s="10" t="s">
        <v>438</v>
      </c>
      <c r="L3" s="10" t="s">
        <v>439</v>
      </c>
      <c r="M3" s="10" t="s">
        <v>440</v>
      </c>
      <c r="N3" s="10" t="s">
        <v>441</v>
      </c>
      <c r="O3" s="10" t="s">
        <v>442</v>
      </c>
      <c r="P3" s="10" t="s">
        <v>443</v>
      </c>
      <c r="Q3" s="10" t="s">
        <v>444</v>
      </c>
      <c r="R3" s="10" t="s">
        <v>445</v>
      </c>
      <c r="S3" s="10" t="s">
        <v>446</v>
      </c>
      <c r="T3" s="10" t="s">
        <v>447</v>
      </c>
      <c r="U3" s="10" t="s">
        <v>448</v>
      </c>
      <c r="V3" s="10" t="s">
        <v>432</v>
      </c>
      <c r="W3" s="10" t="s">
        <v>449</v>
      </c>
      <c r="X3" s="10" t="s">
        <v>450</v>
      </c>
      <c r="Y3" s="10" t="s">
        <v>451</v>
      </c>
      <c r="Z3" s="10" t="s">
        <v>452</v>
      </c>
      <c r="AA3" s="10" t="s">
        <v>453</v>
      </c>
      <c r="AB3" s="10" t="s">
        <v>454</v>
      </c>
      <c r="AC3" s="10" t="s">
        <v>455</v>
      </c>
      <c r="AD3" s="10" t="s">
        <v>456</v>
      </c>
      <c r="AE3" s="10" t="s">
        <v>457</v>
      </c>
      <c r="AF3" s="10" t="s">
        <v>458</v>
      </c>
      <c r="AG3" s="10" t="s">
        <v>459</v>
      </c>
      <c r="AH3" s="10" t="s">
        <v>460</v>
      </c>
      <c r="AI3" s="10" t="s">
        <v>459</v>
      </c>
      <c r="AJ3" s="10" t="s">
        <v>461</v>
      </c>
      <c r="AK3" s="10" t="s">
        <v>462</v>
      </c>
      <c r="AL3" s="10" t="s">
        <v>463</v>
      </c>
      <c r="AM3" s="10" t="s">
        <v>464</v>
      </c>
      <c r="AN3" s="10" t="s">
        <v>465</v>
      </c>
      <c r="AO3" s="10" t="s">
        <v>466</v>
      </c>
      <c r="AP3" s="10" t="s">
        <v>467</v>
      </c>
      <c r="AQ3" s="10" t="s">
        <v>468</v>
      </c>
      <c r="AR3" s="10" t="s">
        <v>469</v>
      </c>
      <c r="AS3" s="10" t="s">
        <v>470</v>
      </c>
      <c r="AT3" s="10" t="s">
        <v>471</v>
      </c>
      <c r="AU3" s="10" t="s">
        <v>472</v>
      </c>
      <c r="AV3" s="10" t="s">
        <v>454</v>
      </c>
      <c r="AW3" s="10" t="s">
        <v>473</v>
      </c>
      <c r="AX3" s="10" t="s">
        <v>474</v>
      </c>
      <c r="AY3" s="10" t="s">
        <v>475</v>
      </c>
      <c r="AZ3" s="10" t="s">
        <v>476</v>
      </c>
      <c r="BA3" s="10" t="s">
        <v>477</v>
      </c>
      <c r="BB3" s="10" t="s">
        <v>478</v>
      </c>
      <c r="BC3" s="10" t="s">
        <v>479</v>
      </c>
      <c r="BD3" s="10" t="s">
        <v>480</v>
      </c>
      <c r="BE3" s="10" t="s">
        <v>481</v>
      </c>
      <c r="BF3" s="10" t="s">
        <v>482</v>
      </c>
      <c r="BG3" s="10" t="s">
        <v>483</v>
      </c>
      <c r="BH3" s="10" t="s">
        <v>484</v>
      </c>
      <c r="BI3" s="10" t="s">
        <v>485</v>
      </c>
      <c r="BJ3" s="10" t="s">
        <v>486</v>
      </c>
      <c r="BK3" s="10" t="s">
        <v>453</v>
      </c>
      <c r="BL3" s="10" t="s">
        <v>487</v>
      </c>
      <c r="BM3" s="10" t="s">
        <v>488</v>
      </c>
      <c r="BN3" s="10" t="s">
        <v>489</v>
      </c>
      <c r="BO3" s="10" t="s">
        <v>486</v>
      </c>
      <c r="BP3" s="10" t="s">
        <v>490</v>
      </c>
      <c r="BQ3" s="10" t="s">
        <v>445</v>
      </c>
      <c r="BR3" s="10" t="s">
        <v>445</v>
      </c>
      <c r="BS3" s="10" t="s">
        <v>453</v>
      </c>
      <c r="BT3" s="10" t="s">
        <v>491</v>
      </c>
      <c r="BU3" s="10" t="s">
        <v>492</v>
      </c>
      <c r="BV3" s="10" t="s">
        <v>493</v>
      </c>
      <c r="BW3" s="10" t="s">
        <v>494</v>
      </c>
      <c r="BX3" s="10" t="s">
        <v>495</v>
      </c>
      <c r="BY3" s="10" t="s">
        <v>496</v>
      </c>
      <c r="BZ3" s="10" t="s">
        <v>191</v>
      </c>
      <c r="CA3" s="10" t="s">
        <v>497</v>
      </c>
      <c r="CB3" s="10" t="s">
        <v>498</v>
      </c>
      <c r="CC3" s="10" t="s">
        <v>499</v>
      </c>
      <c r="CD3" s="10" t="s">
        <v>500</v>
      </c>
      <c r="CE3" s="10" t="s">
        <v>501</v>
      </c>
      <c r="CF3" s="10" t="s">
        <v>502</v>
      </c>
      <c r="CG3" s="10" t="s">
        <v>503</v>
      </c>
      <c r="CH3" s="10" t="s">
        <v>504</v>
      </c>
      <c r="CI3" s="10" t="s">
        <v>505</v>
      </c>
      <c r="CJ3" s="10" t="s">
        <v>506</v>
      </c>
      <c r="CK3" s="10" t="s">
        <v>507</v>
      </c>
      <c r="CL3" s="10" t="s">
        <v>508</v>
      </c>
      <c r="CM3" s="10" t="s">
        <v>509</v>
      </c>
      <c r="CN3" s="10" t="s">
        <v>510</v>
      </c>
      <c r="CO3" s="10" t="s">
        <v>511</v>
      </c>
      <c r="CP3" s="10" t="s">
        <v>462</v>
      </c>
      <c r="CQ3" s="10" t="s">
        <v>443</v>
      </c>
      <c r="CR3" s="10" t="s">
        <v>512</v>
      </c>
      <c r="CS3" s="88" t="str">
        <f>"A4 DMG%"</f>
        <v>A4 DMG%</v>
      </c>
      <c r="CT3" s="10" t="str">
        <f>"Burst IHB% Buff"</f>
        <v>Burst IHB% Buff</v>
      </c>
      <c r="CU3" s="10" t="str">
        <f>"Burst DMG% Buff"</f>
        <v>Burst DMG% Buff</v>
      </c>
    </row>
    <row r="4">
      <c r="A4" s="4" t="s">
        <v>108</v>
      </c>
      <c r="B4" s="10">
        <f>33</f>
        <v>33</v>
      </c>
      <c r="C4" s="10">
        <f>12</f>
        <v>12</v>
      </c>
      <c r="D4" s="10">
        <f>30</f>
        <v>30</v>
      </c>
      <c r="E4" s="10">
        <f>18</f>
        <v>18</v>
      </c>
      <c r="F4" s="88">
        <f>20 + 10% * (INDIRECT(ADDRESS(ROW() + 1, 10)))</f>
        <v>20</v>
      </c>
      <c r="G4" s="10">
        <f>6</f>
        <v>6</v>
      </c>
      <c r="H4" s="10">
        <f>15</f>
        <v>15</v>
      </c>
      <c r="I4" s="88">
        <f>20</f>
        <v>20</v>
      </c>
      <c r="J4" s="88">
        <f>15</f>
        <v>15</v>
      </c>
      <c r="K4" s="88">
        <f>10</f>
        <v>10</v>
      </c>
      <c r="L4" s="88">
        <f>15</f>
        <v>15</v>
      </c>
      <c r="M4" s="88">
        <f>5</f>
        <v>5</v>
      </c>
      <c r="N4" s="88">
        <f>15</f>
        <v>15</v>
      </c>
      <c r="O4" s="88">
        <f>12</f>
        <v>12</v>
      </c>
      <c r="P4" s="88">
        <f>50</f>
        <v>50</v>
      </c>
      <c r="Q4" s="88">
        <f>20</f>
        <v>20</v>
      </c>
      <c r="R4" s="88">
        <f>5</f>
        <v>5</v>
      </c>
      <c r="S4" s="88" t="str">
        <f>ROUND((INDIRECT(ADDRESS(ROW() - 5, 3)) + INDIRECT(ADDRESS(ROW() - 5, 4))) * (IF(INDIRECT(ADDRESS(ROW() - 18, 6)) = 1, 56, IF(INDIRECT(ADDRESS(ROW() - 18, 6)) = 2, 60.1999999999999, IF(INDIRECT(ADDRESS(ROW() - 18, 6)) = 3, 64.4, IF(INDIRECT(ADDRESS(ROW() - 18, 6)) = 4, 70, IF(INDIRECT(ADDRESS(ROW() - 18, 6)) = 5, 74.2, IF(INDIRECT(ADDRESS(ROW() - 18, 6)) = 6, 78.4, IF(INDIRECT(ADDRESS(ROW() - 18, 6)) = 7, 84, IF(INDIRECT(ADDRESS(ROW() - 18, 6)) = 8, 89.6, IF(INDIRECT(ADDRESS(ROW() - 18, 6)) = 9, 95.1999999999999, IF(INDIRECT(ADDRESS(ROW() - 18, 6)) = 10, 100.8, IF(INDIRECT(ADDRESS(ROW() - 18, 6)) = 11, 106.4, IF(INDIRECT(ADDRESS(ROW() - 18, 6)) = 12, 112, IF(INDIRECT(ADDRESS(ROW() - 18, 6)) = 13, 119,0)))))))))))))% + IF(INDIRECT(ADDRESS(ROW() - 6, 3)) = "C0", 0, 20)%)
,0)</f>
        <v>#VALUE!</v>
      </c>
      <c r="T4" s="88">
        <f t="shared" ref="T4:V4" si="1">20</f>
        <v>20</v>
      </c>
      <c r="U4" s="88">
        <f t="shared" si="1"/>
        <v>20</v>
      </c>
      <c r="V4" s="88">
        <f t="shared" si="1"/>
        <v>20</v>
      </c>
      <c r="W4" s="88">
        <f>125</f>
        <v>125</v>
      </c>
      <c r="X4" s="88">
        <f>25</f>
        <v>25</v>
      </c>
      <c r="Y4" s="88" t="str">
        <f> IF(INDIRECT(ADDRESS(ROW() - 18, 6)) = 1, 42, IF(INDIRECT(ADDRESS(ROW() - 18, 6)) = 2, 44, IF(INDIRECT(ADDRESS(ROW() - 18, 6)) = 3, 46, IF(INDIRECT(ADDRESS(ROW() - 18, 6)) = 4, 48, IF(INDIRECT(ADDRESS(ROW() - 18, 6)) = 5, 50, IF(INDIRECT(ADDRESS(ROW() - 18, 6)) = 6, 52, IF(INDIRECT(ADDRESS(ROW() - 18, 6)) = 7, 54, IF(INDIRECT(ADDRESS(ROW() - 18, 6)) = 8, 56, IF(INDIRECT(ADDRESS(ROW() - 18, 6)) = 9, 57.9999999999999, IF(INDIRECT(ADDRESS(ROW() - 18, 6)) = 10, 60, IF(INDIRECT(ADDRESS(ROW() - 18, 6)) = 11, 60, IF(INDIRECT(ADDRESS(ROW() - 18, 6)) = 12, 60, IF(INDIRECT(ADDRESS(ROW() - 18, 6)) = 13, 60,0)))))))))))))</f>
        <v>#VALUE!</v>
      </c>
      <c r="Z4" s="88">
        <f>15</f>
        <v>15</v>
      </c>
      <c r="AA4" s="88">
        <f>50</f>
        <v>50</v>
      </c>
      <c r="AB4" s="88">
        <f>ROUND(INDIRECT(ADDRESS(ROW() + 2, 10)) * 0.2,0)</f>
        <v>0</v>
      </c>
      <c r="AC4" s="88">
        <f>15</f>
        <v>15</v>
      </c>
      <c r="AD4" s="88">
        <f>12</f>
        <v>12</v>
      </c>
      <c r="AE4" s="88">
        <f>MIN(15, 15% * (INDIRECT(ADDRESS(ROW() - 3, 10))))</f>
        <v>0</v>
      </c>
      <c r="AF4" s="88">
        <f>ROUND(INDIRECT(ADDRESS(ROW() + 2, 10)) * 0.04,0)</f>
        <v>0</v>
      </c>
      <c r="AG4" s="88">
        <f>5</f>
        <v>5</v>
      </c>
      <c r="AH4" s="88" t="str">
        <f>IF(INDIRECT(ADDRESS(ROW() - 18, 6)) = 1, 33.4, IF(INDIRECT(ADDRESS(ROW() - 18, 6)) = 2, 35.4, IF(INDIRECT(ADDRESS(ROW() - 18, 6)) = 3, 37.4, IF(INDIRECT(ADDRESS(ROW() - 18, 6)) = 4, 40, IF(INDIRECT(ADDRESS(ROW() - 18, 6)) = 5, 42, IF(INDIRECT(ADDRESS(ROW() - 18, 6)) = 6, 44, IF(INDIRECT(ADDRESS(ROW() - 18, 6)) = 7, 46.6, IF(INDIRECT(ADDRESS(ROW() - 18, 6)) = 8, 49.2, IF(INDIRECT(ADDRESS(ROW() - 18, 6)) = 9, 51.8, IF(INDIRECT(ADDRESS(ROW() - 18, 6)) = 10, 54.4, IF(INDIRECT(ADDRESS(ROW() - 18, 6)) = 11, 56.9999999999999, IF(INDIRECT(ADDRESS(ROW() - 18, 6)) = 12, 59.5999999999999, IF(INDIRECT(ADDRESS(ROW() - 18, 6)) = 13, 62.2,0)))))))))))))</f>
        <v>#VALUE!</v>
      </c>
      <c r="AI4" s="88">
        <f>2</f>
        <v>2</v>
      </c>
      <c r="AJ4" s="88">
        <f>10</f>
        <v>10</v>
      </c>
      <c r="AK4" s="88">
        <f>1</f>
        <v>1</v>
      </c>
      <c r="AL4" s="88" t="str">
        <f>IF(INDIRECT(ADDRESS(ROW() - 6, 3)) = "C6", 26, 14)</f>
        <v>#VALUE!</v>
      </c>
      <c r="AM4" s="88" t="str">
        <f> IF(INDIRECT(ADDRESS(ROW() - 19, 6)) = 1, 16, IF(INDIRECT(ADDRESS(ROW() - 19, 6)) = 2, 17, IF(INDIRECT(ADDRESS(ROW() - 19, 6)) = 3, 18, IF(INDIRECT(ADDRESS(ROW() - 19, 6)) = 4, 19, IF(INDIRECT(ADDRESS(ROW() - 19, 6)) = 5, 20, IF(INDIRECT(ADDRESS(ROW() - 19, 6)) = 6, 21, IF(INDIRECT(ADDRESS(ROW() - 19, 6)) = 7, 22, IF(INDIRECT(ADDRESS(ROW() - 19, 6)) = 8, 23, IF(INDIRECT(ADDRESS(ROW() - 19, 6)) = 9, 24, IF(INDIRECT(ADDRESS(ROW() - 19, 6)) = 10, 25, IF(INDIRECT(ADDRESS(ROW() - 19, 6)) = 11, 25, IF(INDIRECT(ADDRESS(ROW() - 19, 6)) = 12, 25, IF(INDIRECT(ADDRESS(ROW() - 19, 6)) = 13, 25,0)))))))))))))</f>
        <v>#VALUE!</v>
      </c>
      <c r="AN4" s="88">
        <f>50</f>
        <v>50</v>
      </c>
      <c r="AO4" s="88" t="str">
        <f> IF(INDIRECT(ADDRESS(ROW() - 18, 6)) = 1, 1.6, IF(INDIRECT(ADDRESS(ROW() - 18, 6)) = 2, 1.7, IF(INDIRECT(ADDRESS(ROW() - 18, 6)) = 3, 1.8, IF(INDIRECT(ADDRESS(ROW() - 18, 6)) = 4, 1.9, IF(INDIRECT(ADDRESS(ROW() - 18, 6)) = 5, 2, IF(INDIRECT(ADDRESS(ROW() - 18, 6)) = 6, 2.1, IF(INDIRECT(ADDRESS(ROW() - 18, 6)) = 7, 2.2, IF(INDIRECT(ADDRESS(ROW() - 18, 6)) = 8, 2.3, IF(INDIRECT(ADDRESS(ROW() - 18, 6)) = 9, 2.4, IF(INDIRECT(ADDRESS(ROW() - 18, 6)) = 10, 2.5, IF(INDIRECT(ADDRESS(ROW() - 18, 6)) = 11, 2.5, IF(INDIRECT(ADDRESS(ROW() - 18, 6)) = 12, 2.5, IF(INDIRECT(ADDRESS(ROW() - 18, 6)) = 13, 2.5,0))))))))))))) * 5 * (1 + (((INDIRECT(ADDRESS(ROW() + 1, 10))) - 100) * 0.006))</f>
        <v>#VALUE!</v>
      </c>
      <c r="AP4" s="88" t="str">
        <f> IF(INDIRECT(ADDRESS(ROW() - 19, 6)) = 1, 0.22, IF(INDIRECT(ADDRESS(ROW() - 19, 6)) = 2, 0.229999999999999, IF(INDIRECT(ADDRESS(ROW() - 19, 6)) = 3, 0.24, IF(INDIRECT(ADDRESS(ROW() - 19, 6)) = 4, 0.25, IF(INDIRECT(ADDRESS(ROW() - 19, 6)) = 5, 0.26, IF(INDIRECT(ADDRESS(ROW() - 19, 6)) = 6, 0.27, IF(INDIRECT(ADDRESS(ROW() - 19, 6)) = 7, 0.279999999999999, IF(INDIRECT(ADDRESS(ROW() - 19, 6)) = 8, 0.29, IF(INDIRECT(ADDRESS(ROW() - 19, 6)) = 9, 0.3, IF(INDIRECT(ADDRESS(ROW() - 19, 6)) = 10, 0.3, IF(INDIRECT(ADDRESS(ROW() - 19, 6)) = 11, 0.3, IF(INDIRECT(ADDRESS(ROW() - 19, 6)) = 12, 0.3, IF(INDIRECT(ADDRESS(ROW() - 19, 6)) = 13, 0.3,0)))))))))))))</f>
        <v>#VALUE!</v>
      </c>
      <c r="AQ4" s="88">
        <f>25</f>
        <v>25</v>
      </c>
      <c r="AR4" s="88" t="str">
        <f> IF(INDIRECT(ADDRESS(ROW() - 19, 6)) = 1, 206, IF(INDIRECT(ADDRESS(ROW() - 19, 6)) = 2, 221, IF(INDIRECT(ADDRESS(ROW() - 19, 6)) = 3, 237, IF(INDIRECT(ADDRESS(ROW() - 19, 6)) = 4, 257, IF(INDIRECT(ADDRESS(ROW() - 19, 6)) = 5, 273, IF(INDIRECT(ADDRESS(ROW() - 19, 6)) = 6, 288, IF(INDIRECT(ADDRESS(ROW() - 19, 6)) = 7, 309, IF(INDIRECT(ADDRESS(ROW() - 19, 6)) = 8, 329, IF(INDIRECT(ADDRESS(ROW() - 19, 6)) = 9, 350, IF(INDIRECT(ADDRESS(ROW() - 19, 6)) = 10, 371, IF(INDIRECT(ADDRESS(ROW() - 19, 6)) = 11, 391, IF(INDIRECT(ADDRESS(ROW() - 19, 6)) = 12, 412, IF(INDIRECT(ADDRESS(ROW() - 19, 6)) = 13, 438,0)))))))))))))</f>
        <v>#VALUE!</v>
      </c>
      <c r="AS4" s="88">
        <f>15</f>
        <v>15</v>
      </c>
      <c r="AT4" s="88" t="str">
        <f>ROUND((INDIRECT(ADDRESS(ROW() - 5, 3)) + INDIRECT(ADDRESS(ROW() - 5, 4))) * IF(INDIRECT(ADDRESS(ROW() - 19, 6)) = 1, 42.96, IF(INDIRECT(ADDRESS(ROW() - 19, 6)) = 2, 46.182, IF(INDIRECT(ADDRESS(ROW() - 19, 6)) = 3, 49.4039999999999, IF(INDIRECT(ADDRESS(ROW() - 19, 6)) = 4, 53.7, IF(INDIRECT(ADDRESS(ROW() - 19, 6)) = 5, 56.922, IF(INDIRECT(ADDRESS(ROW() - 19, 6)) = 6, 60.144, IF(INDIRECT(ADDRESS(ROW() - 19, 6)) = 7, 64.44, IF(INDIRECT(ADDRESS(ROW() - 19, 6)) = 8, 68.7359999999999, IF(INDIRECT(ADDRESS(ROW() - 19, 6)) = 9, 73.032, IF(INDIRECT(ADDRESS(ROW() - 19, 6)) = 10, 77.328, IF(INDIRECT(ADDRESS(ROW() - 19, 6)) = 11, 81.624, IF(INDIRECT(ADDRESS(ROW() - 19, 6)) = 12, 85.92, IF(INDIRECT(ADDRESS(ROW() - 19, 6)) = 13, 91.29,0)))))))))))))%,0)</f>
        <v>#VALUE!</v>
      </c>
      <c r="AU4" s="88">
        <f>1.2 * (INDIRECT(ADDRESS(ROW() + 1, 10)))</f>
        <v>0</v>
      </c>
      <c r="AV4" s="88">
        <f>80</f>
        <v>80</v>
      </c>
      <c r="AW4" s="88">
        <f>1</f>
        <v>1</v>
      </c>
      <c r="AX4" s="88">
        <f>3.5</f>
        <v>3.5</v>
      </c>
      <c r="AY4" s="88">
        <f>IF($O$5 = 1, 6, IF($O$5 = 2, 12, IF($O$5 = 3, 18, IF($O$5 = 4, 30, 0))))</f>
        <v>0</v>
      </c>
      <c r="AZ4" s="88">
        <f>16</f>
        <v>16</v>
      </c>
      <c r="BA4" s="88">
        <f>8</f>
        <v>8</v>
      </c>
      <c r="BB4" s="88">
        <f>3.5</f>
        <v>3.5</v>
      </c>
      <c r="BC4" s="88" t="str">
        <f>ROUND(INDIRECT(ADDRESS(ROW() - 5, 10)) * IF(INDIRECT(ADDRESS(ROW() - 19, 6)) = 1, 45.656, IF(INDIRECT(ADDRESS(ROW() - 19, 6)) = 2, 49.0802, IF(INDIRECT(ADDRESS(ROW() - 19, 6)) = 3, 52.5044, IF(INDIRECT(ADDRESS(ROW() - 19, 6)) = 4, 57.07, IF(INDIRECT(ADDRESS(ROW() - 19, 6)) = 5, 60.4942, IF(INDIRECT(ADDRESS(ROW() - 19, 6)) = 6, 63.9184, IF(INDIRECT(ADDRESS(ROW() - 19, 6)) = 7, 68.484, IF(INDIRECT(ADDRESS(ROW() - 19, 6)) = 8, 73.0496, IF(INDIRECT(ADDRESS(ROW() - 19, 6)) = 9, 77.6152, IF(INDIRECT(ADDRESS(ROW() - 19, 6)) = 10, 82.1808, IF(INDIRECT(ADDRESS(ROW() - 19, 6)) = 11, 86.7464, IF(INDIRECT(ADDRESS(ROW() - 19, 6)) = 12, 91.312, IF(INDIRECT(ADDRESS(ROW() - 19, 6)) = 13, 97.019,0)))))))))))))%,0)</f>
        <v>#VALUE!</v>
      </c>
      <c r="BD4" s="88">
        <f t="shared" ref="BD4:BF4" si="2">15</f>
        <v>15</v>
      </c>
      <c r="BE4" s="88">
        <f t="shared" si="2"/>
        <v>15</v>
      </c>
      <c r="BF4" s="88">
        <f t="shared" si="2"/>
        <v>15</v>
      </c>
      <c r="BG4" s="88" t="str">
        <f> IF(INDIRECT(ADDRESS(ROW() - 18, 6)) = 1, 6, IF(INDIRECT(ADDRESS(ROW() - 18, 6)) = 2, 7, IF(INDIRECT(ADDRESS(ROW() - 18, 6)) = 3, 8, IF(INDIRECT(ADDRESS(ROW() - 18, 6)) = 4, 9, IF(INDIRECT(ADDRESS(ROW() - 18, 6)) = 5, 10, IF(INDIRECT(ADDRESS(ROW() - 18, 6)) = 6, 11, IF(INDIRECT(ADDRESS(ROW() - 18, 6)) = 7, 12, IF(INDIRECT(ADDRESS(ROW() - 18, 6)) = 8, 13, IF(INDIRECT(ADDRESS(ROW() - 18, 6)) = 9, 14, IF(INDIRECT(ADDRESS(ROW() - 18, 6)) = 10, 15, IF(INDIRECT(ADDRESS(ROW() - 18, 6)) = 11, 15, IF(INDIRECT(ADDRESS(ROW() - 18, 6)) = 12, 15, IF(INDIRECT(ADDRESS(ROW() - 18, 6)) = 13, 15,0)))))))))))))</f>
        <v>#VALUE!</v>
      </c>
      <c r="BH4" s="88" t="str">
        <f>ROUND(INDIRECT(ADDRESS(ROW() - 1, 10)) * (IF($O$5 = 1, 2.5%, IF($O$5 = 2, 5%, IF($O$5 = 3, 7.5%, IF($O$5 = 4, 11.5%, 0)))) +  IF(INDIRECT(ADDRESS(ROW() - 18, 6)) = 1, 32.16, IF(INDIRECT(ADDRESS(ROW() - 18, 6)) = 2, 34.572, IF(INDIRECT(ADDRESS(ROW() - 18, 6)) = 3, 36.984, IF(INDIRECT(ADDRESS(ROW() - 18, 6)) = 4, 40.2, IF(INDIRECT(ADDRESS(ROW() - 18, 6)) = 5, 42.612, IF(INDIRECT(ADDRESS(ROW() - 18, 6)) = 6, 45.024, IF(INDIRECT(ADDRESS(ROW() - 18, 6)) = 7, 48.24, IF(INDIRECT(ADDRESS(ROW() - 18, 6)) = 8, 51.456, IF(INDIRECT(ADDRESS(ROW() - 18, 6)) = 9, 54.672, IF(INDIRECT(ADDRESS(ROW() - 18, 6)) = 10, 57.888, IF(INDIRECT(ADDRESS(ROW() - 18, 6)) = 11, 61.104, IF(INDIRECT(ADDRESS(ROW() - 18, 6)) = 12, 64.32, IF(INDIRECT(ADDRESS(ROW() - 18, 6)) = 13, 68.34,0)))))))))))))%),0)</f>
        <v>#VALUE!</v>
      </c>
      <c r="BI4" s="88">
        <f>15</f>
        <v>15</v>
      </c>
      <c r="BJ4" s="88" t="str">
        <f> IF(INDIRECT(ADDRESS(ROW() - 18, 6)) = 1, 11, IF(INDIRECT(ADDRESS(ROW() - 18, 6)) = 2, 12, IF(INDIRECT(ADDRESS(ROW() - 18, 6)) = 3, 13, IF(INDIRECT(ADDRESS(ROW() - 18, 6)) = 4, 14, IF(INDIRECT(ADDRESS(ROW() - 18, 6)) = 5, 15, IF(INDIRECT(ADDRESS(ROW() - 18, 6)) = 6, 16, IF(INDIRECT(ADDRESS(ROW() - 18, 6)) = 7, 17, IF(INDIRECT(ADDRESS(ROW() - 18, 6)) = 8, 18, IF(INDIRECT(ADDRESS(ROW() - 18, 6)) = 9, 19, IF(INDIRECT(ADDRESS(ROW() - 18, 6)) = 10, 20, IF(INDIRECT(ADDRESS(ROW() - 18, 6)) = 11, 20, IF(INDIRECT(ADDRESS(ROW() - 18, 6)) = 12, 20, IF(INDIRECT(ADDRESS(ROW() - 18, 6)) = 13, 20,0)))))))))))))</f>
        <v>#VALUE!</v>
      </c>
      <c r="BK4" s="88">
        <f>100</f>
        <v>100</v>
      </c>
      <c r="BL4" s="88">
        <f>MAX(0, MIN(400, ((INDIRECT(ADDRESS(ROW() + 3, 10)) - 30000) / 1000) * 9))</f>
        <v>0</v>
      </c>
      <c r="BM4" s="88">
        <f>100</f>
        <v>100</v>
      </c>
      <c r="BN4" s="88">
        <f>35</f>
        <v>35</v>
      </c>
      <c r="BO4" s="88">
        <f>20 + ((INDIRECT(ADDRESS(ROW() + 3, 10)) / 1000) * 0.5)</f>
        <v>20</v>
      </c>
      <c r="BP4" s="88" t="str">
        <f> IF(INDIRECT(ADDRESS(ROW() - 18, 6)) = 1, 58.45, IF(INDIRECT(ADDRESS(ROW() - 18, 6)) = 2, 61.95, IF(INDIRECT(ADDRESS(ROW() - 18, 6)) = 3, 65.45, IF(INDIRECT(ADDRESS(ROW() - 18, 6)) = 4, 70, IF(INDIRECT(ADDRESS(ROW() - 18, 6)) = 5, 73.5, IF(INDIRECT(ADDRESS(ROW() - 18, 6)) = 6, 77, IF(INDIRECT(ADDRESS(ROW() - 18, 6)) = 7, 81.55, IF(INDIRECT(ADDRESS(ROW() - 18, 6)) = 8, 86.1, IF(INDIRECT(ADDRESS(ROW() - 18, 6)) = 9, 90.6499999999999, IF(INDIRECT(ADDRESS(ROW() - 18, 6)) = 10, 95.1999999999999, IF(INDIRECT(ADDRESS(ROW() - 18, 6)) = 11, 99.75, IF(INDIRECT(ADDRESS(ROW() - 18, 6)) = 12, 104.3, IF(INDIRECT(ADDRESS(ROW() - 18, 6)) = 13, 108.85,0)))))))))))))</f>
        <v>#VALUE!</v>
      </c>
      <c r="BQ4" s="88">
        <f>5</f>
        <v>5</v>
      </c>
      <c r="BR4" s="88">
        <f>6</f>
        <v>6</v>
      </c>
      <c r="BS4" s="88">
        <f>MIN(250, $O$7 * 0.25)</f>
        <v>0</v>
      </c>
      <c r="BT4" s="88">
        <f>MIN(24, MAX(0, (ROUND(INDIRECT(ADDRESS(ROW() + 2, 10)) - 200,0) * 0.03)))</f>
        <v>0</v>
      </c>
      <c r="BU4" s="88">
        <f>MIN(80, MAX(0, (ROUND(INDIRECT(ADDRESS(ROW() + 2, 10)) - 200,0) * 0.1)))</f>
        <v>0</v>
      </c>
      <c r="BV4" s="88" t="str">
        <f> IF(INDIRECT(ADDRESS(ROW() - 18, 6)) = 1, 14.8799999999999, IF(INDIRECT(ADDRESS(ROW() - 18, 6)) = 2, 15.9959999999999, IF(INDIRECT(ADDRESS(ROW() - 18, 6)) = 3, 17.112, IF(INDIRECT(ADDRESS(ROW() - 18, 6)) = 4, 18.6, IF(INDIRECT(ADDRESS(ROW() - 18, 6)) = 5, 19.716, IF(INDIRECT(ADDRESS(ROW() - 18, 6)) = 6, 20.832, IF(INDIRECT(ADDRESS(ROW() - 18, 6)) = 7, 22.32, IF(INDIRECT(ADDRESS(ROW() - 18, 6)) = 8, 23.808, IF(INDIRECT(ADDRESS(ROW() - 18, 6)) = 9, 25.296, IF(INDIRECT(ADDRESS(ROW() - 18, 6)) = 10, 26.784, IF(INDIRECT(ADDRESS(ROW() - 18, 6)) = 11, 28.272, IF(INDIRECT(ADDRESS(ROW() - 18, 6)) = 12, 29.7599999999999, IF(INDIRECT(ADDRESS(ROW() - 18, 6)) = 13, 31.6199999999999,0)))))))))))))</f>
        <v>#VALUE!</v>
      </c>
      <c r="BW4" s="88" t="str">
        <f> IF(INDIRECT(ADDRESS(ROW() - 18, 6)) = 1, 22.32, IF(INDIRECT(ADDRESS(ROW() - 18, 6)) = 2, 23.994, IF(INDIRECT(ADDRESS(ROW() - 18, 6)) = 3, 25.668, IF(INDIRECT(ADDRESS(ROW() - 18, 6)) = 4, 27.9, IF(INDIRECT(ADDRESS(ROW() - 18, 6)) = 5, 29.574, IF(INDIRECT(ADDRESS(ROW() - 18, 6)) = 6, 31.2479999999999, IF(INDIRECT(ADDRESS(ROW() - 18, 6)) = 7, 33.48, IF(INDIRECT(ADDRESS(ROW() - 18, 6)) = 8, 35.7119999999999, IF(INDIRECT(ADDRESS(ROW() - 18, 6)) = 9, 37.944, IF(INDIRECT(ADDRESS(ROW() - 18, 6)) = 10, 40.176, IF(INDIRECT(ADDRESS(ROW() - 18, 6)) = 11, 42.408, IF(INDIRECT(ADDRESS(ROW() - 18, 6)) = 12, 44.64, IF(INDIRECT(ADDRESS(ROW() - 18, 6)) = 13, 47.43,0)))))))))))))</f>
        <v>#VALUE!</v>
      </c>
      <c r="BX4" s="88">
        <f>10</f>
        <v>10</v>
      </c>
      <c r="BY4" s="88">
        <f>30</f>
        <v>30</v>
      </c>
      <c r="BZ4" s="88" t="str">
        <f> IF(INDIRECT(ADDRESS(ROW() - 18, 6)) = 1, 18, IF(INDIRECT(ADDRESS(ROW() - 18, 6)) = 2, 19.35, IF(INDIRECT(ADDRESS(ROW() - 18, 6)) = 3, 20.7, IF(INDIRECT(ADDRESS(ROW() - 18, 6)) = 4, 22.5, IF(INDIRECT(ADDRESS(ROW() - 18, 6)) = 5, 23.8499999999999, IF(INDIRECT(ADDRESS(ROW() - 18, 6)) = 6, 25.2, IF(INDIRECT(ADDRESS(ROW() - 18, 6)) = 7, 27, IF(INDIRECT(ADDRESS(ROW() - 18, 6)) = 8, 28.7999999999999, IF(INDIRECT(ADDRESS(ROW() - 18, 6)) = 9, 30.5999999999999, IF(INDIRECT(ADDRESS(ROW() - 18, 6)) = 10, 32.4, IF(INDIRECT(ADDRESS(ROW() - 18, 6)) = 11, 34.2, IF(INDIRECT(ADDRESS(ROW() - 18, 6)) = 12, 36, IF(INDIRECT(ADDRESS(ROW() - 18, 6)) = 13, 38.25,0)))))))))))))</f>
        <v>#VALUE!</v>
      </c>
      <c r="CA4" s="88" t="str">
        <f>32% * (INDIRECT(ADDRESS(ROW() - 5, 3)) + INDIRECT(ADDRESS(ROW() - 5, 4)))</f>
        <v>#VALUE!</v>
      </c>
      <c r="CB4" s="88">
        <f>30</f>
        <v>30</v>
      </c>
      <c r="CC4" s="88">
        <f>20</f>
        <v>20</v>
      </c>
      <c r="CD4" s="88">
        <f>MIN(100, 0.1 * INDIRECT(ADDRESS(ROW() + 2, 10)))</f>
        <v>0</v>
      </c>
      <c r="CE4" s="88">
        <f>10</f>
        <v>10</v>
      </c>
      <c r="CF4" s="88">
        <f>25</f>
        <v>25</v>
      </c>
      <c r="CG4" s="88" t="str">
        <f> IF(INDIRECT(ADDRESS(ROW() - 18, 6)) = 1, 27.488, IF(INDIRECT(ADDRESS(ROW() - 18, 6)) = 2, 29.5499999999999, IF(INDIRECT(ADDRESS(ROW() - 18, 6)) = 3, 31.611, IF(INDIRECT(ADDRESS(ROW() - 18, 6)) = 4, 34.36, IF(INDIRECT(ADDRESS(ROW() - 18, 6)) = 5, 36.422, IF(INDIRECT(ADDRESS(ROW() - 18, 6)) = 6, 38.483, IF(INDIRECT(ADDRESS(ROW() - 18, 6)) = 7, 41.232, IF(INDIRECT(ADDRESS(ROW() - 18, 6)) = 8, 43.9809999999999, IF(INDIRECT(ADDRESS(ROW() - 18, 6)) = 9, 46.73, IF(INDIRECT(ADDRESS(ROW() - 18, 6)) = 10, 49.478, IF(INDIRECT(ADDRESS(ROW() - 18, 6)) = 11, 52.227, IF(INDIRECT(ADDRESS(ROW() - 18, 6)) = 12, 54.976, IF(INDIRECT(ADDRESS(ROW() - 18, 6)) = 13, 58.412,0)))))))))))))</f>
        <v>#VALUE!</v>
      </c>
      <c r="CH4" s="88">
        <f>20</f>
        <v>20</v>
      </c>
      <c r="CI4" s="88">
        <f>25</f>
        <v>25</v>
      </c>
      <c r="CJ4" s="10">
        <f>MAX(0, MIN(100, ((INDIRECT(ADDRESS(ROW() + 3, 10)) / 1000) * 2)))</f>
        <v>0</v>
      </c>
      <c r="CK4" s="88">
        <f>MAX(0, MIN(40, ((INDIRECT(ADDRESS(ROW() + 3, 10)) / 1000) * 0.8)))</f>
        <v>0</v>
      </c>
      <c r="CL4" s="88">
        <f>20</f>
        <v>20</v>
      </c>
      <c r="CM4" s="88">
        <f>IF(O5 = 1, 8, IF(O5 = 2, 12, IF(O5 = 3, 16, IF(O5 = 4, 20, 0))))</f>
        <v>0</v>
      </c>
      <c r="CN4" s="88">
        <f>15</f>
        <v>15</v>
      </c>
      <c r="CO4" s="88">
        <f>40</f>
        <v>40</v>
      </c>
      <c r="CP4" s="88">
        <f>6</f>
        <v>6</v>
      </c>
      <c r="CQ4" s="88" t="str">
        <f>IF(INDIRECT(ADDRESS(ROW() - 6, 3)) = "C0", 50, 200)</f>
        <v>#VALUE!</v>
      </c>
      <c r="CR4" s="88">
        <f>30</f>
        <v>30</v>
      </c>
      <c r="CS4" s="88">
        <f>MIN(28, (INDIRECT(ADDRESS(ROW() + 3, 10)) / 1000) * 0.7)</f>
        <v>0</v>
      </c>
      <c r="CT4" s="88" t="str">
        <f> IF(INDIRECT(ADDRESS(ROW() - 19, 6)) = 1, 0.01, IF(INDIRECT(ADDRESS(ROW() - 19, 6)) = 2, 0.02, IF(INDIRECT(ADDRESS(ROW() - 19, 6)) = 3, 0.03, IF(INDIRECT(ADDRESS(ROW() - 19, 6)) = 4, 0.04, IF(INDIRECT(ADDRESS(ROW() - 19, 6)) = 5, 0.05, IF(INDIRECT(ADDRESS(ROW() - 19, 6)) = 6, 0.06, IF(INDIRECT(ADDRESS(ROW() - 19, 6)) = 7, 0.0699999999999999, IF(INDIRECT(ADDRESS(ROW() - 19, 6)) = 8, 0.08, IF(INDIRECT(ADDRESS(ROW() - 19, 6)) = 9, 0.09, IF(INDIRECT(ADDRESS(ROW() - 19, 6)) = 10, 0.1, IF(INDIRECT(ADDRESS(ROW() - 19, 6)) = 11, 0.11, IF(INDIRECT(ADDRESS(ROW() - 19, 6)) = 12, 0.12, IF(INDIRECT(ADDRESS(ROW() - 19, 6)) = 13, 0.13,0)))))))))))))</f>
        <v>#VALUE!</v>
      </c>
      <c r="CU4" s="88" t="str">
        <f> IF(INDIRECT(ADDRESS(ROW() - 19, 6)) = 1, 0.16, IF(INDIRECT(ADDRESS(ROW() - 19, 6)) = 2, 0.169999999999999, IF(INDIRECT(ADDRESS(ROW() - 19, 6)) = 3, 0.18, IF(INDIRECT(ADDRESS(ROW() - 19, 6)) = 4, 0.19, IF(INDIRECT(ADDRESS(ROW() - 19, 6)) = 5, 0.2, IF(INDIRECT(ADDRESS(ROW() - 19, 6)) = 6, 0.21, IF(INDIRECT(ADDRESS(ROW() - 19, 6)) = 7, 0.22, IF(INDIRECT(ADDRESS(ROW() - 19, 6)) = 8, 0.229999999999999, IF(INDIRECT(ADDRESS(ROW() - 19, 6)) = 9, 0.24, IF(INDIRECT(ADDRESS(ROW() - 19, 6)) = 10, 0.25, IF(INDIRECT(ADDRESS(ROW() - 19, 6)) = 11, 0.26, IF(INDIRECT(ADDRESS(ROW() - 19, 6)) = 12, 0.27, IF(INDIRECT(ADDRESS(ROW() - 19, 6)) = 13, 0.279999999999999,0)))))))))))))</f>
        <v>#VALUE!</v>
      </c>
    </row>
    <row r="10">
      <c r="D10" s="10" t="s">
        <v>513</v>
      </c>
    </row>
  </sheetData>
  <drawing r:id="rId1"/>
</worksheet>
</file>