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19396" windowHeight="10996" tabRatio="600" firstSheet="0" activeTab="1" autoFilterDateGrouping="1"/>
  </bookViews>
  <sheets>
    <sheet xmlns:r="http://schemas.openxmlformats.org/officeDocument/2006/relationships" name="Cover Sheet" sheetId="1" state="visible" r:id="rId1"/>
    <sheet xmlns:r="http://schemas.openxmlformats.org/officeDocument/2006/relationships" name="Quote" sheetId="2" state="visible" r:id="rId2"/>
    <sheet xmlns:r="http://schemas.openxmlformats.org/officeDocument/2006/relationships" name="Repairers" sheetId="3" state="visible" r:id="rId3"/>
    <sheet xmlns:r="http://schemas.openxmlformats.org/officeDocument/2006/relationships" name="Freight" sheetId="4" state="visible" r:id="rId4"/>
  </sheets>
  <definedNames>
    <definedName name="_xlnm.Print_Area" localSheetId="0">'Cover Sheet'!$A$1:$G$40</definedName>
    <definedName name="_xlnm.Print_Area" localSheetId="1">'Quote'!$A$1:$P$21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[$-409]mmmm\ d\,\ yyyy;@"/>
    <numFmt numFmtId="165" formatCode="###\ ####"/>
    <numFmt numFmtId="166" formatCode=";;;"/>
    <numFmt numFmtId="167" formatCode="&quot;$&quot;#,##0.00"/>
    <numFmt numFmtId="168" formatCode="_-&quot;$&quot;* #,##0.00_-;\-&quot;$&quot;* #,##0.00_-;_-&quot;$&quot;* &quot;-&quot;??_-;_-@_-"/>
    <numFmt numFmtId="169" formatCode="&quot;PartsTrader #&quot;\ ######"/>
    <numFmt numFmtId="170" formatCode="[$-409]d\-mmm\-yy;@"/>
    <numFmt numFmtId="171" formatCode="00000000000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0061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color theme="1"/>
      <sz val="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006100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2"/>
      <scheme val="minor"/>
    </font>
    <font>
      <name val="Wingdings"/>
      <charset val="2"/>
      <b val="1"/>
      <color theme="1"/>
      <sz val="12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strike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4" tint="0.79998168889431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3" fillId="0" borderId="0"/>
    <xf numFmtId="0" fontId="3" fillId="0" borderId="0" applyAlignment="1">
      <alignment vertical="top"/>
    </xf>
    <xf numFmtId="0" fontId="4" fillId="0" borderId="0" applyAlignment="1">
      <alignment vertical="top"/>
    </xf>
    <xf numFmtId="0" fontId="4" fillId="0" borderId="0"/>
    <xf numFmtId="0" fontId="5" fillId="3" borderId="0"/>
    <xf numFmtId="44" fontId="3" fillId="0" borderId="0"/>
    <xf numFmtId="9" fontId="3" fillId="0" borderId="0"/>
  </cellStyleXfs>
  <cellXfs count="16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3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1" fillId="0" borderId="1" applyAlignment="1" pivotButton="0" quotePrefix="0" xfId="0">
      <alignment horizontal="right" vertical="center"/>
    </xf>
    <xf numFmtId="165" fontId="3" fillId="0" borderId="0" applyAlignment="1" pivotButton="0" quotePrefix="0" xfId="1">
      <alignment horizontal="center" vertical="top" wrapText="1"/>
    </xf>
    <xf numFmtId="0" fontId="3" fillId="0" borderId="0" applyAlignment="1" pivotButton="0" quotePrefix="0" xfId="1">
      <alignment horizontal="center" vertical="top" wrapText="1"/>
    </xf>
    <xf numFmtId="165" fontId="3" fillId="0" borderId="0" applyAlignment="1" pivotButton="0" quotePrefix="0" xfId="1">
      <alignment horizontal="right" vertical="top" wrapText="1"/>
    </xf>
    <xf numFmtId="0" fontId="4" fillId="0" borderId="0" applyAlignment="1" pivotButton="0" quotePrefix="0" xfId="2">
      <alignment vertical="top"/>
    </xf>
    <xf numFmtId="165" fontId="3" fillId="0" borderId="0" applyAlignment="1" pivotButton="0" quotePrefix="1" xfId="1">
      <alignment horizontal="right" vertical="top" wrapText="1"/>
    </xf>
    <xf numFmtId="164" fontId="1" fillId="0" borderId="3" applyAlignment="1" pivotButton="0" quotePrefix="0" xfId="0">
      <alignment horizontal="right" vertical="center"/>
    </xf>
    <xf numFmtId="0" fontId="4" fillId="0" borderId="0" applyAlignment="1" pivotButton="0" quotePrefix="0" xfId="3">
      <alignment vertical="top"/>
    </xf>
    <xf numFmtId="0" fontId="1" fillId="0" borderId="0" pivotButton="0" quotePrefix="0" xfId="0"/>
    <xf numFmtId="166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2" borderId="3" applyAlignment="1" pivotButton="0" quotePrefix="0" xfId="0">
      <alignment horizontal="left" vertical="top"/>
    </xf>
    <xf numFmtId="0" fontId="2" fillId="2" borderId="3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top"/>
    </xf>
    <xf numFmtId="164" fontId="1" fillId="4" borderId="3" applyAlignment="1" pivotButton="0" quotePrefix="0" xfId="0">
      <alignment horizontal="right" vertical="center"/>
    </xf>
    <xf numFmtId="0" fontId="0" fillId="0" borderId="0" applyAlignment="1" applyProtection="1" pivotButton="0" quotePrefix="0" xfId="0">
      <alignment vertical="top"/>
      <protection locked="0" hidden="0"/>
    </xf>
    <xf numFmtId="10" fontId="0" fillId="0" borderId="0" applyAlignment="1" applyProtection="1" pivotButton="0" quotePrefix="0" xfId="0">
      <alignment vertical="top"/>
      <protection locked="0" hidden="0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0" borderId="0" applyAlignment="1" applyProtection="1" pivotButton="0" quotePrefix="0" xfId="0">
      <alignment horizontal="right" vertical="top" wrapText="1"/>
      <protection locked="0" hidden="0"/>
    </xf>
    <xf numFmtId="0" fontId="0" fillId="0" borderId="0" applyAlignment="1" applyProtection="1" pivotButton="0" quotePrefix="0" xfId="0">
      <alignment horizontal="center" vertical="top" wrapText="1"/>
      <protection locked="0" hidden="0"/>
    </xf>
    <xf numFmtId="0" fontId="0" fillId="0" borderId="0" applyAlignment="1" applyProtection="1" pivotButton="0" quotePrefix="0" xfId="0">
      <alignment horizontal="left" vertical="top"/>
      <protection locked="0" hidden="0"/>
    </xf>
    <xf numFmtId="165" fontId="3" fillId="0" borderId="0" applyAlignment="1" pivotButton="0" quotePrefix="0" xfId="1">
      <alignment horizontal="left" vertical="top" wrapText="1"/>
    </xf>
    <xf numFmtId="0" fontId="3" fillId="0" borderId="0" applyAlignment="1" pivotButton="0" quotePrefix="0" xfId="1">
      <alignment vertical="top" wrapText="1"/>
    </xf>
    <xf numFmtId="0" fontId="3" fillId="0" borderId="0" applyAlignment="1" pivotButton="0" quotePrefix="0" xfId="1">
      <alignment vertical="top"/>
    </xf>
    <xf numFmtId="0" fontId="0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4">
      <alignment horizontal="right" vertical="center"/>
    </xf>
    <xf numFmtId="0" fontId="6" fillId="0" borderId="0" applyAlignment="1" pivotButton="0" quotePrefix="0" xfId="4">
      <alignment horizontal="right" vertical="center"/>
    </xf>
    <xf numFmtId="2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5" borderId="5" applyAlignment="1" applyProtection="1" pivotButton="0" quotePrefix="0" xfId="0">
      <alignment horizontal="right" vertical="top"/>
      <protection locked="0" hidden="0"/>
    </xf>
    <xf numFmtId="0" fontId="1" fillId="0" borderId="0" applyAlignment="1" pivotButton="0" quotePrefix="0" xfId="0">
      <alignment horizontal="center" vertical="center"/>
    </xf>
    <xf numFmtId="164" fontId="1" fillId="5" borderId="1" applyAlignment="1" pivotButton="0" quotePrefix="0" xfId="0">
      <alignment horizontal="right" vertical="center"/>
    </xf>
    <xf numFmtId="0" fontId="1" fillId="5" borderId="1" applyAlignment="1" pivotButton="0" quotePrefix="0" xfId="0">
      <alignment horizontal="right" vertical="center"/>
    </xf>
    <xf numFmtId="0" fontId="1" fillId="5" borderId="3" applyAlignment="1" pivotButton="0" quotePrefix="0" xfId="0">
      <alignment horizontal="left" vertical="center"/>
    </xf>
    <xf numFmtId="164" fontId="1" fillId="5" borderId="3" applyAlignment="1" pivotButton="0" quotePrefix="0" xfId="0">
      <alignment horizontal="right" vertical="center"/>
    </xf>
    <xf numFmtId="0" fontId="1" fillId="0" borderId="0" applyAlignment="1" pivotButton="0" quotePrefix="1" xfId="0">
      <alignment horizontal="left" vertical="center"/>
    </xf>
    <xf numFmtId="9" fontId="6" fillId="3" borderId="0" applyAlignment="1" pivotButton="0" quotePrefix="0" xfId="4">
      <alignment horizontal="center" vertical="top"/>
    </xf>
    <xf numFmtId="10" fontId="0" fillId="0" borderId="0" applyAlignment="1" pivotButton="0" quotePrefix="0" xfId="0">
      <alignment vertical="top"/>
    </xf>
    <xf numFmtId="10" fontId="0" fillId="0" borderId="0" applyAlignment="1" pivotButton="0" quotePrefix="0" xfId="0">
      <alignment horizontal="center" vertical="top" wrapText="1"/>
    </xf>
    <xf numFmtId="9" fontId="0" fillId="0" borderId="0" applyAlignment="1" pivotButton="0" quotePrefix="0" xfId="0">
      <alignment horizontal="center" vertical="top"/>
    </xf>
    <xf numFmtId="0" fontId="0" fillId="5" borderId="8" applyAlignment="1" applyProtection="1" pivotButton="0" quotePrefix="0" xfId="0">
      <alignment horizontal="center" vertical="top"/>
      <protection locked="0" hidden="0"/>
    </xf>
    <xf numFmtId="0" fontId="13" fillId="5" borderId="3" applyAlignment="1" pivotButton="0" quotePrefix="0" xfId="4">
      <alignment horizontal="center" vertical="center"/>
    </xf>
    <xf numFmtId="0" fontId="13" fillId="5" borderId="3" applyAlignment="1" pivotButton="0" quotePrefix="0" xfId="4">
      <alignment horizontal="right" vertical="center"/>
    </xf>
    <xf numFmtId="0" fontId="13" fillId="3" borderId="0" applyAlignment="1" pivotButton="0" quotePrefix="0" xfId="4">
      <alignment horizontal="left" vertical="center"/>
    </xf>
    <xf numFmtId="0" fontId="5" fillId="3" borderId="0" applyAlignment="1" pivotButton="0" quotePrefix="0" xfId="4">
      <alignment horizontal="right" vertical="center"/>
    </xf>
    <xf numFmtId="0" fontId="13" fillId="3" borderId="0" applyAlignment="1" pivotButton="0" quotePrefix="0" xfId="4">
      <alignment horizontal="right" vertical="center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1" fillId="5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6" borderId="4" applyAlignment="1" applyProtection="1" pivotButton="0" quotePrefix="0" xfId="0">
      <alignment horizontal="right" vertical="top"/>
      <protection locked="0" hidden="0"/>
    </xf>
    <xf numFmtId="0" fontId="0" fillId="0" borderId="0" applyAlignment="1" pivotButton="0" quotePrefix="0" xfId="0">
      <alignment horizontal="right" vertical="top"/>
    </xf>
    <xf numFmtId="0" fontId="16" fillId="0" borderId="0" applyAlignment="1" pivotButton="0" quotePrefix="0" xfId="0">
      <alignment horizontal="left" vertical="center"/>
    </xf>
    <xf numFmtId="9" fontId="1" fillId="0" borderId="3" applyAlignment="1" pivotButton="0" quotePrefix="0" xfId="6">
      <alignment horizontal="center" vertical="center"/>
    </xf>
    <xf numFmtId="9" fontId="1" fillId="4" borderId="3" applyAlignment="1" pivotButton="0" quotePrefix="0" xfId="6">
      <alignment horizontal="center" vertical="center"/>
    </xf>
    <xf numFmtId="0" fontId="17" fillId="0" borderId="0" applyAlignment="1" pivotButton="0" quotePrefix="0" xfId="0">
      <alignment horizontal="center"/>
    </xf>
    <xf numFmtId="0" fontId="4" fillId="0" borderId="0" applyAlignment="1" pivotButton="0" quotePrefix="0" xfId="3">
      <alignment horizontal="right" vertical="center"/>
    </xf>
    <xf numFmtId="0" fontId="12" fillId="0" borderId="0" applyAlignment="1" pivotButton="0" quotePrefix="0" xfId="0">
      <alignment horizontal="right" vertical="top"/>
    </xf>
    <xf numFmtId="164" fontId="18" fillId="0" borderId="0" applyAlignment="1" pivotButton="0" quotePrefix="0" xfId="0">
      <alignment horizontal="right"/>
    </xf>
    <xf numFmtId="0" fontId="3" fillId="0" borderId="0" applyAlignment="1" pivotButton="0" quotePrefix="0" xfId="1">
      <alignment horizontal="right" vertical="top" wrapText="1"/>
    </xf>
    <xf numFmtId="0" fontId="1" fillId="0" borderId="2" applyAlignment="1" pivotButton="0" quotePrefix="0" xfId="0">
      <alignment horizontal="right" vertical="center"/>
    </xf>
    <xf numFmtId="0" fontId="19" fillId="0" borderId="0" applyAlignment="1" pivotButton="0" quotePrefix="0" xfId="0">
      <alignment horizontal="right" vertical="center"/>
    </xf>
    <xf numFmtId="164" fontId="19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3" fillId="0" borderId="0" applyAlignment="1" pivotButton="0" quotePrefix="0" xfId="4">
      <alignment horizontal="left" vertical="center"/>
    </xf>
    <xf numFmtId="0" fontId="13" fillId="0" borderId="0" applyAlignment="1" pivotButton="0" quotePrefix="0" xfId="4">
      <alignment horizontal="center" vertical="center"/>
    </xf>
    <xf numFmtId="0" fontId="13" fillId="0" borderId="0" applyAlignment="1" pivotButton="0" quotePrefix="0" xfId="4">
      <alignment horizontal="right" vertical="center"/>
    </xf>
    <xf numFmtId="0" fontId="5" fillId="0" borderId="0" applyAlignment="1" pivotButton="0" quotePrefix="0" xfId="4">
      <alignment horizontal="right" vertical="center"/>
    </xf>
    <xf numFmtId="0" fontId="3" fillId="0" borderId="0" applyAlignment="1" pivotButton="0" quotePrefix="1" xfId="1">
      <alignment horizontal="right" vertical="top" wrapText="1"/>
    </xf>
    <xf numFmtId="0" fontId="8" fillId="0" borderId="0" applyAlignment="1" pivotButton="0" quotePrefix="0" xfId="0">
      <alignment horizontal="center" vertical="top"/>
    </xf>
    <xf numFmtId="9" fontId="22" fillId="0" borderId="0" applyAlignment="1" pivotButton="0" quotePrefix="0" xfId="4">
      <alignment horizontal="right" vertical="top"/>
    </xf>
    <xf numFmtId="9" fontId="8" fillId="0" borderId="0" pivotButton="0" quotePrefix="0" xfId="6"/>
    <xf numFmtId="9" fontId="0" fillId="0" borderId="0" pivotButton="0" quotePrefix="0" xfId="6"/>
    <xf numFmtId="0" fontId="0" fillId="0" borderId="0" applyAlignment="1" applyProtection="1" pivotButton="0" quotePrefix="0" xfId="0">
      <alignment horizontal="right" vertical="top"/>
      <protection locked="0" hidden="0"/>
    </xf>
    <xf numFmtId="0" fontId="8" fillId="0" borderId="0" applyAlignment="1" applyProtection="1" pivotButton="0" quotePrefix="0" xfId="0">
      <alignment vertical="top" wrapText="1"/>
      <protection locked="0" hidden="0"/>
    </xf>
    <xf numFmtId="0" fontId="8" fillId="0" borderId="0" applyAlignment="1" pivotButton="0" quotePrefix="0" xfId="0">
      <alignment vertical="top"/>
    </xf>
    <xf numFmtId="0" fontId="8" fillId="0" borderId="4" applyAlignment="1" applyProtection="1" pivotButton="0" quotePrefix="0" xfId="0">
      <alignment horizontal="right" vertical="top" wrapText="1"/>
      <protection locked="0" hidden="0"/>
    </xf>
    <xf numFmtId="0" fontId="9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vertical="top" wrapText="1"/>
    </xf>
    <xf numFmtId="10" fontId="6" fillId="3" borderId="0" applyAlignment="1" pivotButton="0" quotePrefix="0" xfId="4">
      <alignment horizontal="center" vertical="top" wrapText="1"/>
    </xf>
    <xf numFmtId="0" fontId="6" fillId="3" borderId="0" applyAlignment="1" pivotButton="0" quotePrefix="0" xfId="4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1">
      <alignment vertical="top"/>
    </xf>
    <xf numFmtId="0" fontId="23" fillId="0" borderId="0" applyAlignment="1" pivotButton="0" quotePrefix="0" xfId="1">
      <alignment horizontal="right" vertical="top" wrapText="1"/>
    </xf>
    <xf numFmtId="9" fontId="6" fillId="0" borderId="0" applyAlignment="1" pivotButton="0" quotePrefix="0" xfId="6">
      <alignment horizontal="center" vertical="top"/>
    </xf>
    <xf numFmtId="167" fontId="1" fillId="0" borderId="0" applyAlignment="1" pivotButton="0" quotePrefix="0" xfId="0">
      <alignment horizontal="right" vertical="center"/>
    </xf>
    <xf numFmtId="167" fontId="15" fillId="0" borderId="0" applyAlignment="1" pivotButton="0" quotePrefix="0" xfId="0">
      <alignment horizontal="right" vertical="center"/>
    </xf>
    <xf numFmtId="167" fontId="0" fillId="0" borderId="0" applyAlignment="1" applyProtection="1" pivotButton="0" quotePrefix="0" xfId="0">
      <alignment vertical="top"/>
      <protection locked="0" hidden="0"/>
    </xf>
    <xf numFmtId="167" fontId="0" fillId="0" borderId="0" applyAlignment="1" pivotButton="0" quotePrefix="0" xfId="0">
      <alignment vertical="top"/>
    </xf>
    <xf numFmtId="167" fontId="0" fillId="0" borderId="0" applyAlignment="1" applyProtection="1" pivotButton="0" quotePrefix="0" xfId="0">
      <alignment vertical="top" wrapText="1"/>
      <protection locked="0" hidden="0"/>
    </xf>
    <xf numFmtId="167" fontId="0" fillId="0" borderId="0" applyAlignment="1" pivotButton="0" quotePrefix="0" xfId="0">
      <alignment horizontal="right" vertical="top" wrapText="1"/>
    </xf>
    <xf numFmtId="167" fontId="8" fillId="0" borderId="0" applyAlignment="1" applyProtection="1" pivotButton="0" quotePrefix="0" xfId="0">
      <alignment vertical="top"/>
      <protection locked="0" hidden="0"/>
    </xf>
    <xf numFmtId="167" fontId="10" fillId="0" borderId="0" applyAlignment="1" pivotButton="0" quotePrefix="0" xfId="0">
      <alignment vertical="top"/>
    </xf>
    <xf numFmtId="167" fontId="8" fillId="0" borderId="0" applyAlignment="1" pivotButton="0" quotePrefix="0" xfId="0">
      <alignment vertical="top"/>
    </xf>
    <xf numFmtId="167" fontId="11" fillId="0" borderId="0" applyAlignment="1" pivotButton="0" quotePrefix="0" xfId="0">
      <alignment horizontal="right" vertical="top"/>
    </xf>
    <xf numFmtId="167" fontId="8" fillId="0" borderId="0" applyAlignment="1" pivotButton="0" quotePrefix="0" xfId="0">
      <alignment horizontal="center" vertical="top"/>
    </xf>
    <xf numFmtId="167" fontId="0" fillId="0" borderId="0" applyAlignment="1" applyProtection="1" pivotButton="0" quotePrefix="0" xfId="0">
      <alignment horizontal="center" vertical="top" wrapText="1"/>
      <protection locked="0" hidden="0"/>
    </xf>
    <xf numFmtId="167" fontId="0" fillId="0" borderId="0" applyAlignment="1" applyProtection="1" pivotButton="0" quotePrefix="0" xfId="0">
      <alignment horizontal="right" vertical="top" wrapText="1"/>
      <protection locked="0" hidden="0"/>
    </xf>
    <xf numFmtId="167" fontId="0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vertical="top" wrapText="1"/>
    </xf>
    <xf numFmtId="167" fontId="0" fillId="0" borderId="0" applyAlignment="1" pivotButton="0" quotePrefix="0" xfId="0">
      <alignment horizontal="right"/>
    </xf>
    <xf numFmtId="167" fontId="8" fillId="0" borderId="0" applyAlignment="1" pivotButton="0" quotePrefix="0" xfId="0">
      <alignment horizontal="center"/>
    </xf>
    <xf numFmtId="167" fontId="8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/>
    </xf>
    <xf numFmtId="0" fontId="1" fillId="5" borderId="2" applyAlignment="1" pivotButton="0" quotePrefix="0" xfId="0">
      <alignment horizontal="right" vertical="center"/>
    </xf>
    <xf numFmtId="0" fontId="18" fillId="0" borderId="0" applyAlignment="1" pivotButton="0" quotePrefix="0" xfId="0">
      <alignment horizontal="right"/>
    </xf>
    <xf numFmtId="168" fontId="1" fillId="0" borderId="0" applyAlignment="1" pivotButton="0" quotePrefix="0" xfId="5">
      <alignment horizontal="right" vertical="center" wrapText="1"/>
    </xf>
    <xf numFmtId="168" fontId="1" fillId="0" borderId="3" applyAlignment="1" pivotButton="0" quotePrefix="0" xfId="5">
      <alignment horizontal="right" vertical="center"/>
    </xf>
    <xf numFmtId="168" fontId="1" fillId="0" borderId="0" applyAlignment="1" pivotButton="0" quotePrefix="0" xfId="0">
      <alignment horizontal="right" vertical="center"/>
    </xf>
    <xf numFmtId="168" fontId="1" fillId="0" borderId="2" applyAlignment="1" pivotButton="0" quotePrefix="0" xfId="5">
      <alignment horizontal="right" vertical="center"/>
    </xf>
    <xf numFmtId="168" fontId="1" fillId="0" borderId="0" applyAlignment="1" pivotButton="0" quotePrefix="0" xfId="5">
      <alignment horizontal="right" vertical="center"/>
    </xf>
    <xf numFmtId="168" fontId="1" fillId="0" borderId="6" applyAlignment="1" pivotButton="0" quotePrefix="0" xfId="5">
      <alignment horizontal="right" vertical="center"/>
    </xf>
    <xf numFmtId="168" fontId="1" fillId="4" borderId="3" applyAlignment="1" pivotButton="0" quotePrefix="0" xfId="5">
      <alignment horizontal="right" vertical="center"/>
    </xf>
    <xf numFmtId="169" fontId="0" fillId="0" borderId="0" applyAlignment="1" applyProtection="1" pivotButton="0" quotePrefix="0" xfId="0">
      <alignment horizontal="left" vertical="top"/>
      <protection locked="0" hidden="0"/>
    </xf>
    <xf numFmtId="168" fontId="0" fillId="0" borderId="0" applyAlignment="1" pivotButton="0" quotePrefix="0" xfId="0">
      <alignment vertical="top"/>
    </xf>
    <xf numFmtId="170" fontId="8" fillId="0" borderId="0" applyAlignment="1" pivotButton="0" quotePrefix="0" xfId="0">
      <alignment horizontal="center" vertical="top"/>
    </xf>
    <xf numFmtId="168" fontId="0" fillId="0" borderId="0" applyAlignment="1" pivotButton="0" quotePrefix="0" xfId="5">
      <alignment horizontal="right" vertical="top"/>
    </xf>
    <xf numFmtId="171" fontId="0" fillId="0" borderId="0" applyAlignment="1" pivotButton="0" quotePrefix="0" xfId="0">
      <alignment vertical="top"/>
    </xf>
    <xf numFmtId="0" fontId="18" fillId="0" borderId="0" applyAlignment="1" pivotButton="0" quotePrefix="0" xfId="0">
      <alignment horizontal="left"/>
    </xf>
    <xf numFmtId="0" fontId="18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right"/>
    </xf>
    <xf numFmtId="166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2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center"/>
    </xf>
    <xf numFmtId="0" fontId="1" fillId="5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  <xf numFmtId="0" fontId="0" fillId="0" borderId="2" pivotButton="0" quotePrefix="0" xfId="0"/>
    <xf numFmtId="164" fontId="1" fillId="5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top" wrapText="1"/>
    </xf>
    <xf numFmtId="0" fontId="8" fillId="0" borderId="7" applyAlignment="1" applyProtection="1" pivotButton="0" quotePrefix="0" xfId="0">
      <alignment horizontal="right" vertical="top"/>
      <protection locked="0" hidden="0"/>
    </xf>
    <xf numFmtId="0" fontId="0" fillId="0" borderId="0" applyProtection="1" pivotButton="0" quotePrefix="0" xfId="0">
      <protection locked="0" hidden="0"/>
    </xf>
    <xf numFmtId="168" fontId="1" fillId="0" borderId="0" applyAlignment="1" pivotButton="0" quotePrefix="0" xfId="5">
      <alignment horizontal="right" vertical="center" wrapText="1"/>
    </xf>
    <xf numFmtId="168" fontId="1" fillId="0" borderId="3" applyAlignment="1" pivotButton="0" quotePrefix="0" xfId="5">
      <alignment horizontal="right" vertical="center"/>
    </xf>
    <xf numFmtId="168" fontId="1" fillId="0" borderId="0" applyAlignment="1" pivotButton="0" quotePrefix="0" xfId="0">
      <alignment horizontal="right" vertical="center"/>
    </xf>
    <xf numFmtId="168" fontId="1" fillId="0" borderId="2" applyAlignment="1" pivotButton="0" quotePrefix="0" xfId="5">
      <alignment horizontal="right" vertical="center"/>
    </xf>
    <xf numFmtId="168" fontId="1" fillId="0" borderId="0" applyAlignment="1" pivotButton="0" quotePrefix="0" xfId="5">
      <alignment horizontal="right" vertical="center"/>
    </xf>
    <xf numFmtId="168" fontId="1" fillId="0" borderId="6" applyAlignment="1" pivotButton="0" quotePrefix="0" xfId="5">
      <alignment horizontal="right" vertical="center"/>
    </xf>
    <xf numFmtId="168" fontId="1" fillId="4" borderId="3" applyAlignment="1" pivotButton="0" quotePrefix="0" xfId="5">
      <alignment horizontal="right" vertical="center"/>
    </xf>
    <xf numFmtId="169" fontId="0" fillId="0" borderId="0" applyAlignment="1" applyProtection="1" pivotButton="0" quotePrefix="0" xfId="0">
      <alignment horizontal="left" vertical="top"/>
      <protection locked="0" hidden="0"/>
    </xf>
    <xf numFmtId="168" fontId="0" fillId="0" borderId="0" applyAlignment="1" pivotButton="0" quotePrefix="0" xfId="0">
      <alignment vertical="top"/>
    </xf>
    <xf numFmtId="170" fontId="8" fillId="0" borderId="0" applyAlignment="1" pivotButton="0" quotePrefix="0" xfId="0">
      <alignment horizontal="center" vertical="top"/>
    </xf>
    <xf numFmtId="168" fontId="0" fillId="0" borderId="0" applyAlignment="1" pivotButton="0" quotePrefix="0" xfId="5">
      <alignment horizontal="right" vertical="top"/>
    </xf>
    <xf numFmtId="171" fontId="0" fillId="0" borderId="0" applyAlignment="1" pivotButton="0" quotePrefix="0" xfId="0">
      <alignment vertical="top"/>
    </xf>
  </cellXfs>
  <cellStyles count="7">
    <cellStyle name="Normal" xfId="0" builtinId="0"/>
    <cellStyle name="Normal 2" xfId="1"/>
    <cellStyle name="Hyperlink 2" xfId="2"/>
    <cellStyle name="Hyperlink" xfId="3" builtinId="8"/>
    <cellStyle name="Good" xfId="4" builtinId="26"/>
    <cellStyle name="Currency" xfId="5" builtinId="4"/>
    <cellStyle name="Percent" xfId="6" builtinId="5"/>
  </cellStyles>
  <dxfs count="50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general" vertical="top"/>
    </dxf>
    <dxf>
      <alignment vertical="top" wrapText="1"/>
    </dxf>
    <dxf>
      <alignment vertical="top" wrapText="1"/>
    </dxf>
    <dxf>
      <alignment vertical="top" wrapText="1"/>
    </dxf>
    <dxf>
      <alignment horizontal="general" vertical="top"/>
    </dxf>
    <dxf>
      <numFmt numFmtId="165" formatCode="###\ ####"/>
      <alignment horizontal="right" vertical="top" wrapText="1"/>
    </dxf>
    <dxf>
      <alignment vertical="top" wrapText="1"/>
    </dxf>
    <dxf>
      <alignment horizontal="general" vertical="top"/>
    </dxf>
    <dxf>
      <alignment horizontal="right" vertical="top" wrapText="1"/>
    </dxf>
    <dxf>
      <alignment horizontal="general" vertical="top"/>
    </dxf>
    <dxf>
      <numFmt numFmtId="0" formatCode="General"/>
      <alignment vertical="top" wrapText="1"/>
    </dxf>
    <dxf>
      <numFmt numFmtId="0" formatCode="General"/>
      <alignment vertical="top" wrapText="1"/>
    </dxf>
    <dxf>
      <alignment vertical="top" wrapText="1"/>
    </dxf>
    <dxf>
      <alignment horizontal="general" vertical="top" wrapText="1"/>
    </dxf>
    <dxf>
      <alignment horizontal="general" vertical="top"/>
    </dxf>
    <dxf>
      <alignment vertical="top"/>
    </dxf>
    <dxf>
      <alignment vertical="top"/>
    </dxf>
    <dxf>
      <alignment horizontal="right" vertical="top"/>
    </dxf>
    <dxf>
      <alignment horizontal="right" vertical="top"/>
    </dxf>
    <dxf>
      <numFmt numFmtId="0" formatCode="General"/>
      <alignment vertical="top"/>
    </dxf>
    <dxf>
      <numFmt numFmtId="0" formatCode="General"/>
      <alignment horizontal="center" vertical="top"/>
    </dxf>
    <dxf>
      <numFmt numFmtId="13" formatCode="0%"/>
      <alignment horizontal="center" vertical="top"/>
      <protection locked="1" hidden="0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167" formatCode="&quot;$&quot;#,##0.00"/>
      <alignment horizontal="general" vertical="top"/>
    </dxf>
    <dxf>
      <numFmt numFmtId="167" formatCode="&quot;$&quot;#,##0.00"/>
      <alignment horizontal="general" vertical="top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0" formatCode="General"/>
      <alignment horizontal="center" vertical="top"/>
      <protection locked="0" hidden="0"/>
    </dxf>
    <dxf>
      <numFmt numFmtId="167" formatCode="&quot;$&quot;#,##0.00"/>
      <alignment horizontal="general" vertical="top"/>
      <protection locked="1" hidden="0"/>
    </dxf>
    <dxf>
      <numFmt numFmtId="167" formatCode="&quot;$&quot;#,##0.00"/>
      <alignment horizontal="general" vertical="top"/>
      <protection locked="0" hidden="0"/>
    </dxf>
    <dxf>
      <numFmt numFmtId="167" formatCode="&quot;$&quot;#,##0.00"/>
      <alignment horizontal="general" vertical="top"/>
      <protection locked="0" hidden="0"/>
    </dxf>
    <dxf>
      <alignment horizontal="center" vertical="top"/>
      <protection locked="0" hidden="0"/>
    </dxf>
    <dxf>
      <alignment horizontal="center" vertical="top"/>
      <protection locked="0" hidden="0"/>
    </dxf>
    <dxf>
      <alignment horizontal="right" vertical="top"/>
      <protection locked="0" hidden="0"/>
    </dxf>
    <dxf>
      <alignment horizontal="left" vertical="top"/>
      <protection locked="0" hidden="0"/>
    </dxf>
    <dxf>
      <alignment vertical="top"/>
      <protection locked="0" hidden="0"/>
    </dxf>
    <dxf>
      <alignment vertical="top"/>
    </dxf>
    <dxf>
      <numFmt numFmtId="167" formatCode="&quot;$&quot;#,##0.00"/>
      <alignment vertical="top" wrapText="1"/>
    </dxf>
    <dxf>
      <font>
        <strike val="0"/>
      </font>
      <fill>
        <patternFill>
          <bgColor rgb="FFFF5757"/>
        </patternFill>
      </fill>
    </dxf>
    <dxf>
      <fill>
        <patternFill>
          <bgColor rgb="FFFF5757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strike val="0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strike val="0"/>
      </font>
      <fill>
        <patternFill>
          <bgColor rgb="FFFFC000"/>
        </patternFill>
      </fill>
    </dxf>
    <dxf>
      <font>
        <b val="1"/>
        <strike val="0"/>
      </font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19050</colOff>
      <row>3</row>
      <rowOff>0</rowOff>
    </from>
    <to>
      <col>2</col>
      <colOff>768163</colOff>
      <row>4</row>
      <rowOff>109180</rowOff>
    </to>
    <pic>
      <nvPicPr>
        <cNvPr id="2" name="Picture 1" descr="Bayswater Vehicles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9050" y="0"/>
          <a:ext cx="3333750" cy="3854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6:Y21" headerRowCount="1" totalsRowShown="0" headerRowDxfId="41" dataDxfId="40">
  <tableColumns count="25">
    <tableColumn id="1" name="Item" dataDxfId="39"/>
    <tableColumn id="2" name="PNC" dataDxfId="38"/>
    <tableColumn id="3" name="Part Number" dataDxfId="37"/>
    <tableColumn id="4" name="Qty" dataDxfId="36"/>
    <tableColumn id="25" name="BMW Disc Code" dataDxfId="35"/>
    <tableColumn id="5" name="Retail" dataDxfId="34"/>
    <tableColumn id="11" name="Daily" dataDxfId="33"/>
    <tableColumn id="6" name=" Smash Buy $" dataDxfId="32">
      <calculatedColumnFormula>IF(Table1[[#This Row],[BMW Disc Code]]="","",IF(OR('Cover Sheet'!$G$7="BMW",'Cover Sheet'!$G$7="Mini"),(Table1[[#This Row],[Retail]]-SUM(VLOOKUP(Table1[[#This Row],[BMW Disc Code]],BMWdisc[#All],2,FALSE)*Table1[[#This Row],[Retail]])),""))</calculatedColumnFormula>
    </tableColumn>
    <tableColumn id="7" name="SOH" dataDxfId="31"/>
    <tableColumn id="8" name="TOTAL Retail" dataDxfId="30">
      <calculatedColumnFormula>IFERROR(IF(ISBLANK(F7),"",IF(ISBLANK(D7),F7,D7*F7)),"")</calculatedColumnFormula>
    </tableColumn>
    <tableColumn id="12" name="Total Daily" dataDxfId="29">
      <calculatedColumnFormula>IFERROR(IF(ISBLANK(G7),"",IF(ISBLANK(D7),G7,D7*G7)),"")</calculatedColumnFormula>
    </tableColumn>
    <tableColumn id="19" name="Total Smash Buy $" dataDxfId="28">
      <calculatedColumnFormula>IF(Table1[[#This Row],[ Smash Buy $]]="","",Table1[[#This Row],[Qty]]*Table1[[#This Row],[ Smash Buy $]])</calculatedColumnFormula>
    </tableColumn>
    <tableColumn id="18" name="Quoted Unit $" dataDxfId="27">
      <calculatedColumnFormula>IFERROR(IF(ISBLANK(H7),"",ROUNDUP(H7*R7+H7,0)),"")</calculatedColumnFormula>
    </tableColumn>
    <tableColumn id="14" name="If Fees Incl" dataDxfId="26">
      <calculatedColumnFormula>IF($C$5="I",ROUNDUP(M7*1.035,2),M7)</calculatedColumnFormula>
    </tableColumn>
    <tableColumn id="9" name="Quoted Total $" dataDxfId="25">
      <calculatedColumnFormula>IFERROR(IF(ISBLANK(M7),"",IF(D7="",N7,D7*N7)),"")</calculatedColumnFormula>
    </tableColumn>
    <tableColumn id="17" name="Sub Totals" dataDxfId="24">
      <calculatedColumnFormula>SUM(O7:O21)</calculatedColumnFormula>
    </tableColumn>
    <tableColumn id="13" name="Quoted $" dataDxfId="23">
      <calculatedColumnFormula>IFERROR(IF(ISBLANK(Table1[[#This Row],[Item]]),"",D7*N7),"")</calculatedColumnFormula>
    </tableColumn>
    <tableColumn id="15" name="% markup" dataDxfId="22">
      <calculatedColumnFormula>IF(H7="","",$R$2)</calculatedColumnFormula>
    </tableColumn>
    <tableColumn id="16" name="% margin" dataDxfId="21">
      <calculatedColumnFormula>IF(Table1[[#This Row],[Total Smash Buy $]]="","",ROUND(100-(Table1[[#This Row],[Total Smash Buy $]]/Table1[[#This Row],[Quoted Total $]]*100),0)&amp;"%")</calculatedColumnFormula>
    </tableColumn>
    <tableColumn id="10" name="Condensed part #" dataDxfId="20">
      <calculatedColumnFormula>IF(OR('Cover Sheet'!$G$7="Suzuki",'Cover Sheet'!$G$7="Isuzu",'Cover Sheet'!$G$7="BMW",'Cover Sheet'!$G$7="Mini"),SUBSTITUTE(SUBSTITUTE(Table1[[#This Row],[Part Number]],"-","")," ",""),"")</calculatedColumnFormula>
    </tableColumn>
    <tableColumn id="20" name="ETA / Rec'd Date" dataDxfId="19"/>
    <tableColumn id="21" name="Supplier Inv #" dataDxfId="18"/>
    <tableColumn id="23" name="Location / Date dispatched" dataDxfId="17"/>
    <tableColumn id="24" name="Dispatched via" dataDxfId="16"/>
    <tableColumn id="22" name="Our Inv #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L99" headerRowCount="1" totalsRowShown="0" headerRowDxfId="14" dataDxfId="13">
  <autoFilter ref="A1:L99"/>
  <sortState ref="A2:L99">
    <sortCondition ref="C99"/>
  </sortState>
  <tableColumns count="12">
    <tableColumn id="11" name="Column2" dataDxfId="12">
      <calculatedColumnFormula>IFERROR(RANK(B2,$B$2:$B$203,1),"")</calculatedColumnFormula>
    </tableColumn>
    <tableColumn id="9" name="Column1" dataDxfId="11">
      <calculatedColumnFormula>IFERROR(SEARCH('Cover Sheet'!$J$1,Table3[[#This Row],[Business 2]])+ROW()/100000,"")</calculatedColumnFormula>
    </tableColumn>
    <tableColumn id="4" name="Business " dataDxfId="10" dataCellStyle="Normal 2"/>
    <tableColumn id="12" name="A/c #" dataDxfId="9" dataCellStyle="Normal 2"/>
    <tableColumn id="1" name="Business 2" dataDxfId="8"/>
    <tableColumn id="2" name="Contact" dataDxfId="7"/>
    <tableColumn id="3" name="Phone" dataDxfId="6"/>
    <tableColumn id="5" name="Street" dataDxfId="5"/>
    <tableColumn id="6" name="Suburb" dataDxfId="4"/>
    <tableColumn id="7" name="City" dataDxfId="3"/>
    <tableColumn id="8" name="Post Code" dataDxfId="2"/>
    <tableColumn id="10" name="Email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BMWdisc" displayName="BMWdisc" ref="K1:M27" headerRowCount="1" totalsRowShown="0" headerRowDxfId="0">
  <tableColumns count="3">
    <tableColumn id="1" name="BMW Discount codes"/>
    <tableColumn id="2" name="%" dataCellStyle="Percent"/>
    <tableColumn id="3" name=" x fac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aandaautowrks@gmail.com" TargetMode="External" Id="rId1"/><Relationship Type="http://schemas.openxmlformats.org/officeDocument/2006/relationships/hyperlink" Target="mailto:info@ampanel.co.nz" TargetMode="External" Id="rId2"/><Relationship Type="http://schemas.openxmlformats.org/officeDocument/2006/relationships/hyperlink" Target="mailto:accurateautomotive@xtra.co.nz" TargetMode="External" Id="rId3"/><Relationship Type="http://schemas.openxmlformats.org/officeDocument/2006/relationships/hyperlink" Target="mailto:admin@akpp.co.nz" TargetMode="External" Id="rId4"/><Relationship Type="http://schemas.openxmlformats.org/officeDocument/2006/relationships/hyperlink" Target="mailto:ansin.montieth@xtra.co.nz" TargetMode="External" Id="rId5"/><Relationship Type="http://schemas.openxmlformats.org/officeDocument/2006/relationships/hyperlink" Target="mailto:apexpanel@xtra.co.nz" TargetMode="External" Id="rId6"/><Relationship Type="http://schemas.openxmlformats.org/officeDocument/2006/relationships/hyperlink" Target="mailto:panel.shop@autopanelandpaint.co.nz" TargetMode="External" Id="rId7"/><Relationship Type="http://schemas.openxmlformats.org/officeDocument/2006/relationships/hyperlink" Target="mailto:autopanels@xtra.co.nz" TargetMode="External" Id="rId8"/><Relationship Type="http://schemas.openxmlformats.org/officeDocument/2006/relationships/hyperlink" Target="mailto:aztechpanel@actrix.co.nz" TargetMode="External" Id="rId9"/><Relationship Type="http://schemas.openxmlformats.org/officeDocument/2006/relationships/hyperlink" Target="mailto:bell-blockpanelbeaters@xtra.co.nz" TargetMode="External" Id="rId10"/><Relationship Type="http://schemas.openxmlformats.org/officeDocument/2006/relationships/hyperlink" Target="mailto:bzone@xtra.co.nz" TargetMode="External" Id="rId11"/><Relationship Type="http://schemas.openxmlformats.org/officeDocument/2006/relationships/hyperlink" Target="mailto:jackpanel@xtra.co.nz" TargetMode="External" Id="rId12"/><Relationship Type="http://schemas.openxmlformats.org/officeDocument/2006/relationships/hyperlink" Target="mailto:jbaty@gisborne.net.nz" TargetMode="External" Id="rId13"/><Relationship Type="http://schemas.openxmlformats.org/officeDocument/2006/relationships/hyperlink" Target="mailto:chbmotors@xtra.co.nz" TargetMode="External" Id="rId14"/><Relationship Type="http://schemas.openxmlformats.org/officeDocument/2006/relationships/hyperlink" Target="mailto:chris@chrispanelandpaint.co.nz" TargetMode="External" Id="rId15"/><Relationship Type="http://schemas.openxmlformats.org/officeDocument/2006/relationships/hyperlink" Target="mailto:c.whiteautoelec@xtra.co.nz" TargetMode="External" Id="rId16"/><Relationship Type="http://schemas.openxmlformats.org/officeDocument/2006/relationships/hyperlink" Target="mailto:cityautopainters@gmail.com" TargetMode="External" Id="rId17"/><Relationship Type="http://schemas.openxmlformats.org/officeDocument/2006/relationships/hyperlink" Target="mailto:admin@citycollision.co.nz" TargetMode="External" Id="rId18"/><Relationship Type="http://schemas.openxmlformats.org/officeDocument/2006/relationships/hyperlink" Target="mailto:collingandgray@xtra.co.nz" TargetMode="External" Id="rId19"/><Relationship Type="http://schemas.openxmlformats.org/officeDocument/2006/relationships/hyperlink" Target="mailto:dartpanel@gmail.com" TargetMode="External" Id="rId20"/><Relationship Type="http://schemas.openxmlformats.org/officeDocument/2006/relationships/hyperlink" Target="mailto:dgooch@xtra.co.nz" TargetMode="External" Id="rId21"/><Relationship Type="http://schemas.openxmlformats.org/officeDocument/2006/relationships/hyperlink" Target="mailto:dentspanel@xtra.co.nz" TargetMode="External" Id="rId22"/><Relationship Type="http://schemas.openxmlformats.org/officeDocument/2006/relationships/hyperlink" Target="mailto:workshop@dewescontractors.co.nz" TargetMode="External" Id="rId23"/><Relationship Type="http://schemas.openxmlformats.org/officeDocument/2006/relationships/hyperlink" Target="mailto:info@dittmer.co.nz" TargetMode="External" Id="rId24"/><Relationship Type="http://schemas.openxmlformats.org/officeDocument/2006/relationships/hyperlink" Target="mailto:dwpanelbeaters@xtra.co.nz" TargetMode="External" Id="rId25"/><Relationship Type="http://schemas.openxmlformats.org/officeDocument/2006/relationships/hyperlink" Target="mailto:eliteautospray@xtra.co.nz" TargetMode="External" Id="rId26"/><Relationship Type="http://schemas.openxmlformats.org/officeDocument/2006/relationships/hyperlink" Target="mailto:endless1@xtra.co.nz" TargetMode="External" Id="rId27"/><Relationship Type="http://schemas.openxmlformats.org/officeDocument/2006/relationships/hyperlink" Target="mailto:parts@enterprisemg.co.nz" TargetMode="External" Id="rId28"/><Relationship Type="http://schemas.openxmlformats.org/officeDocument/2006/relationships/hyperlink" Target="mailto:parts@eurocity.co.nz" TargetMode="External" Id="rId29"/><Relationship Type="http://schemas.openxmlformats.org/officeDocument/2006/relationships/hyperlink" Target="mailto:office@friendandwistrand.co.nz" TargetMode="External" Id="rId30"/><Relationship Type="http://schemas.openxmlformats.org/officeDocument/2006/relationships/hyperlink" Target="mailto:admin@gbglass.co.nz" TargetMode="External" Id="rId31"/><Relationship Type="http://schemas.openxmlformats.org/officeDocument/2006/relationships/hyperlink" Target="mailto:parts@geemotors.co.nz" TargetMode="External" Id="rId32"/><Relationship Type="http://schemas.openxmlformats.org/officeDocument/2006/relationships/hyperlink" Target="mailto:panel@gisbornemotors.co.nz" TargetMode="External" Id="rId33"/><Relationship Type="http://schemas.openxmlformats.org/officeDocument/2006/relationships/hyperlink" Target="mailto:gmpanel@xtra.co.nz" TargetMode="External" Id="rId34"/><Relationship Type="http://schemas.openxmlformats.org/officeDocument/2006/relationships/hyperlink" Target="mailto:admin@hbcollision.co.nz" TargetMode="External" Id="rId35"/><Relationship Type="http://schemas.openxmlformats.org/officeDocument/2006/relationships/hyperlink" Target="mailto:admin@gpp.net.nz" TargetMode="External" Id="rId36"/><Relationship Type="http://schemas.openxmlformats.org/officeDocument/2006/relationships/hyperlink" Target="mailto:greertonpanel@kinect.co.nz" TargetMode="External" Id="rId37"/><Relationship Type="http://schemas.openxmlformats.org/officeDocument/2006/relationships/hyperlink" Target="mailto:harts.bodyshop@xtra.co.nz" TargetMode="External" Id="rId38"/><Relationship Type="http://schemas.openxmlformats.org/officeDocument/2006/relationships/hyperlink" Target="mailto:hastingspanelrepairs@clear.net.nz" TargetMode="External" Id="rId39"/><Relationship Type="http://schemas.openxmlformats.org/officeDocument/2006/relationships/hyperlink" Target="mailto:hnpanel@gmail.com" TargetMode="External" Id="rId40"/><Relationship Type="http://schemas.openxmlformats.org/officeDocument/2006/relationships/hyperlink" Target="mailto:admin@hbcollision.co.nz" TargetMode="External" Id="rId41"/><Relationship Type="http://schemas.openxmlformats.org/officeDocument/2006/relationships/hyperlink" Target="mailto:admin@hrpp.co.nz" TargetMode="External" Id="rId42"/><Relationship Type="http://schemas.openxmlformats.org/officeDocument/2006/relationships/hyperlink" Target="mailto:motorhamilton@iag.co.nz" TargetMode="External" Id="rId43"/><Relationship Type="http://schemas.openxmlformats.org/officeDocument/2006/relationships/hyperlink" Target="mailto:admin@kawans.co.nz" TargetMode="External" Id="rId44"/><Relationship Type="http://schemas.openxmlformats.org/officeDocument/2006/relationships/hyperlink" Target="mailto:admin@larsencollision.co.nz" TargetMode="External" Id="rId45"/><Relationship Type="http://schemas.openxmlformats.org/officeDocument/2006/relationships/hyperlink" Target="mailto:lexmillerpsp@gmail.com" TargetMode="External" Id="rId46"/><Relationship Type="http://schemas.openxmlformats.org/officeDocument/2006/relationships/hyperlink" Target="mailto:manawatuautobodies@gmail.com" TargetMode="External" Id="rId47"/><Relationship Type="http://schemas.openxmlformats.org/officeDocument/2006/relationships/hyperlink" Target="mailto:marty@martyspanelandpaintltd.co.nz" TargetMode="External" Id="rId48"/><Relationship Type="http://schemas.openxmlformats.org/officeDocument/2006/relationships/hyperlink" Target="mailto:panel@autocity.co.nz" TargetMode="External" Id="rId49"/><Relationship Type="http://schemas.openxmlformats.org/officeDocument/2006/relationships/hyperlink" Target="mailto:parts@mcverrycrawford.co.nz" TargetMode="External" Id="rId50"/><Relationship Type="http://schemas.openxmlformats.org/officeDocument/2006/relationships/hyperlink" Target="mailto:admin@ncrc.nz" TargetMode="External" Id="rId51"/><Relationship Type="http://schemas.openxmlformats.org/officeDocument/2006/relationships/hyperlink" Target="mailto:mrfixnp@xtra.co.nz" TargetMode="External" Id="rId52"/><Relationship Type="http://schemas.openxmlformats.org/officeDocument/2006/relationships/hyperlink" Target="mailto:ncpp@xtra.co.nz" TargetMode="External" Id="rId53"/><Relationship Type="http://schemas.openxmlformats.org/officeDocument/2006/relationships/hyperlink" Target="mailto:gisborne@novus.co.nz" TargetMode="External" Id="rId54"/><Relationship Type="http://schemas.openxmlformats.org/officeDocument/2006/relationships/hyperlink" Target="mailto:napier@novus.co.nz" TargetMode="External" Id="rId55"/><Relationship Type="http://schemas.openxmlformats.org/officeDocument/2006/relationships/hyperlink" Target="mailto:oka.crashrepair@xtra.co.nz" TargetMode="External" Id="rId56"/><Relationship Type="http://schemas.openxmlformats.org/officeDocument/2006/relationships/hyperlink" Target="mailto:info@pnpanelandpaint.co.nz" TargetMode="External" Id="rId57"/><Relationship Type="http://schemas.openxmlformats.org/officeDocument/2006/relationships/hyperlink" Target="mailto:panelpaint@actrix.co.nz" TargetMode="External" Id="rId58"/><Relationship Type="http://schemas.openxmlformats.org/officeDocument/2006/relationships/hyperlink" Target="mailto:panelbeata@xtra.co.nz" TargetMode="External" Id="rId59"/><Relationship Type="http://schemas.openxmlformats.org/officeDocument/2006/relationships/hyperlink" Target="mailto:plong@inspire.net.nz" TargetMode="External" Id="rId60"/><Relationship Type="http://schemas.openxmlformats.org/officeDocument/2006/relationships/hyperlink" Target="mailto:p.morgans2020@gmail.com" TargetMode="External" Id="rId61"/><Relationship Type="http://schemas.openxmlformats.org/officeDocument/2006/relationships/hyperlink" Target="mailto:plpbe@xtra.co.nz" TargetMode="External" Id="rId62"/><Relationship Type="http://schemas.openxmlformats.org/officeDocument/2006/relationships/hyperlink" Target="mailto:priorandpalmer@gmail.com" TargetMode="External" Id="rId63"/><Relationship Type="http://schemas.openxmlformats.org/officeDocument/2006/relationships/hyperlink" Target="mailto:admin@psyslater.co.nz" TargetMode="External" Id="rId64"/><Relationship Type="http://schemas.openxmlformats.org/officeDocument/2006/relationships/hyperlink" Target="mailto:admin@qam.co.nz" TargetMode="External" Id="rId65"/><Relationship Type="http://schemas.openxmlformats.org/officeDocument/2006/relationships/hyperlink" Target="mailto:rightpanelbeaters@xtra.co.nz" TargetMode="External" Id="rId66"/><Relationship Type="http://schemas.openxmlformats.org/officeDocument/2006/relationships/hyperlink" Target="mailto:robharveypanelbeaters338@gmail.com" TargetMode="External" Id="rId67"/><Relationship Type="http://schemas.openxmlformats.org/officeDocument/2006/relationships/hyperlink" Target="mailto:panelshop@hbtow.co.nz" TargetMode="External" Id="rId68"/><Relationship Type="http://schemas.openxmlformats.org/officeDocument/2006/relationships/hyperlink" Target="mailto:rfpanelbeaters@xtra.co.nz" TargetMode="External" Id="rId69"/><Relationship Type="http://schemas.openxmlformats.org/officeDocument/2006/relationships/hyperlink" Target="mailto:admin@stichautos.co.nz" TargetMode="External" Id="rId70"/><Relationship Type="http://schemas.openxmlformats.org/officeDocument/2006/relationships/hyperlink" Target="mailto:office@stratfordpanelbeaters.co.nz" TargetMode="External" Id="rId71"/><Relationship Type="http://schemas.openxmlformats.org/officeDocument/2006/relationships/hyperlink" Target="mailto:Jenkinson@inspire.net.nz" TargetMode="External" Id="rId72"/><Relationship Type="http://schemas.openxmlformats.org/officeDocument/2006/relationships/hyperlink" Target="mailto:suncitycarpainters@gmail.com" TargetMode="External" Id="rId73"/><Relationship Type="http://schemas.openxmlformats.org/officeDocument/2006/relationships/hyperlink" Target="mailto:panelman@xtra.co.nz" TargetMode="External" Id="rId74"/><Relationship Type="http://schemas.openxmlformats.org/officeDocument/2006/relationships/hyperlink" Target="mailto:tauposmash@xtra.co.nz" TargetMode="External" Id="rId75"/><Relationship Type="http://schemas.openxmlformats.org/officeDocument/2006/relationships/hyperlink" Target="mailto:crash@terryspanel.com" TargetMode="External" Id="rId76"/><Relationship Type="http://schemas.openxmlformats.org/officeDocument/2006/relationships/hyperlink" Target="mailto:tom.don66@gmail.com" TargetMode="External" Id="rId77"/><Relationship Type="http://schemas.openxmlformats.org/officeDocument/2006/relationships/hyperlink" Target="mailto:dughn@yahoo.com" TargetMode="External" Id="rId78"/><Relationship Type="http://schemas.openxmlformats.org/officeDocument/2006/relationships/hyperlink" Target="mailto:villagepanel@airnet.net.nz" TargetMode="External" Id="rId79"/><Relationship Type="http://schemas.openxmlformats.org/officeDocument/2006/relationships/hyperlink" Target="mailto:wpkparts@clear.net.nz" TargetMode="External" Id="rId80"/><Relationship Type="http://schemas.openxmlformats.org/officeDocument/2006/relationships/hyperlink" Target="mailto:wairoa.autobodies@xtra.co.nz" TargetMode="External" Id="rId81"/><Relationship Type="http://schemas.openxmlformats.org/officeDocument/2006/relationships/hyperlink" Target="mailto:scott@wisemanpanel.co.nz" TargetMode="External" Id="rId82"/><Relationship Type="http://schemas.openxmlformats.org/officeDocument/2006/relationships/table" Target="/xl/tables/table2.xml" Id="rId83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40"/>
  <sheetViews>
    <sheetView topLeftCell="A13" zoomScale="85" zoomScaleNormal="85" workbookViewId="0">
      <selection activeCell="K1" sqref="K1"/>
    </sheetView>
  </sheetViews>
  <sheetFormatPr baseColWidth="8" defaultColWidth="18.265625" defaultRowHeight="21.95" customHeight="1"/>
  <cols>
    <col width="12.3984375" bestFit="1" customWidth="1" style="146" min="1" max="1"/>
    <col width="26.3984375" customWidth="1" style="146" min="2" max="2"/>
    <col width="11.73046875" customWidth="1" style="146" min="3" max="4"/>
    <col width="20.1328125" bestFit="1" customWidth="1" style="146" min="5" max="5"/>
    <col width="0.73046875" customWidth="1" style="146" min="6" max="6"/>
    <col width="19.73046875" bestFit="1" customWidth="1" style="146" min="7" max="7"/>
    <col width="18.265625" customWidth="1" style="146" min="8" max="9"/>
    <col width="21.73046875" bestFit="1" customWidth="1" style="146" min="10" max="10"/>
    <col width="18.265625" customWidth="1" style="146" min="11" max="14"/>
    <col width="18.265625" customWidth="1" style="146" min="15" max="16384"/>
  </cols>
  <sheetData>
    <row r="1" ht="21" customFormat="1" customHeight="1" s="141">
      <c r="A1" s="140" t="n"/>
      <c r="B1" s="71">
        <f>IF(G18="","ORDERED",G18)</f>
        <v/>
      </c>
      <c r="C1" s="34" t="n"/>
      <c r="G1" s="141">
        <f>IF(B18="","",B18)</f>
        <v/>
      </c>
      <c r="H1" s="51" t="n"/>
      <c r="I1" s="53" t="inlineStr">
        <is>
          <t>SEARCH HERE&gt;&gt;&gt;</t>
        </is>
      </c>
      <c r="J1" s="49" t="n"/>
      <c r="K1" s="50" t="inlineStr">
        <is>
          <t>Hayden</t>
        </is>
      </c>
      <c r="L1" s="51" t="inlineStr">
        <is>
          <t>&lt;&lt;&lt;Name Here</t>
        </is>
      </c>
      <c r="M1" s="52" t="n"/>
      <c r="O1" s="141">
        <f>IF(G12="","","Quote " &amp; G12)</f>
        <v/>
      </c>
    </row>
    <row r="2" ht="21" customFormat="1" customHeight="1" s="141">
      <c r="B2" s="73">
        <f>IF(G20="","Confirmed",IF(G7="Hyundai","PSORD " &amp;G20,IF(G7="Isuzu","IPSO " &amp;G20,G20)))</f>
        <v/>
      </c>
      <c r="C2" s="34" t="n"/>
      <c r="E2" s="70" t="n"/>
      <c r="F2" s="70" t="n"/>
      <c r="G2" s="70">
        <f>IF(G5="","","PT " &amp; G5)</f>
        <v/>
      </c>
      <c r="H2" s="75" t="n"/>
      <c r="I2" s="77" t="n"/>
      <c r="J2" s="76">
        <f>Quote!U1</f>
        <v/>
      </c>
      <c r="K2" s="77" t="n"/>
      <c r="L2" s="75" t="n"/>
      <c r="M2" s="78" t="n"/>
    </row>
    <row r="3" ht="21" customFormat="1" customHeight="1" s="141">
      <c r="B3" s="74">
        <f>IF(G12="","","Quote " &amp; G12)</f>
        <v/>
      </c>
      <c r="E3" s="70" t="n"/>
      <c r="F3" s="70" t="n"/>
      <c r="G3" s="72">
        <f>G9 &amp; " " &amp; G7 &amp; " " &amp; G8 &amp; " " &amp; G6</f>
        <v/>
      </c>
      <c r="I3" s="36" t="n">
        <v>1</v>
      </c>
      <c r="J3" s="35">
        <f>IFERROR(IF(J1="","",VLOOKUP(I3,Table3[#All],3,FALSE)),"")</f>
        <v/>
      </c>
      <c r="K3" s="141">
        <f>IFERROR(VLOOKUP(J3,Table3[[#All],[Business ]:[A/c '#]],2,FALSE),"")</f>
        <v/>
      </c>
    </row>
    <row r="4" ht="21.95" customHeight="1">
      <c r="A4" s="12" t="n"/>
      <c r="E4" s="146" t="inlineStr">
        <is>
          <t>DATE:</t>
        </is>
      </c>
      <c r="G4" s="39" t="n">
        <v>44792</v>
      </c>
      <c r="I4" s="14" t="n">
        <v>2</v>
      </c>
      <c r="J4" s="1">
        <f>IFERROR(IF(J3="","",VLOOKUP(I4,Table3[#All],3,FALSE)),"")</f>
        <v/>
      </c>
      <c r="K4" s="146">
        <f>IFERROR(VLOOKUP(J4,Table3[[#All],[Business ]:[A/c '#]],2,FALSE),"")</f>
        <v/>
      </c>
    </row>
    <row r="5" ht="21.95" customHeight="1">
      <c r="E5" s="146" t="inlineStr">
        <is>
          <t>PARTSTRADER #:</t>
        </is>
      </c>
      <c r="G5" s="151" t="inlineStr">
        <is>
          <t>6006921</t>
        </is>
      </c>
      <c r="I5" s="14" t="n">
        <v>3</v>
      </c>
      <c r="J5" s="1">
        <f>IFERROR(IF(J4="","",VLOOKUP(I5,Table3[#All],3,FALSE)),"")</f>
        <v/>
      </c>
      <c r="K5" s="146">
        <f>IFERROR(VLOOKUP(J5,Table3[[#All],[Business ]:[A/c '#]],2,FALSE),"")</f>
        <v/>
      </c>
    </row>
    <row r="6" ht="21.95" customHeight="1">
      <c r="A6" s="1" t="n"/>
      <c r="B6" s="38" t="n"/>
      <c r="E6" s="146" t="inlineStr">
        <is>
          <t>REGO #:</t>
        </is>
      </c>
      <c r="G6" s="151" t="inlineStr">
        <is>
          <t>MSA500</t>
        </is>
      </c>
      <c r="I6" s="14" t="n">
        <v>4</v>
      </c>
      <c r="J6" s="1">
        <f>IFERROR(IF(J5="","",VLOOKUP(I6,Table3[#All],3,FALSE)),"")</f>
        <v/>
      </c>
      <c r="K6" s="146">
        <f>IFERROR(VLOOKUP(J6,Table3[[#All],[Business ]:[A/c '#]],2,FALSE),"")</f>
        <v/>
      </c>
    </row>
    <row r="7" ht="21.95" customHeight="1">
      <c r="A7" s="1" t="n"/>
      <c r="B7" s="38" t="inlineStr">
        <is>
          <t>NEW</t>
        </is>
      </c>
      <c r="C7" s="61" t="inlineStr">
        <is>
          <t>ç</t>
        </is>
      </c>
      <c r="E7" s="146" t="inlineStr">
        <is>
          <t>MAKE:</t>
        </is>
      </c>
      <c r="G7" s="151" t="n"/>
      <c r="I7" s="14" t="n">
        <v>5</v>
      </c>
      <c r="J7" s="1">
        <f>IFERROR(IF(J6="","",VLOOKUP(I7,Table3[#All],3,FALSE)),"")</f>
        <v/>
      </c>
      <c r="K7" s="146">
        <f>IFERROR(VLOOKUP(J7,Table3[[#All],[Business ]:[A/c '#]],2,FALSE),"")</f>
        <v/>
      </c>
    </row>
    <row r="8" ht="21.95" customHeight="1">
      <c r="A8" s="1" t="n"/>
      <c r="B8" s="38" t="inlineStr">
        <is>
          <t>USED</t>
        </is>
      </c>
      <c r="C8" s="1" t="n"/>
      <c r="E8" s="146" t="inlineStr">
        <is>
          <t>MODEL:</t>
        </is>
      </c>
      <c r="G8" s="151" t="inlineStr">
        <is>
          <t>IX35</t>
        </is>
      </c>
      <c r="I8" s="14" t="n">
        <v>6</v>
      </c>
      <c r="J8" s="1">
        <f>IFERROR(IF(J7="","",VLOOKUP(I8,Table3[#All],3,FALSE)),"")</f>
        <v/>
      </c>
      <c r="K8" s="146">
        <f>IFERROR(VLOOKUP(J8,Table3[[#All],[Business ]:[A/c '#]],2,FALSE),"")</f>
        <v/>
      </c>
    </row>
    <row r="9" ht="21.95" customHeight="1">
      <c r="A9" s="1" t="n"/>
      <c r="B9" s="38" t="n"/>
      <c r="C9" s="1" t="n"/>
      <c r="E9" s="146" t="inlineStr">
        <is>
          <t>YEAR:</t>
        </is>
      </c>
      <c r="G9" s="151" t="inlineStr">
        <is>
          <t>2015</t>
        </is>
      </c>
      <c r="I9" s="14" t="n">
        <v>7</v>
      </c>
      <c r="J9" s="1">
        <f>IFERROR(IF(J8="","",VLOOKUP(I9,Table3[#All],3,FALSE)),"")</f>
        <v/>
      </c>
      <c r="K9" s="146">
        <f>IFERROR(VLOOKUP(J9,Table3[[#All],[Business ]:[A/c '#]],2,FALSE),"")</f>
        <v/>
      </c>
    </row>
    <row r="10" ht="21.95" customHeight="1">
      <c r="A10" s="1" t="n"/>
      <c r="B10" s="38" t="n"/>
      <c r="C10" s="1" t="n"/>
      <c r="D10" s="1" t="n"/>
      <c r="E10" s="146" t="inlineStr">
        <is>
          <t>COLOUR:</t>
        </is>
      </c>
      <c r="G10" s="151" t="n"/>
      <c r="I10" s="17" t="n"/>
      <c r="J10" s="18" t="n"/>
      <c r="K10" s="145" t="n"/>
    </row>
    <row r="11" ht="21.95" customHeight="1">
      <c r="A11" s="1" t="n"/>
      <c r="B11" s="38" t="n"/>
      <c r="C11" s="1" t="n"/>
      <c r="D11" s="146" t="inlineStr">
        <is>
          <t>VIN/CHASSIS #:</t>
        </is>
      </c>
      <c r="E11" s="3" t="n"/>
      <c r="F11" s="3" t="n"/>
      <c r="G11" s="40" t="inlineStr">
        <is>
          <t>KMHJU81FMFU104862</t>
        </is>
      </c>
    </row>
    <row r="12" ht="21.95" customHeight="1">
      <c r="A12" s="1" t="n"/>
      <c r="B12" s="38" t="n"/>
      <c r="E12" s="146" t="inlineStr">
        <is>
          <t>SUPPLIER QUOTE #:</t>
        </is>
      </c>
      <c r="G12" s="69">
        <f>IF(ISBLANK(Quote!C4),"",Quote!C4)</f>
        <v/>
      </c>
    </row>
    <row r="13" ht="21.95" customHeight="1">
      <c r="A13" s="142" t="inlineStr">
        <is>
          <t>Job Description</t>
        </is>
      </c>
      <c r="B13" s="143" t="n"/>
      <c r="C13" s="143" t="n"/>
      <c r="D13" s="143" t="n"/>
    </row>
    <row r="14" ht="36.75" customHeight="1">
      <c r="A14" s="15" t="inlineStr">
        <is>
          <t>QUOTED BY</t>
        </is>
      </c>
      <c r="B14" s="15" t="inlineStr">
        <is>
          <t>Date</t>
        </is>
      </c>
      <c r="C14" s="16" t="inlineStr">
        <is>
          <t>Amount (Excl Freight and Fees)</t>
        </is>
      </c>
      <c r="D14" s="16" t="inlineStr">
        <is>
          <t>Cost 
(Excl Freight and Fees)</t>
        </is>
      </c>
      <c r="E14" s="15" t="inlineStr">
        <is>
          <t>Margin</t>
        </is>
      </c>
      <c r="G14" s="146" t="inlineStr">
        <is>
          <t>GROSS $$</t>
        </is>
      </c>
      <c r="J14" s="155">
        <f>SUM(J15:J99)</f>
        <v/>
      </c>
      <c r="K14" s="155">
        <f>SUM(K15:K99)</f>
        <v/>
      </c>
    </row>
    <row r="15" ht="21.95" customHeight="1">
      <c r="A15" s="41" t="n"/>
      <c r="B15" s="42">
        <f>IF(ISBLANK(G4),"",G4)</f>
        <v/>
      </c>
      <c r="C15" s="156">
        <f>IF(Quote!Q2="","",Quote!Q2)</f>
        <v/>
      </c>
      <c r="D15" s="156">
        <f>IF(Quote!H2="","",Quote!H2)</f>
        <v/>
      </c>
      <c r="E15" s="62">
        <f>IF(D15=0,"",IF(Quote!C5="I",ROUND(1-(D15/(C15/1.035)),2),ROUND(1-(D15/C15),2)))</f>
        <v/>
      </c>
      <c r="G15" s="157">
        <f>IF(G21="included",C15-D15-(H22-(G24-Freight!G1)),C15-D15)</f>
        <v/>
      </c>
    </row>
    <row r="16" ht="21.95" customHeight="1">
      <c r="D16" s="146">
        <f>IF($B$17="","",VLOOKUP(B17,Repairers!$D$1:$L$106,9,FALSE))</f>
        <v/>
      </c>
    </row>
    <row r="17" ht="21.95" customHeight="1">
      <c r="A17" s="146" t="inlineStr">
        <is>
          <t>Customer #:</t>
        </is>
      </c>
      <c r="B17" s="142">
        <f>K3</f>
        <v/>
      </c>
      <c r="C17" s="146">
        <f>IF($B$17="","","ph "&amp; (VLOOKUP(B17,Repairers!D1:L106,4,FALSE)))</f>
        <v/>
      </c>
      <c r="E17" s="146" t="inlineStr">
        <is>
          <t>OUR ORDER #:</t>
        </is>
      </c>
      <c r="G17" s="40" t="n"/>
      <c r="I17" s="32" t="n"/>
      <c r="J17" s="32" t="n"/>
      <c r="K17" s="33" t="n"/>
    </row>
    <row r="18" ht="21.95" customHeight="1">
      <c r="A18" s="146" t="inlineStr">
        <is>
          <t>CUSTOMER:</t>
        </is>
      </c>
      <c r="B18" s="142">
        <f>IF($B$17="","",VLOOKUP(B17,Repairers!$D$1:$L$106,2,FALSE))</f>
        <v/>
      </c>
      <c r="C18" s="143" t="n"/>
      <c r="D18" s="143" t="n"/>
      <c r="E18" s="146" t="inlineStr">
        <is>
          <t>DATE ORDERED:</t>
        </is>
      </c>
      <c r="G18" s="39" t="n"/>
      <c r="I18" s="14" t="n"/>
    </row>
    <row r="19" ht="21.95" customHeight="1">
      <c r="A19" s="146" t="inlineStr">
        <is>
          <t>ADDRESS:</t>
        </is>
      </c>
      <c r="B19" s="142">
        <f>IF($B$17="","",VLOOKUP(B17,Repairers!$D$1:$L$106,5,FALSE))</f>
        <v/>
      </c>
      <c r="C19" s="143" t="n"/>
      <c r="D19" s="143" t="n"/>
      <c r="E19" s="146" t="inlineStr">
        <is>
          <t>Ordered Time:</t>
        </is>
      </c>
      <c r="G19" s="151" t="n"/>
      <c r="I19" s="14" t="n"/>
    </row>
    <row r="20" ht="21.95" customHeight="1">
      <c r="B20" s="148">
        <f>IF($B$17="","",VLOOKUP(B17,Repairers!$D$1:$L$106,6,FALSE))</f>
        <v/>
      </c>
      <c r="C20" s="149" t="n"/>
      <c r="D20" s="149" t="n"/>
      <c r="E20" s="146" t="inlineStr">
        <is>
          <t>P/Slip #:</t>
        </is>
      </c>
      <c r="G20" s="40">
        <f>IF(Quote!P2="","",Quote!P2)</f>
        <v/>
      </c>
      <c r="I20" s="14" t="n"/>
    </row>
    <row r="21" ht="21.95" customHeight="1">
      <c r="B21" s="148">
        <f>IF($B$17="","",VLOOKUP(B17,Repairers!$D$1:$L$106,7,FALSE))</f>
        <v/>
      </c>
      <c r="C21" s="149" t="n"/>
      <c r="D21" s="148">
        <f>IF($B$17="","",VLOOKUP(B17,Repairers!$D$1:$L$106,8,FALSE))</f>
        <v/>
      </c>
      <c r="E21" s="146" t="inlineStr">
        <is>
          <t>Success Fees? Y/N</t>
        </is>
      </c>
      <c r="G21" s="38">
        <f t="array" ref="G21">_xlfn.IFS(Quote!C5="","",Quote!C5="N","No",Quote!C5="No","No",Quote!C5="Y","Yes",Quote!C5="Yes","Yes",Quote!C5="I","Included")</f>
        <v/>
      </c>
      <c r="H21" s="43">
        <f>IF(G21="Included","Fees Inluded","")</f>
        <v/>
      </c>
      <c r="I21" s="14" t="n"/>
    </row>
    <row r="22" ht="21.95" customHeight="1">
      <c r="B22" s="146" t="inlineStr">
        <is>
          <t>Name:</t>
        </is>
      </c>
      <c r="C22" s="151">
        <f>IF(K1="","",K1)</f>
        <v/>
      </c>
      <c r="D22" s="149" t="n"/>
      <c r="E22" s="146" t="inlineStr">
        <is>
          <t>Success Fees $:</t>
        </is>
      </c>
      <c r="G22" s="158">
        <f>IF(G21="","",IF(G21="N","",IF(G21="No","",IF(G21="Yes",(C15*0.035)+(G24*0.035),IF(G21="Included","$ "&amp; I22 &amp;" Incl","")))))</f>
        <v/>
      </c>
      <c r="H22" s="97">
        <f>IF(G21="Included",(C15+G24)-(C15+G24)/1.035,"")</f>
        <v/>
      </c>
      <c r="I22" s="98">
        <f>IFERROR(IF(H22="","",(ROUND(((C15+G24)-(C15+G24)/1.035),2))),"")</f>
        <v/>
      </c>
    </row>
    <row r="23" ht="21.95" customHeight="1">
      <c r="B23" s="146" t="inlineStr">
        <is>
          <t>ORDER DATE:</t>
        </is>
      </c>
      <c r="C23" s="150" t="n"/>
      <c r="D23" s="143" t="n"/>
      <c r="E23" s="146" t="inlineStr">
        <is>
          <t>Fees on Inv #:</t>
        </is>
      </c>
      <c r="G23" s="57">
        <f>IF(G21="No","N/A",IF(G21="Included","Included",""))</f>
        <v/>
      </c>
      <c r="I23" s="14" t="n"/>
    </row>
    <row r="24" ht="21.95" customHeight="1">
      <c r="B24" s="146" t="inlineStr">
        <is>
          <t>ORDER #:</t>
        </is>
      </c>
      <c r="C24" s="147" t="n"/>
      <c r="D24" s="143" t="n"/>
      <c r="E24" s="146" t="inlineStr">
        <is>
          <t>Freight:</t>
        </is>
      </c>
      <c r="G24" s="158">
        <f>IF(G4="","",IF(G21="Included",Freight!G1*1.035,Freight!G1))</f>
        <v/>
      </c>
      <c r="I24" s="14" t="n"/>
    </row>
    <row r="25" ht="36.75" customFormat="1" customHeight="1" s="145">
      <c r="A25" s="15" t="inlineStr">
        <is>
          <t>Invoice #</t>
        </is>
      </c>
      <c r="B25" s="15" t="inlineStr">
        <is>
          <t>Date</t>
        </is>
      </c>
      <c r="C25" s="16" t="inlineStr">
        <is>
          <t>Amount (Excl Freight and Fees)</t>
        </is>
      </c>
      <c r="D25" s="16" t="inlineStr">
        <is>
          <t>Cost 
(Excl Freight and Fees)</t>
        </is>
      </c>
      <c r="E25" s="15" t="inlineStr">
        <is>
          <t>Margin</t>
        </is>
      </c>
      <c r="G25" s="159">
        <f>IF(AND(G22="",G24=""),C15,IF(G21="Included",C15+G24,IF(AND(G22="",G24&gt;0),C15+G24,IF(AND(G22&gt;0,G24=""),C15+G22,C15+G22+G24))))</f>
        <v/>
      </c>
      <c r="H25" s="1" t="inlineStr">
        <is>
          <t>Total</t>
        </is>
      </c>
      <c r="I25" s="17" t="n"/>
    </row>
    <row r="26" ht="21.95" customHeight="1">
      <c r="A26" s="2" t="n"/>
      <c r="B26" s="10" t="n"/>
      <c r="C26" s="156" t="n"/>
      <c r="D26" s="156" t="n"/>
      <c r="E26" s="62">
        <f>IF(D26=0,"",IF(Quote!$C$5="I",ROUND(1-(D26/(C26/1.035)),2),ROUND(1-(D26/C26),2)))</f>
        <v/>
      </c>
      <c r="G26" s="159">
        <f>ROUND(IF(G25="","",G25*0.15),2)</f>
        <v/>
      </c>
      <c r="H26" s="1" t="inlineStr">
        <is>
          <t>GST</t>
        </is>
      </c>
      <c r="I26" s="14" t="n"/>
    </row>
    <row r="27" ht="21.95" customHeight="1" thickBot="1">
      <c r="A27" s="2" t="n"/>
      <c r="B27" s="10" t="n"/>
      <c r="C27" s="156" t="n"/>
      <c r="D27" s="156" t="n"/>
      <c r="E27" s="62">
        <f>IF(D27=0,"",IF(Quote!$C$5="I",ROUND(1-(D27/(C27/1.035)),2),ROUND(1-(D27/C27),2)))</f>
        <v/>
      </c>
      <c r="G27" s="160">
        <f>IF(G25="","",G25+G26)</f>
        <v/>
      </c>
      <c r="H27" s="1" t="inlineStr">
        <is>
          <t>TOTAL</t>
        </is>
      </c>
      <c r="I27" s="14" t="n"/>
    </row>
    <row r="28" ht="21.95" customHeight="1">
      <c r="A28" s="2" t="n"/>
      <c r="B28" s="10" t="n"/>
      <c r="C28" s="156" t="n"/>
      <c r="D28" s="156" t="n"/>
      <c r="E28" s="62">
        <f>IF(D28=0,"",IF(Quote!$C$5="I",ROUND(1-(D28/(C28/1.035)),2),ROUND(1-(D28/C28),2)))</f>
        <v/>
      </c>
      <c r="I28" s="14" t="n"/>
    </row>
    <row r="29" ht="21.95" customHeight="1">
      <c r="A29" s="2" t="n"/>
      <c r="B29" s="10" t="n"/>
      <c r="C29" s="156" t="n"/>
      <c r="D29" s="156" t="n"/>
      <c r="E29" s="62">
        <f>IF(D29=0,"",IF(Quote!$C$5="I",ROUND(1-(D29/(C29/1.035)),2),ROUND(1-(D29/C29),2)))</f>
        <v/>
      </c>
      <c r="G29" s="146" t="inlineStr">
        <is>
          <t>GROSS $$</t>
        </is>
      </c>
      <c r="I29" s="14" t="n"/>
    </row>
    <row r="30" ht="21.95" customHeight="1">
      <c r="A30" s="2" t="n"/>
      <c r="B30" s="10" t="n"/>
      <c r="C30" s="156" t="n"/>
      <c r="D30" s="156" t="n"/>
      <c r="E30" s="62">
        <f>IF(D30=0,"",IF(Quote!$C$5="I",ROUND(1-(D30/(C30/1.035)),2),ROUND(1-(D30/C30),2)))</f>
        <v/>
      </c>
      <c r="G30" s="157">
        <f>IF(G21="included",C33-D33-(H22-(G24-Freight!G1)),C33-D33)</f>
        <v/>
      </c>
      <c r="I30" s="14" t="n"/>
    </row>
    <row r="31" ht="21.95" customHeight="1">
      <c r="A31" s="2" t="n"/>
      <c r="B31" s="10" t="n"/>
      <c r="C31" s="156" t="n"/>
      <c r="D31" s="156" t="n"/>
      <c r="E31" s="62">
        <f>IF(D31=0,"",IF(Quote!$C$5="I",ROUND(1-(D31/(C31/1.035)),2),ROUND(1-(D31/C31),2)))</f>
        <v/>
      </c>
    </row>
    <row r="32" ht="21.95" customHeight="1">
      <c r="A32" s="2" t="n"/>
      <c r="B32" s="10" t="n"/>
      <c r="C32" s="156" t="n"/>
      <c r="D32" s="156" t="n"/>
      <c r="E32" s="62">
        <f>IF(D32=0,"",IF(Quote!$C$5="I",ROUND(1-(D32/(C32/1.035)),2),ROUND(1-(D32/C32),2)))</f>
        <v/>
      </c>
    </row>
    <row r="33" ht="21.95" customHeight="1">
      <c r="A33" s="2" t="n"/>
      <c r="B33" s="19" t="inlineStr">
        <is>
          <t>TOTAL</t>
        </is>
      </c>
      <c r="C33" s="161">
        <f>SUM(C26:C32)</f>
        <v/>
      </c>
      <c r="D33" s="161">
        <f>SUM(D26:D32)</f>
        <v/>
      </c>
      <c r="E33" s="63">
        <f>IF(D33=0,"",IF(Quote!$C$5="I",ROUND(1-(D33/(C33/1.035)),2),ROUND(1-(D33/C33),2)))</f>
        <v/>
      </c>
    </row>
    <row r="34" ht="9" customHeight="1"/>
    <row r="35" ht="21.75" customHeight="1">
      <c r="C35" s="146" t="inlineStr">
        <is>
          <t>Added to PartsTrader Spreadsheet:</t>
        </is>
      </c>
      <c r="G35" s="13" t="b">
        <v>0</v>
      </c>
    </row>
    <row r="36" ht="21.95" customHeight="1">
      <c r="C36" s="146" t="inlineStr">
        <is>
          <t>Marked as Dispatched on PartsTrader:</t>
        </is>
      </c>
      <c r="G36" s="13" t="b">
        <v>0</v>
      </c>
    </row>
    <row r="37" ht="21.95" customHeight="1">
      <c r="D37" s="146" t="inlineStr">
        <is>
          <t>ORDER COMPLETED DATE:</t>
        </is>
      </c>
      <c r="G37" s="4" t="n"/>
    </row>
    <row r="38" ht="44.25" customFormat="1" customHeight="1" s="139">
      <c r="A38" s="138">
        <f>B18</f>
        <v/>
      </c>
      <c r="D38" s="58" t="n"/>
      <c r="E38" s="139">
        <f>IF(G5="","","PartsTrader " &amp; G5)</f>
        <v/>
      </c>
    </row>
    <row r="39" ht="10.5" customFormat="1" customHeight="1" s="136">
      <c r="A39" s="135" t="inlineStr">
        <is>
          <t>Make and Model</t>
        </is>
      </c>
      <c r="C39" s="137">
        <f t="array" ref="C39">IFERROR(_xlfn.IFS(G7="Hyundai", "PSORD",G7="Isuzu", "IPSO",G7="Suzuki", "Suzuki Packing Slip",G7="Subaru", "Subaru Packing Slip",G7="Land Rover", "JLR Order Number",G7="Jaguar", "JLR Order Number",G7="Volvo", "Volvo Order Number"),"Supplier Packing Slip")</f>
        <v/>
      </c>
      <c r="E39" s="136" t="inlineStr">
        <is>
          <t>Customer Order #</t>
        </is>
      </c>
      <c r="G39" s="67" t="inlineStr">
        <is>
          <t>Reg #</t>
        </is>
      </c>
    </row>
    <row r="40" ht="21" customFormat="1" customHeight="1" s="145">
      <c r="A40" s="144">
        <f>IF(G8="","",G7 &amp; " " &amp; G8)</f>
        <v/>
      </c>
      <c r="C40" s="152">
        <f>IF(G20="","",G20)</f>
        <v/>
      </c>
      <c r="E40" s="66">
        <f>IF(C24="","",C24)</f>
        <v/>
      </c>
      <c r="F40" s="66" t="n"/>
      <c r="G40" s="66">
        <f>IF(G6="","",G6)</f>
        <v/>
      </c>
    </row>
  </sheetData>
  <mergeCells count="19">
    <mergeCell ref="A40:B40"/>
    <mergeCell ref="C17:D17"/>
    <mergeCell ref="C24:D24"/>
    <mergeCell ref="B18:D18"/>
    <mergeCell ref="B19:D19"/>
    <mergeCell ref="B20:D20"/>
    <mergeCell ref="B21:C21"/>
    <mergeCell ref="C35:E35"/>
    <mergeCell ref="D37:E37"/>
    <mergeCell ref="C23:D23"/>
    <mergeCell ref="C22:D22"/>
    <mergeCell ref="C36:E36"/>
    <mergeCell ref="C40:D40"/>
    <mergeCell ref="A39:B39"/>
    <mergeCell ref="C39:D39"/>
    <mergeCell ref="A38:C38"/>
    <mergeCell ref="A1:A3"/>
    <mergeCell ref="E38:G38"/>
    <mergeCell ref="A13:D13"/>
  </mergeCells>
  <conditionalFormatting sqref="G21:G22">
    <cfRule type="expression" priority="7" dxfId="48">
      <formula>$G$21="Yes"</formula>
    </cfRule>
  </conditionalFormatting>
  <conditionalFormatting sqref="G24">
    <cfRule type="expression" priority="4" dxfId="48">
      <formula>$G$24&gt;0</formula>
    </cfRule>
  </conditionalFormatting>
  <conditionalFormatting sqref="H22:I22 G21:G22">
    <cfRule type="expression" priority="3" dxfId="47">
      <formula>$G$21="Included"</formula>
    </cfRule>
  </conditionalFormatting>
  <conditionalFormatting sqref="B6:B12">
    <cfRule type="notContainsBlanks" priority="8" dxfId="46">
      <formula>LEN(TRIM(B6))&gt;0</formula>
    </cfRule>
  </conditionalFormatting>
  <pageMargins left="0.4724409448818898" right="0.2362204724409449" top="0.3937007874015748" bottom="0.1968503937007874" header="0.3149606299212598" footer="0.3149606299212598"/>
  <pageSetup orientation="portrait" paperSize="9" scale="9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21"/>
  <sheetViews>
    <sheetView tabSelected="1" workbookViewId="0">
      <pane xSplit="1" ySplit="6" topLeftCell="B9" activePane="bottomRight" state="frozen"/>
      <selection pane="topRight" activeCell="B1" sqref="B1"/>
      <selection pane="bottomLeft" activeCell="A4" sqref="A4"/>
      <selection pane="bottomRight" activeCell="U1" sqref="U1"/>
    </sheetView>
  </sheetViews>
  <sheetFormatPr baseColWidth="8" defaultColWidth="9.1328125" defaultRowHeight="14.25"/>
  <cols>
    <col width="38.3984375" customWidth="1" style="20" min="1" max="1"/>
    <col width="9.1328125" customWidth="1" style="20" min="2" max="2"/>
    <col width="16" bestFit="1" customWidth="1" style="84" min="3" max="3"/>
    <col width="4.1328125" bestFit="1" customWidth="1" style="54" min="4" max="4"/>
    <col hidden="1" width="6.3984375" customWidth="1" style="99" min="5" max="5"/>
    <col width="9.1328125" customWidth="1" style="99" min="6" max="6"/>
    <col hidden="1" width="10.1328125" customWidth="1" style="99" min="7" max="7"/>
    <col width="10.3984375" bestFit="1" customWidth="1" style="54" min="8" max="8"/>
    <col width="7.59765625" customWidth="1" style="100" min="9" max="9"/>
    <col hidden="1" width="9.3984375" customWidth="1" style="100" min="10" max="10"/>
    <col hidden="1" width="9.73046875" customWidth="1" style="56" min="11" max="11"/>
    <col hidden="1" width="8.86328125" customWidth="1" style="56" min="12" max="12"/>
    <col width="9.73046875" customWidth="1" style="56" min="13" max="13"/>
    <col hidden="1" width="11.265625" customWidth="1" style="56" min="14" max="14"/>
    <col width="10.1328125" customWidth="1" style="21" min="15" max="15"/>
    <col width="11.59765625" bestFit="1" customWidth="1" style="56" min="16" max="16"/>
    <col width="12.59765625" bestFit="1" customWidth="1" style="56" min="17" max="17"/>
    <col width="11.1328125" customWidth="1" style="56" min="18" max="18"/>
    <col width="14.1328125" bestFit="1" customWidth="1" style="56" min="19" max="19"/>
    <col width="20.59765625" customWidth="1" style="60" min="20" max="20"/>
    <col width="9.1328125" customWidth="1" style="60" min="21" max="21"/>
    <col width="9.1328125" customWidth="1" style="56" min="22" max="22"/>
    <col width="11" customWidth="1" style="56" min="23" max="23"/>
    <col width="11.59765625" customWidth="1" style="56" min="24" max="24"/>
    <col width="9.1328125" customWidth="1" style="56" min="25" max="26"/>
    <col width="10.1328125" bestFit="1" customWidth="1" style="56" min="27" max="27"/>
    <col width="9.1328125" customWidth="1" style="56" min="28" max="31"/>
    <col width="9.1328125" customWidth="1" style="56" min="32" max="16384"/>
  </cols>
  <sheetData>
    <row r="1" ht="28.5" customFormat="1" customHeight="1" s="89">
      <c r="A1" s="22">
        <f>IF('Cover Sheet'!B18="","Repairer",'Cover Sheet'!B18 &amp; " - " &amp; 'Cover Sheet'!K1)</f>
        <v/>
      </c>
      <c r="B1" s="22">
        <f>IF('Cover Sheet'!C22="","Name",'Cover Sheet'!C22)</f>
        <v/>
      </c>
      <c r="C1" s="87" t="inlineStr">
        <is>
          <t>PartsTrader  #</t>
        </is>
      </c>
      <c r="D1" s="24" t="n"/>
      <c r="E1" s="24" t="n"/>
      <c r="F1" s="101" t="inlineStr">
        <is>
          <t>A/c #</t>
        </is>
      </c>
      <c r="G1" s="101" t="n"/>
      <c r="H1" s="88" t="inlineStr">
        <is>
          <t>Smash Buy</t>
        </is>
      </c>
      <c r="I1" s="24" t="n"/>
      <c r="J1" s="102" t="inlineStr">
        <is>
          <t>Retail</t>
        </is>
      </c>
      <c r="K1" s="102" t="inlineStr">
        <is>
          <t>Daily</t>
        </is>
      </c>
      <c r="M1" s="92" t="inlineStr">
        <is>
          <t>Cust Order #</t>
        </is>
      </c>
      <c r="N1" s="102" t="n"/>
      <c r="O1" s="92" t="inlineStr">
        <is>
          <t>Our 
Order #</t>
        </is>
      </c>
      <c r="P1" s="92" t="inlineStr">
        <is>
          <t>Supplier Order #</t>
        </is>
      </c>
      <c r="Q1" s="102" t="inlineStr">
        <is>
          <t>Parts Total</t>
        </is>
      </c>
      <c r="R1" s="90" t="inlineStr">
        <is>
          <t>% markup</t>
        </is>
      </c>
      <c r="S1" s="91" t="inlineStr">
        <is>
          <t>% margin</t>
        </is>
      </c>
      <c r="U1" s="93">
        <f>'Cover Sheet'!G5 &amp;" " &amp; 'Cover Sheet'!G6 &amp;" " &amp; 'Cover Sheet'!G8</f>
        <v/>
      </c>
    </row>
    <row r="2" ht="31.5" customHeight="1" thickBot="1">
      <c r="A2" s="162">
        <f>IF('Cover Sheet'!G5="","","PartsTrader "&amp;C2)</f>
        <v/>
      </c>
      <c r="B2" s="54">
        <f>IF('Cover Sheet'!G6="","Reg #",'Cover Sheet'!G6)</f>
        <v/>
      </c>
      <c r="C2" s="37">
        <f>IF('Cover Sheet'!G5="","",'Cover Sheet'!G5)</f>
        <v/>
      </c>
      <c r="E2" s="54" t="n"/>
      <c r="F2" s="85">
        <f>IF('Cover Sheet'!B17="","",'Cover Sheet'!B17)</f>
        <v/>
      </c>
      <c r="G2" s="103" t="n"/>
      <c r="H2" s="104">
        <f>SUM(Table1[[#All],[Total Smash Buy $]])</f>
        <v/>
      </c>
      <c r="I2" s="54" t="n"/>
      <c r="J2" s="105">
        <f>SUM(Table1[[#All],[TOTAL Retail]])</f>
        <v/>
      </c>
      <c r="K2" s="105">
        <f>SUM(Table1[[#All],[Total Daily]])</f>
        <v/>
      </c>
      <c r="M2" s="80">
        <f t="array" ref="M2:N2">IF('Cover Sheet'!C24:D24="","",'Cover Sheet'!C24:D24)</f>
        <v/>
      </c>
      <c r="N2" s="105" t="str"/>
      <c r="O2" s="86">
        <f>IF('Cover Sheet'!G17="","",'Cover Sheet'!G17)</f>
        <v/>
      </c>
      <c r="P2" s="86" t="n"/>
      <c r="Q2" s="105">
        <f>SUM(Table1[[#All],[Quoted $]])</f>
        <v/>
      </c>
      <c r="R2" s="44" t="n">
        <v>0.32</v>
      </c>
      <c r="S2" s="96">
        <f>IF(H2=0,"",IF(C5="I",ROUND(1-(H2/(Q2/1.035)),2),ROUND(1-(H2/Q2),2)))</f>
        <v/>
      </c>
      <c r="T2" s="56" t="n"/>
      <c r="V2" s="60" t="n"/>
    </row>
    <row r="3">
      <c r="A3" s="20">
        <f>IF('Cover Sheet'!G7="","Make / Model",'Cover Sheet'!G9 &amp;" " &amp; 'Cover Sheet'!G7 &amp;" " &amp; 'Cover Sheet'!G8 &amp;" " &amp; 'Cover Sheet'!G6)</f>
        <v/>
      </c>
      <c r="B3" s="20">
        <f>IF('Cover Sheet'!G9="","Year",'Cover Sheet'!G9)</f>
        <v/>
      </c>
      <c r="C3" s="59" t="inlineStr">
        <is>
          <t>Supplier Quote #</t>
        </is>
      </c>
      <c r="E3" s="54" t="n"/>
      <c r="H3" s="106" t="inlineStr">
        <is>
          <t>excl GST</t>
        </is>
      </c>
      <c r="I3" s="54" t="n"/>
      <c r="J3" s="106" t="inlineStr">
        <is>
          <t>excl GST</t>
        </is>
      </c>
      <c r="K3" s="106" t="inlineStr">
        <is>
          <t>excl GST</t>
        </is>
      </c>
      <c r="O3" s="56" t="n"/>
      <c r="P3" s="21" t="n"/>
      <c r="Q3" s="106" t="inlineStr">
        <is>
          <t>excl GST</t>
        </is>
      </c>
      <c r="R3" s="45" t="inlineStr">
        <is>
          <t>Gross $$</t>
        </is>
      </c>
      <c r="S3" s="163">
        <f>Q2-H2</f>
        <v/>
      </c>
      <c r="T3" s="56" t="n"/>
      <c r="V3" s="60" t="n"/>
    </row>
    <row r="4" ht="14.65" customHeight="1" thickBot="1">
      <c r="A4" s="20">
        <f>IF('Cover Sheet'!G11="","VIN Number",'Cover Sheet'!G11)</f>
        <v/>
      </c>
      <c r="C4" s="37" t="n"/>
      <c r="E4" s="54" t="n"/>
      <c r="H4" s="107">
        <f>IF(C5="","",IF('Cover Sheet'!G21="Yes","FEES",IF('Cover Sheet'!G21="Included","FEES",IF('Cover Sheet'!G21="No",""))))</f>
        <v/>
      </c>
      <c r="I4" s="54" t="n"/>
      <c r="J4" s="106" t="n"/>
      <c r="K4" s="106" t="n"/>
      <c r="L4" s="106" t="n"/>
      <c r="M4" s="81" t="inlineStr">
        <is>
          <t>Freight</t>
        </is>
      </c>
      <c r="O4" s="56" t="n"/>
      <c r="P4" s="21" t="n"/>
      <c r="Q4" s="164" t="inlineStr">
        <is>
          <t>Quote TOTAL</t>
        </is>
      </c>
      <c r="R4" s="45" t="n"/>
      <c r="T4" s="56" t="n"/>
      <c r="V4" s="60" t="n"/>
    </row>
    <row r="5" ht="14.65" customHeight="1" thickBot="1">
      <c r="A5" s="153" t="inlineStr">
        <is>
          <t>Success Fees? Y / N / I</t>
        </is>
      </c>
      <c r="B5" s="154" t="n"/>
      <c r="C5" s="48" t="inlineStr">
        <is>
          <t>N</t>
        </is>
      </c>
      <c r="E5" s="54" t="n"/>
      <c r="H5" s="107">
        <f t="array" ref="H5">IF(Quote!C5="","",_xlfn.IFS(C5="I",'Cover Sheet'!G22,C5="Y",'Cover Sheet'!G22,C5="N",""))</f>
        <v/>
      </c>
      <c r="I5" s="54" t="n"/>
      <c r="J5" s="106" t="n"/>
      <c r="K5" s="106" t="n"/>
      <c r="L5" s="106" t="n"/>
      <c r="M5" s="165">
        <f>IF(SUM(Freight!D:D)&lt;35,35,SUM(Freight!D:D))</f>
        <v/>
      </c>
      <c r="O5" s="56" t="n"/>
      <c r="P5" s="21" t="n"/>
      <c r="Q5" s="163">
        <f>'Cover Sheet'!G27</f>
        <v/>
      </c>
      <c r="R5" s="45" t="n"/>
      <c r="T5" s="56" t="n"/>
      <c r="V5" s="60" t="n"/>
    </row>
    <row r="6" ht="42.75" customHeight="1">
      <c r="A6" s="22" t="inlineStr">
        <is>
          <t>Item</t>
        </is>
      </c>
      <c r="B6" s="22" t="inlineStr">
        <is>
          <t>PNC</t>
        </is>
      </c>
      <c r="C6" s="23" t="inlineStr">
        <is>
          <t>Part Number</t>
        </is>
      </c>
      <c r="D6" s="24" t="inlineStr">
        <is>
          <t>Qty</t>
        </is>
      </c>
      <c r="E6" s="24" t="inlineStr">
        <is>
          <t>BMW Disc Code</t>
        </is>
      </c>
      <c r="F6" s="108" t="inlineStr">
        <is>
          <t>Retail</t>
        </is>
      </c>
      <c r="G6" s="109" t="inlineStr">
        <is>
          <t>Daily</t>
        </is>
      </c>
      <c r="H6" s="108" t="inlineStr">
        <is>
          <t xml:space="preserve"> Smash Buy $</t>
        </is>
      </c>
      <c r="I6" s="24" t="inlineStr">
        <is>
          <t>SOH</t>
        </is>
      </c>
      <c r="J6" s="110" t="inlineStr">
        <is>
          <t>TOTAL Retail</t>
        </is>
      </c>
      <c r="K6" s="110" t="inlineStr">
        <is>
          <t>Total Daily</t>
        </is>
      </c>
      <c r="L6" s="110" t="inlineStr">
        <is>
          <t>Total Smash Buy $</t>
        </is>
      </c>
      <c r="M6" s="110" t="inlineStr">
        <is>
          <t>Quoted Unit $</t>
        </is>
      </c>
      <c r="N6" s="110" t="inlineStr">
        <is>
          <t>If Fees Incl</t>
        </is>
      </c>
      <c r="O6" s="110" t="inlineStr">
        <is>
          <t>Quoted Total $</t>
        </is>
      </c>
      <c r="P6" s="92" t="inlineStr">
        <is>
          <t>Sub Totals</t>
        </is>
      </c>
      <c r="Q6" s="110" t="inlineStr">
        <is>
          <t>Quoted $</t>
        </is>
      </c>
      <c r="R6" s="46" t="inlineStr">
        <is>
          <t>% markup</t>
        </is>
      </c>
      <c r="S6" s="92" t="inlineStr">
        <is>
          <t>% margin</t>
        </is>
      </c>
      <c r="T6" s="110" t="inlineStr">
        <is>
          <t>Condensed part #</t>
        </is>
      </c>
      <c r="U6" s="110" t="inlineStr">
        <is>
          <t>ETA / Rec'd Date</t>
        </is>
      </c>
      <c r="V6" s="110" t="inlineStr">
        <is>
          <t>Supplier Inv #</t>
        </is>
      </c>
      <c r="W6" s="111" t="inlineStr">
        <is>
          <t>Location / Date dispatched</t>
        </is>
      </c>
      <c r="X6" s="111" t="inlineStr">
        <is>
          <t>Dispatched via</t>
        </is>
      </c>
      <c r="Y6" s="111" t="inlineStr">
        <is>
          <t>Our Inv #</t>
        </is>
      </c>
    </row>
    <row r="7">
      <c r="B7" s="25" t="n"/>
      <c r="E7" s="54" t="n"/>
      <c r="H7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7" s="54" t="n"/>
      <c r="J7" s="100">
        <f>IFERROR(IF(ISBLANK(F7),"",IF(ISBLANK(D7),F7,D7*F7)),"")</f>
        <v/>
      </c>
      <c r="K7" s="100">
        <f>IFERROR(IF(ISBLANK(G7),"",IF(ISBLANK(D7),G7,D7*G7)),"")</f>
        <v/>
      </c>
      <c r="L7" s="100">
        <f>IF(Table1[[#This Row],[ Smash Buy $]]="","",Table1[[#This Row],[Qty]]*Table1[[#This Row],[ Smash Buy $]])</f>
        <v/>
      </c>
      <c r="M7" s="100">
        <f>IFERROR(IF(ISBLANK(H7),"",ROUNDUP(H7*R7+H7,0)),"")</f>
        <v/>
      </c>
      <c r="N7" s="100">
        <f>IF($C$5="I",ROUNDUP(M7*1.035,2),M7)</f>
        <v/>
      </c>
      <c r="O7" s="100">
        <f>IFERROR(IF(ISBLANK(M7),"",IF(D7="",N7,D7*N7)),"")</f>
        <v/>
      </c>
      <c r="P7" s="100" t="n"/>
      <c r="Q7" s="100">
        <f>IFERROR(IF(ISBLANK(Table1[[#This Row],[Item]]),"",D7*N7),"")</f>
        <v/>
      </c>
      <c r="R7" s="47">
        <f>IF(H7="","",$R$2)</f>
        <v/>
      </c>
      <c r="S7" s="55">
        <f>IF(Table1[[#This Row],[Total Smash Buy $]]="","",ROUND(100-(Table1[[#This Row],[Total Smash Buy $]]/Table1[[#This Row],[Quoted Total $]]*100),0)&amp;"%")</f>
        <v/>
      </c>
      <c r="T7" s="56">
        <f>IF(OR('Cover Sheet'!$G$7="Suzuki",'Cover Sheet'!$G$7="Isuzu",'Cover Sheet'!$G$7="BMW",'Cover Sheet'!$G$7="Mini"),SUBSTITUTE(SUBSTITUTE(Table1[[#This Row],[Part Number]],"-","")," ",""),"")</f>
        <v/>
      </c>
      <c r="V7" s="60" t="n"/>
      <c r="AA7" s="166" t="n"/>
    </row>
    <row r="8">
      <c r="B8" s="25" t="n"/>
      <c r="E8" s="54" t="n"/>
      <c r="H8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8" s="54" t="n"/>
      <c r="J8" s="100">
        <f>IFERROR(IF(ISBLANK(F8),"",IF(ISBLANK(D8),F8,D8*F8)),"")</f>
        <v/>
      </c>
      <c r="K8" s="100">
        <f>IFERROR(IF(ISBLANK(G8),"",IF(ISBLANK(D8),G8,D8*G8)),"")</f>
        <v/>
      </c>
      <c r="L8" s="100">
        <f>IF(Table1[[#This Row],[ Smash Buy $]]="","",Table1[[#This Row],[Qty]]*Table1[[#This Row],[ Smash Buy $]])</f>
        <v/>
      </c>
      <c r="M8" s="100">
        <f>IFERROR(IF(ISBLANK(H8),"",ROUNDUP(H8*R8+H8,0)),"")</f>
        <v/>
      </c>
      <c r="N8" s="100">
        <f>IF($C$5="I",ROUNDUP(M8*1.035,2),M8)</f>
        <v/>
      </c>
      <c r="O8" s="100">
        <f>IFERROR(IF(ISBLANK(M8),"",IF(D8="",N8,D8*N8)),"")</f>
        <v/>
      </c>
      <c r="P8" s="100" t="n"/>
      <c r="Q8" s="100">
        <f>IFERROR(IF(ISBLANK(Table1[[#This Row],[Item]]),"",D8*N8),"")</f>
        <v/>
      </c>
      <c r="R8" s="47">
        <f>IF(H8="","",$R$2)</f>
        <v/>
      </c>
      <c r="S8" s="55">
        <f>IF(Table1[[#This Row],[Total Smash Buy $]]="","",ROUND(100-(Table1[[#This Row],[Total Smash Buy $]]/Table1[[#This Row],[Quoted Total $]]*100),0)&amp;"%")</f>
        <v/>
      </c>
      <c r="T8" s="56">
        <f>IF(OR('Cover Sheet'!$G$7="Suzuki",'Cover Sheet'!$G$7="Isuzu",'Cover Sheet'!$G$7="BMW",'Cover Sheet'!$G$7="Mini"),SUBSTITUTE(SUBSTITUTE(Table1[[#This Row],[Part Number]],"-","")," ",""),"")</f>
        <v/>
      </c>
      <c r="V8" s="60" t="n"/>
    </row>
    <row r="9">
      <c r="B9" s="25" t="n"/>
      <c r="E9" s="54" t="n"/>
      <c r="H9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9" s="54" t="n"/>
      <c r="J9" s="100">
        <f>IFERROR(IF(ISBLANK(F9),"",IF(ISBLANK(D9),F9,D9*F9)),"")</f>
        <v/>
      </c>
      <c r="K9" s="100">
        <f>IFERROR(IF(ISBLANK(G9),"",IF(ISBLANK(D9),G9,D9*G9)),"")</f>
        <v/>
      </c>
      <c r="L9" s="100">
        <f>IF(Table1[[#This Row],[ Smash Buy $]]="","",Table1[[#This Row],[Qty]]*Table1[[#This Row],[ Smash Buy $]])</f>
        <v/>
      </c>
      <c r="M9" s="100">
        <f>IFERROR(IF(ISBLANK(H9),"",ROUNDUP(H9*R9+H9,0)),"")</f>
        <v/>
      </c>
      <c r="N9" s="100">
        <f>IF($C$5="I",ROUNDUP(M9*1.035,2),M9)</f>
        <v/>
      </c>
      <c r="O9" s="100">
        <f>IFERROR(IF(ISBLANK(M9),"",IF(D9="",N9,D9*N9)),"")</f>
        <v/>
      </c>
      <c r="P9" s="100" t="n"/>
      <c r="Q9" s="100">
        <f>IFERROR(IF(ISBLANK(Table1[[#This Row],[Item]]),"",D9*N9),"")</f>
        <v/>
      </c>
      <c r="R9" s="47">
        <f>IF(H9="","",$R$2)</f>
        <v/>
      </c>
      <c r="S9" s="55">
        <f>IF(Table1[[#This Row],[Total Smash Buy $]]="","",ROUND(100-(Table1[[#This Row],[Total Smash Buy $]]/Table1[[#This Row],[Quoted Total $]]*100),0)&amp;"%")</f>
        <v/>
      </c>
      <c r="T9" s="56">
        <f>IF(OR('Cover Sheet'!$G$7="Suzuki",'Cover Sheet'!$G$7="Isuzu",'Cover Sheet'!$G$7="BMW",'Cover Sheet'!$G$7="Mini"),SUBSTITUTE(SUBSTITUTE(Table1[[#This Row],[Part Number]],"-","")," ",""),"")</f>
        <v/>
      </c>
      <c r="V9" s="60" t="n"/>
    </row>
    <row r="10">
      <c r="B10" s="25" t="n"/>
      <c r="E10" s="54" t="n"/>
      <c r="H10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0" s="54" t="n"/>
      <c r="J10" s="100">
        <f>IFERROR(IF(ISBLANK(F10),"",IF(ISBLANK(D10),F10,D10*F10)),"")</f>
        <v/>
      </c>
      <c r="K10" s="100">
        <f>IFERROR(IF(ISBLANK(G10),"",IF(ISBLANK(D10),G10,D10*G10)),"")</f>
        <v/>
      </c>
      <c r="L10" s="100">
        <f>IF(Table1[[#This Row],[ Smash Buy $]]="","",Table1[[#This Row],[Qty]]*Table1[[#This Row],[ Smash Buy $]])</f>
        <v/>
      </c>
      <c r="M10" s="100">
        <f>IFERROR(IF(ISBLANK(H10),"",ROUNDUP(H10*R10+H10,0)),"")</f>
        <v/>
      </c>
      <c r="N10" s="100">
        <f>IF($C$5="I",ROUNDUP(M10*1.035,2),M10)</f>
        <v/>
      </c>
      <c r="O10" s="100">
        <f>IFERROR(IF(ISBLANK(M10),"",IF(D10="",N10,D10*N10)),"")</f>
        <v/>
      </c>
      <c r="P10" s="100" t="n"/>
      <c r="Q10" s="100">
        <f>IFERROR(IF(ISBLANK(Table1[[#This Row],[Item]]),"",D10*N10),"")</f>
        <v/>
      </c>
      <c r="R10" s="47">
        <f>IF(H10="","",$R$2)</f>
        <v/>
      </c>
      <c r="S10" s="55">
        <f>IF(Table1[[#This Row],[Total Smash Buy $]]="","",ROUND(100-(Table1[[#This Row],[Total Smash Buy $]]/Table1[[#This Row],[Quoted Total $]]*100),0)&amp;"%")</f>
        <v/>
      </c>
      <c r="T10" s="56">
        <f>IF(OR('Cover Sheet'!$G$7="Suzuki",'Cover Sheet'!$G$7="Isuzu",'Cover Sheet'!$G$7="BMW",'Cover Sheet'!$G$7="Mini"),SUBSTITUTE(SUBSTITUTE(Table1[[#This Row],[Part Number]],"-","")," ",""),"")</f>
        <v/>
      </c>
      <c r="V10" s="60" t="n"/>
    </row>
    <row r="11">
      <c r="B11" s="25" t="n"/>
      <c r="E11" s="54" t="n"/>
      <c r="H11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1" s="54" t="n"/>
      <c r="J11" s="100">
        <f>IFERROR(IF(ISBLANK(F11),"",IF(ISBLANK(D11),F11,D11*F11)),"")</f>
        <v/>
      </c>
      <c r="K11" s="100">
        <f>IFERROR(IF(ISBLANK(G11),"",IF(ISBLANK(D11),G11,D11*G11)),"")</f>
        <v/>
      </c>
      <c r="L11" s="100">
        <f>IF(Table1[[#This Row],[ Smash Buy $]]="","",Table1[[#This Row],[Qty]]*Table1[[#This Row],[ Smash Buy $]])</f>
        <v/>
      </c>
      <c r="M11" s="100">
        <f>IFERROR(IF(ISBLANK(H11),"",ROUNDUP(H11*R11+H11,0)),"")</f>
        <v/>
      </c>
      <c r="N11" s="100">
        <f>IF($C$5="I",ROUNDUP(M11*1.035,2),M11)</f>
        <v/>
      </c>
      <c r="O11" s="100">
        <f>IFERROR(IF(ISBLANK(M11),"",IF(D11="",N11,D11*N11)),"")</f>
        <v/>
      </c>
      <c r="P11" s="100" t="n"/>
      <c r="Q11" s="100">
        <f>IFERROR(IF(ISBLANK(Table1[[#This Row],[Item]]),"",D11*N11),"")</f>
        <v/>
      </c>
      <c r="R11" s="47">
        <f>IF(H11="","",$R$2)</f>
        <v/>
      </c>
      <c r="S11" s="55">
        <f>IF(Table1[[#This Row],[Total Smash Buy $]]="","",ROUND(100-(Table1[[#This Row],[Total Smash Buy $]]/Table1[[#This Row],[Quoted Total $]]*100),0)&amp;"%")</f>
        <v/>
      </c>
      <c r="T11" s="56">
        <f>IF(OR('Cover Sheet'!$G$7="Suzuki",'Cover Sheet'!$G$7="Isuzu",'Cover Sheet'!$G$7="BMW",'Cover Sheet'!$G$7="Mini"),SUBSTITUTE(SUBSTITUTE(Table1[[#This Row],[Part Number]],"-","")," ",""),"")</f>
        <v/>
      </c>
      <c r="V11" s="60" t="n"/>
    </row>
    <row r="12">
      <c r="B12" s="25" t="n"/>
      <c r="E12" s="54" t="n"/>
      <c r="H12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2" s="54" t="n"/>
      <c r="J12" s="100">
        <f>IFERROR(IF(ISBLANK(F12),"",IF(ISBLANK(D12),F12,D12*F12)),"")</f>
        <v/>
      </c>
      <c r="K12" s="100">
        <f>IFERROR(IF(ISBLANK(G12),"",IF(ISBLANK(D12),G12,D12*G12)),"")</f>
        <v/>
      </c>
      <c r="L12" s="100">
        <f>IF(Table1[[#This Row],[ Smash Buy $]]="","",Table1[[#This Row],[Qty]]*Table1[[#This Row],[ Smash Buy $]])</f>
        <v/>
      </c>
      <c r="M12" s="100">
        <f>IFERROR(IF(ISBLANK(H12),"",ROUNDUP(H12*R12+H12,0)),"")</f>
        <v/>
      </c>
      <c r="N12" s="100">
        <f>IF($C$5="I",ROUNDUP(M12*1.035,2),M12)</f>
        <v/>
      </c>
      <c r="O12" s="100">
        <f>IFERROR(IF(ISBLANK(M12),"",IF(D12="",N12,D12*N12)),"")</f>
        <v/>
      </c>
      <c r="P12" s="100" t="n"/>
      <c r="Q12" s="100">
        <f>IFERROR(IF(ISBLANK(Table1[[#This Row],[Item]]),"",D12*N12),"")</f>
        <v/>
      </c>
      <c r="R12" s="47">
        <f>IF(H12="","",$R$2)</f>
        <v/>
      </c>
      <c r="S12" s="55">
        <f>IF(Table1[[#This Row],[Total Smash Buy $]]="","",ROUND(100-(Table1[[#This Row],[Total Smash Buy $]]/Table1[[#This Row],[Quoted Total $]]*100),0)&amp;"%")</f>
        <v/>
      </c>
      <c r="T12" s="56">
        <f>IF(OR('Cover Sheet'!$G$7="Suzuki",'Cover Sheet'!$G$7="Isuzu",'Cover Sheet'!$G$7="BMW",'Cover Sheet'!$G$7="Mini"),SUBSTITUTE(SUBSTITUTE(Table1[[#This Row],[Part Number]],"-","")," ",""),"")</f>
        <v/>
      </c>
      <c r="V12" s="60" t="n"/>
    </row>
    <row r="13">
      <c r="B13" s="25" t="n"/>
      <c r="E13" s="54" t="n"/>
      <c r="H13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3" s="54" t="n"/>
      <c r="J13" s="100">
        <f>IFERROR(IF(ISBLANK(F13),"",IF(ISBLANK(D13),F13,D13*F13)),"")</f>
        <v/>
      </c>
      <c r="K13" s="100">
        <f>IFERROR(IF(ISBLANK(G13),"",IF(ISBLANK(D13),G13,D13*G13)),"")</f>
        <v/>
      </c>
      <c r="L13" s="100">
        <f>IF(Table1[[#This Row],[ Smash Buy $]]="","",Table1[[#This Row],[Qty]]*Table1[[#This Row],[ Smash Buy $]])</f>
        <v/>
      </c>
      <c r="M13" s="100">
        <f>IFERROR(IF(ISBLANK(H13),"",ROUNDUP(H13*R13+H13,0)),"")</f>
        <v/>
      </c>
      <c r="N13" s="100">
        <f>IF($C$5="I",ROUNDUP(M13*1.035,2),M13)</f>
        <v/>
      </c>
      <c r="O13" s="100">
        <f>IFERROR(IF(ISBLANK(M13),"",IF(D13="",N13,D13*N13)),"")</f>
        <v/>
      </c>
      <c r="P13" s="100" t="n"/>
      <c r="Q13" s="100">
        <f>IFERROR(IF(ISBLANK(Table1[[#This Row],[Item]]),"",D13*N13),"")</f>
        <v/>
      </c>
      <c r="R13" s="47">
        <f>IF(H13="","",$R$2)</f>
        <v/>
      </c>
      <c r="S13" s="55">
        <f>IF(Table1[[#This Row],[Total Smash Buy $]]="","",ROUND(100-(Table1[[#This Row],[Total Smash Buy $]]/Table1[[#This Row],[Quoted Total $]]*100),0)&amp;"%")</f>
        <v/>
      </c>
      <c r="T13" s="56">
        <f>IF(OR('Cover Sheet'!$G$7="Suzuki",'Cover Sheet'!$G$7="Isuzu",'Cover Sheet'!$G$7="BMW",'Cover Sheet'!$G$7="Mini"),SUBSTITUTE(SUBSTITUTE(Table1[[#This Row],[Part Number]],"-","")," ",""),"")</f>
        <v/>
      </c>
      <c r="V13" s="60" t="n"/>
    </row>
    <row r="14">
      <c r="B14" s="25" t="n"/>
      <c r="E14" s="54" t="n"/>
      <c r="H14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4" s="54" t="n"/>
      <c r="J14" s="100">
        <f>IFERROR(IF(ISBLANK(F14),"",IF(ISBLANK(D14),F14,D14*F14)),"")</f>
        <v/>
      </c>
      <c r="K14" s="100">
        <f>IFERROR(IF(ISBLANK(G14),"",IF(ISBLANK(D14),G14,D14*G14)),"")</f>
        <v/>
      </c>
      <c r="L14" s="100">
        <f>IF(Table1[[#This Row],[ Smash Buy $]]="","",Table1[[#This Row],[Qty]]*Table1[[#This Row],[ Smash Buy $]])</f>
        <v/>
      </c>
      <c r="M14" s="100">
        <f>IFERROR(IF(ISBLANK(H14),"",ROUNDUP(H14*R14+H14,0)),"")</f>
        <v/>
      </c>
      <c r="N14" s="100">
        <f>IF($C$5="I",ROUNDUP(M14*1.035,2),M14)</f>
        <v/>
      </c>
      <c r="O14" s="100">
        <f>IFERROR(IF(ISBLANK(M14),"",IF(D14="",N14,D14*N14)),"")</f>
        <v/>
      </c>
      <c r="P14" s="100" t="n"/>
      <c r="Q14" s="100">
        <f>IFERROR(IF(ISBLANK(Table1[[#This Row],[Item]]),"",D14*N14),"")</f>
        <v/>
      </c>
      <c r="R14" s="47">
        <f>IF(H14="","",$R$2)</f>
        <v/>
      </c>
      <c r="S14" s="55">
        <f>IF(Table1[[#This Row],[Total Smash Buy $]]="","",ROUND(100-(Table1[[#This Row],[Total Smash Buy $]]/Table1[[#This Row],[Quoted Total $]]*100),0)&amp;"%")</f>
        <v/>
      </c>
      <c r="T14" s="56">
        <f>IF(OR('Cover Sheet'!$G$7="Suzuki",'Cover Sheet'!$G$7="Isuzu",'Cover Sheet'!$G$7="BMW",'Cover Sheet'!$G$7="Mini"),SUBSTITUTE(SUBSTITUTE(Table1[[#This Row],[Part Number]],"-","")," ",""),"")</f>
        <v/>
      </c>
      <c r="V14" s="60" t="n"/>
    </row>
    <row r="15">
      <c r="B15" s="25" t="n"/>
      <c r="E15" s="54" t="n"/>
      <c r="H15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5" s="54" t="n"/>
      <c r="J15" s="100">
        <f>IFERROR(IF(ISBLANK(F15),"",IF(ISBLANK(D15),F15,D15*F15)),"")</f>
        <v/>
      </c>
      <c r="K15" s="100">
        <f>IFERROR(IF(ISBLANK(G15),"",IF(ISBLANK(D15),G15,D15*G15)),"")</f>
        <v/>
      </c>
      <c r="L15" s="100">
        <f>IF(Table1[[#This Row],[ Smash Buy $]]="","",Table1[[#This Row],[Qty]]*Table1[[#This Row],[ Smash Buy $]])</f>
        <v/>
      </c>
      <c r="M15" s="100">
        <f>IFERROR(IF(ISBLANK(H15),"",ROUNDUP(H15*R15+H15,0)),"")</f>
        <v/>
      </c>
      <c r="N15" s="100">
        <f>IF($C$5="I",ROUNDUP(M15*1.035,2),M15)</f>
        <v/>
      </c>
      <c r="O15" s="100">
        <f>IFERROR(IF(ISBLANK(M15),"",IF(D15="",N15,D15*N15)),"")</f>
        <v/>
      </c>
      <c r="P15" s="100" t="n"/>
      <c r="Q15" s="100">
        <f>IFERROR(IF(ISBLANK(Table1[[#This Row],[Item]]),"",D15*N15),"")</f>
        <v/>
      </c>
      <c r="R15" s="47">
        <f>IF(H15="","",$R$2)</f>
        <v/>
      </c>
      <c r="S15" s="55">
        <f>IF(Table1[[#This Row],[Total Smash Buy $]]="","",ROUND(100-(Table1[[#This Row],[Total Smash Buy $]]/Table1[[#This Row],[Quoted Total $]]*100),0)&amp;"%")</f>
        <v/>
      </c>
      <c r="T15" s="56">
        <f>IF(OR('Cover Sheet'!$G$7="Suzuki",'Cover Sheet'!$G$7="Isuzu",'Cover Sheet'!$G$7="BMW",'Cover Sheet'!$G$7="Mini"),SUBSTITUTE(SUBSTITUTE(Table1[[#This Row],[Part Number]],"-","")," ",""),"")</f>
        <v/>
      </c>
      <c r="V15" s="60" t="n"/>
    </row>
    <row r="16">
      <c r="B16" s="25" t="n"/>
      <c r="E16" s="54" t="n"/>
      <c r="H16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6" s="54" t="n"/>
      <c r="J16" s="100">
        <f>IFERROR(IF(ISBLANK(F16),"",IF(ISBLANK(D16),F16,D16*F16)),"")</f>
        <v/>
      </c>
      <c r="K16" s="100">
        <f>IFERROR(IF(ISBLANK(G16),"",IF(ISBLANK(D16),G16,D16*G16)),"")</f>
        <v/>
      </c>
      <c r="L16" s="100">
        <f>IF(Table1[[#This Row],[ Smash Buy $]]="","",Table1[[#This Row],[Qty]]*Table1[[#This Row],[ Smash Buy $]])</f>
        <v/>
      </c>
      <c r="M16" s="100">
        <f>IFERROR(IF(ISBLANK(H16),"",ROUNDUP(H16*R16+H16,0)),"")</f>
        <v/>
      </c>
      <c r="N16" s="100">
        <f>IF($C$5="I",ROUNDUP(M16*1.035,2),M16)</f>
        <v/>
      </c>
      <c r="O16" s="100">
        <f>IFERROR(IF(ISBLANK(M16),"",IF(D16="",N16,D16*N16)),"")</f>
        <v/>
      </c>
      <c r="P16" s="100" t="n"/>
      <c r="Q16" s="100">
        <f>IFERROR(IF(ISBLANK(Table1[[#This Row],[Item]]),"",D16*N16),"")</f>
        <v/>
      </c>
      <c r="R16" s="47">
        <f>IF(H16="","",$R$2)</f>
        <v/>
      </c>
      <c r="S16" s="55">
        <f>IF(Table1[[#This Row],[Total Smash Buy $]]="","",ROUND(100-(Table1[[#This Row],[Total Smash Buy $]]/Table1[[#This Row],[Quoted Total $]]*100),0)&amp;"%")</f>
        <v/>
      </c>
      <c r="T16" s="56">
        <f>IF(OR('Cover Sheet'!$G$7="Suzuki",'Cover Sheet'!$G$7="Isuzu",'Cover Sheet'!$G$7="BMW",'Cover Sheet'!$G$7="Mini"),SUBSTITUTE(SUBSTITUTE(Table1[[#This Row],[Part Number]],"-","")," ",""),"")</f>
        <v/>
      </c>
      <c r="V16" s="60" t="n"/>
    </row>
    <row r="17">
      <c r="B17" s="25" t="n"/>
      <c r="E17" s="54" t="n"/>
      <c r="H17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7" s="54" t="n"/>
      <c r="J17" s="100">
        <f>IFERROR(IF(ISBLANK(F17),"",IF(ISBLANK(D17),F17,D17*F17)),"")</f>
        <v/>
      </c>
      <c r="K17" s="100">
        <f>IFERROR(IF(ISBLANK(G17),"",IF(ISBLANK(D17),G17,D17*G17)),"")</f>
        <v/>
      </c>
      <c r="L17" s="100">
        <f>IF(Table1[[#This Row],[ Smash Buy $]]="","",Table1[[#This Row],[Qty]]*Table1[[#This Row],[ Smash Buy $]])</f>
        <v/>
      </c>
      <c r="M17" s="100">
        <f>IFERROR(IF(ISBLANK(H17),"",ROUNDUP(H17*R17+H17,0)),"")</f>
        <v/>
      </c>
      <c r="N17" s="100">
        <f>IF($C$5="I",ROUNDUP(M17*1.035,2),M17)</f>
        <v/>
      </c>
      <c r="O17" s="100">
        <f>IFERROR(IF(ISBLANK(M17),"",IF(D17="",N17,D17*N17)),"")</f>
        <v/>
      </c>
      <c r="P17" s="100" t="n"/>
      <c r="Q17" s="100">
        <f>IFERROR(IF(ISBLANK(Table1[[#This Row],[Item]]),"",D17*N17),"")</f>
        <v/>
      </c>
      <c r="R17" s="47">
        <f>IF(H17="","",$R$2)</f>
        <v/>
      </c>
      <c r="S17" s="55">
        <f>IF(Table1[[#This Row],[Total Smash Buy $]]="","",ROUND(100-(Table1[[#This Row],[Total Smash Buy $]]/Table1[[#This Row],[Quoted Total $]]*100),0)&amp;"%")</f>
        <v/>
      </c>
      <c r="T17" s="56">
        <f>IF(OR('Cover Sheet'!$G$7="Suzuki",'Cover Sheet'!$G$7="Isuzu",'Cover Sheet'!$G$7="BMW",'Cover Sheet'!$G$7="Mini"),SUBSTITUTE(SUBSTITUTE(Table1[[#This Row],[Part Number]],"-","")," ",""),"")</f>
        <v/>
      </c>
      <c r="V17" s="60" t="n"/>
    </row>
    <row r="18">
      <c r="B18" s="25" t="n"/>
      <c r="E18" s="54" t="n"/>
      <c r="H18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8" s="54" t="n"/>
      <c r="J18" s="100">
        <f>IFERROR(IF(ISBLANK(F18),"",IF(ISBLANK(D18),F18,D18*F18)),"")</f>
        <v/>
      </c>
      <c r="K18" s="100">
        <f>IFERROR(IF(ISBLANK(G18),"",IF(ISBLANK(D18),G18,D18*G18)),"")</f>
        <v/>
      </c>
      <c r="L18" s="100">
        <f>IF(Table1[[#This Row],[ Smash Buy $]]="","",Table1[[#This Row],[Qty]]*Table1[[#This Row],[ Smash Buy $]])</f>
        <v/>
      </c>
      <c r="M18" s="100">
        <f>IFERROR(IF(ISBLANK(H18),"",ROUNDUP(H18*R18+H18,0)),"")</f>
        <v/>
      </c>
      <c r="N18" s="100">
        <f>IF($C$5="I",ROUNDUP(M18*1.035,2),M18)</f>
        <v/>
      </c>
      <c r="O18" s="100">
        <f>IFERROR(IF(ISBLANK(M18),"",IF(D18="",N18,D18*N18)),"")</f>
        <v/>
      </c>
      <c r="P18" s="100" t="n"/>
      <c r="Q18" s="100">
        <f>IFERROR(IF(ISBLANK(Table1[[#This Row],[Item]]),"",D18*N18),"")</f>
        <v/>
      </c>
      <c r="R18" s="47">
        <f>IF(H18="","",$R$2)</f>
        <v/>
      </c>
      <c r="S18" s="55">
        <f>IF(Table1[[#This Row],[Total Smash Buy $]]="","",ROUND(100-(Table1[[#This Row],[Total Smash Buy $]]/Table1[[#This Row],[Quoted Total $]]*100),0)&amp;"%")</f>
        <v/>
      </c>
      <c r="T18" s="56">
        <f>IF(OR('Cover Sheet'!$G$7="Suzuki",'Cover Sheet'!$G$7="Isuzu",'Cover Sheet'!$G$7="BMW",'Cover Sheet'!$G$7="Mini"),SUBSTITUTE(SUBSTITUTE(Table1[[#This Row],[Part Number]],"-","")," ",""),"")</f>
        <v/>
      </c>
      <c r="V18" s="60" t="n"/>
    </row>
    <row r="19">
      <c r="B19" s="25" t="n"/>
      <c r="E19" s="54" t="n"/>
      <c r="H19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9" s="54" t="n"/>
      <c r="J19" s="100">
        <f>IFERROR(IF(ISBLANK(F19),"",IF(ISBLANK(D19),F19,D19*F19)),"")</f>
        <v/>
      </c>
      <c r="K19" s="100">
        <f>IFERROR(IF(ISBLANK(G19),"",IF(ISBLANK(D19),G19,D19*G19)),"")</f>
        <v/>
      </c>
      <c r="L19" s="100">
        <f>IF(Table1[[#This Row],[ Smash Buy $]]="","",Table1[[#This Row],[Qty]]*Table1[[#This Row],[ Smash Buy $]])</f>
        <v/>
      </c>
      <c r="M19" s="100">
        <f>IFERROR(IF(ISBLANK(H19),"",ROUNDUP(H19*R19+H19,0)),"")</f>
        <v/>
      </c>
      <c r="N19" s="100">
        <f>IF($C$5="I",ROUNDUP(M19*1.035,2),M19)</f>
        <v/>
      </c>
      <c r="O19" s="100">
        <f>IFERROR(IF(ISBLANK(M19),"",IF(D19="",N19,D19*N19)),"")</f>
        <v/>
      </c>
      <c r="P19" s="100" t="n"/>
      <c r="Q19" s="100">
        <f>IFERROR(IF(ISBLANK(Table1[[#This Row],[Item]]),"",D19*N19),"")</f>
        <v/>
      </c>
      <c r="R19" s="47">
        <f>IF(H19="","",$R$2)</f>
        <v/>
      </c>
      <c r="S19" s="55">
        <f>IF(Table1[[#This Row],[Total Smash Buy $]]="","",ROUND(100-(Table1[[#This Row],[Total Smash Buy $]]/Table1[[#This Row],[Quoted Total $]]*100),0)&amp;"%")</f>
        <v/>
      </c>
      <c r="T19" s="56">
        <f>IF(OR('Cover Sheet'!$G$7="Suzuki",'Cover Sheet'!$G$7="Isuzu",'Cover Sheet'!$G$7="BMW",'Cover Sheet'!$G$7="Mini"),SUBSTITUTE(SUBSTITUTE(Table1[[#This Row],[Part Number]],"-","")," ",""),"")</f>
        <v/>
      </c>
      <c r="V19" s="60" t="n"/>
    </row>
    <row r="20">
      <c r="B20" s="25" t="n"/>
      <c r="E20" s="54" t="n"/>
      <c r="H20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20" s="54" t="n"/>
      <c r="J20" s="100">
        <f>IFERROR(IF(ISBLANK(F20),"",IF(ISBLANK(D20),F20,D20*F20)),"")</f>
        <v/>
      </c>
      <c r="K20" s="100">
        <f>IFERROR(IF(ISBLANK(G20),"",IF(ISBLANK(D20),G20,D20*G20)),"")</f>
        <v/>
      </c>
      <c r="L20" s="100">
        <f>IF(Table1[[#This Row],[ Smash Buy $]]="","",Table1[[#This Row],[Qty]]*Table1[[#This Row],[ Smash Buy $]])</f>
        <v/>
      </c>
      <c r="M20" s="100">
        <f>IFERROR(IF(ISBLANK(H20),"",ROUNDUP(H20*R20+H20,0)),"")</f>
        <v/>
      </c>
      <c r="N20" s="100">
        <f>IF($C$5="I",ROUNDUP(M20*1.035,2),M20)</f>
        <v/>
      </c>
      <c r="O20" s="100">
        <f>IFERROR(IF(ISBLANK(M20),"",IF(D20="",N20,D20*N20)),"")</f>
        <v/>
      </c>
      <c r="P20" s="100" t="n"/>
      <c r="Q20" s="100">
        <f>IFERROR(IF(ISBLANK(Table1[[#This Row],[Item]]),"",D20*N20),"")</f>
        <v/>
      </c>
      <c r="R20" s="47">
        <f>IF(H20="","",$R$2)</f>
        <v/>
      </c>
      <c r="S20" s="55">
        <f>IF(Table1[[#This Row],[Total Smash Buy $]]="","",ROUND(100-(Table1[[#This Row],[Total Smash Buy $]]/Table1[[#This Row],[Quoted Total $]]*100),0)&amp;"%")</f>
        <v/>
      </c>
      <c r="T20" s="56">
        <f>IF(OR('Cover Sheet'!$G$7="Suzuki",'Cover Sheet'!$G$7="Isuzu",'Cover Sheet'!$G$7="BMW",'Cover Sheet'!$G$7="Mini"),SUBSTITUTE(SUBSTITUTE(Table1[[#This Row],[Part Number]],"-","")," ",""),"")</f>
        <v/>
      </c>
      <c r="V20" s="60" t="n"/>
    </row>
    <row r="21">
      <c r="B21" s="25" t="n"/>
      <c r="E21" s="54" t="n"/>
      <c r="H21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21" s="54" t="n"/>
      <c r="J21" s="100">
        <f>IFERROR(IF(ISBLANK(F21),"",IF(ISBLANK(D21),F21,D21*F21)),"")</f>
        <v/>
      </c>
      <c r="K21" s="100">
        <f>IFERROR(IF(ISBLANK(G21),"",IF(ISBLANK(D21),G21,D21*G21)),"")</f>
        <v/>
      </c>
      <c r="L21" s="100">
        <f>IF(Table1[[#This Row],[ Smash Buy $]]="","",Table1[[#This Row],[Qty]]*Table1[[#This Row],[ Smash Buy $]])</f>
        <v/>
      </c>
      <c r="M21" s="100">
        <f>IFERROR(IF(ISBLANK(H21),"",ROUNDUP(H21*R21+H21,0)),"")</f>
        <v/>
      </c>
      <c r="N21" s="100">
        <f>IF($C$5="I",ROUNDUP(M21*1.035,2),M21)</f>
        <v/>
      </c>
      <c r="O21" s="100">
        <f>IFERROR(IF(ISBLANK(M21),"",IF(D21="",N21,D21*N21)),"")</f>
        <v/>
      </c>
      <c r="P21" s="100" t="inlineStr">
        <is>
          <t>.</t>
        </is>
      </c>
      <c r="Q21" s="100">
        <f>IFERROR(IF(ISBLANK(Table1[[#This Row],[Item]]),"",D21*N21),"")</f>
        <v/>
      </c>
      <c r="R21" s="47">
        <f>IF(H21="","",$R$2)</f>
        <v/>
      </c>
      <c r="S21" s="55">
        <f>IF(Table1[[#This Row],[Total Smash Buy $]]="","",ROUND(100-(Table1[[#This Row],[Total Smash Buy $]]/Table1[[#This Row],[Quoted Total $]]*100),0)&amp;"%")</f>
        <v/>
      </c>
      <c r="T21" s="56">
        <f>IF(OR('Cover Sheet'!$G$7="Suzuki",'Cover Sheet'!$G$7="Isuzu",'Cover Sheet'!$G$7="BMW",'Cover Sheet'!$G$7="Mini"),SUBSTITUTE(SUBSTITUTE(Table1[[#This Row],[Part Number]],"-","")," ",""),"")</f>
        <v/>
      </c>
      <c r="V21" s="60" t="n"/>
    </row>
  </sheetData>
  <mergeCells count="1">
    <mergeCell ref="A5:B5"/>
  </mergeCells>
  <conditionalFormatting sqref="C5">
    <cfRule type="expression" priority="3" dxfId="45">
      <formula>$C$5="I"</formula>
    </cfRule>
  </conditionalFormatting>
  <conditionalFormatting sqref="C7:C21">
    <cfRule type="duplicateValues" priority="1" dxfId="44"/>
  </conditionalFormatting>
  <conditionalFormatting sqref="I7:I21">
    <cfRule type="expression" priority="9" dxfId="43">
      <formula>ISTEXT($I7)</formula>
    </cfRule>
    <cfRule type="expression" priority="10" dxfId="42">
      <formula>$I7&lt;$D7</formula>
    </cfRule>
  </conditionalFormatting>
  <printOptions horizontalCentered="1"/>
  <pageMargins left="0.1968503937007874" right="0.1968503937007874" top="0.7480314960629921" bottom="0.7480314960629921" header="0.3149606299212598" footer="0.3149606299212598"/>
  <pageSetup orientation="portrait" paperSize="9" scale="79" fitToHeight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L99"/>
  <sheetViews>
    <sheetView workbookViewId="0">
      <selection activeCell="E4" sqref="E4"/>
    </sheetView>
  </sheetViews>
  <sheetFormatPr baseColWidth="8" defaultColWidth="9.1328125" defaultRowHeight="14.25"/>
  <cols>
    <col width="5" bestFit="1" customWidth="1" style="27" min="1" max="1"/>
    <col width="7.59765625" bestFit="1" customWidth="1" style="28" min="2" max="2"/>
    <col width="36.1328125" bestFit="1" customWidth="1" style="7" min="3" max="3"/>
    <col width="11.73046875" customWidth="1" style="27" min="4" max="4"/>
    <col width="36.1328125" bestFit="1" customWidth="1" style="28" min="5" max="5"/>
    <col width="11.1328125" bestFit="1" customWidth="1" style="27" min="6" max="6"/>
    <col width="11.86328125" bestFit="1" customWidth="1" style="27" min="7" max="7"/>
    <col width="26.1328125" bestFit="1" customWidth="1" style="28" min="8" max="8"/>
    <col width="14.73046875" bestFit="1" customWidth="1" style="28" min="9" max="9"/>
    <col width="18.1328125" bestFit="1" customWidth="1" style="27" min="10" max="10"/>
    <col width="5.59765625" bestFit="1" customWidth="1" style="27" min="11" max="11"/>
    <col width="32.3984375" bestFit="1" customWidth="1" style="27" min="12" max="12"/>
    <col width="9.1328125" customWidth="1" style="27" min="13" max="16"/>
    <col width="9.1328125" customWidth="1" style="27" min="17" max="16384"/>
  </cols>
  <sheetData>
    <row r="1" ht="28.5" customHeight="1">
      <c r="A1" s="27" t="inlineStr">
        <is>
          <t>Column2</t>
        </is>
      </c>
      <c r="B1" s="27" t="inlineStr">
        <is>
          <t>Column1</t>
        </is>
      </c>
      <c r="C1" s="28" t="inlineStr">
        <is>
          <t xml:space="preserve">Business </t>
        </is>
      </c>
      <c r="D1" s="6" t="inlineStr">
        <is>
          <t>A/c #</t>
        </is>
      </c>
      <c r="E1" s="28" t="inlineStr">
        <is>
          <t>Business 2</t>
        </is>
      </c>
      <c r="F1" s="27" t="inlineStr">
        <is>
          <t>Contact</t>
        </is>
      </c>
      <c r="G1" s="5" t="inlineStr">
        <is>
          <t>Phone</t>
        </is>
      </c>
      <c r="H1" s="28" t="inlineStr">
        <is>
          <t>Street</t>
        </is>
      </c>
      <c r="I1" s="27" t="inlineStr">
        <is>
          <t>Suburb</t>
        </is>
      </c>
      <c r="J1" s="27" t="inlineStr">
        <is>
          <t>City</t>
        </is>
      </c>
      <c r="K1" s="27" t="inlineStr">
        <is>
          <t>Post Code</t>
        </is>
      </c>
      <c r="L1" s="28" t="inlineStr">
        <is>
          <t>Email</t>
        </is>
      </c>
    </row>
    <row r="2">
      <c r="A2" s="27">
        <f>IFERROR(RANK(B2,$B$2:$B$203,1),"")</f>
        <v/>
      </c>
      <c r="B2" s="27">
        <f>IFERROR(SEARCH('Cover Sheet'!$J$1,Table3[[#This Row],[Business 2]])+ROW()/100000,"")</f>
        <v/>
      </c>
      <c r="C2" s="28" t="inlineStr">
        <is>
          <t>A &amp; A Autoworks A&amp;A</t>
        </is>
      </c>
      <c r="D2" s="68" t="n">
        <v>26046</v>
      </c>
      <c r="E2" s="28" t="inlineStr">
        <is>
          <t>A &amp; A Autoworks</t>
        </is>
      </c>
      <c r="F2" s="27" t="inlineStr">
        <is>
          <t>Andrew</t>
        </is>
      </c>
      <c r="G2" s="7" t="inlineStr">
        <is>
          <t>027 357 6233</t>
        </is>
      </c>
      <c r="H2" s="28" t="inlineStr">
        <is>
          <t>201 Totaramahonga Road</t>
        </is>
      </c>
      <c r="I2" s="27" t="inlineStr">
        <is>
          <t>Dannevirke</t>
        </is>
      </c>
      <c r="J2" s="27" t="inlineStr">
        <is>
          <t>Dannevirke</t>
        </is>
      </c>
      <c r="K2" s="27" t="n">
        <v>4972</v>
      </c>
      <c r="L2" s="11" t="inlineStr">
        <is>
          <t>aandaautowrks@gmail.com</t>
        </is>
      </c>
    </row>
    <row r="3" ht="42.75" customHeight="1">
      <c r="A3" s="27">
        <f>IFERROR(RANK(B3,$B$2:$B$203,1),"")</f>
        <v/>
      </c>
      <c r="B3" s="27">
        <f>IFERROR(SEARCH('Cover Sheet'!$J$1,Table3[[#This Row],[Business 2]])+ROW()/100000,"")</f>
        <v/>
      </c>
      <c r="C3" s="28" t="inlineStr">
        <is>
          <t>A&amp;M Panel &amp; Paint A &amp; M</t>
        </is>
      </c>
      <c r="D3" s="68" t="inlineStr">
        <is>
          <t>16131 / 2047</t>
        </is>
      </c>
      <c r="E3" s="28" t="inlineStr">
        <is>
          <t>A&amp;M Panel &amp; Paint</t>
        </is>
      </c>
      <c r="F3" s="27" t="inlineStr">
        <is>
          <t>Tim McDougal
Brad</t>
        </is>
      </c>
      <c r="G3" s="7" t="n">
        <v>8356267</v>
      </c>
      <c r="H3" s="28" t="inlineStr">
        <is>
          <t>12 Thames Street</t>
        </is>
      </c>
      <c r="I3" s="27" t="inlineStr">
        <is>
          <t>Pandora</t>
        </is>
      </c>
      <c r="J3" s="27" t="inlineStr">
        <is>
          <t>Napier</t>
        </is>
      </c>
      <c r="K3" s="27" t="n">
        <v>4110</v>
      </c>
      <c r="L3" s="8" t="inlineStr">
        <is>
          <t>info@ampanel.co.nz</t>
        </is>
      </c>
    </row>
    <row r="4">
      <c r="A4" s="27">
        <f>IFERROR(RANK(B4,$B$2:$B$203,1),"")</f>
        <v/>
      </c>
      <c r="B4" s="27">
        <f>IFERROR(SEARCH('Cover Sheet'!$J$1,Table3[[#This Row],[Business 2]])+ROW()/100000,"")</f>
        <v/>
      </c>
      <c r="C4" s="28" t="inlineStr">
        <is>
          <t>Accurate Automotive</t>
        </is>
      </c>
      <c r="D4" s="68" t="n"/>
      <c r="E4" s="28" t="inlineStr">
        <is>
          <t>Accurate Automotive</t>
        </is>
      </c>
      <c r="G4" s="7" t="inlineStr">
        <is>
          <t>835 4747</t>
        </is>
      </c>
      <c r="H4" s="28" t="inlineStr">
        <is>
          <t>14 Thames St</t>
        </is>
      </c>
      <c r="I4" s="27" t="inlineStr">
        <is>
          <t>Pandora</t>
        </is>
      </c>
      <c r="J4" s="27" t="inlineStr">
        <is>
          <t>Napier</t>
        </is>
      </c>
      <c r="K4" s="27" t="n">
        <v>4110</v>
      </c>
      <c r="L4" s="11" t="inlineStr">
        <is>
          <t>accurateautomotive@xtra.co.nz</t>
        </is>
      </c>
    </row>
    <row r="5">
      <c r="A5" s="27">
        <f>IFERROR(RANK(B5,$B$2:$B$203,1),"")</f>
        <v/>
      </c>
      <c r="B5" s="27">
        <f>IFERROR(SEARCH('Cover Sheet'!$J$1,Table3[[#This Row],[Business 2]])+ROW()/100000,"")</f>
        <v/>
      </c>
      <c r="C5" s="28" t="inlineStr">
        <is>
          <t>Allan Kellett Panel &amp; Paint</t>
        </is>
      </c>
      <c r="D5" s="68" t="inlineStr">
        <is>
          <t>28775 / 2134</t>
        </is>
      </c>
      <c r="E5" s="28" t="inlineStr">
        <is>
          <t>Allan Kellett Panel &amp; Paint</t>
        </is>
      </c>
      <c r="G5" s="9" t="inlineStr">
        <is>
          <t>06 867 8088</t>
        </is>
      </c>
      <c r="H5" s="28" t="inlineStr">
        <is>
          <t>72 Disraeli Street</t>
        </is>
      </c>
      <c r="I5" s="27" t="inlineStr">
        <is>
          <t xml:space="preserve"> </t>
        </is>
      </c>
      <c r="J5" s="27" t="inlineStr">
        <is>
          <t>Gisborne</t>
        </is>
      </c>
      <c r="K5" s="27" t="n">
        <v>4010</v>
      </c>
      <c r="L5" s="8" t="inlineStr">
        <is>
          <t>admin@akpp.co.nz</t>
        </is>
      </c>
    </row>
    <row r="6">
      <c r="A6" s="27">
        <f>IFERROR(RANK(B6,$B$2:$B$203,1),"")</f>
        <v/>
      </c>
      <c r="B6" s="27">
        <f>IFERROR(SEARCH('Cover Sheet'!$J$1,Table3[[#This Row],[Business 2]])+ROW()/100000,"")</f>
        <v/>
      </c>
      <c r="C6" s="28" t="inlineStr">
        <is>
          <t>Ansin &amp; Monteith</t>
        </is>
      </c>
      <c r="D6" s="68" t="inlineStr">
        <is>
          <t>8652 / 2541</t>
        </is>
      </c>
      <c r="E6" s="28" t="inlineStr">
        <is>
          <t>Ansin &amp; Monteith</t>
        </is>
      </c>
      <c r="G6" s="7" t="n">
        <v>8786623</v>
      </c>
      <c r="H6" s="28" t="inlineStr">
        <is>
          <t>508 Karamu Road North</t>
        </is>
      </c>
      <c r="I6" s="27" t="inlineStr">
        <is>
          <t>Hastings</t>
        </is>
      </c>
      <c r="J6" s="27" t="inlineStr">
        <is>
          <t>Hastings</t>
        </is>
      </c>
      <c r="K6" s="27" t="n">
        <v>4122</v>
      </c>
      <c r="L6" s="11" t="inlineStr">
        <is>
          <t>ansin.Monteith@xtra.co.nz</t>
        </is>
      </c>
    </row>
    <row r="7">
      <c r="A7" s="27">
        <f>IFERROR(RANK(B7,$B$2:$B$203,1),"")</f>
        <v/>
      </c>
      <c r="B7" s="27">
        <f>IFERROR(SEARCH('Cover Sheet'!$J$1,Table3[[#This Row],[Business 2]])+ROW()/100000,"")</f>
        <v/>
      </c>
      <c r="C7" s="28" t="inlineStr">
        <is>
          <t>Apex CHECK CREDIT! Panel &amp; Paint</t>
        </is>
      </c>
      <c r="D7" s="68" t="n">
        <v>7225</v>
      </c>
      <c r="E7" s="28" t="inlineStr">
        <is>
          <t>Apex Panel &amp; Paint</t>
        </is>
      </c>
      <c r="G7" s="7" t="n">
        <v>8767439</v>
      </c>
      <c r="H7" s="28" t="inlineStr">
        <is>
          <t>505 Warren Street North</t>
        </is>
      </c>
      <c r="I7" s="27" t="inlineStr">
        <is>
          <t xml:space="preserve"> </t>
        </is>
      </c>
      <c r="J7" s="27" t="inlineStr">
        <is>
          <t>Hastings</t>
        </is>
      </c>
      <c r="K7" s="27" t="n">
        <v>4122</v>
      </c>
      <c r="L7" s="8" t="inlineStr">
        <is>
          <t>apexpanel@xtra.co.nz</t>
        </is>
      </c>
    </row>
    <row r="8">
      <c r="A8" s="27">
        <f>IFERROR(RANK(B8,$B$2:$B$203,1),"")</f>
        <v/>
      </c>
      <c r="B8" s="27">
        <f>IFERROR(SEARCH('Cover Sheet'!$J$1,Table3[[#This Row],[Business 2]])+ROW()/100000,"")</f>
        <v/>
      </c>
      <c r="C8" s="28" t="inlineStr">
        <is>
          <t>Auto Elctrical Solutions</t>
        </is>
      </c>
      <c r="D8" s="68" t="inlineStr">
        <is>
          <t>#### / 4013</t>
        </is>
      </c>
      <c r="E8" s="28" t="inlineStr">
        <is>
          <t>Auto Electrical Solutions</t>
        </is>
      </c>
      <c r="G8" s="7" t="inlineStr">
        <is>
          <t>06 355 5955</t>
        </is>
      </c>
      <c r="H8" s="28" t="inlineStr">
        <is>
          <t>21 David Street</t>
        </is>
      </c>
      <c r="I8" s="27" t="inlineStr">
        <is>
          <t xml:space="preserve"> </t>
        </is>
      </c>
      <c r="J8" s="27" t="inlineStr">
        <is>
          <t>Palmerston North</t>
        </is>
      </c>
      <c r="K8" s="27" t="n">
        <v>4410</v>
      </c>
      <c r="L8" s="28" t="inlineStr">
        <is>
          <t>wokshop@aesolutions.co.nz</t>
        </is>
      </c>
    </row>
    <row r="9">
      <c r="A9" s="27">
        <f>IFERROR(RANK(B9,$B$2:$B$203,1),"")</f>
        <v/>
      </c>
      <c r="B9" s="27">
        <f>IFERROR(SEARCH('Cover Sheet'!$J$1,Table3[[#This Row],[Business 2]])+ROW()/100000,"")</f>
        <v/>
      </c>
      <c r="C9" s="28" t="inlineStr">
        <is>
          <t>Auto Panel &amp; Paint NP</t>
        </is>
      </c>
      <c r="D9" s="68" t="inlineStr">
        <is>
          <t xml:space="preserve"> ####  / 5171</t>
        </is>
      </c>
      <c r="E9" s="28" t="inlineStr">
        <is>
          <t>Auto Panel &amp; Paint NP</t>
        </is>
      </c>
      <c r="G9" s="7" t="inlineStr">
        <is>
          <t>06 758 0002</t>
        </is>
      </c>
      <c r="H9" s="28" t="inlineStr">
        <is>
          <t>28 Dawson Street</t>
        </is>
      </c>
      <c r="I9" s="27" t="inlineStr">
        <is>
          <t xml:space="preserve"> </t>
        </is>
      </c>
      <c r="J9" s="27" t="inlineStr">
        <is>
          <t>New Plymouth</t>
        </is>
      </c>
      <c r="K9" s="27" t="n">
        <v>4310</v>
      </c>
      <c r="L9" s="11" t="inlineStr">
        <is>
          <t>panel.shop@autopanelandpaint.co.nz</t>
        </is>
      </c>
    </row>
    <row r="10">
      <c r="A10" s="27">
        <f>IFERROR(RANK(B10,$B$2:$B$203,1),"")</f>
        <v/>
      </c>
      <c r="B10" s="27">
        <f>IFERROR(SEARCH('Cover Sheet'!$J$1,Table3[[#This Row],[Business 2]])+ROW()/100000,"")</f>
        <v/>
      </c>
      <c r="C10" s="28" t="inlineStr">
        <is>
          <t>Auto Panels</t>
        </is>
      </c>
      <c r="D10" s="68" t="inlineStr">
        <is>
          <t>2576 / 2013</t>
        </is>
      </c>
      <c r="E10" s="28" t="inlineStr">
        <is>
          <t>Auto Panels</t>
        </is>
      </c>
      <c r="G10" s="7" t="n">
        <v>8785332</v>
      </c>
      <c r="H10" s="28" t="inlineStr">
        <is>
          <t>929 Karamu Road North</t>
        </is>
      </c>
      <c r="I10" s="27" t="inlineStr">
        <is>
          <t>Mayfair</t>
        </is>
      </c>
      <c r="J10" s="27" t="inlineStr">
        <is>
          <t>Hastings</t>
        </is>
      </c>
      <c r="K10" s="27" t="n">
        <v>4122</v>
      </c>
      <c r="L10" s="8" t="inlineStr">
        <is>
          <t>autopanels@xtra.co.nz</t>
        </is>
      </c>
    </row>
    <row r="11">
      <c r="A11" s="27">
        <f>IFERROR(RANK(B11,$B$2:$B$203,1),"")</f>
        <v/>
      </c>
      <c r="B11" s="27">
        <f>IFERROR(SEARCH('Cover Sheet'!$J$1,Table3[[#This Row],[Business 2]])+ROW()/100000,"")</f>
        <v/>
      </c>
      <c r="C11" s="28" t="inlineStr">
        <is>
          <t>Aztech Panel Repairs</t>
        </is>
      </c>
      <c r="D11" s="68" t="n">
        <v>633</v>
      </c>
      <c r="E11" s="28" t="inlineStr">
        <is>
          <t>Aztech Panel Repairs</t>
        </is>
      </c>
      <c r="G11" s="7" t="n">
        <v>8357927</v>
      </c>
      <c r="H11" s="28" t="inlineStr">
        <is>
          <t>12 Thames Street</t>
        </is>
      </c>
      <c r="I11" s="27" t="inlineStr">
        <is>
          <t>Pandora</t>
        </is>
      </c>
      <c r="J11" s="27" t="inlineStr">
        <is>
          <t>Napier</t>
        </is>
      </c>
      <c r="K11" s="27" t="n">
        <v>4110</v>
      </c>
      <c r="L11" s="8" t="inlineStr">
        <is>
          <t>aztechpanel@actrix.co.nz</t>
        </is>
      </c>
    </row>
    <row r="12">
      <c r="A12" s="27">
        <f>IFERROR(RANK(B12,$B$2:$B$203,1),"")</f>
        <v/>
      </c>
      <c r="B12" s="27">
        <f>IFERROR(SEARCH('Cover Sheet'!$J$1,Table3[[#This Row],[Business 2]])+ROW()/100000,"")</f>
        <v/>
      </c>
      <c r="C12" s="28" t="inlineStr">
        <is>
          <t>Bay Panel &amp; Paint</t>
        </is>
      </c>
      <c r="D12" s="68" t="n">
        <v>3106</v>
      </c>
      <c r="E12" s="28" t="inlineStr">
        <is>
          <t>Bay Panel &amp; Paint</t>
        </is>
      </c>
      <c r="F12" s="27" t="inlineStr">
        <is>
          <t>Guy Walker</t>
        </is>
      </c>
      <c r="G12" s="7" t="n">
        <v>8432789</v>
      </c>
      <c r="H12" s="28" t="inlineStr">
        <is>
          <t>60a Wakefield Street</t>
        </is>
      </c>
      <c r="I12" s="27" t="inlineStr">
        <is>
          <t>Onekawa</t>
        </is>
      </c>
      <c r="J12" s="27" t="inlineStr">
        <is>
          <t>Napier</t>
        </is>
      </c>
      <c r="K12" s="27" t="n">
        <v>4110</v>
      </c>
      <c r="L12" s="28" t="n"/>
    </row>
    <row r="13">
      <c r="A13" s="27">
        <f>IFERROR(RANK(B13,$B$2:$B$203,1),"")</f>
        <v/>
      </c>
      <c r="B13" s="27">
        <f>IFERROR(SEARCH('Cover Sheet'!$J$1,Table3[[#This Row],[Business 2]])+ROW()/100000,"")</f>
        <v/>
      </c>
      <c r="C13" s="28" t="inlineStr">
        <is>
          <t>Bell Block Panel &amp; Paint</t>
        </is>
      </c>
      <c r="D13" s="68" t="inlineStr">
        <is>
          <t>#### / 4328</t>
        </is>
      </c>
      <c r="E13" s="28" t="inlineStr">
        <is>
          <t>Bell Block Panel and Paint</t>
        </is>
      </c>
      <c r="G13" s="7" t="inlineStr">
        <is>
          <t>06 757 4292</t>
        </is>
      </c>
      <c r="H13" s="28" t="inlineStr">
        <is>
          <t>70 Hurlstone Drive</t>
        </is>
      </c>
      <c r="I13" s="27" t="inlineStr">
        <is>
          <t>Waiwhakaiho</t>
        </is>
      </c>
      <c r="J13" s="27" t="inlineStr">
        <is>
          <t>New Plymouth</t>
        </is>
      </c>
      <c r="K13" s="27" t="n">
        <v>4292</v>
      </c>
      <c r="L13" s="65" t="inlineStr">
        <is>
          <t>bell-blockpanelbeaters@xtra.co.nz</t>
        </is>
      </c>
    </row>
    <row r="14">
      <c r="A14" s="27">
        <f>IFERROR(RANK(B14,$B$2:$B$203,1),"")</f>
        <v/>
      </c>
      <c r="B14" s="27">
        <f>IFERROR(SEARCH('Cover Sheet'!$J$1,Table3[[#This Row],[Business 2]])+ROW()/100000,"")</f>
        <v/>
      </c>
      <c r="C14" s="28" t="inlineStr">
        <is>
          <t>Ben Thomas Panelbeating</t>
        </is>
      </c>
      <c r="D14" s="68" t="inlineStr">
        <is>
          <t>#### / 4298</t>
        </is>
      </c>
      <c r="E14" s="28" t="inlineStr">
        <is>
          <t>Ben Thomas Panelbeating</t>
        </is>
      </c>
      <c r="G14" s="7" t="inlineStr">
        <is>
          <t>06 278 6750</t>
        </is>
      </c>
      <c r="H14" s="28" t="inlineStr">
        <is>
          <t>55 Union Street</t>
        </is>
      </c>
      <c r="I14" s="27" t="inlineStr">
        <is>
          <t xml:space="preserve"> </t>
        </is>
      </c>
      <c r="J14" s="27" t="inlineStr">
        <is>
          <t>Hawera</t>
        </is>
      </c>
      <c r="K14" s="27" t="n">
        <v>4610</v>
      </c>
      <c r="L14" s="28" t="inlineStr">
        <is>
          <t>info@bentpanel.co.nz</t>
        </is>
      </c>
    </row>
    <row r="15" ht="28.5" customHeight="1">
      <c r="A15" s="27">
        <f>IFERROR(RANK(B15,$B$2:$B$203,1),"")</f>
        <v/>
      </c>
      <c r="B15" s="27">
        <f>IFERROR(SEARCH('Cover Sheet'!$J$1,Table3[[#This Row],[Business 2]])+ROW()/100000,"")</f>
        <v/>
      </c>
      <c r="C15" s="28" t="inlineStr">
        <is>
          <t>BMW Manawatu &amp; HB Ltd</t>
        </is>
      </c>
      <c r="D15" s="68" t="inlineStr">
        <is>
          <t>23740 / 3092</t>
        </is>
      </c>
      <c r="E15" s="28" t="inlineStr">
        <is>
          <t>BMW Manawatu &amp; Hawke's Bay Ltd</t>
        </is>
      </c>
      <c r="G15" s="7" t="inlineStr">
        <is>
          <t>06 952 6940
06 873 0055</t>
        </is>
      </c>
      <c r="H15" s="27" t="inlineStr">
        <is>
          <t>44 Grey St
822-824 Karamu Road North</t>
        </is>
      </c>
      <c r="I15" s="27" t="inlineStr">
        <is>
          <t xml:space="preserve"> 
Mayfair</t>
        </is>
      </c>
      <c r="J15" s="27" t="inlineStr">
        <is>
          <t xml:space="preserve"> Palmerston North
Hastings</t>
        </is>
      </c>
      <c r="K15" s="27" t="inlineStr">
        <is>
          <t>4410
4122</t>
        </is>
      </c>
      <c r="L15" s="11" t="n"/>
    </row>
    <row r="16">
      <c r="A16" s="27">
        <f>IFERROR(RANK(B16,$B$2:$B$203,1),"")</f>
        <v/>
      </c>
      <c r="B16" s="27">
        <f>IFERROR(SEARCH('Cover Sheet'!$J$1,Table3[[#This Row],[Business 2]])+ROW()/100000,"")</f>
        <v/>
      </c>
      <c r="C16" s="28" t="inlineStr">
        <is>
          <t>Bodyzone Panel Repairs</t>
        </is>
      </c>
      <c r="D16" s="68" t="inlineStr">
        <is>
          <t>2835 / 2353</t>
        </is>
      </c>
      <c r="E16" s="28" t="inlineStr">
        <is>
          <t>Bodyzone Panel Repairs</t>
        </is>
      </c>
      <c r="G16" s="7" t="n">
        <v>8798192</v>
      </c>
      <c r="H16" s="28" t="inlineStr">
        <is>
          <t>203 Wilson Road</t>
        </is>
      </c>
      <c r="I16" s="27" t="inlineStr">
        <is>
          <t>Flaxmere</t>
        </is>
      </c>
      <c r="J16" s="27" t="inlineStr">
        <is>
          <t>Hastings</t>
        </is>
      </c>
      <c r="K16" s="27" t="n">
        <v>4120</v>
      </c>
      <c r="L16" s="8" t="inlineStr">
        <is>
          <t>bzone@xtra.co.nz</t>
        </is>
      </c>
    </row>
    <row r="17">
      <c r="A17" s="27">
        <f>IFERROR(RANK(B17,$B$2:$B$203,1),"")</f>
        <v/>
      </c>
      <c r="B17" s="27">
        <f>IFERROR(SEARCH('Cover Sheet'!$J$1,Table3[[#This Row],[Business 2]])+ROW()/100000,"")</f>
        <v/>
      </c>
      <c r="C17" s="28" t="inlineStr">
        <is>
          <t>Bruce Jack Panelbeaters (B Jack Panelbeaters)</t>
        </is>
      </c>
      <c r="D17" s="68" t="inlineStr">
        <is>
          <t>#### / 4905</t>
        </is>
      </c>
      <c r="E17" s="28" t="inlineStr">
        <is>
          <t>Bruce Jack Panelbeaters (B Jack Panelbeaters)</t>
        </is>
      </c>
      <c r="F17" s="27" t="inlineStr">
        <is>
          <t>Bruce Jack</t>
        </is>
      </c>
      <c r="G17" s="7" t="inlineStr">
        <is>
          <t>06 363 8468</t>
        </is>
      </c>
      <c r="H17" s="28" t="inlineStr">
        <is>
          <t>8 Ravensworth Place</t>
        </is>
      </c>
      <c r="I17" s="27" t="inlineStr">
        <is>
          <t xml:space="preserve"> </t>
        </is>
      </c>
      <c r="J17" s="27" t="inlineStr">
        <is>
          <t>Foxton</t>
        </is>
      </c>
      <c r="K17" s="27" t="n">
        <v>4814</v>
      </c>
      <c r="L17" s="11" t="inlineStr">
        <is>
          <t>jackpanel@xtra.co.nz</t>
        </is>
      </c>
    </row>
    <row r="18">
      <c r="A18" s="27">
        <f>IFERROR(RANK(B18,$B$2:$B$203,1),"")</f>
        <v/>
      </c>
      <c r="B18" s="27">
        <f>IFERROR(SEARCH('Cover Sheet'!$J$1,Table3[[#This Row],[Business 2]])+ROW()/100000,"")</f>
        <v/>
      </c>
      <c r="C18" s="28" t="inlineStr">
        <is>
          <t>Burnside Panelbeaters</t>
        </is>
      </c>
      <c r="D18" s="68" t="n">
        <v>10485</v>
      </c>
      <c r="E18" s="28" t="inlineStr">
        <is>
          <t>Burnside Panelbeaters</t>
        </is>
      </c>
      <c r="F18" s="27" t="inlineStr">
        <is>
          <t>Jack Baty</t>
        </is>
      </c>
      <c r="G18" s="7" t="inlineStr">
        <is>
          <t>06 838 8702</t>
        </is>
      </c>
      <c r="H18" s="28" t="inlineStr">
        <is>
          <t>653 Mangapoike Road</t>
        </is>
      </c>
      <c r="I18" s="27" t="inlineStr">
        <is>
          <t xml:space="preserve">Frasertown RD6 </t>
        </is>
      </c>
      <c r="J18" s="27" t="inlineStr">
        <is>
          <t>Wairoa</t>
        </is>
      </c>
      <c r="K18" s="27" t="n">
        <v>4196</v>
      </c>
      <c r="L18" s="11" t="inlineStr">
        <is>
          <t>jbaty@gisborne.net.nz</t>
        </is>
      </c>
    </row>
    <row r="19">
      <c r="A19" s="27">
        <f>IFERROR(RANK(B19,$B$2:$B$203,1),"")</f>
        <v/>
      </c>
      <c r="B19" s="27">
        <f>IFERROR(SEARCH('Cover Sheet'!$J$1,Table3[[#This Row],[Business 2]])+ROW()/100000,"")</f>
        <v/>
      </c>
      <c r="C19" s="28" t="inlineStr">
        <is>
          <t>CHB Central Hawkes Bay Motors</t>
        </is>
      </c>
      <c r="D19" s="68" t="inlineStr">
        <is>
          <t>2577 / 4026</t>
        </is>
      </c>
      <c r="E19" s="28" t="inlineStr">
        <is>
          <t>Central Hawkes Bay Motors</t>
        </is>
      </c>
      <c r="G19" s="7" t="inlineStr">
        <is>
          <t>06 857 8799</t>
        </is>
      </c>
      <c r="H19" s="28" t="inlineStr">
        <is>
          <t>1 Victoria Street</t>
        </is>
      </c>
      <c r="I19" s="27" t="inlineStr">
        <is>
          <t>Waipawa</t>
        </is>
      </c>
      <c r="J19" s="27" t="inlineStr">
        <is>
          <t>Hawke's Bay</t>
        </is>
      </c>
      <c r="K19" s="27" t="n">
        <v>4210</v>
      </c>
      <c r="L19" s="11" t="inlineStr">
        <is>
          <t>chbmotors@xtra.co.nz</t>
        </is>
      </c>
    </row>
    <row r="20" ht="28.5" customHeight="1">
      <c r="A20" s="27">
        <f>IFERROR(RANK(B20,$B$2:$B$203,1),"")</f>
        <v/>
      </c>
      <c r="B20" s="27">
        <f>IFERROR(SEARCH('Cover Sheet'!$J$1,Table3[[#This Row],[Business 2]])+ROW()/100000,"")</f>
        <v/>
      </c>
      <c r="C20" s="28" t="inlineStr">
        <is>
          <t>Chris Panel and Paint</t>
        </is>
      </c>
      <c r="D20" s="68" t="inlineStr">
        <is>
          <t>34628 / ####</t>
        </is>
      </c>
      <c r="E20" s="28" t="inlineStr">
        <is>
          <t>Chris Panel and Paint</t>
        </is>
      </c>
      <c r="F20" s="27" t="inlineStr">
        <is>
          <t>Chris Tregilgas</t>
        </is>
      </c>
      <c r="G20" s="7" t="inlineStr">
        <is>
          <t>07 348 8800</t>
        </is>
      </c>
      <c r="H20" s="28" t="inlineStr">
        <is>
          <t>21 Maisey Place</t>
        </is>
      </c>
      <c r="I20" s="27" t="inlineStr">
        <is>
          <t xml:space="preserve"> </t>
        </is>
      </c>
      <c r="J20" s="27" t="inlineStr">
        <is>
          <t>Rotorua</t>
        </is>
      </c>
      <c r="K20" s="27" t="n">
        <v>3015</v>
      </c>
      <c r="L20" s="11" t="inlineStr">
        <is>
          <t>chris@chrispanelandpaint.co.nz</t>
        </is>
      </c>
    </row>
    <row r="21">
      <c r="A21" s="27">
        <f>IFERROR(RANK(B21,$B$2:$B$203,1),"")</f>
        <v/>
      </c>
      <c r="B21" s="27">
        <f>IFERROR(SEARCH('Cover Sheet'!$J$1,Table3[[#This Row],[Business 2]])+ROW()/100000,"")</f>
        <v/>
      </c>
      <c r="C21" s="28" t="inlineStr">
        <is>
          <t>Chris White Auto Electrical</t>
        </is>
      </c>
      <c r="D21" s="68" t="inlineStr">
        <is>
          <t>20869/2088</t>
        </is>
      </c>
      <c r="E21" s="28" t="inlineStr">
        <is>
          <t>Chris White Auto Electrical</t>
        </is>
      </c>
      <c r="F21" s="27" t="inlineStr">
        <is>
          <t>Chris</t>
        </is>
      </c>
      <c r="G21" s="7" t="inlineStr">
        <is>
          <t>06 858 9921</t>
        </is>
      </c>
      <c r="H21" s="28" t="inlineStr">
        <is>
          <t>24 Takapau Road</t>
        </is>
      </c>
      <c r="I21" s="27" t="n"/>
      <c r="J21" s="27" t="inlineStr">
        <is>
          <t>Waipukurau</t>
        </is>
      </c>
      <c r="K21" s="27" t="n">
        <v>4200</v>
      </c>
      <c r="L21" s="11" t="inlineStr">
        <is>
          <t>c.whiteautoelec@xtra.co.nz</t>
        </is>
      </c>
    </row>
    <row r="22">
      <c r="A22" s="27">
        <f>IFERROR(RANK(B22,$B$2:$B$203,1),"")</f>
        <v/>
      </c>
      <c r="B22" s="27">
       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>
          <t>#### / 5204</t>
        </is>
      </c>
      <c r="E22" s="28" t="inlineStr">
        <is>
          <t>City Auto Painters</t>
        </is>
      </c>
      <c r="G22" s="7" t="inlineStr">
        <is>
          <t>06 357 2817</t>
        </is>
      </c>
      <c r="H22" s="28" t="inlineStr">
        <is>
          <t>22 North Street</t>
        </is>
      </c>
      <c r="I22" s="27" t="n"/>
      <c r="J22" s="27" t="inlineStr">
        <is>
          <t>Palmerston North</t>
        </is>
      </c>
      <c r="K22" s="27" t="n">
        <v>4410</v>
      </c>
      <c r="L22" s="11" t="inlineStr">
        <is>
          <t>cityautopainters@gmail.com</t>
        </is>
      </c>
    </row>
    <row r="23">
      <c r="A23" s="27">
        <f>IFERROR(RANK(B23,$B$2:$B$203,1),"")</f>
        <v/>
      </c>
      <c r="B23" s="27">
        <f>IFERROR(SEARCH('Cover Sheet'!$J$1,Table3[[#This Row],[Business 2]])+ROW()/100000,"")</f>
        <v/>
      </c>
      <c r="C23" s="28" t="inlineStr">
        <is>
          <t>City Collision Repairs</t>
        </is>
      </c>
      <c r="D23" s="68" t="inlineStr">
        <is>
          <t>17 / 2854</t>
        </is>
      </c>
      <c r="E23" s="28" t="inlineStr">
        <is>
          <t>City Collision Repairs</t>
        </is>
      </c>
      <c r="G23" s="7" t="n">
        <v>8438200</v>
      </c>
      <c r="H23" s="28" t="inlineStr">
        <is>
          <t>32 Leyland Street</t>
        </is>
      </c>
      <c r="I23" s="27" t="inlineStr">
        <is>
          <t>Onekawa</t>
        </is>
      </c>
      <c r="J23" s="27" t="inlineStr">
        <is>
          <t>Napier</t>
        </is>
      </c>
      <c r="K23" s="27" t="n">
        <v>4110</v>
      </c>
      <c r="L23" s="8" t="inlineStr">
        <is>
          <t>admin@citycollision.co.nz</t>
        </is>
      </c>
    </row>
    <row r="24">
      <c r="A24" s="27">
        <f>IFERROR(RANK(B24,$B$2:$B$203,1),"")</f>
        <v/>
      </c>
      <c r="B24" s="27">
        <f>IFERROR(SEARCH('Cover Sheet'!$J$1,Table3[[#This Row],[Business 2]])+ROW()/100000,"")</f>
        <v/>
      </c>
      <c r="C24" s="28" t="inlineStr">
        <is>
          <t>CJ Autospray</t>
        </is>
      </c>
      <c r="D24" s="68" t="n">
        <v>27662</v>
      </c>
      <c r="E24" s="28" t="inlineStr">
        <is>
          <t>CJ Autospray</t>
        </is>
      </c>
      <c r="G24" s="7" t="n">
        <v>8735990</v>
      </c>
      <c r="H24" s="28" t="inlineStr">
        <is>
          <t>511 Heretaunga Street West</t>
        </is>
      </c>
      <c r="I24" s="27" t="inlineStr">
        <is>
          <t xml:space="preserve"> </t>
        </is>
      </c>
      <c r="J24" s="27" t="inlineStr">
        <is>
          <t>Hastings</t>
        </is>
      </c>
      <c r="K24" s="27" t="n">
        <v>4122</v>
      </c>
      <c r="L24" s="28" t="n"/>
    </row>
    <row r="25">
      <c r="A25" s="27">
        <f>IFERROR(RANK(B25,$B$2:$B$203,1),"")</f>
        <v/>
      </c>
      <c r="B25" s="27">
        <f>IFERROR(SEARCH('Cover Sheet'!$J$1,Table3[[#This Row],[Business 2]])+ROW()/100000,"")</f>
        <v/>
      </c>
      <c r="C25" s="28" t="inlineStr">
        <is>
          <t>Colling and Gray Ltd</t>
        </is>
      </c>
      <c r="D25" s="68" t="inlineStr">
        <is>
          <t>#### / 5557</t>
        </is>
      </c>
      <c r="E25" s="28" t="inlineStr">
        <is>
          <t>Colling and Gray Ltd</t>
        </is>
      </c>
      <c r="G25" s="7" t="inlineStr">
        <is>
          <t>06 368 4722</t>
        </is>
      </c>
      <c r="H25" s="28" t="inlineStr">
        <is>
          <t>22 Liverpool Street</t>
        </is>
      </c>
      <c r="I25" s="27" t="inlineStr">
        <is>
          <t xml:space="preserve"> </t>
        </is>
      </c>
      <c r="J25" s="27" t="inlineStr">
        <is>
          <t>Levin</t>
        </is>
      </c>
      <c r="K25" s="27" t="n">
        <v>5510</v>
      </c>
      <c r="L25" s="11" t="inlineStr">
        <is>
          <t>collingandgray@xtra.co.nz</t>
        </is>
      </c>
    </row>
    <row r="26">
      <c r="A26" s="27">
        <f>IFERROR(RANK(B26,$B$2:$B$203,1),"")</f>
        <v/>
      </c>
      <c r="B26" s="27">
        <f>IFERROR(SEARCH('Cover Sheet'!$J$1,Table3[[#This Row],[Business 2]])+ROW()/100000,"")</f>
        <v/>
      </c>
      <c r="C26" s="28" t="inlineStr">
        <is>
          <t>DART Panel and Paint</t>
        </is>
      </c>
      <c r="D26" s="68" t="inlineStr">
        <is>
          <t>5237/2847</t>
        </is>
      </c>
      <c r="E26" s="28" t="inlineStr">
        <is>
          <t>DART Panel and Paint CHECK CREDIT</t>
        </is>
      </c>
      <c r="G26" s="7" t="inlineStr">
        <is>
          <t>06 374 8730</t>
        </is>
      </c>
      <c r="H26" s="28" t="inlineStr">
        <is>
          <t>9 Barraud Street</t>
        </is>
      </c>
      <c r="I26" s="27" t="n"/>
      <c r="J26" s="27" t="inlineStr">
        <is>
          <t>Dannevirke</t>
        </is>
      </c>
      <c r="K26" s="27" t="n">
        <v>4930</v>
      </c>
      <c r="L26" s="11" t="inlineStr">
        <is>
          <t>dartpanel@gmail.com</t>
        </is>
      </c>
    </row>
    <row r="27">
      <c r="A27" s="27">
        <f>IFERROR(RANK(B27,$B$2:$B$203,1),"")</f>
        <v/>
      </c>
      <c r="B27" s="27">
        <f>IFERROR(SEARCH('Cover Sheet'!$J$1,Table3[[#This Row],[Business 2]])+ROW()/100000,"")</f>
        <v/>
      </c>
      <c r="C27" s="28" t="inlineStr">
        <is>
          <t>David Gooch Spray and Sign</t>
        </is>
      </c>
      <c r="D27" s="68" t="inlineStr">
        <is>
          <t>30448 / ####</t>
        </is>
      </c>
      <c r="E27" s="28" t="inlineStr">
        <is>
          <t>David Gooch Spray &amp; Sign CASH ACCOUNT</t>
        </is>
      </c>
      <c r="F27" s="27" t="inlineStr">
        <is>
          <t>Dave Gooch</t>
        </is>
      </c>
      <c r="G27" s="9" t="inlineStr">
        <is>
          <t>06 868 4910</t>
        </is>
      </c>
      <c r="H27" s="28" t="inlineStr">
        <is>
          <t>346 Childers Road</t>
        </is>
      </c>
      <c r="I27" s="27" t="inlineStr">
        <is>
          <t xml:space="preserve"> </t>
        </is>
      </c>
      <c r="J27" s="27" t="inlineStr">
        <is>
          <t>Gisborne</t>
        </is>
      </c>
      <c r="K27" s="27" t="n">
        <v>4010</v>
      </c>
      <c r="L27" s="11" t="inlineStr">
        <is>
          <t>dgooch@xtra.co.nz</t>
        </is>
      </c>
    </row>
    <row r="28">
      <c r="A28" s="27">
        <f>IFERROR(RANK(B28,$B$2:$B$203,1),"")</f>
        <v/>
      </c>
      <c r="B28" s="27">
        <f>IFERROR(SEARCH('Cover Sheet'!$J$1,Table3[[#This Row],[Business 2]])+ROW()/100000,"")</f>
        <v/>
      </c>
      <c r="C28" s="28" t="inlineStr">
        <is>
          <t>Dents Panel Beaters</t>
        </is>
      </c>
      <c r="D28" s="68" t="inlineStr">
        <is>
          <t>2464 / 2565</t>
        </is>
      </c>
      <c r="E28" s="28" t="inlineStr">
        <is>
          <t>Dents Panel Beaters</t>
        </is>
      </c>
      <c r="G28" s="7" t="n">
        <v>8789957</v>
      </c>
      <c r="H28" s="28" t="inlineStr">
        <is>
          <t>802 Omahu Road</t>
        </is>
      </c>
      <c r="I28" s="27" t="inlineStr">
        <is>
          <t>Frimley</t>
        </is>
      </c>
      <c r="J28" s="27" t="inlineStr">
        <is>
          <t>Hastings</t>
        </is>
      </c>
      <c r="K28" s="27" t="n">
        <v>4120</v>
      </c>
      <c r="L28" s="8" t="inlineStr">
        <is>
          <t>dentspanel@xtra.co.nz</t>
        </is>
      </c>
    </row>
    <row r="29">
      <c r="A29" s="27">
        <f>IFERROR(RANK(B29,$B$2:$B$203,1),"")</f>
        <v/>
      </c>
      <c r="B29" s="27">
        <f>IFERROR(SEARCH('Cover Sheet'!$J$1,Table3[[#This Row],[Business 2]])+ROW()/100000,"")</f>
        <v/>
      </c>
      <c r="C29" s="28" t="inlineStr">
        <is>
          <t>Dewes Contracting Limited</t>
        </is>
      </c>
      <c r="D29" s="68" t="inlineStr">
        <is>
          <t>23060 / 4096</t>
        </is>
      </c>
      <c r="E29" s="28" t="inlineStr">
        <is>
          <t>Dewes Contracting Limited</t>
        </is>
      </c>
      <c r="F29" s="27" t="inlineStr">
        <is>
          <t>Luke</t>
        </is>
      </c>
      <c r="G29" s="7" t="inlineStr">
        <is>
          <t>06 862 8135</t>
        </is>
      </c>
      <c r="H29" s="28" t="inlineStr">
        <is>
          <t>42 Papatu Road</t>
        </is>
      </c>
      <c r="I29" s="27" t="inlineStr">
        <is>
          <t>Manutuke</t>
        </is>
      </c>
      <c r="J29" s="27" t="inlineStr">
        <is>
          <t>Gisborne</t>
        </is>
      </c>
      <c r="K29" s="27" t="n">
        <v>4272</v>
      </c>
      <c r="L29" s="11" t="inlineStr">
        <is>
          <t>workshop@dewescontractors.co.nz</t>
        </is>
      </c>
    </row>
    <row r="30">
      <c r="A30" s="27">
        <f>IFERROR(RANK(B30,$B$2:$B$203,1),"")</f>
        <v/>
      </c>
      <c r="B30" s="27">
        <f>IFERROR(SEARCH('Cover Sheet'!$J$1,Table3[[#This Row],[Business 2]])+ROW()/100000,"")</f>
        <v/>
      </c>
      <c r="C30" s="28" t="inlineStr">
        <is>
          <t>Dittmer Collision Repair</t>
        </is>
      </c>
      <c r="D30" s="68" t="inlineStr">
        <is>
          <t>10519 / 2874</t>
        </is>
      </c>
      <c r="E30" s="28" t="inlineStr">
        <is>
          <t>Dittmer Collision Repair</t>
        </is>
      </c>
      <c r="F30" s="27" t="inlineStr">
        <is>
          <t>Max</t>
        </is>
      </c>
      <c r="G30" s="7" t="inlineStr">
        <is>
          <t>06 356 8218</t>
        </is>
      </c>
      <c r="H30" s="28" t="inlineStr">
        <is>
          <t>934 Tremian Ave</t>
        </is>
      </c>
      <c r="I30" s="27" t="inlineStr">
        <is>
          <t xml:space="preserve">  </t>
        </is>
      </c>
      <c r="J30" s="27" t="inlineStr">
        <is>
          <t>Palmerston North</t>
        </is>
      </c>
      <c r="K30" s="27" t="n">
        <v>4414</v>
      </c>
      <c r="L30" s="11" t="inlineStr">
        <is>
          <t>info@dittmer.co.nz</t>
        </is>
      </c>
    </row>
    <row r="31" ht="28.5" customHeight="1">
      <c r="A31" s="27">
        <f>IFERROR(RANK(B31,$B$2:$B$203,1),"")</f>
        <v/>
      </c>
      <c r="B31" s="27">
        <f>IFERROR(SEARCH('Cover Sheet'!$J$1,Table3[[#This Row],[Business 2]])+ROW()/100000,"")</f>
        <v/>
      </c>
      <c r="C31" s="28" t="inlineStr">
        <is>
          <t>DJ Mac Panel &amp; Paint</t>
        </is>
      </c>
      <c r="D31" s="68" t="inlineStr">
        <is>
          <t>10044 / 4507</t>
        </is>
      </c>
      <c r="E31" s="28" t="inlineStr">
        <is>
          <t>DJ Mac Panel &amp; Paint</t>
        </is>
      </c>
      <c r="F31" s="27" t="inlineStr">
        <is>
          <t>Dylan MacGregor</t>
        </is>
      </c>
      <c r="G31" s="7" t="inlineStr">
        <is>
          <t>06 867 7816</t>
        </is>
      </c>
      <c r="H31" s="28" t="inlineStr">
        <is>
          <t>271 Grey Street</t>
        </is>
      </c>
      <c r="I31" s="27" t="inlineStr">
        <is>
          <t>Awapuni</t>
        </is>
      </c>
      <c r="J31" s="27" t="inlineStr">
        <is>
          <t>Gisborne</t>
        </is>
      </c>
      <c r="K31" s="27" t="n">
        <v>4010</v>
      </c>
      <c r="L31" s="28" t="inlineStr">
        <is>
          <t>djmacpanelandpaint@xtra.co.nz</t>
        </is>
      </c>
    </row>
    <row r="32">
      <c r="A32" s="27">
        <f>IFERROR(RANK(B32,$B$2:$B$203,1),"")</f>
        <v/>
      </c>
      <c r="B32" s="27">
        <f>IFERROR(SEARCH('Cover Sheet'!$J$1,Table3[[#This Row],[Business 2]])+ROW()/100000,"")</f>
        <v/>
      </c>
      <c r="C32" s="28" t="inlineStr">
        <is>
          <t>DW Panelbeaters</t>
        </is>
      </c>
      <c r="D32" s="68" t="inlineStr">
        <is>
          <t>22228 / 1135</t>
        </is>
      </c>
      <c r="E32" s="28" t="inlineStr">
        <is>
          <t>DW Panelbeaters</t>
        </is>
      </c>
      <c r="G32" s="7" t="n">
        <v>8431080</v>
      </c>
      <c r="H32" s="28" t="inlineStr">
        <is>
          <t>29 Wakefield Street</t>
        </is>
      </c>
      <c r="I32" s="27" t="inlineStr">
        <is>
          <t>Onekawa</t>
        </is>
      </c>
      <c r="J32" s="27" t="inlineStr">
        <is>
          <t>Napier</t>
        </is>
      </c>
      <c r="K32" s="27" t="n">
        <v>4110</v>
      </c>
      <c r="L32" s="8" t="inlineStr">
        <is>
          <t>dwpanelbeaters@xtra.co.nz</t>
        </is>
      </c>
    </row>
    <row r="33">
      <c r="A33" s="27">
        <f>IFERROR(RANK(B33,$B$2:$B$203,1),"")</f>
        <v/>
      </c>
      <c r="B33" s="27">
        <f>IFERROR(SEARCH('Cover Sheet'!$J$1,Table3[[#This Row],[Business 2]])+ROW()/100000,"")</f>
        <v/>
      </c>
      <c r="C33" s="28" t="inlineStr">
        <is>
          <t>Elite Autospray (Chris Harvie)</t>
        </is>
      </c>
      <c r="D33" s="68" t="inlineStr">
        <is>
          <t>23880 / 5437</t>
        </is>
      </c>
      <c r="E33" s="28" t="inlineStr">
        <is>
          <t>Elite Autospray (Chris Harvie)</t>
        </is>
      </c>
      <c r="F33" s="27" t="inlineStr">
        <is>
          <t>Chris Harvie</t>
        </is>
      </c>
      <c r="G33" s="7" t="inlineStr">
        <is>
          <t>07 378 4896</t>
        </is>
      </c>
      <c r="H33" s="28" t="inlineStr">
        <is>
          <t>17 Matai Street</t>
        </is>
      </c>
      <c r="I33" s="27" t="inlineStr">
        <is>
          <t>Tauhara</t>
        </is>
      </c>
      <c r="J33" s="27" t="inlineStr">
        <is>
          <t>Taupo</t>
        </is>
      </c>
      <c r="K33" s="27" t="n">
        <v>3378</v>
      </c>
      <c r="L33" s="11" t="inlineStr">
        <is>
          <t>eliteautospray@xtra.co.nz</t>
        </is>
      </c>
    </row>
    <row r="34">
      <c r="A34" s="27">
        <f>IFERROR(RANK(B34,$B$2:$B$203,1),"")</f>
        <v/>
      </c>
      <c r="B34" s="27">
        <f>IFERROR(SEARCH('Cover Sheet'!$J$1,Table3[[#This Row],[Business 2]])+ROW()/100000,"")</f>
        <v/>
      </c>
      <c r="C34" s="28" t="inlineStr">
        <is>
          <t>Endless Panel Repairs</t>
        </is>
      </c>
      <c r="D34" s="68" t="inlineStr">
        <is>
          <t>28382 / 3064</t>
        </is>
      </c>
      <c r="E34" s="28" t="inlineStr">
        <is>
          <t>Endless Panel Repairs</t>
        </is>
      </c>
      <c r="G34" s="7" t="n">
        <v>8760717</v>
      </c>
      <c r="H34" s="28" t="inlineStr">
        <is>
          <t>701 Hastings Street Nth</t>
        </is>
      </c>
      <c r="I34" s="27" t="inlineStr">
        <is>
          <t xml:space="preserve"> </t>
        </is>
      </c>
      <c r="J34" s="27" t="inlineStr">
        <is>
          <t>Hastings</t>
        </is>
      </c>
      <c r="K34" s="27" t="n">
        <v>4122</v>
      </c>
      <c r="L34" s="8" t="inlineStr">
        <is>
          <t>endless1@xtra.co.nz</t>
        </is>
      </c>
    </row>
    <row r="35">
      <c r="A35" s="27">
        <f>IFERROR(RANK(B35,$B$2:$B$203,1),"")</f>
        <v/>
      </c>
      <c r="B35" s="27">
        <f>IFERROR(SEARCH('Cover Sheet'!$J$1,Table3[[#This Row],[Business 2]])+ROW()/100000,"")</f>
        <v/>
      </c>
      <c r="C35" s="28" t="inlineStr">
        <is>
          <t>Enterprise Motor Group</t>
        </is>
      </c>
      <c r="D35" s="68" t="inlineStr">
        <is>
          <t>376 / 1104</t>
        </is>
      </c>
      <c r="E35" s="28" t="inlineStr">
        <is>
          <t>Enterprise Motor Group</t>
        </is>
      </c>
      <c r="G35" s="9" t="inlineStr">
        <is>
          <t>06 867 8368</t>
        </is>
      </c>
      <c r="H35" s="28" t="inlineStr">
        <is>
          <t>329 Gladstone Road</t>
        </is>
      </c>
      <c r="I35" s="27" t="n"/>
      <c r="J35" s="27" t="inlineStr">
        <is>
          <t>Gisborne</t>
        </is>
      </c>
      <c r="K35" s="27" t="n">
        <v>4010</v>
      </c>
      <c r="L35" s="11" t="inlineStr">
        <is>
          <t>parts@enterprisemg.co.nz</t>
        </is>
      </c>
    </row>
    <row r="36">
      <c r="A36" s="27">
        <f>IFERROR(RANK(B36,$B$2:$B$203,1),"")</f>
        <v/>
      </c>
      <c r="B36" s="27">
        <f>IFERROR(SEARCH('Cover Sheet'!$J$1,Table3[[#This Row],[Business 2]])+ROW()/100000,"")</f>
        <v/>
      </c>
      <c r="C36" s="28" t="inlineStr">
        <is>
          <t>Eurocity</t>
        </is>
      </c>
      <c r="D36" s="68" t="inlineStr">
        <is>
          <t>8393 / ####</t>
        </is>
      </c>
      <c r="E36" s="28" t="inlineStr">
        <is>
          <t>Eurocity</t>
        </is>
      </c>
      <c r="G36" s="7" t="n">
        <v>8358810</v>
      </c>
      <c r="H36" s="28" t="inlineStr">
        <is>
          <t>120 Prebenson Drive</t>
        </is>
      </c>
      <c r="I36" s="27" t="inlineStr">
        <is>
          <t>Onekawa</t>
        </is>
      </c>
      <c r="J36" s="27" t="inlineStr">
        <is>
          <t>Napier</t>
        </is>
      </c>
      <c r="K36" s="27" t="n">
        <v>4110</v>
      </c>
      <c r="L36" s="11" t="inlineStr">
        <is>
          <t>parts@eurocity.co.nz</t>
        </is>
      </c>
    </row>
    <row r="37" ht="28.5" customHeight="1">
      <c r="A37" s="27">
        <f>IFERROR(RANK(B37,$B$2:$B$203,1),"")</f>
        <v/>
      </c>
      <c r="B37" s="27">
        <f>IFERROR(SEARCH('Cover Sheet'!$J$1,Table3[[#This Row],[Business 2]])+ROW()/100000,"")</f>
        <v/>
      </c>
      <c r="C37" s="28" t="inlineStr">
        <is>
          <t>Friend and Wistrand</t>
        </is>
      </c>
      <c r="D37" s="68" t="inlineStr">
        <is>
          <t>### / 3612</t>
        </is>
      </c>
      <c r="E37" s="28" t="inlineStr">
        <is>
          <t>Friend and Wistrand</t>
        </is>
      </c>
      <c r="F37" s="27" t="inlineStr">
        <is>
          <t>John Wistrand</t>
        </is>
      </c>
      <c r="G37" s="7" t="inlineStr">
        <is>
          <t>06 357 2723</t>
        </is>
      </c>
      <c r="H37" s="28" t="inlineStr">
        <is>
          <t>674 Tremain Ave</t>
        </is>
      </c>
      <c r="I37" s="27" t="n"/>
      <c r="J37" s="27" t="inlineStr">
        <is>
          <t>Palmerston North</t>
        </is>
      </c>
      <c r="K37" s="27" t="n">
        <v>4439</v>
      </c>
      <c r="L37" s="11" t="inlineStr">
        <is>
          <t>office@friendandwistrand.co.nz</t>
        </is>
      </c>
    </row>
    <row r="38">
      <c r="A38" s="27">
        <f>IFERROR(RANK(B38,$B$2:$B$203,1),"")</f>
        <v/>
      </c>
      <c r="B38" s="27">
        <f>IFERROR(SEARCH('Cover Sheet'!$J$1,Table3[[#This Row],[Business 2]])+ROW()/100000,"")</f>
        <v/>
      </c>
      <c r="C38" s="28" t="inlineStr">
        <is>
          <t>GB Glass and Aluminium Ltd</t>
        </is>
      </c>
      <c r="D38" s="68" t="inlineStr">
        <is>
          <t>#### /4833</t>
        </is>
      </c>
      <c r="E38" s="28" t="inlineStr">
        <is>
          <t>GB Glass and Aluminium Ltd</t>
        </is>
      </c>
      <c r="G38" s="7" t="inlineStr">
        <is>
          <t>07 378 1958</t>
        </is>
      </c>
      <c r="H38" s="28" t="inlineStr">
        <is>
          <t>14 Miro Street</t>
        </is>
      </c>
      <c r="I38" s="27" t="inlineStr">
        <is>
          <t>Tauhara</t>
        </is>
      </c>
      <c r="J38" s="27" t="inlineStr">
        <is>
          <t>Taupo</t>
        </is>
      </c>
      <c r="K38" s="27" t="n">
        <v>3330</v>
      </c>
      <c r="L38" s="11" t="inlineStr">
        <is>
          <t>admin@gbglass.co.nz</t>
        </is>
      </c>
    </row>
    <row r="39">
      <c r="A39" s="27">
        <f>IFERROR(RANK(B39,$B$2:$B$203,1),"")</f>
        <v/>
      </c>
      <c r="B39" s="27">
        <f>IFERROR(SEARCH('Cover Sheet'!$J$1,Table3[[#This Row],[Business 2]])+ROW()/100000,"")</f>
        <v/>
      </c>
      <c r="C39" s="28" t="inlineStr">
        <is>
          <t>Gee Motors</t>
        </is>
      </c>
      <c r="D39" s="68" t="inlineStr">
        <is>
          <t>16130 / ####</t>
        </is>
      </c>
      <c r="E39" s="28" t="inlineStr">
        <is>
          <t>Gee Motors</t>
        </is>
      </c>
      <c r="F39" s="27" t="inlineStr">
        <is>
          <t>Chris</t>
        </is>
      </c>
      <c r="G39" s="7" t="inlineStr">
        <is>
          <t>843 0406</t>
        </is>
      </c>
      <c r="H39" s="28" t="inlineStr">
        <is>
          <t>92 Niven Street</t>
        </is>
      </c>
      <c r="I39" s="27" t="inlineStr">
        <is>
          <t>Onekawa</t>
        </is>
      </c>
      <c r="J39" s="27" t="inlineStr">
        <is>
          <t>Napier</t>
        </is>
      </c>
      <c r="K39" s="27" t="n">
        <v>4110</v>
      </c>
      <c r="L39" s="11" t="inlineStr">
        <is>
          <t>parts@geemotors.co.nz</t>
        </is>
      </c>
    </row>
    <row r="40">
      <c r="A40" s="27">
        <f>IFERROR(RANK(B40,$B$2:$B$203,1),"")</f>
        <v/>
      </c>
      <c r="B40" s="27">
        <f>IFERROR(SEARCH('Cover Sheet'!$J$1,Table3[[#This Row],[Business 2]])+ROW()/100000,"")</f>
        <v/>
      </c>
      <c r="C40" s="28" t="inlineStr">
        <is>
          <t>Gisborne Motors Ltd</t>
        </is>
      </c>
      <c r="D40" s="68" t="inlineStr">
        <is>
          <t>18319 / 2464</t>
        </is>
      </c>
      <c r="E40" s="28" t="inlineStr">
        <is>
          <t>Gisborne Motors Ltd</t>
        </is>
      </c>
      <c r="F40" s="27" t="inlineStr">
        <is>
          <t>Murray</t>
        </is>
      </c>
      <c r="G40" s="9" t="inlineStr">
        <is>
          <t>06 867 6759</t>
        </is>
      </c>
      <c r="H40" s="28" t="inlineStr">
        <is>
          <t>75 Grey Street</t>
        </is>
      </c>
      <c r="I40" s="27" t="inlineStr">
        <is>
          <t xml:space="preserve"> </t>
        </is>
      </c>
      <c r="J40" s="27" t="inlineStr">
        <is>
          <t>Gisborne</t>
        </is>
      </c>
      <c r="K40" s="27" t="n">
        <v>4010</v>
      </c>
      <c r="L40" s="11" t="inlineStr">
        <is>
          <t>panel@gisbornemotors.co.nz</t>
        </is>
      </c>
    </row>
    <row r="41">
      <c r="A41" s="27">
        <f>IFERROR(RANK(B41,$B$2:$B$203,1),"")</f>
        <v/>
      </c>
      <c r="B41" s="27">
        <f>IFERROR(SEARCH('Cover Sheet'!$J$1,Table3[[#This Row],[Business 2]])+ROW()/100000,"")</f>
        <v/>
      </c>
      <c r="C41" s="28" t="inlineStr">
        <is>
          <t>GM Panelbeaters</t>
        </is>
      </c>
      <c r="D41" s="68" t="inlineStr">
        <is>
          <t>5212 / 2849</t>
        </is>
      </c>
      <c r="E41" s="28" t="inlineStr">
        <is>
          <t>GM Panelbeaters</t>
        </is>
      </c>
      <c r="F41" s="27" t="inlineStr">
        <is>
          <t>Glen Millar</t>
        </is>
      </c>
      <c r="G41" s="9" t="inlineStr">
        <is>
          <t>06 858 7489</t>
        </is>
      </c>
      <c r="H41" s="28" t="inlineStr">
        <is>
          <t>7 Racecourse Road</t>
        </is>
      </c>
      <c r="I41" s="27" t="inlineStr">
        <is>
          <t xml:space="preserve"> </t>
        </is>
      </c>
      <c r="J41" s="27" t="inlineStr">
        <is>
          <t>Waipukurau</t>
        </is>
      </c>
      <c r="K41" s="27" t="n">
        <v>4200</v>
      </c>
      <c r="L41" s="11" t="inlineStr">
        <is>
          <t>gmpanel@xtra.co.nz</t>
        </is>
      </c>
    </row>
    <row r="42" ht="28.5" customHeight="1">
      <c r="A42" s="27">
        <f>IFERROR(RANK(B42,$B$2:$B$203,1),"")</f>
        <v/>
      </c>
      <c r="B42" s="27">
        <f>IFERROR(SEARCH('Cover Sheet'!$J$1,Table3[[#This Row],[Business 2]])+ROW()/100000,"")</f>
        <v/>
      </c>
      <c r="C42" s="28" t="inlineStr">
        <is>
          <t>Grant Crossan Panelbeating</t>
        </is>
      </c>
      <c r="D42" s="68" t="inlineStr">
        <is>
          <t>####  / 4524</t>
        </is>
      </c>
      <c r="E42" s="28" t="inlineStr">
        <is>
          <t>Grant Crossan Panelbeating</t>
        </is>
      </c>
      <c r="F42" s="27" t="inlineStr">
        <is>
          <t>Grant Crossan</t>
        </is>
      </c>
      <c r="G42" s="7" t="inlineStr">
        <is>
          <t>06 758 5296</t>
        </is>
      </c>
      <c r="H42" s="28" t="inlineStr">
        <is>
          <t>1 Burton St</t>
        </is>
      </c>
      <c r="I42" s="27" t="inlineStr">
        <is>
          <t xml:space="preserve"> </t>
        </is>
      </c>
      <c r="J42" s="27" t="inlineStr">
        <is>
          <t>New Plymouth</t>
        </is>
      </c>
      <c r="K42" s="27" t="n">
        <v>4312</v>
      </c>
      <c r="L42" s="28" t="inlineStr">
        <is>
          <t>crossanpanel@xtra.co.nz</t>
        </is>
      </c>
    </row>
    <row r="43">
      <c r="A43" s="27">
        <f>IFERROR(RANK(B43,$B$2:$B$203,1),"")</f>
        <v/>
      </c>
      <c r="B43" s="27">
        <f>IFERROR(SEARCH('Cover Sheet'!$J$1,Table3[[#This Row],[Business 2]])+ROW()/100000,"")</f>
        <v/>
      </c>
      <c r="C43" s="28" t="inlineStr">
        <is>
          <t>Grant White Autobody</t>
        </is>
      </c>
      <c r="D43" s="68" t="inlineStr">
        <is>
          <t>34801 / 5589</t>
        </is>
      </c>
      <c r="E43" s="28" t="inlineStr">
        <is>
          <t>HB Collision Repairs Ltd</t>
        </is>
      </c>
      <c r="F43" s="27" t="inlineStr">
        <is>
          <t>Andrew</t>
        </is>
      </c>
      <c r="G43" s="7" t="n">
        <v>8789772</v>
      </c>
      <c r="H43" s="28" t="inlineStr">
        <is>
          <t>307 Eastbourne Street West</t>
        </is>
      </c>
      <c r="I43" s="27" t="inlineStr">
        <is>
          <t xml:space="preserve"> </t>
        </is>
      </c>
      <c r="J43" s="27" t="inlineStr">
        <is>
          <t>Hastings</t>
        </is>
      </c>
      <c r="K43" s="27" t="n">
        <v>4122</v>
      </c>
      <c r="L43" s="11" t="inlineStr">
        <is>
          <t>admin@hbcollision.co.nz</t>
        </is>
      </c>
    </row>
    <row r="44">
      <c r="A44" s="27">
        <f>IFERROR(RANK(B44,$B$2:$B$203,1),"")</f>
        <v/>
      </c>
      <c r="B44" s="27">
        <f>IFERROR(SEARCH('Cover Sheet'!$J$1,Table3[[#This Row],[Business 2]])+ROW()/100000,"")</f>
        <v/>
      </c>
      <c r="C44" s="28" t="inlineStr">
        <is>
          <t>Greenmeadows Panelbeaters</t>
        </is>
      </c>
      <c r="D44" s="68" t="inlineStr">
        <is>
          <t>16958 / 4584</t>
        </is>
      </c>
      <c r="E44" s="28" t="inlineStr">
        <is>
          <t>Greenmeadows Panelbeaters</t>
        </is>
      </c>
      <c r="F44" s="27" t="inlineStr">
        <is>
          <t>Tony</t>
        </is>
      </c>
      <c r="G44" s="7" t="n">
        <v>8442791</v>
      </c>
      <c r="H44" s="28" t="inlineStr">
        <is>
          <t>18 Gloucester Street</t>
        </is>
      </c>
      <c r="I44" s="27" t="inlineStr">
        <is>
          <t>Taradale</t>
        </is>
      </c>
      <c r="J44" s="27" t="inlineStr">
        <is>
          <t>Napier</t>
        </is>
      </c>
      <c r="K44" s="27" t="n">
        <v>4112</v>
      </c>
      <c r="L44" s="8" t="inlineStr">
        <is>
          <t>admin@gpp.net.nz</t>
        </is>
      </c>
    </row>
    <row r="45">
      <c r="A45" s="27">
        <f>IFERROR(RANK(B45,$B$2:$B$203,1),"")</f>
        <v/>
      </c>
      <c r="B45" s="27">
        <f>IFERROR(SEARCH('Cover Sheet'!$J$1,Table3[[#This Row],[Business 2]])+ROW()/100000,"")</f>
        <v/>
      </c>
      <c r="C45" s="28" t="inlineStr">
        <is>
          <t>Greerton Panel and Paint Repairs</t>
        </is>
      </c>
      <c r="D45" s="68" t="inlineStr">
        <is>
          <t>12062 / ####</t>
        </is>
      </c>
      <c r="E45" s="28" t="inlineStr">
        <is>
          <t>Greerton Panel and Paint Repairs</t>
        </is>
      </c>
      <c r="F45" s="27" t="inlineStr">
        <is>
          <t>Craig Fenton</t>
        </is>
      </c>
      <c r="G45" s="7" t="inlineStr">
        <is>
          <t>07 577 6242</t>
        </is>
      </c>
      <c r="H45" s="28" t="inlineStr">
        <is>
          <t>78b Oropi Road</t>
        </is>
      </c>
      <c r="I45" s="27" t="inlineStr">
        <is>
          <t>Greerton</t>
        </is>
      </c>
      <c r="J45" s="27" t="inlineStr">
        <is>
          <t>Tauranga</t>
        </is>
      </c>
      <c r="K45" s="27" t="n">
        <v>3112</v>
      </c>
      <c r="L45" s="11" t="inlineStr">
        <is>
          <t>greertonpanel@kinect.co.nz</t>
        </is>
      </c>
    </row>
    <row r="46">
      <c r="A46" s="27">
        <f>IFERROR(RANK(B46,$B$2:$B$203,1),"")</f>
        <v/>
      </c>
      <c r="B46" s="27">
        <f>IFERROR(SEARCH('Cover Sheet'!$J$1,Table3[[#This Row],[Business 2]])+ROW()/100000,"")</f>
        <v/>
      </c>
      <c r="C46" s="28" t="inlineStr">
        <is>
          <t>Harts Body Shop</t>
        </is>
      </c>
      <c r="D46" s="68" t="inlineStr">
        <is>
          <t>####  / 2614</t>
        </is>
      </c>
      <c r="E46" s="28" t="inlineStr">
        <is>
          <t>Harts Body Shop</t>
        </is>
      </c>
      <c r="G46" s="7" t="inlineStr">
        <is>
          <t>06 358 4098</t>
        </is>
      </c>
      <c r="H46" s="28" t="inlineStr">
        <is>
          <t>28 Willis Street</t>
        </is>
      </c>
      <c r="I46" s="27" t="inlineStr">
        <is>
          <t xml:space="preserve"> </t>
        </is>
      </c>
      <c r="J46" s="27" t="inlineStr">
        <is>
          <t>Palmerston North</t>
        </is>
      </c>
      <c r="K46" s="27" t="n">
        <v>4443</v>
      </c>
      <c r="L46" s="11" t="inlineStr">
        <is>
          <t>harts.bodyshop@xtra.co.nz</t>
        </is>
      </c>
    </row>
    <row r="47">
      <c r="A47" s="27">
        <f>IFERROR(RANK(B47,$B$2:$B$203,1),"")</f>
        <v/>
      </c>
      <c r="B47" s="27">
        <f>IFERROR(SEARCH('Cover Sheet'!$J$1,Table3[[#This Row],[Business 2]])+ROW()/100000,"")</f>
        <v/>
      </c>
      <c r="C47" s="28" t="inlineStr">
        <is>
          <t>Hastings Panel Repairs &amp; Spraypainters</t>
        </is>
      </c>
      <c r="D47" s="68" t="inlineStr">
        <is>
          <t>3014 / ####</t>
        </is>
      </c>
      <c r="E47" s="28" t="inlineStr">
        <is>
          <t>Hastings Panel Repairs &amp; Spraypainters</t>
        </is>
      </c>
      <c r="G47" s="7" t="n">
        <v>8767297</v>
      </c>
      <c r="H47" s="28" t="inlineStr">
        <is>
          <t>811 Orchard Road</t>
        </is>
      </c>
      <c r="I47" s="27" t="inlineStr">
        <is>
          <t>Camberley</t>
        </is>
      </c>
      <c r="J47" s="27" t="inlineStr">
        <is>
          <t>Hastings</t>
        </is>
      </c>
      <c r="K47" s="27" t="n">
        <v>4120</v>
      </c>
      <c r="L47" s="8" t="inlineStr">
        <is>
          <t>hastingspanelrepairs@clear.net.nz</t>
        </is>
      </c>
    </row>
    <row r="48">
      <c r="A48" s="27">
        <f>IFERROR(RANK(B48,$B$2:$B$203,1),"")</f>
        <v/>
      </c>
      <c r="B48" s="27">
        <f>IFERROR(SEARCH('Cover Sheet'!$J$1,Table3[[#This Row],[Business 2]])+ROW()/100000,"")</f>
        <v/>
      </c>
      <c r="C48" s="28" t="inlineStr">
        <is>
          <t>Havelock North Panel &amp; Paint</t>
        </is>
      </c>
      <c r="D48" s="68" t="inlineStr">
        <is>
          <t>34816 CASH</t>
        </is>
      </c>
      <c r="E48" s="28" t="inlineStr">
        <is>
          <t>Havelock North Panel &amp; Paint</t>
        </is>
      </c>
      <c r="F48" s="27" t="inlineStr">
        <is>
          <t>Tony Hall</t>
        </is>
      </c>
      <c r="G48" s="7" t="inlineStr">
        <is>
          <t>021 244 3600</t>
        </is>
      </c>
      <c r="H48" s="28" t="inlineStr">
        <is>
          <t>12 Cooper Street</t>
        </is>
      </c>
      <c r="I48" s="27" t="inlineStr">
        <is>
          <t>Havelock North</t>
        </is>
      </c>
      <c r="J48" s="27" t="inlineStr">
        <is>
          <t>Hasings</t>
        </is>
      </c>
      <c r="K48" s="27" t="n">
        <v>4130</v>
      </c>
      <c r="L48" s="11" t="inlineStr">
        <is>
          <t>hnpanel@gmail.com</t>
        </is>
      </c>
    </row>
    <row r="49">
      <c r="A49" s="27">
        <f>IFERROR(RANK(B49,$B$2:$B$203,1),"")</f>
        <v/>
      </c>
      <c r="B49" s="27">
        <f>IFERROR(SEARCH('Cover Sheet'!$J$1,Table3[[#This Row],[Business 2]])+ROW()/100000,"")</f>
        <v/>
      </c>
      <c r="C49" s="28" t="inlineStr">
        <is>
          <t>HB Collision Repairs Ltd</t>
        </is>
      </c>
      <c r="D49" s="68" t="inlineStr">
        <is>
          <t>34801 / 5589</t>
        </is>
      </c>
      <c r="E49" s="28" t="inlineStr">
        <is>
          <t>HB Collision Repairs Ltd</t>
        </is>
      </c>
      <c r="F49" s="27" t="inlineStr">
        <is>
          <t>Andrew</t>
        </is>
      </c>
      <c r="G49" s="7" t="n">
        <v>8789772</v>
      </c>
      <c r="H49" s="28" t="inlineStr">
        <is>
          <t>307 Eastbourne Street West</t>
        </is>
      </c>
      <c r="I49" s="27" t="n"/>
      <c r="J49" s="27" t="inlineStr">
        <is>
          <t>Hastings</t>
        </is>
      </c>
      <c r="K49" s="27" t="n">
        <v>4122</v>
      </c>
      <c r="L49" s="11" t="inlineStr">
        <is>
          <t>admin@hbcollision.co.nz</t>
        </is>
      </c>
    </row>
    <row r="50">
      <c r="A50" s="27">
        <f>IFERROR(RANK(B50,$B$2:$B$203,1),"")</f>
        <v/>
      </c>
      <c r="B50" s="27">
        <f>IFERROR(SEARCH('Cover Sheet'!$J$1,Table3[[#This Row],[Business 2]])+ROW()/100000,"")</f>
        <v/>
      </c>
      <c r="C50" s="28" t="inlineStr">
        <is>
          <t>Henderson Road Panel Repairs</t>
        </is>
      </c>
      <c r="D50" s="68" t="inlineStr">
        <is>
          <t>30283 / ####</t>
        </is>
      </c>
      <c r="E50" s="28" t="inlineStr">
        <is>
          <t>Henderson Road Panel Repairs</t>
        </is>
      </c>
      <c r="G50" s="7" t="n">
        <v>8794630</v>
      </c>
      <c r="H50" s="28" t="inlineStr">
        <is>
          <t>110 Henderson Road</t>
        </is>
      </c>
      <c r="I50" s="27" t="inlineStr">
        <is>
          <t>Woolwich</t>
        </is>
      </c>
      <c r="J50" s="27" t="inlineStr">
        <is>
          <t>Hastings</t>
        </is>
      </c>
      <c r="K50" s="27" t="n">
        <v>4175</v>
      </c>
      <c r="L50" s="11" t="inlineStr">
        <is>
          <t>admin@hrpp.co.nz</t>
        </is>
      </c>
    </row>
    <row r="51">
      <c r="A51" s="27">
        <f>IFERROR(RANK(B51,$B$2:$B$203,1),"")</f>
        <v/>
      </c>
      <c r="B51" s="27">
        <f>IFERROR(SEARCH('Cover Sheet'!$J$1,Table3[[#This Row],[Business 2]])+ROW()/100000,"")</f>
        <v/>
      </c>
      <c r="C51" s="28" t="inlineStr">
        <is>
          <t>IAG Vehicle Solutions Team</t>
        </is>
      </c>
      <c r="D51" s="68" t="inlineStr">
        <is>
          <t>IAG</t>
        </is>
      </c>
      <c r="E51" s="28" t="inlineStr">
        <is>
          <t>IAG Vehicle Colutions Team</t>
        </is>
      </c>
      <c r="G51" s="7" t="n"/>
      <c r="H51" s="28" t="inlineStr">
        <is>
          <t>354 Victoria Street</t>
        </is>
      </c>
      <c r="I51" s="27" t="inlineStr">
        <is>
          <t>Hamilton Central</t>
        </is>
      </c>
      <c r="J51" s="27" t="inlineStr">
        <is>
          <t>Hamilton</t>
        </is>
      </c>
      <c r="K51" s="27" t="n">
        <v>3204</v>
      </c>
      <c r="L51" s="11" t="inlineStr">
        <is>
          <t>motorhamilton@iag.co.nz</t>
        </is>
      </c>
    </row>
    <row r="52">
      <c r="A52" s="27">
        <f>IFERROR(RANK(B52,$B$2:$B$203,1),"")</f>
        <v/>
      </c>
      <c r="B52" s="27">
        <f>IFERROR(SEARCH('Cover Sheet'!$J$1,Table3[[#This Row],[Business 2]])+ROW()/100000,"")</f>
        <v/>
      </c>
      <c r="C52" s="28" t="inlineStr">
        <is>
          <t>Kawan Collision Repair</t>
        </is>
      </c>
      <c r="D52" s="68" t="inlineStr">
        <is>
          <t>11488 / 4261</t>
        </is>
      </c>
      <c r="E52" s="28" t="inlineStr">
        <is>
          <t>Kawan Collision Repair</t>
        </is>
      </c>
      <c r="G52" s="7" t="n">
        <v>8789498</v>
      </c>
      <c r="H52" s="28" t="inlineStr">
        <is>
          <t>110 Alexandra Cres</t>
        </is>
      </c>
      <c r="I52" s="27" t="inlineStr">
        <is>
          <t xml:space="preserve"> </t>
        </is>
      </c>
      <c r="J52" s="27" t="inlineStr">
        <is>
          <t>Hastings</t>
        </is>
      </c>
      <c r="K52" s="27" t="n">
        <v>4122</v>
      </c>
      <c r="L52" s="8" t="inlineStr">
        <is>
          <t>admin@kawans.co.nz</t>
        </is>
      </c>
    </row>
    <row r="53">
      <c r="A53" s="27">
        <f>IFERROR(RANK(B53,$B$2:$B$203,1),"")</f>
        <v/>
      </c>
      <c r="B53" s="27">
        <f>IFERROR(SEARCH('Cover Sheet'!$J$1,Table3[[#This Row],[Business 2]])+ROW()/100000,"")</f>
        <v/>
      </c>
      <c r="C53" s="28" t="inlineStr">
        <is>
          <t>Kings Autos</t>
        </is>
      </c>
      <c r="D53" s="68" t="inlineStr">
        <is>
          <t>16133 / 1010</t>
        </is>
      </c>
      <c r="E53" s="28" t="inlineStr">
        <is>
          <t>Kings Autos</t>
        </is>
      </c>
      <c r="G53" s="7" t="n">
        <v>8769495</v>
      </c>
      <c r="H53" s="28" t="inlineStr">
        <is>
          <t>206 Hastings St North</t>
        </is>
      </c>
      <c r="I53" s="27" t="n"/>
      <c r="J53" s="27" t="inlineStr">
        <is>
          <t>Hastings</t>
        </is>
      </c>
      <c r="K53" s="27" t="n">
        <v>4122</v>
      </c>
      <c r="L53" s="28" t="inlineStr">
        <is>
          <t>kingsautos@gmail.com</t>
        </is>
      </c>
    </row>
    <row r="54">
      <c r="A54" s="27">
        <f>IFERROR(RANK(B54,$B$2:$B$203,1),"")</f>
        <v/>
      </c>
      <c r="B54" s="27">
        <f>IFERROR(SEARCH('Cover Sheet'!$J$1,Table3[[#This Row],[Business 2]])+ROW()/100000,"")</f>
        <v/>
      </c>
      <c r="C54" s="28" t="inlineStr">
        <is>
          <t>Larsen Collision Repairs Ltd</t>
        </is>
      </c>
      <c r="D54" s="68" t="inlineStr">
        <is>
          <t>31204 / 4799</t>
        </is>
      </c>
      <c r="E54" s="28" t="inlineStr">
        <is>
          <t>Larsen Collision Repairs Ltd</t>
        </is>
      </c>
      <c r="G54" s="7" t="inlineStr">
        <is>
          <t>06 345 3377</t>
        </is>
      </c>
      <c r="H54" s="28" t="inlineStr">
        <is>
          <t>77 Taupo Quay</t>
        </is>
      </c>
      <c r="I54" s="27" t="n"/>
      <c r="J54" s="27" t="inlineStr">
        <is>
          <t>Whanganui</t>
        </is>
      </c>
      <c r="K54" s="27" t="n">
        <v>4500</v>
      </c>
      <c r="L54" s="11" t="inlineStr">
        <is>
          <t>admin@larsencollision.co.nz</t>
        </is>
      </c>
    </row>
    <row r="55">
      <c r="A55" s="27">
        <f>IFERROR(RANK(B55,$B$2:$B$203,1),"")</f>
        <v/>
      </c>
      <c r="B55" s="27">
        <f>IFERROR(SEARCH('Cover Sheet'!$J$1,Table3[[#This Row],[Business 2]])+ROW()/100000,"")</f>
        <v/>
      </c>
      <c r="C55" s="28" t="inlineStr">
        <is>
          <t xml:space="preserve">Lex Miller PSP </t>
        </is>
      </c>
      <c r="D55" s="68" t="inlineStr">
        <is>
          <t>26494 / 4683</t>
        </is>
      </c>
      <c r="E55" s="28" t="inlineStr">
        <is>
          <t xml:space="preserve">Lex Miller PSP </t>
        </is>
      </c>
      <c r="G55" s="7" t="n">
        <v>8769690</v>
      </c>
      <c r="H55" s="28" t="inlineStr">
        <is>
          <t>810 North Karamu Rd</t>
        </is>
      </c>
      <c r="I55" s="27" t="inlineStr">
        <is>
          <t>Mayfair</t>
        </is>
      </c>
      <c r="J55" s="27" t="inlineStr">
        <is>
          <t>Hastings</t>
        </is>
      </c>
      <c r="K55" s="27" t="n">
        <v>4122</v>
      </c>
      <c r="L55" s="8" t="inlineStr">
        <is>
          <t>lexmillerpsp@gmail.com</t>
        </is>
      </c>
    </row>
    <row r="56" ht="28.5" customHeight="1">
      <c r="A56" s="27">
        <f>IFERROR(RANK(B56,$B$2:$B$203,1),"")</f>
        <v/>
      </c>
      <c r="B56" s="27">
        <f>IFERROR(SEARCH('Cover Sheet'!$J$1,Table3[[#This Row],[Business 2]])+ROW()/100000,"")</f>
        <v/>
      </c>
      <c r="C56" s="28" t="inlineStr">
        <is>
          <t>Longridge Panel &amp; Paint</t>
        </is>
      </c>
      <c r="D56" s="68" t="inlineStr">
        <is>
          <t>10742 / 2570</t>
        </is>
      </c>
      <c r="E56" s="28" t="inlineStr">
        <is>
          <t>Longridge Panel &amp; Paint</t>
        </is>
      </c>
      <c r="F56" s="27" t="inlineStr">
        <is>
          <t>Walter Edgecomb</t>
        </is>
      </c>
      <c r="G56" s="7" t="inlineStr">
        <is>
          <t>06 858 9608</t>
        </is>
      </c>
      <c r="H56" s="28" t="inlineStr">
        <is>
          <t>39 Takapau Road</t>
        </is>
      </c>
      <c r="I56" s="27" t="inlineStr">
        <is>
          <t>Waipukurau</t>
        </is>
      </c>
      <c r="J56" s="27" t="inlineStr">
        <is>
          <t>Hawke's Bay</t>
        </is>
      </c>
      <c r="K56" s="27" t="n">
        <v>4200</v>
      </c>
      <c r="L56" s="28" t="inlineStr">
        <is>
          <t>accounts@longridge.net.nz</t>
        </is>
      </c>
    </row>
    <row r="57" ht="28.5" customHeight="1">
      <c r="A57" s="27">
        <f>IFERROR(RANK(B57,$B$2:$B$203,1),"")</f>
        <v/>
      </c>
      <c r="B57" s="27">
        <f>IFERROR(SEARCH('Cover Sheet'!$J$1,Table3[[#This Row],[Business 2]])+ROW()/100000,"")</f>
        <v/>
      </c>
      <c r="C57" s="28" t="inlineStr">
        <is>
          <t>Manawatu Autobodies</t>
        </is>
      </c>
      <c r="D57" s="68" t="inlineStr">
        <is>
          <t>#### / 5598</t>
        </is>
      </c>
      <c r="E57" s="28" t="inlineStr">
        <is>
          <t>Manawatu Autobodies</t>
        </is>
      </c>
      <c r="G57" s="7" t="inlineStr">
        <is>
          <t>06 353 5310</t>
        </is>
      </c>
      <c r="H57" s="28" t="inlineStr">
        <is>
          <t>477 Rangitikei St</t>
        </is>
      </c>
      <c r="I57" s="27" t="inlineStr">
        <is>
          <t>The Village, Unit 4</t>
        </is>
      </c>
      <c r="J57" s="27" t="inlineStr">
        <is>
          <t>Palmerston North</t>
        </is>
      </c>
      <c r="K57" s="27" t="n">
        <v>4412</v>
      </c>
      <c r="L57" s="11" t="inlineStr">
        <is>
          <t>manawatuautobodies@gmail.com</t>
        </is>
      </c>
    </row>
    <row r="58">
      <c r="A58" s="27">
        <f>IFERROR(RANK(B58,$B$2:$B$203,1),"")</f>
        <v/>
      </c>
      <c r="B58" s="27">
        <f>IFERROR(SEARCH('Cover Sheet'!$J$1,Table3[[#This Row],[Business 2]])+ROW()/100000,"")</f>
        <v/>
      </c>
      <c r="C58" s="28" t="inlineStr">
        <is>
          <t>Marty's Panel &amp; Paint Ltd</t>
        </is>
      </c>
      <c r="D58" s="68" t="inlineStr">
        <is>
          <t>#### / 5552</t>
        </is>
      </c>
      <c r="E58" s="28" t="inlineStr">
        <is>
          <t>Marty's Panel &amp; Paint Ltd</t>
        </is>
      </c>
      <c r="F58" s="27" t="inlineStr">
        <is>
          <t>Marty</t>
        </is>
      </c>
      <c r="G58" s="7" t="inlineStr">
        <is>
          <t>06 368 8276</t>
        </is>
      </c>
      <c r="H58" s="28" t="inlineStr">
        <is>
          <t>27 coventry Street</t>
        </is>
      </c>
      <c r="I58" s="27" t="inlineStr">
        <is>
          <t xml:space="preserve"> </t>
        </is>
      </c>
      <c r="J58" s="27" t="inlineStr">
        <is>
          <t>Levin</t>
        </is>
      </c>
      <c r="K58" s="27" t="n">
        <v>5510</v>
      </c>
      <c r="L58" s="11" t="inlineStr">
        <is>
          <t>marty@martyspanelandpaintltd.co.nz</t>
        </is>
      </c>
    </row>
    <row r="59">
      <c r="A59" s="27">
        <f>IFERROR(RANK(B59,$B$2:$B$203,1),"")</f>
        <v/>
      </c>
      <c r="B59" s="27">
        <f>IFERROR(SEARCH('Cover Sheet'!$J$1,Table3[[#This Row],[Business 2]])+ROW()/100000,"")</f>
        <v/>
      </c>
      <c r="C59" s="28" t="inlineStr">
        <is>
          <t>Max Pennington's Auto City</t>
        </is>
      </c>
      <c r="D59" s="68" t="inlineStr">
        <is>
          <t>22093 / 3053</t>
        </is>
      </c>
      <c r="E59" s="28" t="inlineStr">
        <is>
          <t>Max Pennington's Auto City</t>
        </is>
      </c>
      <c r="G59" s="7" t="inlineStr">
        <is>
          <t>06 751 1950</t>
        </is>
      </c>
      <c r="H59" s="28" t="inlineStr">
        <is>
          <t>7 Manadon Street</t>
        </is>
      </c>
      <c r="I59" s="27" t="inlineStr">
        <is>
          <t>Spotswood</t>
        </is>
      </c>
      <c r="J59" s="27" t="inlineStr">
        <is>
          <t>New Plymouth</t>
        </is>
      </c>
      <c r="K59" s="27" t="n">
        <v>4310</v>
      </c>
      <c r="L59" s="11" t="inlineStr">
        <is>
          <t>panel@autocity.co.nz</t>
        </is>
      </c>
    </row>
    <row r="60">
      <c r="A60" s="27">
        <f>IFERROR(RANK(B60,$B$2:$B$203,1),"")</f>
        <v/>
      </c>
      <c r="B60" s="27">
        <f>IFERROR(SEARCH('Cover Sheet'!$J$1,Table3[[#This Row],[Business 2]])+ROW()/100000,"")</f>
        <v/>
      </c>
      <c r="C60" s="28" t="inlineStr">
        <is>
          <t>McVerry Crawford Motors</t>
        </is>
      </c>
      <c r="D60" s="68" t="inlineStr">
        <is>
          <t>14328 / 2262</t>
        </is>
      </c>
      <c r="E60" s="28" t="inlineStr">
        <is>
          <t>McVerry Crawford Motors</t>
        </is>
      </c>
      <c r="G60" s="7" t="inlineStr">
        <is>
          <t>06 357 9029</t>
        </is>
      </c>
      <c r="H60" s="28" t="inlineStr">
        <is>
          <t>2 Princess Street</t>
        </is>
      </c>
      <c r="I60" s="27" t="inlineStr">
        <is>
          <t xml:space="preserve"> </t>
        </is>
      </c>
      <c r="J60" s="27" t="inlineStr">
        <is>
          <t>Palmerston North</t>
        </is>
      </c>
      <c r="K60" s="27" t="n">
        <v>4011</v>
      </c>
      <c r="L60" s="11" t="inlineStr">
        <is>
          <t>parts@mcverrycrawford.co.nz</t>
        </is>
      </c>
    </row>
    <row r="61">
      <c r="A61" s="27">
        <f>IFERROR(RANK(B61,$B$2:$B$203,1),"")</f>
        <v/>
      </c>
      <c r="B61" s="27">
        <f>IFERROR(SEARCH('Cover Sheet'!$J$1,Table3[[#This Row],[Business 2]])+ROW()/100000,"")</f>
        <v/>
      </c>
      <c r="C61" s="28" t="inlineStr">
        <is>
          <t>Mike Murphy Electrical</t>
        </is>
      </c>
      <c r="D61" s="68" t="inlineStr">
        <is>
          <t>#### / 2855</t>
        </is>
      </c>
      <c r="E61" s="28" t="inlineStr">
        <is>
          <t>Mike Murphy Elctrical</t>
        </is>
      </c>
      <c r="G61" s="7" t="inlineStr">
        <is>
          <t>06 356 2287</t>
        </is>
      </c>
      <c r="H61" s="28" t="inlineStr">
        <is>
          <t>97 Lombard Street</t>
        </is>
      </c>
      <c r="I61" s="27" t="inlineStr">
        <is>
          <t xml:space="preserve"> </t>
        </is>
      </c>
      <c r="J61" s="27" t="inlineStr">
        <is>
          <t>Palmerston North</t>
        </is>
      </c>
      <c r="K61" s="27" t="n">
        <v>4410</v>
      </c>
      <c r="L61" s="28" t="inlineStr">
        <is>
          <t>info@mikemurphy.co.nz</t>
        </is>
      </c>
    </row>
    <row r="62" ht="28.5" customHeight="1">
      <c r="A62" s="27">
        <f>IFERROR(RANK(B62,$B$2:$B$203,1),"")</f>
        <v/>
      </c>
      <c r="B62" s="27">
        <f>IFERROR(SEARCH('Cover Sheet'!$J$1,Table3[[#This Row],[Business 2]])+ROW()/100000,"")</f>
        <v/>
      </c>
      <c r="C62" s="28" t="inlineStr">
        <is>
          <t>Napier Collision Repair Centre</t>
        </is>
      </c>
      <c r="D62" s="68" t="inlineStr">
        <is>
          <t>175 / 2211</t>
        </is>
      </c>
      <c r="E62" s="28" t="inlineStr">
        <is>
          <t>Napier Collision Repair Centre</t>
        </is>
      </c>
      <c r="F62" s="27" t="inlineStr">
        <is>
          <t>Wayne Zaloum</t>
        </is>
      </c>
      <c r="G62" s="7" t="n">
        <v>8357490</v>
      </c>
      <c r="H62" s="28" t="inlineStr">
        <is>
          <t>56 Thames Street</t>
        </is>
      </c>
      <c r="I62" s="27" t="inlineStr">
        <is>
          <t>Pandora</t>
        </is>
      </c>
      <c r="J62" s="27" t="inlineStr">
        <is>
          <t>Napier</t>
        </is>
      </c>
      <c r="K62" s="27" t="n">
        <v>4110</v>
      </c>
      <c r="L62" s="8" t="inlineStr">
        <is>
          <t>admin@ncrc.nz</t>
        </is>
      </c>
    </row>
    <row r="63">
      <c r="A63" s="27">
        <f>IFERROR(RANK(B63,$B$2:$B$203,1),"")</f>
        <v/>
      </c>
      <c r="B63" s="27">
        <f>IFERROR(SEARCH('Cover Sheet'!$J$1,Table3[[#This Row],[Business 2]])+ROW()/100000,"")</f>
        <v/>
      </c>
      <c r="C63" s="28" t="inlineStr">
        <is>
          <t>New Plymouth Car Painters</t>
        </is>
      </c>
      <c r="D63" s="79" t="inlineStr">
        <is>
          <t>#### / 3821</t>
        </is>
      </c>
      <c r="E63" s="28" t="inlineStr">
        <is>
          <t>New Plymouth Car Painters</t>
        </is>
      </c>
      <c r="G63" s="7" t="inlineStr">
        <is>
          <t>06 758 6252</t>
        </is>
      </c>
      <c r="H63" s="28" t="inlineStr">
        <is>
          <t>126 Molesworth St</t>
        </is>
      </c>
      <c r="I63" s="27" t="inlineStr">
        <is>
          <t xml:space="preserve"> </t>
        </is>
      </c>
      <c r="J63" s="27" t="inlineStr">
        <is>
          <t>New Plymouth</t>
        </is>
      </c>
      <c r="K63" s="27" t="n">
        <v>4312</v>
      </c>
      <c r="L63" s="11" t="inlineStr">
        <is>
          <t>mrfixnp@xtra.co.nz</t>
        </is>
      </c>
    </row>
    <row r="64">
      <c r="A64" s="27">
        <f>IFERROR(RANK(B64,$B$2:$B$203,1),"")</f>
        <v/>
      </c>
      <c r="B64" s="27">
        <f>IFERROR(SEARCH('Cover Sheet'!$J$1,Table3[[#This Row],[Business 2]])+ROW()/100000,"")</f>
        <v/>
      </c>
      <c r="C64" s="28" t="inlineStr">
        <is>
          <t>North Clyde Panel &amp; Paint</t>
        </is>
      </c>
      <c r="D64" s="68" t="inlineStr">
        <is>
          <t>8528 / ####</t>
        </is>
      </c>
      <c r="E64" s="28" t="inlineStr">
        <is>
          <t>North Clyde Panel &amp; Paint</t>
        </is>
      </c>
      <c r="F64" s="26" t="inlineStr">
        <is>
          <t>Mark Ripia</t>
        </is>
      </c>
      <c r="G64" s="9" t="inlineStr">
        <is>
          <t>06 838 7736</t>
        </is>
      </c>
      <c r="H64" s="28" t="inlineStr">
        <is>
          <t>Carroll Street</t>
        </is>
      </c>
      <c r="I64" s="27" t="inlineStr">
        <is>
          <t>Wairoa</t>
        </is>
      </c>
      <c r="J64" s="27" t="inlineStr">
        <is>
          <t>Hawke's Bay</t>
        </is>
      </c>
      <c r="K64" s="27" t="n">
        <v>4108</v>
      </c>
      <c r="L64" s="11" t="inlineStr">
        <is>
          <t>ncpp@xtra.co.nz</t>
        </is>
      </c>
    </row>
    <row r="65">
      <c r="A65" s="27">
        <f>IFERROR(RANK(B65,$B$2:$B$203,1),"")</f>
        <v/>
      </c>
      <c r="B65" s="27">
        <f>IFERROR(SEARCH('Cover Sheet'!$J$1,Table3[[#This Row],[Business 2]])+ROW()/100000,"")</f>
        <v/>
      </c>
      <c r="C65" s="28" t="inlineStr">
        <is>
          <t>Novus Gisborne</t>
        </is>
      </c>
      <c r="D65" s="68" t="inlineStr">
        <is>
          <t>23919 / 4876</t>
        </is>
      </c>
      <c r="E65" s="28" t="inlineStr">
        <is>
          <t>Novus Gisborne</t>
        </is>
      </c>
      <c r="G65" s="7" t="inlineStr">
        <is>
          <t>06 867 2509</t>
        </is>
      </c>
      <c r="H65" s="28" t="inlineStr">
        <is>
          <t>711 Gladstone Road</t>
        </is>
      </c>
      <c r="I65" s="27" t="inlineStr">
        <is>
          <t>Te Hapara</t>
        </is>
      </c>
      <c r="J65" s="27" t="inlineStr">
        <is>
          <t>Gisborne</t>
        </is>
      </c>
      <c r="K65" s="27" t="n">
        <v>4010</v>
      </c>
      <c r="L65" s="11" t="inlineStr">
        <is>
          <t>gisborne@novus.co.nz</t>
        </is>
      </c>
    </row>
    <row r="66">
      <c r="A66" s="27">
        <f>IFERROR(RANK(B66,$B$2:$B$203,1),"")</f>
        <v/>
      </c>
      <c r="B66" s="27">
        <f>IFERROR(SEARCH('Cover Sheet'!$J$1,Table3[[#This Row],[Business 2]])+ROW()/100000,"")</f>
        <v/>
      </c>
      <c r="C66" s="28" t="inlineStr">
        <is>
          <t>Novus Napier</t>
        </is>
      </c>
      <c r="D66" s="68" t="inlineStr">
        <is>
          <t>22076 / 3152</t>
        </is>
      </c>
      <c r="E66" s="28" t="inlineStr">
        <is>
          <t>Novus Napier</t>
        </is>
      </c>
      <c r="G66" s="7" t="inlineStr">
        <is>
          <t>834 1222</t>
        </is>
      </c>
      <c r="H66" s="28" t="inlineStr">
        <is>
          <t>2 Sheffield Place</t>
        </is>
      </c>
      <c r="I66" s="27" t="inlineStr">
        <is>
          <t>Onekawa</t>
        </is>
      </c>
      <c r="J66" s="27" t="inlineStr">
        <is>
          <t>Napier</t>
        </is>
      </c>
      <c r="K66" s="27" t="n">
        <v>4110</v>
      </c>
      <c r="L66" s="11" t="inlineStr">
        <is>
          <t>napier@novus.co.nz</t>
        </is>
      </c>
    </row>
    <row r="67">
      <c r="A67" s="27">
        <f>IFERROR(RANK(B67,$B$2:$B$203,1),"")</f>
        <v/>
      </c>
      <c r="B67" s="27">
        <f>IFERROR(SEARCH('Cover Sheet'!$J$1,Table3[[#This Row],[Business 2]])+ROW()/100000,"")</f>
        <v/>
      </c>
      <c r="C67" s="28" t="inlineStr">
        <is>
          <t>Olympic Panel &amp; Spray</t>
        </is>
      </c>
      <c r="D67" s="68" t="inlineStr">
        <is>
          <t>2843 / ####</t>
        </is>
      </c>
      <c r="E67" s="28" t="inlineStr">
        <is>
          <t>Olympic Panel &amp; Spray</t>
        </is>
      </c>
      <c r="G67" s="7" t="n">
        <v>8786664</v>
      </c>
      <c r="H67" s="28" t="inlineStr">
        <is>
          <t>205 St. Aubyn Street</t>
        </is>
      </c>
      <c r="I67" s="27" t="inlineStr">
        <is>
          <t xml:space="preserve"> </t>
        </is>
      </c>
      <c r="J67" s="27" t="inlineStr">
        <is>
          <t>Hastings</t>
        </is>
      </c>
      <c r="K67" s="27" t="n">
        <v>4122</v>
      </c>
      <c r="L67" s="28" t="n"/>
    </row>
    <row r="68" ht="28.5" customHeight="1">
      <c r="A68" s="27">
        <f>IFERROR(RANK(B68,$B$2:$B$203,1),"")</f>
        <v/>
      </c>
      <c r="B68" s="27">
        <f>IFERROR(SEARCH('Cover Sheet'!$J$1,Table3[[#This Row],[Business 2]])+ROW()/100000,"")</f>
        <v/>
      </c>
      <c r="C68" s="28" t="inlineStr">
        <is>
          <t>Onekawa Collision Repair Centre</t>
        </is>
      </c>
      <c r="D68" s="68" t="inlineStr">
        <is>
          <t>33177 / 5482</t>
        </is>
      </c>
      <c r="E68" s="28" t="inlineStr">
        <is>
          <t>Onekawa Collision Repair Centre</t>
        </is>
      </c>
      <c r="F68" s="27" t="inlineStr">
        <is>
          <t>Peter Hurring</t>
        </is>
      </c>
      <c r="G68" s="7" t="n">
        <v>8439204</v>
      </c>
      <c r="H68" s="28" t="inlineStr">
        <is>
          <t>7 Ford Road</t>
        </is>
      </c>
      <c r="I68" s="27" t="inlineStr">
        <is>
          <t>Onekawa</t>
        </is>
      </c>
      <c r="J68" s="27" t="inlineStr">
        <is>
          <t>Napier</t>
        </is>
      </c>
      <c r="K68" s="27" t="n">
        <v>4110</v>
      </c>
      <c r="L68" s="8" t="inlineStr">
        <is>
          <t>oka.crashrepair@xtra.co.nz</t>
        </is>
      </c>
    </row>
    <row r="69">
      <c r="A69" s="27">
        <f>IFERROR(RANK(B69,$B$2:$B$203,1),"")</f>
        <v/>
      </c>
      <c r="B69" s="27">
        <f>IFERROR(SEARCH('Cover Sheet'!$J$1,Table3[[#This Row],[Business 2]])+ROW()/100000,"")</f>
        <v/>
      </c>
      <c r="C69" s="28" t="inlineStr">
        <is>
          <t>Onsite Services</t>
        </is>
      </c>
      <c r="D69" s="68" t="inlineStr">
        <is>
          <t>30641 / 4644</t>
        </is>
      </c>
      <c r="E69" s="28" t="inlineStr">
        <is>
          <t>Onsite Services Hawke's Bay Ltd</t>
        </is>
      </c>
      <c r="G69" s="7" t="n">
        <v>8357528</v>
      </c>
      <c r="H69" s="28" t="inlineStr">
        <is>
          <t>54 Thams Street</t>
        </is>
      </c>
      <c r="I69" s="27" t="inlineStr">
        <is>
          <t>Pandora</t>
        </is>
      </c>
      <c r="J69" s="27" t="inlineStr">
        <is>
          <t>Napier</t>
        </is>
      </c>
      <c r="K69" s="27" t="n">
        <v>4110</v>
      </c>
      <c r="L69" s="28" t="inlineStr">
        <is>
          <t>service@onsiteservices.co.nz</t>
        </is>
      </c>
    </row>
    <row r="70">
      <c r="A70" s="27">
        <f>IFERROR(RANK(B70,$B$2:$B$203,1),"")</f>
        <v/>
      </c>
      <c r="B70" s="27">
        <f>IFERROR(SEARCH('Cover Sheet'!$J$1,Table3[[#This Row],[Business 2]])+ROW()/100000,"")</f>
        <v/>
      </c>
      <c r="C70" s="28" t="inlineStr">
        <is>
          <t>Pacific Dents and Stripes</t>
        </is>
      </c>
      <c r="D70" s="68" t="inlineStr">
        <is>
          <t>6810 / 4439</t>
        </is>
      </c>
      <c r="E70" s="28" t="inlineStr">
        <is>
          <t>Pacific Dents and Stripes</t>
        </is>
      </c>
      <c r="G70" s="9" t="inlineStr">
        <is>
          <t>027 430 1877</t>
        </is>
      </c>
      <c r="H70" s="28" t="inlineStr">
        <is>
          <t>26 Surrey Street</t>
        </is>
      </c>
      <c r="I70" s="27" t="inlineStr">
        <is>
          <t>Taradale</t>
        </is>
      </c>
      <c r="J70" s="27" t="inlineStr">
        <is>
          <t>Napier</t>
        </is>
      </c>
      <c r="K70" s="27" t="n">
        <v>4112</v>
      </c>
      <c r="L70" s="28" t="n"/>
    </row>
    <row r="71">
      <c r="A71" s="27">
        <f>IFERROR(RANK(B71,$B$2:$B$203,1),"")</f>
        <v/>
      </c>
      <c r="B71" s="27">
        <f>IFERROR(SEARCH('Cover Sheet'!$J$1,Table3[[#This Row],[Business 2]])+ROW()/100000,"")</f>
        <v/>
      </c>
      <c r="C71" s="28" t="inlineStr">
        <is>
          <t>Palmerston North Panel and Paint</t>
        </is>
      </c>
      <c r="D71" s="68" t="inlineStr">
        <is>
          <t>#### / 4588</t>
        </is>
      </c>
      <c r="E71" s="28" t="inlineStr">
        <is>
          <t>Palmerston North Panel and Paint</t>
        </is>
      </c>
      <c r="G71" s="7" t="inlineStr">
        <is>
          <t>06 358 6285</t>
        </is>
      </c>
      <c r="H71" s="28" t="inlineStr">
        <is>
          <t>665 Main Street</t>
        </is>
      </c>
      <c r="I71" s="27" t="n"/>
      <c r="J71" s="27" t="inlineStr">
        <is>
          <t>Palmerston North</t>
        </is>
      </c>
      <c r="K71" s="27" t="n">
        <v>4414</v>
      </c>
      <c r="L71" s="11" t="inlineStr">
        <is>
          <t>info@pnpanelandpaint.co.nz</t>
        </is>
      </c>
    </row>
    <row r="72">
      <c r="A72" s="27">
        <f>IFERROR(RANK(B72,$B$2:$B$203,1),"")</f>
        <v/>
      </c>
      <c r="B72" s="27">
        <f>IFERROR(SEARCH('Cover Sheet'!$J$1,Table3[[#This Row],[Business 2]])+ROW()/100000,"")</f>
        <v/>
      </c>
      <c r="C72" s="28" t="inlineStr">
        <is>
          <t>Panel &amp; Paint Services</t>
        </is>
      </c>
      <c r="D72" s="68" t="inlineStr">
        <is>
          <t>20548 / ####</t>
        </is>
      </c>
      <c r="E72" s="28" t="inlineStr">
        <is>
          <t>Panel &amp; Paint Services</t>
        </is>
      </c>
      <c r="G72" s="7" t="n">
        <v>8439747</v>
      </c>
      <c r="H72" s="28" t="inlineStr">
        <is>
          <t>94 Austin Street</t>
        </is>
      </c>
      <c r="I72" s="27" t="inlineStr">
        <is>
          <t>Onekawa</t>
        </is>
      </c>
      <c r="J72" s="27" t="inlineStr">
        <is>
          <t>Napier</t>
        </is>
      </c>
      <c r="K72" s="27" t="n">
        <v>4110</v>
      </c>
      <c r="L72" s="8" t="inlineStr">
        <is>
          <t>panelpaint@actrix.co.nz</t>
        </is>
      </c>
    </row>
    <row r="73" ht="28.5" customHeight="1">
      <c r="A73" s="27">
        <f>IFERROR(RANK(B73,$B$2:$B$203,1),"")</f>
        <v/>
      </c>
      <c r="B73" s="27">
        <f>IFERROR(SEARCH('Cover Sheet'!$J$1,Table3[[#This Row],[Business 2]])+ROW()/100000,"")</f>
        <v/>
      </c>
      <c r="C73" s="94" t="inlineStr">
        <is>
          <t>Pearse &amp; Harrison A/C CLOSED</t>
        </is>
      </c>
      <c r="D73" s="95" t="inlineStr">
        <is>
          <t>7819 / 4632</t>
        </is>
      </c>
      <c r="E73" s="94" t="inlineStr">
        <is>
          <t>Pearse &amp; Harrison A/C CLOSED</t>
        </is>
      </c>
      <c r="F73" s="27" t="inlineStr">
        <is>
          <t>Raymond Pearse</t>
        </is>
      </c>
      <c r="G73" s="9" t="inlineStr">
        <is>
          <t>06 867 5828</t>
        </is>
      </c>
      <c r="H73" s="28" t="inlineStr">
        <is>
          <t>71 Carnavon Street</t>
        </is>
      </c>
      <c r="I73" s="27" t="inlineStr">
        <is>
          <t xml:space="preserve"> </t>
        </is>
      </c>
      <c r="J73" s="27" t="inlineStr">
        <is>
          <t>Gisborne</t>
        </is>
      </c>
      <c r="K73" s="27" t="n">
        <v>4010</v>
      </c>
      <c r="L73" s="8" t="inlineStr">
        <is>
          <t>panelbeata@xtra.co.nz</t>
        </is>
      </c>
    </row>
    <row r="74">
      <c r="A74" s="27">
        <f>IFERROR(RANK(B74,$B$2:$B$203,1),"")</f>
        <v/>
      </c>
      <c r="B74" s="27">
        <f>IFERROR(SEARCH('Cover Sheet'!$J$1,Table3[[#This Row],[Business 2]])+ROW()/100000,"")</f>
        <v/>
      </c>
      <c r="C74" s="28" t="inlineStr">
        <is>
          <t>Peter Long Collision Repairs Ltd</t>
        </is>
      </c>
      <c r="D74" s="68" t="inlineStr">
        <is>
          <t>#### / 4383</t>
        </is>
      </c>
      <c r="E74" s="28" t="inlineStr">
        <is>
          <t>Peter Long Collision Repairs Ltd</t>
        </is>
      </c>
      <c r="G74" s="7" t="inlineStr">
        <is>
          <t>06 357 8060</t>
        </is>
      </c>
      <c r="H74" s="28" t="inlineStr">
        <is>
          <t>77 Cook Street</t>
        </is>
      </c>
      <c r="I74" s="27" t="inlineStr">
        <is>
          <t>Awapuni</t>
        </is>
      </c>
      <c r="J74" s="27" t="inlineStr">
        <is>
          <t>Palmerston North</t>
        </is>
      </c>
      <c r="K74" s="27" t="n">
        <v>4410</v>
      </c>
      <c r="L74" s="11" t="inlineStr">
        <is>
          <t>plong@inspire.net.nz</t>
        </is>
      </c>
    </row>
    <row r="75">
      <c r="A75" s="27">
        <f>IFERROR(RANK(B75,$B$2:$B$203,1),"")</f>
        <v/>
      </c>
      <c r="B75" s="27">
        <f>IFERROR(SEARCH('Cover Sheet'!$J$1,Table3[[#This Row],[Business 2]])+ROW()/100000,"")</f>
        <v/>
      </c>
      <c r="C75" s="28" t="inlineStr">
        <is>
          <t>Peter Morgans Panelbeaters</t>
        </is>
      </c>
      <c r="D75" s="68" t="inlineStr">
        <is>
          <t>5448 / 2779</t>
        </is>
      </c>
      <c r="E75" s="28" t="inlineStr">
        <is>
          <t>Peter Morgans Panelbeaters</t>
        </is>
      </c>
      <c r="G75" s="7" t="inlineStr">
        <is>
          <t>06 374 8871</t>
        </is>
      </c>
      <c r="H75" s="28" t="inlineStr">
        <is>
          <t>6 Queen Street</t>
        </is>
      </c>
      <c r="I75" s="27" t="n"/>
      <c r="J75" s="27" t="inlineStr">
        <is>
          <t>Dannevirke</t>
        </is>
      </c>
      <c r="K75" s="27" t="n">
        <v>4930</v>
      </c>
      <c r="L75" s="11" t="inlineStr">
        <is>
          <t>p.morgans2020@gmail.com</t>
        </is>
      </c>
    </row>
    <row r="76">
      <c r="A76" s="27">
        <f>IFERROR(RANK(B76,$B$2:$B$203,1),"")</f>
        <v/>
      </c>
      <c r="B76" s="27">
        <f>IFERROR(SEARCH('Cover Sheet'!$J$1,Table3[[#This Row],[Business 2]])+ROW()/100000,"")</f>
        <v/>
      </c>
      <c r="C76" s="28" t="inlineStr">
        <is>
          <t>Phill Law Panelbeaters</t>
        </is>
      </c>
      <c r="D76" s="68" t="inlineStr">
        <is>
          <t>24508 / ####</t>
        </is>
      </c>
      <c r="E76" s="28" t="inlineStr">
        <is>
          <t>Phill Law Panelbeaters</t>
        </is>
      </c>
      <c r="F76" s="27" t="inlineStr">
        <is>
          <t>Phillip Law</t>
        </is>
      </c>
      <c r="G76" s="9" t="inlineStr">
        <is>
          <t>06 868 1622</t>
        </is>
      </c>
      <c r="H76" s="28" t="inlineStr">
        <is>
          <t>237 Awapuni Road</t>
        </is>
      </c>
      <c r="I76" s="27" t="n"/>
      <c r="J76" s="27" t="inlineStr">
        <is>
          <t>Gisborne</t>
        </is>
      </c>
      <c r="K76" s="27" t="n">
        <v>4010</v>
      </c>
      <c r="L76" s="11" t="inlineStr">
        <is>
          <t>plpbe@xtra.co.nz</t>
        </is>
      </c>
    </row>
    <row r="77">
      <c r="A77" s="27">
        <f>IFERROR(RANK(B77,$B$2:$B$203,1),"")</f>
        <v/>
      </c>
      <c r="B77" s="27">
        <f>IFERROR(SEARCH('Cover Sheet'!$J$1,Table3[[#This Row],[Business 2]])+ROW()/100000,"")</f>
        <v/>
      </c>
      <c r="C77" s="28" t="inlineStr">
        <is>
          <t>Prior and Palmer Ltd</t>
        </is>
      </c>
      <c r="D77" s="68" t="inlineStr">
        <is>
          <t>#### / 5017</t>
        </is>
      </c>
      <c r="E77" s="28" t="inlineStr">
        <is>
          <t>Prior and Palmer Ltd</t>
        </is>
      </c>
      <c r="G77" s="7" t="inlineStr">
        <is>
          <t>06 368 3411</t>
        </is>
      </c>
      <c r="H77" s="28" t="inlineStr">
        <is>
          <t>111-113 Cambridge Street</t>
        </is>
      </c>
      <c r="I77" s="27" t="n"/>
      <c r="J77" s="27" t="inlineStr">
        <is>
          <t>Levin</t>
        </is>
      </c>
      <c r="K77" s="27" t="n">
        <v>5510</v>
      </c>
      <c r="L77" s="11" t="inlineStr">
        <is>
          <t>priorandpalmer@gmail.com</t>
        </is>
      </c>
    </row>
    <row r="78">
      <c r="A78" s="27">
        <f>IFERROR(RANK(B78,$B$2:$B$203,1),"")</f>
        <v/>
      </c>
      <c r="B78" s="27">
        <f>IFERROR(SEARCH('Cover Sheet'!$J$1,Table3[[#This Row],[Business 2]])+ROW()/100000,"")</f>
        <v/>
      </c>
      <c r="C78" s="28" t="inlineStr">
        <is>
          <t>PSY Slater Panel Beaters Ltd</t>
        </is>
      </c>
      <c r="D78" s="68" t="inlineStr">
        <is>
          <t>8416 / ####</t>
        </is>
      </c>
      <c r="E78" s="28" t="inlineStr">
        <is>
          <t>PSY Slater Panel Beaters Ltd</t>
        </is>
      </c>
      <c r="G78" s="7" t="n">
        <v>73484130</v>
      </c>
      <c r="H78" s="28" t="inlineStr">
        <is>
          <t>31 Tallyho Street</t>
        </is>
      </c>
      <c r="I78" s="27" t="inlineStr">
        <is>
          <t>Mangakakahi</t>
        </is>
      </c>
      <c r="J78" s="27" t="inlineStr">
        <is>
          <t>Rotorua</t>
        </is>
      </c>
      <c r="K78" s="27" t="n">
        <v>3015</v>
      </c>
      <c r="L78" s="11" t="inlineStr">
        <is>
          <t>admin@psyslater.co.nz</t>
        </is>
      </c>
    </row>
    <row r="79">
      <c r="A79" s="27">
        <f>IFERROR(RANK(B79,$B$2:$B$203,1),"")</f>
        <v/>
      </c>
      <c r="B79" s="27">
        <f>IFERROR(SEARCH('Cover Sheet'!$J$1,Table3[[#This Row],[Business 2]])+ROW()/100000,"")</f>
        <v/>
      </c>
      <c r="C79" s="28" t="inlineStr">
        <is>
          <t>Quality Auto Machinists</t>
        </is>
      </c>
      <c r="D79" s="68" t="inlineStr">
        <is>
          <t>2833 / 5261</t>
        </is>
      </c>
      <c r="E79" s="28" t="inlineStr">
        <is>
          <t>Quality Auto Machinists</t>
        </is>
      </c>
      <c r="F79" s="27" t="inlineStr">
        <is>
          <t>Robert</t>
        </is>
      </c>
      <c r="G79" s="7" t="n">
        <v>8766152</v>
      </c>
      <c r="H79" s="28" t="inlineStr">
        <is>
          <t>Cnr Ellison Rd and Miller St</t>
        </is>
      </c>
      <c r="I79" s="27" t="inlineStr">
        <is>
          <t xml:space="preserve"> </t>
        </is>
      </c>
      <c r="J79" s="27" t="inlineStr">
        <is>
          <t>Hastings</t>
        </is>
      </c>
      <c r="K79" s="27" t="n">
        <v>4122</v>
      </c>
      <c r="L79" s="11" t="inlineStr">
        <is>
          <t>admin@qam.co.nz</t>
        </is>
      </c>
    </row>
    <row r="80">
      <c r="A80" s="27">
        <f>IFERROR(RANK(B80,$B$2:$B$203,1),"")</f>
        <v/>
      </c>
      <c r="B80" s="27">
        <f>IFERROR(SEARCH('Cover Sheet'!$J$1,Table3[[#This Row],[Business 2]])+ROW()/100000,"")</f>
        <v/>
      </c>
      <c r="C80" s="28" t="inlineStr">
        <is>
          <t>Revolution Electrical</t>
        </is>
      </c>
      <c r="D80" s="68" t="inlineStr">
        <is>
          <t>20060 / 2653</t>
        </is>
      </c>
      <c r="E80" s="28" t="inlineStr">
        <is>
          <t>Revolution Electrical</t>
        </is>
      </c>
      <c r="G80" s="7" t="n">
        <v>8733697</v>
      </c>
      <c r="H80" s="28" t="inlineStr">
        <is>
          <t>303A Jervois Street</t>
        </is>
      </c>
      <c r="I80" s="27" t="inlineStr">
        <is>
          <t>Mayfair</t>
        </is>
      </c>
      <c r="J80" s="27" t="inlineStr">
        <is>
          <t>Hastings</t>
        </is>
      </c>
      <c r="K80" s="27" t="n">
        <v>4122</v>
      </c>
      <c r="L80" s="28" t="n"/>
    </row>
    <row r="81">
      <c r="A81" s="27">
        <f>IFERROR(RANK(B81,$B$2:$B$203,1),"")</f>
        <v/>
      </c>
      <c r="B81" s="27">
        <f>IFERROR(SEARCH('Cover Sheet'!$J$1,Table3[[#This Row],[Business 2]])+ROW()/100000,"")</f>
        <v/>
      </c>
      <c r="C81" s="28" t="inlineStr">
        <is>
          <t>Right Panel Beaters</t>
        </is>
      </c>
      <c r="D81" s="68" t="inlineStr">
        <is>
          <t>30825 / ####</t>
        </is>
      </c>
      <c r="E81" s="28" t="inlineStr">
        <is>
          <t>Right Panel Beaters</t>
        </is>
      </c>
      <c r="F81" s="27" t="inlineStr">
        <is>
          <t>Terry</t>
        </is>
      </c>
      <c r="G81" s="7" t="inlineStr">
        <is>
          <t>06 357 4386</t>
        </is>
      </c>
      <c r="H81" s="28" t="inlineStr">
        <is>
          <t>18A McGiffert St</t>
        </is>
      </c>
      <c r="I81" s="27" t="n"/>
      <c r="J81" s="27" t="inlineStr">
        <is>
          <t>Palmerston North</t>
        </is>
      </c>
      <c r="K81" s="27" t="n">
        <v>4410</v>
      </c>
      <c r="L81" s="11" t="inlineStr">
        <is>
          <t>rightpanelbeaters@xtra.co.nz</t>
        </is>
      </c>
    </row>
    <row r="82">
      <c r="A82" s="27">
        <f>IFERROR(RANK(B82,$B$2:$B$203,1),"")</f>
        <v/>
      </c>
      <c r="B82" s="27">
        <f>IFERROR(SEARCH('Cover Sheet'!$J$1,Table3[[#This Row],[Business 2]])+ROW()/100000,"")</f>
        <v/>
      </c>
      <c r="C82" s="28" t="inlineStr">
        <is>
          <t>Rob Harvey Panel</t>
        </is>
      </c>
      <c r="D82" s="68" t="inlineStr">
        <is>
          <t>27334 / ####</t>
        </is>
      </c>
      <c r="E82" s="28" t="inlineStr">
        <is>
          <t>Rob Harvey Panel</t>
        </is>
      </c>
      <c r="F82" s="27" t="inlineStr">
        <is>
          <t>Rob Harvey</t>
        </is>
      </c>
      <c r="G82" s="9" t="inlineStr">
        <is>
          <t>027 494 3537</t>
        </is>
      </c>
      <c r="H82" s="28" t="inlineStr">
        <is>
          <t>6 Innes Street</t>
        </is>
      </c>
      <c r="I82" s="27" t="inlineStr">
        <is>
          <t xml:space="preserve"> </t>
        </is>
      </c>
      <c r="J82" s="27" t="inlineStr">
        <is>
          <t>Gisborne</t>
        </is>
      </c>
      <c r="K82" s="27" t="n">
        <v>4010</v>
      </c>
      <c r="L82" s="11" t="inlineStr">
        <is>
          <t>robharveypanelbeaters338@gmail.com</t>
        </is>
      </c>
    </row>
    <row r="83">
      <c r="A83" s="27">
        <f>IFERROR(RANK(B83,$B$2:$B$203,1),"")</f>
        <v/>
      </c>
      <c r="B83" s="27">
        <f>IFERROR(SEARCH('Cover Sheet'!$J$1,Table3[[#This Row],[Business 2]])+ROW()/100000,"")</f>
        <v/>
      </c>
      <c r="C83" s="28" t="inlineStr">
        <is>
          <t>Rod Naylor Collision Repair</t>
        </is>
      </c>
      <c r="D83" s="68" t="n">
        <v>328</v>
      </c>
      <c r="E83" s="28" t="inlineStr">
        <is>
          <t>Rod Naylor Collision Repair</t>
        </is>
      </c>
      <c r="G83" s="7" t="n">
        <v>8767521</v>
      </c>
      <c r="H83" s="28" t="inlineStr">
        <is>
          <t>303 Hastings Street North</t>
        </is>
      </c>
      <c r="I83" s="27" t="n"/>
      <c r="J83" s="27" t="inlineStr">
        <is>
          <t>Hastings</t>
        </is>
      </c>
      <c r="K83" s="27" t="n">
        <v>4122</v>
      </c>
      <c r="L83" s="8" t="inlineStr">
        <is>
          <t>panelshop@hbtow.co.nz</t>
        </is>
      </c>
    </row>
    <row r="84">
      <c r="A84" s="27">
        <f>IFERROR(RANK(B84,$B$2:$B$203,1),"")</f>
        <v/>
      </c>
      <c r="B84" s="27">
        <f>IFERROR(SEARCH('Cover Sheet'!$J$1,Table3[[#This Row],[Business 2]])+ROW()/100000,"")</f>
        <v/>
      </c>
      <c r="C84" s="28" t="inlineStr">
        <is>
          <t>Ross Francis Panelbeaters</t>
        </is>
      </c>
      <c r="D84" s="68" t="inlineStr">
        <is>
          <t>#### / 5158</t>
        </is>
      </c>
      <c r="E84" s="28" t="inlineStr">
        <is>
          <t>Ross Francis Panelbeaters</t>
        </is>
      </c>
      <c r="G84" s="7" t="inlineStr">
        <is>
          <t>06 345 7300</t>
        </is>
      </c>
      <c r="H84" s="28" t="inlineStr">
        <is>
          <t>1A Liffiton St</t>
        </is>
      </c>
      <c r="I84" s="27" t="inlineStr">
        <is>
          <t xml:space="preserve"> </t>
        </is>
      </c>
      <c r="J84" s="27" t="inlineStr">
        <is>
          <t>Wanganui</t>
        </is>
      </c>
      <c r="K84" s="27" t="n">
        <v>4500</v>
      </c>
      <c r="L84" s="11" t="inlineStr">
        <is>
          <t>rfpanelbeaters@xtra.co.nz</t>
        </is>
      </c>
    </row>
    <row r="85">
      <c r="A85" s="27">
        <f>IFERROR(RANK(B85,$B$2:$B$203,1),"")</f>
        <v/>
      </c>
      <c r="B85" s="27">
        <f>IFERROR(SEARCH('Cover Sheet'!$J$1,Table3[[#This Row],[Business 2]])+ROW()/100000,"")</f>
        <v/>
      </c>
      <c r="C85" s="28" t="inlineStr">
        <is>
          <t>Ross White Panel &amp; Paint</t>
        </is>
      </c>
      <c r="D85" s="68" t="inlineStr">
        <is>
          <t>23889/1086</t>
        </is>
      </c>
      <c r="E85" s="28" t="inlineStr">
        <is>
          <t>Ross White Panel &amp; Paint</t>
        </is>
      </c>
      <c r="F85" s="27" t="inlineStr">
        <is>
          <t>Ken</t>
        </is>
      </c>
      <c r="G85" s="7" t="inlineStr">
        <is>
          <t>07 378 5445</t>
        </is>
      </c>
      <c r="H85" s="28" t="inlineStr">
        <is>
          <t>7 Fleet Street</t>
        </is>
      </c>
      <c r="I85" s="27" t="inlineStr">
        <is>
          <t>Tauhara</t>
        </is>
      </c>
      <c r="J85" s="27" t="inlineStr">
        <is>
          <t>Taupo</t>
        </is>
      </c>
      <c r="K85" s="27" t="n">
        <v>3330</v>
      </c>
      <c r="L85" s="11" t="inlineStr">
        <is>
          <t>ken@rosswhite.co.nz</t>
        </is>
      </c>
    </row>
    <row r="86">
      <c r="A86" s="27">
        <f>IFERROR(RANK(B86,$B$2:$B$203,1),"")</f>
        <v/>
      </c>
      <c r="B86" s="27">
        <f>IFERROR(SEARCH('Cover Sheet'!$J$1,Table3[[#This Row],[Business 2]])+ROW()/100000,"")</f>
        <v/>
      </c>
      <c r="C86" s="28" t="inlineStr">
        <is>
          <t>Stichbury Automotive Care</t>
        </is>
      </c>
      <c r="D86" s="68" t="inlineStr">
        <is>
          <t>6311 / 1138</t>
        </is>
      </c>
      <c r="E86" s="28" t="inlineStr">
        <is>
          <t>Stichbury Automotive Care</t>
        </is>
      </c>
      <c r="G86" s="7" t="n">
        <v>8787700</v>
      </c>
      <c r="H86" s="28" t="inlineStr">
        <is>
          <t>209 St Aubyn Street East</t>
        </is>
      </c>
      <c r="I86" s="27" t="inlineStr">
        <is>
          <t xml:space="preserve"> </t>
        </is>
      </c>
      <c r="J86" s="27" t="inlineStr">
        <is>
          <t>Hastings</t>
        </is>
      </c>
      <c r="K86" s="27" t="n">
        <v>4122</v>
      </c>
      <c r="L86" s="11" t="inlineStr">
        <is>
          <t>admin@stichautos.co.nz</t>
        </is>
      </c>
    </row>
    <row r="87" ht="28.5" customHeight="1">
      <c r="A87" s="27">
        <f>IFERROR(RANK(B87,$B$2:$B$203,1),"")</f>
        <v/>
      </c>
      <c r="B87" s="27">
        <f>IFERROR(SEARCH('Cover Sheet'!$J$1,Table3[[#This Row],[Business 2]])+ROW()/100000,"")</f>
        <v/>
      </c>
      <c r="C87" s="28" t="inlineStr">
        <is>
          <t>Stratford Panelbeaters Limited</t>
        </is>
      </c>
      <c r="D87" s="68" t="inlineStr">
        <is>
          <t>#### / 4756</t>
        </is>
      </c>
      <c r="E87" s="28" t="inlineStr">
        <is>
          <t>Stratford Panelbeaters Limited</t>
        </is>
      </c>
      <c r="F87" s="27" t="inlineStr">
        <is>
          <t>Brendan Thomas</t>
        </is>
      </c>
      <c r="G87" s="7" t="inlineStr">
        <is>
          <t>06 765 5174</t>
        </is>
      </c>
      <c r="H87" s="28" t="inlineStr">
        <is>
          <t>138 Broadway North</t>
        </is>
      </c>
      <c r="I87" s="27" t="inlineStr">
        <is>
          <t xml:space="preserve"> </t>
        </is>
      </c>
      <c r="J87" s="27" t="inlineStr">
        <is>
          <t>Stratford</t>
        </is>
      </c>
      <c r="K87" s="27" t="n">
        <v>4332</v>
      </c>
      <c r="L87" s="11" t="inlineStr">
        <is>
          <t>office@stratfordpanelbeaters.co.nz</t>
        </is>
      </c>
    </row>
    <row r="88" ht="28.5" customHeight="1">
      <c r="A88" s="27">
        <f>IFERROR(RANK(B88,$B$2:$B$203,1),"")</f>
        <v/>
      </c>
      <c r="B88" s="27">
        <f>IFERROR(SEARCH('Cover Sheet'!$J$1,Table3[[#This Row],[Business 2]])+ROW()/100000,"")</f>
        <v/>
      </c>
      <c r="C88" s="28" t="inlineStr">
        <is>
          <t>Stuart Jenkinson Panelbeaters</t>
        </is>
      </c>
      <c r="D88" s="68" t="inlineStr">
        <is>
          <t>#### / 5003</t>
        </is>
      </c>
      <c r="E88" s="28" t="inlineStr">
        <is>
          <t>Stuart Jenkinson Panelbeaters</t>
        </is>
      </c>
      <c r="F88" s="27" t="inlineStr">
        <is>
          <t>Stuart Jenkinson</t>
        </is>
      </c>
      <c r="G88" s="7" t="inlineStr">
        <is>
          <t>06 357 6770</t>
        </is>
      </c>
      <c r="H88" s="28" t="inlineStr">
        <is>
          <t>34 Taunui Street</t>
        </is>
      </c>
      <c r="I88" s="27" t="inlineStr">
        <is>
          <t xml:space="preserve"> </t>
        </is>
      </c>
      <c r="J88" s="27" t="inlineStr">
        <is>
          <t>Palmerston North</t>
        </is>
      </c>
      <c r="K88" s="27" t="n">
        <v>4410</v>
      </c>
      <c r="L88" s="11" t="inlineStr">
        <is>
          <t>Jenkinson@inspire.net.nz</t>
        </is>
      </c>
    </row>
    <row r="89">
      <c r="A89" s="27">
        <f>IFERROR(RANK(B89,$B$2:$B$203,1),"")</f>
        <v/>
      </c>
      <c r="B89" s="27">
        <f>IFERROR(SEARCH('Cover Sheet'!$J$1,Table3[[#This Row],[Business 2]])+ROW()/100000,"")</f>
        <v/>
      </c>
      <c r="C89" s="28" t="inlineStr">
        <is>
          <t>Sun City Car Painters</t>
        </is>
      </c>
      <c r="D89" s="68" t="inlineStr">
        <is>
          <t>26210 / 3290</t>
        </is>
      </c>
      <c r="E89" s="28" t="inlineStr">
        <is>
          <t>Sun City Car Painters</t>
        </is>
      </c>
      <c r="F89" s="27" t="inlineStr">
        <is>
          <t>Stef Evans</t>
        </is>
      </c>
      <c r="G89" s="7" t="n">
        <v>8767550</v>
      </c>
      <c r="H89" s="28" t="inlineStr">
        <is>
          <t>300 Jervois St</t>
        </is>
      </c>
      <c r="I89" s="27" t="inlineStr">
        <is>
          <t>Mayfair</t>
        </is>
      </c>
      <c r="J89" s="27" t="inlineStr">
        <is>
          <t>Hastings</t>
        </is>
      </c>
      <c r="K89" s="27" t="n">
        <v>4122</v>
      </c>
      <c r="L89" s="8" t="inlineStr">
        <is>
          <t>suncitycarpainters@gmail.com</t>
        </is>
      </c>
    </row>
    <row r="90">
      <c r="A90" s="27">
        <f>IFERROR(RANK(B90,$B$2:$B$203,1),"")</f>
        <v/>
      </c>
      <c r="B90" s="27">
        <f>IFERROR(SEARCH('Cover Sheet'!$J$1,Table3[[#This Row],[Business 2]])+ROW()/100000,"")</f>
        <v/>
      </c>
      <c r="C90" s="28" t="inlineStr">
        <is>
          <t>Taradale Panel &amp; Paint</t>
        </is>
      </c>
      <c r="D90" s="68" t="inlineStr">
        <is>
          <t>331 / 4038</t>
        </is>
      </c>
      <c r="E90" s="28" t="inlineStr">
        <is>
          <t>Taradale Panel &amp; Paint</t>
        </is>
      </c>
      <c r="G90" s="7" t="n">
        <v>8442419</v>
      </c>
      <c r="H90" s="28" t="inlineStr">
        <is>
          <t>4 Devonshire Place</t>
        </is>
      </c>
      <c r="I90" s="27" t="inlineStr">
        <is>
          <t>Taradale</t>
        </is>
      </c>
      <c r="J90" s="27" t="inlineStr">
        <is>
          <t>Napier</t>
        </is>
      </c>
      <c r="K90" s="27" t="n">
        <v>4112</v>
      </c>
      <c r="L90" s="8" t="inlineStr">
        <is>
          <t>panelman@xtra.co.nz</t>
        </is>
      </c>
    </row>
    <row r="91">
      <c r="A91" s="27">
        <f>IFERROR(RANK(B91,$B$2:$B$203,1),"")</f>
        <v/>
      </c>
      <c r="B91" s="27">
        <f>IFERROR(SEARCH('Cover Sheet'!$J$1,Table3[[#This Row],[Business 2]])+ROW()/100000,"")</f>
        <v/>
      </c>
      <c r="C91" s="28" t="inlineStr">
        <is>
          <t>Taupo Smash Repairs</t>
        </is>
      </c>
      <c r="D91" s="68" t="inlineStr">
        <is>
          <t>8347 / 4062</t>
        </is>
      </c>
      <c r="E91" s="28" t="inlineStr">
        <is>
          <t>Taupo Smash Repairs</t>
        </is>
      </c>
      <c r="G91" s="7" t="inlineStr">
        <is>
          <t>07 378 7807</t>
        </is>
      </c>
      <c r="H91" s="28" t="inlineStr">
        <is>
          <t>30 Miro Street</t>
        </is>
      </c>
      <c r="I91" s="27" t="n"/>
      <c r="J91" s="27" t="inlineStr">
        <is>
          <t>Taupo</t>
        </is>
      </c>
      <c r="K91" s="27" t="n">
        <v>3378</v>
      </c>
      <c r="L91" s="11" t="inlineStr">
        <is>
          <t>tauposmash@xtra.co.nz</t>
        </is>
      </c>
    </row>
    <row r="92">
      <c r="A92" s="27">
        <f>IFERROR(RANK(B92,$B$2:$B$203,1),"")</f>
        <v/>
      </c>
      <c r="B92" s="27">
        <f>IFERROR(SEARCH('Cover Sheet'!$J$1,Table3[[#This Row],[Business 2]])+ROW()/100000,"")</f>
        <v/>
      </c>
      <c r="C92" s="28" t="inlineStr">
        <is>
          <t>Terry's Panel Shop</t>
        </is>
      </c>
      <c r="D92" s="68" t="inlineStr">
        <is>
          <t>#### / 2449</t>
        </is>
      </c>
      <c r="E92" s="28" t="inlineStr">
        <is>
          <t>Terry's Panel Shop</t>
        </is>
      </c>
      <c r="G92" s="7" t="inlineStr">
        <is>
          <t>06 759 1058</t>
        </is>
      </c>
      <c r="H92" s="28" t="inlineStr">
        <is>
          <t>183 Devon Street West</t>
        </is>
      </c>
      <c r="I92" s="27" t="inlineStr">
        <is>
          <t xml:space="preserve"> </t>
        </is>
      </c>
      <c r="J92" s="27" t="inlineStr">
        <is>
          <t>New Plymouth</t>
        </is>
      </c>
      <c r="K92" s="27" t="n">
        <v>4310</v>
      </c>
      <c r="L92" s="11" t="inlineStr">
        <is>
          <t>crash@terryspanel.com</t>
        </is>
      </c>
    </row>
    <row r="93" ht="28.5" customHeight="1">
      <c r="A93" s="27">
        <f>IFERROR(RANK(B93,$B$2:$B$203,1),"")</f>
        <v/>
      </c>
      <c r="B93" s="27">
        <f>IFERROR(SEARCH('Cover Sheet'!$J$1,Table3[[#This Row],[Business 2]])+ROW()/100000,"")</f>
        <v/>
      </c>
      <c r="C93" s="28" t="inlineStr">
        <is>
          <t>Tom Ditchfield Panelbeaters</t>
        </is>
      </c>
      <c r="D93" s="68" t="inlineStr">
        <is>
          <t>#### / 5571</t>
        </is>
      </c>
      <c r="E93" s="28" t="inlineStr">
        <is>
          <t>Tom Ditchfield Panelbeaters</t>
        </is>
      </c>
      <c r="F93" s="27" t="inlineStr">
        <is>
          <t>Tom ditchfield</t>
        </is>
      </c>
      <c r="G93" s="7" t="inlineStr">
        <is>
          <t>06 345 3300</t>
        </is>
      </c>
      <c r="H93" s="28" t="inlineStr">
        <is>
          <t>32 Hatrick Street East</t>
        </is>
      </c>
      <c r="I93" s="27" t="n"/>
      <c r="J93" s="27" t="inlineStr">
        <is>
          <t>Whanganui</t>
        </is>
      </c>
      <c r="K93" s="27" t="n">
        <v>4500</v>
      </c>
      <c r="L93" s="11" t="inlineStr">
        <is>
          <t>tom.don66@gmail.com</t>
        </is>
      </c>
    </row>
    <row r="94">
      <c r="A94" s="27">
        <f>IFERROR(RANK(B94,$B$2:$B$203,1),"")</f>
        <v/>
      </c>
      <c r="B94" s="27">
        <f>IFERROR(SEARCH('Cover Sheet'!$J$1,Table3[[#This Row],[Business 2]])+ROW()/100000,"")</f>
        <v/>
      </c>
      <c r="C94" s="28" t="inlineStr">
        <is>
          <t>Universal Autoworks</t>
        </is>
      </c>
      <c r="D94" s="68" t="inlineStr">
        <is>
          <t>21663/ ####</t>
        </is>
      </c>
      <c r="E94" s="28" t="inlineStr">
        <is>
          <t>Universal Auto Works</t>
        </is>
      </c>
      <c r="G94" s="7" t="n">
        <v>8765044</v>
      </c>
      <c r="H94" s="28" t="inlineStr">
        <is>
          <t>700A Warren Street North</t>
        </is>
      </c>
      <c r="I94" s="27" t="inlineStr">
        <is>
          <t xml:space="preserve"> </t>
        </is>
      </c>
      <c r="J94" s="27" t="inlineStr">
        <is>
          <t>Hastings</t>
        </is>
      </c>
      <c r="K94" s="27" t="n">
        <v>4122</v>
      </c>
      <c r="L94" s="11" t="inlineStr">
        <is>
          <t>dughn@yahoo.com</t>
        </is>
      </c>
    </row>
    <row r="95">
      <c r="A95" s="27">
        <f>IFERROR(RANK(B95,$B$2:$B$203,1),"")</f>
        <v/>
      </c>
      <c r="B95" s="27">
        <f>IFERROR(SEARCH('Cover Sheet'!$J$1,Table3[[#This Row],[Business 2]])+ROW()/100000,"")</f>
        <v/>
      </c>
      <c r="C95" s="28" t="inlineStr">
        <is>
          <t>Vehicle Solutions Centre</t>
        </is>
      </c>
      <c r="D95" s="68" t="n">
        <v>19379</v>
      </c>
      <c r="E95" s="28" t="inlineStr">
        <is>
          <t>Vehicle Solutions Centre</t>
        </is>
      </c>
      <c r="G95" s="7" t="n">
        <v>8354907</v>
      </c>
      <c r="H95" s="28" t="inlineStr">
        <is>
          <t>35 Mersey Street</t>
        </is>
      </c>
      <c r="I95" s="27" t="inlineStr">
        <is>
          <t>Pandora</t>
        </is>
      </c>
      <c r="J95" s="27" t="inlineStr">
        <is>
          <t>Napier</t>
        </is>
      </c>
      <c r="K95" s="27" t="n">
        <v>4110</v>
      </c>
      <c r="L95" s="28" t="n"/>
    </row>
    <row r="96" ht="28.5" customHeight="1">
      <c r="A96" s="27">
        <f>IFERROR(RANK(B96,$B$2:$B$203,1),"")</f>
        <v/>
      </c>
      <c r="B96" s="27">
        <f>IFERROR(SEARCH('Cover Sheet'!$J$1,Table3[[#This Row],[Business 2]])+ROW()/100000,"")</f>
        <v/>
      </c>
      <c r="C96" s="28" t="inlineStr">
        <is>
          <t>Village Panel Repairs</t>
        </is>
      </c>
      <c r="D96" s="68" t="inlineStr">
        <is>
          <t>7186 / 1047</t>
        </is>
      </c>
      <c r="E96" s="28" t="inlineStr">
        <is>
          <t>Village Panel Repairs</t>
        </is>
      </c>
      <c r="F96" s="27" t="inlineStr">
        <is>
          <t>Shane Bassick</t>
        </is>
      </c>
      <c r="G96" s="7" t="n">
        <v>8777589</v>
      </c>
      <c r="H96" s="28" t="inlineStr">
        <is>
          <t>12 Cooper Street</t>
        </is>
      </c>
      <c r="I96" s="27" t="inlineStr">
        <is>
          <t>Havelock North</t>
        </is>
      </c>
      <c r="J96" s="27" t="inlineStr">
        <is>
          <t>Hastings</t>
        </is>
      </c>
      <c r="K96" s="27" t="n">
        <v>4130</v>
      </c>
      <c r="L96" s="8" t="inlineStr">
        <is>
          <t>villagepanel@airnet.net.nz</t>
        </is>
      </c>
    </row>
    <row r="97" ht="28.5" customHeight="1">
      <c r="A97" s="27">
        <f>IFERROR(RANK(B97,$B$2:$B$203,1),"")</f>
        <v/>
      </c>
      <c r="B97" s="27">
        <f>IFERROR(SEARCH('Cover Sheet'!$J$1,Table3[[#This Row],[Business 2]])+ROW()/100000,"")</f>
        <v/>
      </c>
      <c r="C97" s="28" t="inlineStr">
        <is>
          <t>Waipukurau Motors Ltd</t>
        </is>
      </c>
      <c r="D97" s="68" t="inlineStr">
        <is>
          <t>2689 / 3646</t>
        </is>
      </c>
      <c r="E97" s="28" t="inlineStr">
        <is>
          <t>Waipukurau Motors Ltd</t>
        </is>
      </c>
      <c r="F97" s="27" t="inlineStr">
        <is>
          <t>Garry Carswell</t>
        </is>
      </c>
      <c r="G97" s="7" t="inlineStr">
        <is>
          <t>06 858 9777</t>
        </is>
      </c>
      <c r="H97" s="28" t="inlineStr">
        <is>
          <t>9 James St</t>
        </is>
      </c>
      <c r="I97" s="27" t="inlineStr">
        <is>
          <t xml:space="preserve"> </t>
        </is>
      </c>
      <c r="J97" s="27" t="inlineStr">
        <is>
          <t>Waipukurau</t>
        </is>
      </c>
      <c r="K97" s="27" t="n">
        <v>4200</v>
      </c>
      <c r="L97" s="11" t="inlineStr">
        <is>
          <t>wpkparts@clear.net.nz</t>
        </is>
      </c>
    </row>
    <row r="98">
      <c r="A98" s="27">
        <f>IFERROR(RANK(B98,$B$2:$B$203,1),"")</f>
        <v/>
      </c>
      <c r="B98" s="27">
        <f>IFERROR(SEARCH('Cover Sheet'!$J$1,Table3[[#This Row],[Business 2]])+ROW()/100000,"")</f>
        <v/>
      </c>
      <c r="C98" s="28" t="inlineStr">
        <is>
          <t>Wairoa Autobodys</t>
        </is>
      </c>
      <c r="D98" s="68" t="inlineStr">
        <is>
          <t>332 / ####</t>
        </is>
      </c>
      <c r="E98" s="28" t="inlineStr">
        <is>
          <t>Wairoa Autobodys</t>
        </is>
      </c>
      <c r="G98" s="7" t="inlineStr">
        <is>
          <t>06 838 7397</t>
        </is>
      </c>
      <c r="H98" s="28" t="inlineStr">
        <is>
          <t>36 Lucknow Street</t>
        </is>
      </c>
      <c r="I98" s="27" t="inlineStr">
        <is>
          <t>Wairoa</t>
        </is>
      </c>
      <c r="J98" s="27" t="inlineStr">
        <is>
          <t>Hawke's Bay</t>
        </is>
      </c>
      <c r="K98" s="27" t="n">
        <v>4108</v>
      </c>
      <c r="L98" s="11" t="inlineStr">
        <is>
          <t>wairoa.autobodies@xtra.co.nz</t>
        </is>
      </c>
    </row>
    <row r="99" ht="28.5" customHeight="1">
      <c r="A99" s="27">
        <f>IFERROR(RANK(B99,$B$2:$B$203,1),"")</f>
        <v/>
      </c>
      <c r="B99" s="27">
        <f>IFERROR(SEARCH('Cover Sheet'!$J$1,Table3[[#This Row],[Business 2]])+ROW()/100000,"")</f>
        <v/>
      </c>
      <c r="C99" s="28" t="inlineStr">
        <is>
          <t>Wiseman Panelbeaters Limited</t>
        </is>
      </c>
      <c r="D99" s="68" t="inlineStr">
        <is>
          <t>#### / 3660</t>
        </is>
      </c>
      <c r="E99" s="28" t="inlineStr">
        <is>
          <t>Wiseman Panelbeaters Ltd</t>
        </is>
      </c>
      <c r="F99" s="27" t="inlineStr">
        <is>
          <t>Scott Wiseman</t>
        </is>
      </c>
      <c r="G99" s="7" t="inlineStr">
        <is>
          <t>06 323 8991</t>
        </is>
      </c>
      <c r="H99" s="28" t="inlineStr">
        <is>
          <t>10 Gladstone Street</t>
        </is>
      </c>
      <c r="I99" s="27" t="inlineStr">
        <is>
          <t xml:space="preserve"> </t>
        </is>
      </c>
      <c r="J99" s="27" t="inlineStr">
        <is>
          <t>Feilding</t>
        </is>
      </c>
      <c r="K99" s="27" t="n">
        <v>4702</v>
      </c>
      <c r="L99" s="11" t="inlineStr">
        <is>
          <t>scott@wisemanpanel.co.nz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L4" r:id="rId3"/>
    <hyperlink xmlns:r="http://schemas.openxmlformats.org/officeDocument/2006/relationships" ref="L5" r:id="rId4"/>
    <hyperlink xmlns:r="http://schemas.openxmlformats.org/officeDocument/2006/relationships" ref="L6" display="ansin.montieth@xtra.co.nz" r:id="rId5"/>
    <hyperlink xmlns:r="http://schemas.openxmlformats.org/officeDocument/2006/relationships" ref="L7" r:id="rId6"/>
    <hyperlink xmlns:r="http://schemas.openxmlformats.org/officeDocument/2006/relationships" ref="L9" r:id="rId7"/>
    <hyperlink xmlns:r="http://schemas.openxmlformats.org/officeDocument/2006/relationships" ref="L10" r:id="rId8"/>
    <hyperlink xmlns:r="http://schemas.openxmlformats.org/officeDocument/2006/relationships" ref="L11" r:id="rId9"/>
    <hyperlink xmlns:r="http://schemas.openxmlformats.org/officeDocument/2006/relationships" ref="L13" r:id="rId10"/>
    <hyperlink xmlns:r="http://schemas.openxmlformats.org/officeDocument/2006/relationships" ref="L16" r:id="rId11"/>
    <hyperlink xmlns:r="http://schemas.openxmlformats.org/officeDocument/2006/relationships" ref="L17" r:id="rId12"/>
    <hyperlink xmlns:r="http://schemas.openxmlformats.org/officeDocument/2006/relationships" ref="L18" r:id="rId13"/>
    <hyperlink xmlns:r="http://schemas.openxmlformats.org/officeDocument/2006/relationships" ref="L19" r:id="rId14"/>
    <hyperlink xmlns:r="http://schemas.openxmlformats.org/officeDocument/2006/relationships" ref="L20" r:id="rId15"/>
    <hyperlink xmlns:r="http://schemas.openxmlformats.org/officeDocument/2006/relationships" ref="L21" r:id="rId16"/>
    <hyperlink xmlns:r="http://schemas.openxmlformats.org/officeDocument/2006/relationships" ref="L22" r:id="rId17"/>
    <hyperlink xmlns:r="http://schemas.openxmlformats.org/officeDocument/2006/relationships" ref="L23" r:id="rId18"/>
    <hyperlink xmlns:r="http://schemas.openxmlformats.org/officeDocument/2006/relationships" ref="L25" r:id="rId19"/>
    <hyperlink xmlns:r="http://schemas.openxmlformats.org/officeDocument/2006/relationships" ref="L26" r:id="rId20"/>
    <hyperlink xmlns:r="http://schemas.openxmlformats.org/officeDocument/2006/relationships" ref="L27" r:id="rId21"/>
    <hyperlink xmlns:r="http://schemas.openxmlformats.org/officeDocument/2006/relationships" ref="L28" r:id="rId22"/>
    <hyperlink xmlns:r="http://schemas.openxmlformats.org/officeDocument/2006/relationships" ref="L29" r:id="rId23"/>
    <hyperlink xmlns:r="http://schemas.openxmlformats.org/officeDocument/2006/relationships" ref="L30" r:id="rId24"/>
    <hyperlink xmlns:r="http://schemas.openxmlformats.org/officeDocument/2006/relationships" ref="L32" r:id="rId25"/>
    <hyperlink xmlns:r="http://schemas.openxmlformats.org/officeDocument/2006/relationships" ref="L33" r:id="rId26"/>
    <hyperlink xmlns:r="http://schemas.openxmlformats.org/officeDocument/2006/relationships" ref="L34" r:id="rId27"/>
    <hyperlink xmlns:r="http://schemas.openxmlformats.org/officeDocument/2006/relationships" ref="L35" r:id="rId28"/>
    <hyperlink xmlns:r="http://schemas.openxmlformats.org/officeDocument/2006/relationships" ref="L36" r:id="rId29"/>
    <hyperlink xmlns:r="http://schemas.openxmlformats.org/officeDocument/2006/relationships" ref="L37" r:id="rId30"/>
    <hyperlink xmlns:r="http://schemas.openxmlformats.org/officeDocument/2006/relationships" ref="L38" r:id="rId31"/>
    <hyperlink xmlns:r="http://schemas.openxmlformats.org/officeDocument/2006/relationships" ref="L39" r:id="rId32"/>
    <hyperlink xmlns:r="http://schemas.openxmlformats.org/officeDocument/2006/relationships" ref="L40" r:id="rId33"/>
    <hyperlink xmlns:r="http://schemas.openxmlformats.org/officeDocument/2006/relationships" ref="L41" r:id="rId34"/>
    <hyperlink xmlns:r="http://schemas.openxmlformats.org/officeDocument/2006/relationships" ref="L43" r:id="rId35"/>
    <hyperlink xmlns:r="http://schemas.openxmlformats.org/officeDocument/2006/relationships" ref="L44" r:id="rId36"/>
    <hyperlink xmlns:r="http://schemas.openxmlformats.org/officeDocument/2006/relationships" ref="L45" r:id="rId37"/>
    <hyperlink xmlns:r="http://schemas.openxmlformats.org/officeDocument/2006/relationships" ref="L46" r:id="rId38"/>
    <hyperlink xmlns:r="http://schemas.openxmlformats.org/officeDocument/2006/relationships" ref="L47" r:id="rId39"/>
    <hyperlink xmlns:r="http://schemas.openxmlformats.org/officeDocument/2006/relationships" ref="L48" r:id="rId40"/>
    <hyperlink xmlns:r="http://schemas.openxmlformats.org/officeDocument/2006/relationships" ref="L49" r:id="rId41"/>
    <hyperlink xmlns:r="http://schemas.openxmlformats.org/officeDocument/2006/relationships" ref="L50" r:id="rId42"/>
    <hyperlink xmlns:r="http://schemas.openxmlformats.org/officeDocument/2006/relationships" ref="L51" r:id="rId43"/>
    <hyperlink xmlns:r="http://schemas.openxmlformats.org/officeDocument/2006/relationships" ref="L52" r:id="rId44"/>
    <hyperlink xmlns:r="http://schemas.openxmlformats.org/officeDocument/2006/relationships" ref="L54" r:id="rId45"/>
    <hyperlink xmlns:r="http://schemas.openxmlformats.org/officeDocument/2006/relationships" ref="L55" r:id="rId46"/>
    <hyperlink xmlns:r="http://schemas.openxmlformats.org/officeDocument/2006/relationships" ref="L57" r:id="rId47"/>
    <hyperlink xmlns:r="http://schemas.openxmlformats.org/officeDocument/2006/relationships" ref="L58" r:id="rId48"/>
    <hyperlink xmlns:r="http://schemas.openxmlformats.org/officeDocument/2006/relationships" ref="L59" r:id="rId49"/>
    <hyperlink xmlns:r="http://schemas.openxmlformats.org/officeDocument/2006/relationships" ref="L60" r:id="rId50"/>
    <hyperlink xmlns:r="http://schemas.openxmlformats.org/officeDocument/2006/relationships" ref="L62" r:id="rId51"/>
    <hyperlink xmlns:r="http://schemas.openxmlformats.org/officeDocument/2006/relationships" ref="L63" r:id="rId52"/>
    <hyperlink xmlns:r="http://schemas.openxmlformats.org/officeDocument/2006/relationships" ref="L64" r:id="rId53"/>
    <hyperlink xmlns:r="http://schemas.openxmlformats.org/officeDocument/2006/relationships" ref="L65" r:id="rId54"/>
    <hyperlink xmlns:r="http://schemas.openxmlformats.org/officeDocument/2006/relationships" ref="L66" r:id="rId55"/>
    <hyperlink xmlns:r="http://schemas.openxmlformats.org/officeDocument/2006/relationships" ref="L68" r:id="rId56"/>
    <hyperlink xmlns:r="http://schemas.openxmlformats.org/officeDocument/2006/relationships" ref="L71" r:id="rId57"/>
    <hyperlink xmlns:r="http://schemas.openxmlformats.org/officeDocument/2006/relationships" ref="L72" r:id="rId58"/>
    <hyperlink xmlns:r="http://schemas.openxmlformats.org/officeDocument/2006/relationships" ref="L73" r:id="rId59"/>
    <hyperlink xmlns:r="http://schemas.openxmlformats.org/officeDocument/2006/relationships" ref="L74" r:id="rId60"/>
    <hyperlink xmlns:r="http://schemas.openxmlformats.org/officeDocument/2006/relationships" ref="L75" r:id="rId61"/>
    <hyperlink xmlns:r="http://schemas.openxmlformats.org/officeDocument/2006/relationships" ref="L76" r:id="rId62"/>
    <hyperlink xmlns:r="http://schemas.openxmlformats.org/officeDocument/2006/relationships" ref="L77" r:id="rId63"/>
    <hyperlink xmlns:r="http://schemas.openxmlformats.org/officeDocument/2006/relationships" ref="L78" r:id="rId64"/>
    <hyperlink xmlns:r="http://schemas.openxmlformats.org/officeDocument/2006/relationships" ref="L79" r:id="rId65"/>
    <hyperlink xmlns:r="http://schemas.openxmlformats.org/officeDocument/2006/relationships" ref="L81" r:id="rId66"/>
    <hyperlink xmlns:r="http://schemas.openxmlformats.org/officeDocument/2006/relationships" ref="L82" r:id="rId67"/>
    <hyperlink xmlns:r="http://schemas.openxmlformats.org/officeDocument/2006/relationships" ref="L83" r:id="rId68"/>
    <hyperlink xmlns:r="http://schemas.openxmlformats.org/officeDocument/2006/relationships" ref="L84" r:id="rId69"/>
    <hyperlink xmlns:r="http://schemas.openxmlformats.org/officeDocument/2006/relationships" ref="L86" r:id="rId70"/>
    <hyperlink xmlns:r="http://schemas.openxmlformats.org/officeDocument/2006/relationships" ref="L87" r:id="rId71"/>
    <hyperlink xmlns:r="http://schemas.openxmlformats.org/officeDocument/2006/relationships" ref="L88" r:id="rId72"/>
    <hyperlink xmlns:r="http://schemas.openxmlformats.org/officeDocument/2006/relationships" ref="L89" r:id="rId73"/>
    <hyperlink xmlns:r="http://schemas.openxmlformats.org/officeDocument/2006/relationships" ref="L90" r:id="rId74"/>
    <hyperlink xmlns:r="http://schemas.openxmlformats.org/officeDocument/2006/relationships" ref="L91" r:id="rId75"/>
    <hyperlink xmlns:r="http://schemas.openxmlformats.org/officeDocument/2006/relationships" ref="L92" r:id="rId76"/>
    <hyperlink xmlns:r="http://schemas.openxmlformats.org/officeDocument/2006/relationships" ref="L93" r:id="rId77"/>
    <hyperlink xmlns:r="http://schemas.openxmlformats.org/officeDocument/2006/relationships" ref="L94" r:id="rId78"/>
    <hyperlink xmlns:r="http://schemas.openxmlformats.org/officeDocument/2006/relationships" ref="L96" r:id="rId79"/>
    <hyperlink xmlns:r="http://schemas.openxmlformats.org/officeDocument/2006/relationships" ref="L97" r:id="rId80"/>
    <hyperlink xmlns:r="http://schemas.openxmlformats.org/officeDocument/2006/relationships" ref="L98" r:id="rId81"/>
    <hyperlink xmlns:r="http://schemas.openxmlformats.org/officeDocument/2006/relationships" ref="L99" r:id="rId82"/>
  </hyperlinks>
  <pageMargins left="0.7" right="0.7" top="0.75" bottom="0.75" header="0.3" footer="0.3"/>
  <tableParts count="1">
    <tablePart xmlns:r="http://schemas.openxmlformats.org/officeDocument/2006/relationships" r:id="rId8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L21" sqref="L21"/>
    </sheetView>
  </sheetViews>
  <sheetFormatPr baseColWidth="8" defaultRowHeight="14.25"/>
  <cols>
    <col width="9.1328125" customWidth="1" style="29" min="1" max="1"/>
    <col width="29.73046875" bestFit="1" customWidth="1" min="2" max="2"/>
    <col width="9.1328125" customWidth="1" style="112" min="3" max="4"/>
    <col width="21.86328125" customWidth="1" min="11" max="11"/>
    <col width="11" customWidth="1" style="83" min="12" max="12"/>
    <col width="11" customWidth="1" min="13" max="13"/>
  </cols>
  <sheetData>
    <row r="1" customFormat="1" s="30">
      <c r="A1" s="31" t="inlineStr">
        <is>
          <t>Qty</t>
        </is>
      </c>
      <c r="B1" s="30" t="inlineStr">
        <is>
          <t>Suzuki freight direct</t>
        </is>
      </c>
      <c r="C1" s="113" t="inlineStr">
        <is>
          <t>Cost</t>
        </is>
      </c>
      <c r="D1" s="113" t="inlineStr">
        <is>
          <t>Totals</t>
        </is>
      </c>
      <c r="F1" s="30" t="inlineStr">
        <is>
          <t>TOTAL</t>
        </is>
      </c>
      <c r="G1" s="114">
        <f>Quote!M5</f>
        <v/>
      </c>
      <c r="K1" s="30" t="inlineStr">
        <is>
          <t>BMW Discount codes</t>
        </is>
      </c>
      <c r="L1" s="82" t="inlineStr">
        <is>
          <t>%</t>
        </is>
      </c>
      <c r="M1" s="30" t="inlineStr">
        <is>
          <t xml:space="preserve"> x factor</t>
        </is>
      </c>
    </row>
    <row r="2">
      <c r="B2" t="inlineStr">
        <is>
          <t>Tailgate, Large doors, sill panels</t>
        </is>
      </c>
      <c r="C2" s="112" t="n">
        <v>22.89</v>
      </c>
      <c r="D2" s="112">
        <f>IF(A2="","",ROUNDUP(A2*C2,0))</f>
        <v/>
      </c>
      <c r="K2" t="inlineStr">
        <is>
          <t>A</t>
        </is>
      </c>
      <c r="L2" s="83" t="n">
        <v>0.5</v>
      </c>
      <c r="M2">
        <f>L2/100</f>
        <v/>
      </c>
    </row>
    <row r="3">
      <c r="B3" t="inlineStr">
        <is>
          <t>Bumpers. Quarter panels, hoods</t>
        </is>
      </c>
      <c r="C3" s="112" t="n">
        <v>18.46</v>
      </c>
      <c r="D3" s="112">
        <f>IF(A3="","",ROUNDUP(A3*C3,0))</f>
        <v/>
      </c>
      <c r="K3" t="inlineStr">
        <is>
          <t>B</t>
        </is>
      </c>
      <c r="L3" s="83" t="n">
        <v>0.5</v>
      </c>
      <c r="M3">
        <f>L3/100</f>
        <v/>
      </c>
    </row>
    <row r="4">
      <c r="B4" t="inlineStr">
        <is>
          <t>Lights, panels</t>
        </is>
      </c>
      <c r="C4" s="112" t="n">
        <v>14.26</v>
      </c>
      <c r="D4" s="112">
        <f>IF(A4="","",ROUNDUP(A4*C4,0))</f>
        <v/>
      </c>
      <c r="K4" t="inlineStr">
        <is>
          <t>C</t>
        </is>
      </c>
      <c r="L4" s="83" t="n">
        <v>0.5</v>
      </c>
      <c r="M4">
        <f>L4/100</f>
        <v/>
      </c>
    </row>
    <row r="5">
      <c r="B5" t="inlineStr">
        <is>
          <t>Wheels, mirrors, trims, clips etc</t>
        </is>
      </c>
      <c r="C5" s="112" t="n">
        <v>5.84</v>
      </c>
      <c r="D5" s="112">
        <f>IF(A5="","",ROUNDUP(A5*C5,0))</f>
        <v/>
      </c>
      <c r="K5" t="inlineStr">
        <is>
          <t>D</t>
        </is>
      </c>
      <c r="L5" s="83" t="n">
        <v>0.5</v>
      </c>
      <c r="M5">
        <f>L5/100</f>
        <v/>
      </c>
    </row>
    <row r="6">
      <c r="B6" t="inlineStr">
        <is>
          <t>Other</t>
        </is>
      </c>
      <c r="D6" s="112">
        <f>IF(A6="","",ROUNDUP(A6*C6,0))</f>
        <v/>
      </c>
      <c r="K6" t="inlineStr">
        <is>
          <t>E</t>
        </is>
      </c>
      <c r="L6" s="83" t="n">
        <v>0.5</v>
      </c>
      <c r="M6">
        <f>L6/100</f>
        <v/>
      </c>
    </row>
    <row r="7">
      <c r="K7" t="inlineStr">
        <is>
          <t>F</t>
        </is>
      </c>
      <c r="L7" s="83" t="n">
        <v>0.5</v>
      </c>
      <c r="M7">
        <f>L7/100</f>
        <v/>
      </c>
    </row>
    <row r="8">
      <c r="B8" s="64" t="inlineStr">
        <is>
          <t xml:space="preserve">Gizzy on the Go </t>
        </is>
      </c>
      <c r="K8" t="inlineStr">
        <is>
          <t>G</t>
        </is>
      </c>
      <c r="L8" s="83" t="n">
        <v>0.5</v>
      </c>
      <c r="M8">
        <f>L8/100</f>
        <v/>
      </c>
    </row>
    <row r="9">
      <c r="B9" s="30" t="inlineStr">
        <is>
          <t>Gisborne ex Napier</t>
        </is>
      </c>
      <c r="K9" t="inlineStr">
        <is>
          <t>H</t>
        </is>
      </c>
      <c r="L9" s="83" t="n">
        <v>0.5</v>
      </c>
      <c r="M9">
        <f>L9/100</f>
        <v/>
      </c>
    </row>
    <row r="10">
      <c r="B10" t="inlineStr">
        <is>
          <t>Bumper</t>
        </is>
      </c>
      <c r="C10" s="112" t="n">
        <v>45</v>
      </c>
      <c r="D10" s="112">
        <f>IF(A10="","",ROUNDUP(A10*C10,0))</f>
        <v/>
      </c>
      <c r="K10" t="inlineStr">
        <is>
          <t>I</t>
        </is>
      </c>
      <c r="L10" s="83" t="n">
        <v>0.5</v>
      </c>
      <c r="M10">
        <f>L10/100</f>
        <v/>
      </c>
    </row>
    <row r="11">
      <c r="B11" t="inlineStr">
        <is>
          <t>Bonnet</t>
        </is>
      </c>
      <c r="C11" s="112" t="n">
        <v>35</v>
      </c>
      <c r="D11" s="112">
        <f>IF(A11="","",ROUNDUP(A11*C11,0))</f>
        <v/>
      </c>
      <c r="K11" t="inlineStr">
        <is>
          <t>J</t>
        </is>
      </c>
      <c r="L11" s="83" t="n">
        <v>0.5</v>
      </c>
      <c r="M11">
        <f>L11/100</f>
        <v/>
      </c>
    </row>
    <row r="12">
      <c r="B12" t="inlineStr">
        <is>
          <t>Large Box</t>
        </is>
      </c>
      <c r="C12" s="112" t="n">
        <v>25</v>
      </c>
      <c r="D12" s="112">
        <f>IF(A12="","",ROUNDUP(A12*C12,0))</f>
        <v/>
      </c>
      <c r="K12" t="inlineStr">
        <is>
          <t>K</t>
        </is>
      </c>
      <c r="L12" s="83" t="n">
        <v>0.5</v>
      </c>
      <c r="M12">
        <f>L12/100</f>
        <v/>
      </c>
    </row>
    <row r="13">
      <c r="B13" t="inlineStr">
        <is>
          <t>Med box</t>
        </is>
      </c>
      <c r="C13" s="112" t="n">
        <v>15</v>
      </c>
      <c r="D13" s="112">
        <f>IF(A13="","",ROUNDUP(A13*C13,0))</f>
        <v/>
      </c>
      <c r="K13" t="inlineStr">
        <is>
          <t>L</t>
        </is>
      </c>
      <c r="M13">
        <f>L13/100</f>
        <v/>
      </c>
    </row>
    <row r="14">
      <c r="B14" t="inlineStr">
        <is>
          <t>Small box</t>
        </is>
      </c>
      <c r="C14" s="112" t="n">
        <v>12</v>
      </c>
      <c r="D14" s="112">
        <f>IF(A14="","",ROUNDUP(A14*C14,0))</f>
        <v/>
      </c>
      <c r="K14" t="inlineStr">
        <is>
          <t>M</t>
        </is>
      </c>
      <c r="M14">
        <f>L14/100</f>
        <v/>
      </c>
    </row>
    <row r="15">
      <c r="K15" t="inlineStr">
        <is>
          <t>N</t>
        </is>
      </c>
      <c r="M15">
        <f>L15/100</f>
        <v/>
      </c>
    </row>
    <row r="16">
      <c r="B16" s="30" t="inlineStr">
        <is>
          <t>Gisborne ex Hastings</t>
        </is>
      </c>
      <c r="K16" t="inlineStr">
        <is>
          <t>O</t>
        </is>
      </c>
      <c r="M16">
        <f>L16/100</f>
        <v/>
      </c>
    </row>
    <row r="17">
      <c r="B17" t="inlineStr">
        <is>
          <t>Bumper</t>
        </is>
      </c>
      <c r="C17" s="112" t="n">
        <v>50</v>
      </c>
      <c r="D17" s="112">
        <f>IF(A17="","",ROUNDUP(A17*C17,0))</f>
        <v/>
      </c>
      <c r="K17" t="inlineStr">
        <is>
          <t>P</t>
        </is>
      </c>
      <c r="M17">
        <f>L17/100</f>
        <v/>
      </c>
    </row>
    <row r="18">
      <c r="B18" t="inlineStr">
        <is>
          <t>Bonnet</t>
        </is>
      </c>
      <c r="C18" s="112" t="n">
        <v>40</v>
      </c>
      <c r="D18" s="112">
        <f>IF(A18="","",ROUNDUP(A18*C18,0))</f>
        <v/>
      </c>
      <c r="K18" t="inlineStr">
        <is>
          <t>Q</t>
        </is>
      </c>
      <c r="L18" s="83" t="n">
        <v>0.15</v>
      </c>
      <c r="M18">
        <f>L18/100</f>
        <v/>
      </c>
    </row>
    <row r="19">
      <c r="B19" t="inlineStr">
        <is>
          <t>Large Box</t>
        </is>
      </c>
      <c r="C19" s="112" t="n">
        <v>30</v>
      </c>
      <c r="D19" s="112">
        <f>IF(A19="","",ROUNDUP(A19*C19,0))</f>
        <v/>
      </c>
      <c r="K19" t="inlineStr">
        <is>
          <t>R</t>
        </is>
      </c>
      <c r="L19" s="83" t="n">
        <v>0.15</v>
      </c>
      <c r="M19">
        <f>L19/100</f>
        <v/>
      </c>
    </row>
    <row r="20">
      <c r="B20" t="inlineStr">
        <is>
          <t>Med Box</t>
        </is>
      </c>
      <c r="C20" s="112" t="n">
        <v>25</v>
      </c>
      <c r="D20" s="112">
        <f>IF(A20="","",ROUNDUP(A20*C20,0))</f>
        <v/>
      </c>
      <c r="K20" t="inlineStr">
        <is>
          <t>S</t>
        </is>
      </c>
      <c r="L20" s="83" t="n">
        <v>0.17</v>
      </c>
      <c r="M20">
        <f>L20/100</f>
        <v/>
      </c>
    </row>
    <row r="21">
      <c r="B21" t="inlineStr">
        <is>
          <t>Small box</t>
        </is>
      </c>
      <c r="C21" s="112" t="n">
        <v>18</v>
      </c>
      <c r="D21" s="112">
        <f>IF(A21="","",ROUNDUP(A21*C21,0))</f>
        <v/>
      </c>
      <c r="K21" t="inlineStr">
        <is>
          <t>T</t>
        </is>
      </c>
      <c r="L21" s="83" t="n">
        <v>0.2</v>
      </c>
      <c r="M21">
        <f>L21/100</f>
        <v/>
      </c>
    </row>
    <row r="22">
      <c r="K22" t="inlineStr">
        <is>
          <t>U</t>
        </is>
      </c>
      <c r="M22">
        <f>L22/100</f>
        <v/>
      </c>
    </row>
    <row r="23">
      <c r="B23" s="30" t="inlineStr">
        <is>
          <t>Wairoa ex Napier</t>
        </is>
      </c>
      <c r="K23" t="inlineStr">
        <is>
          <t>V</t>
        </is>
      </c>
      <c r="M23">
        <f>L23/100</f>
        <v/>
      </c>
    </row>
    <row r="24">
      <c r="B24" t="inlineStr">
        <is>
          <t>Bumper</t>
        </is>
      </c>
      <c r="C24" s="112" t="n">
        <v>45</v>
      </c>
      <c r="D24" s="112">
        <f>IF(A24="","",ROUNDUP(A24*C24,0))</f>
        <v/>
      </c>
      <c r="K24" t="inlineStr">
        <is>
          <t>W</t>
        </is>
      </c>
      <c r="M24">
        <f>L24/100</f>
        <v/>
      </c>
    </row>
    <row r="25">
      <c r="B25" t="inlineStr">
        <is>
          <t>Bonnet</t>
        </is>
      </c>
      <c r="C25" s="112" t="n">
        <v>35</v>
      </c>
      <c r="D25" s="112">
        <f>IF(A25="","",ROUNDUP(A25*C25,0))</f>
        <v/>
      </c>
      <c r="K25" t="inlineStr">
        <is>
          <t>X</t>
        </is>
      </c>
      <c r="M25">
        <f>L25/100</f>
        <v/>
      </c>
    </row>
    <row r="26">
      <c r="B26" t="inlineStr">
        <is>
          <t>Large Box</t>
        </is>
      </c>
      <c r="C26" s="112" t="n">
        <v>20</v>
      </c>
      <c r="D26" s="112">
        <f>IF(A26="","",ROUNDUP(A26*C26,0))</f>
        <v/>
      </c>
      <c r="K26" t="inlineStr">
        <is>
          <t>Y</t>
        </is>
      </c>
      <c r="M26">
        <f>L26/100</f>
        <v/>
      </c>
    </row>
    <row r="27">
      <c r="B27" t="inlineStr">
        <is>
          <t>Med Box</t>
        </is>
      </c>
      <c r="C27" s="112" t="n">
        <v>15</v>
      </c>
      <c r="D27" s="112">
        <f>IF(A27="","",ROUNDUP(A27*C27,0))</f>
        <v/>
      </c>
      <c r="K27" t="inlineStr">
        <is>
          <t>Z</t>
        </is>
      </c>
      <c r="M27">
        <f>L27/100</f>
        <v/>
      </c>
    </row>
    <row r="28">
      <c r="B28" t="inlineStr">
        <is>
          <t>Small Box</t>
        </is>
      </c>
      <c r="C28" s="112" t="n">
        <v>12</v>
      </c>
      <c r="D28" s="112">
        <f>IF(A28="","",ROUNDUP(A28*C28,0))</f>
        <v/>
      </c>
    </row>
    <row r="30">
      <c r="B30" s="30" t="inlineStr">
        <is>
          <t>Wairoa ex Hastings</t>
        </is>
      </c>
    </row>
    <row r="31">
      <c r="B31" t="inlineStr">
        <is>
          <t>Bumper</t>
        </is>
      </c>
      <c r="C31" s="112" t="n">
        <v>35</v>
      </c>
      <c r="D31" s="112">
        <f>IF(A31="","",ROUNDUP(A31*C31,0))</f>
        <v/>
      </c>
    </row>
    <row r="32">
      <c r="B32" t="inlineStr">
        <is>
          <t>Bonnet</t>
        </is>
      </c>
      <c r="C32" s="112" t="n">
        <v>35</v>
      </c>
      <c r="D32" s="112">
        <f>IF(A32="","",ROUNDUP(A32*C32,0))</f>
        <v/>
      </c>
    </row>
    <row r="33">
      <c r="B33" t="inlineStr">
        <is>
          <t>Large Box</t>
        </is>
      </c>
      <c r="C33" s="112" t="n">
        <v>25</v>
      </c>
      <c r="D33" s="112">
        <f>IF(A33="","",ROUNDUP(A33*C33,0))</f>
        <v/>
      </c>
    </row>
    <row r="34">
      <c r="B34" t="inlineStr">
        <is>
          <t>Med Box</t>
        </is>
      </c>
      <c r="C34" s="112" t="n">
        <v>20</v>
      </c>
      <c r="D34" s="112">
        <f>IF(A34="","",ROUNDUP(A34*C34,0))</f>
        <v/>
      </c>
    </row>
    <row r="35">
      <c r="B35" t="inlineStr">
        <is>
          <t>Small Box</t>
        </is>
      </c>
      <c r="C35" s="112" t="n">
        <v>15</v>
      </c>
      <c r="D35" s="112">
        <f>IF(A35="","",ROUNDUP(A35*C35,0))</f>
        <v/>
      </c>
    </row>
  </sheetData>
  <pageMargins left="0.7" right="0.7" top="0.75" bottom="0.75" header="0.3" footer="0.3"/>
  <pageSetup orientation="portrait" paperSize="9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max stothart</dc:creator>
  <dcterms:created xmlns:dcterms="http://purl.org/dc/terms/" xmlns:xsi="http://www.w3.org/2001/XMLSchema-instance" xsi:type="dcterms:W3CDTF">2019-12-23T03:31:51Z</dcterms:created>
  <dcterms:modified xmlns:dcterms="http://purl.org/dc/terms/" xmlns:xsi="http://www.w3.org/2001/XMLSchema-instance" xsi:type="dcterms:W3CDTF">2022-08-19T05:57:10Z</dcterms:modified>
  <cp:lastModifiedBy>max stothart</cp:lastModifiedBy>
  <cp:lastPrinted>2021-06-23T23:00:10Z</cp:lastPrinted>
</cp:coreProperties>
</file>