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4d26da2e3d12ea/Documents/windmillinc/Code/Python Code/unca/Support/"/>
    </mc:Choice>
  </mc:AlternateContent>
  <xr:revisionPtr revIDLastSave="7" documentId="11_41B19048F3BA4B01564D42931A1FC121B2D00245" xr6:coauthVersionLast="47" xr6:coauthVersionMax="47" xr10:uidLastSave="{F52BEDBD-8DD9-4EA7-A77D-3F1DDF2AFC7B}"/>
  <bookViews>
    <workbookView xWindow="-98" yWindow="-98" windowWidth="19396" windowHeight="10996" activeTab="1" xr2:uid="{00000000-000D-0000-FFFF-FFFF00000000}"/>
  </bookViews>
  <sheets>
    <sheet name="Cover Sheet" sheetId="1" r:id="rId1"/>
    <sheet name="Quote" sheetId="2" r:id="rId2"/>
    <sheet name="Repairers" sheetId="3" r:id="rId3"/>
    <sheet name="Freight" sheetId="4" r:id="rId4"/>
  </sheets>
  <definedNames>
    <definedName name="_xlnm.Print_Area" localSheetId="0">'Cover Sheet'!$A$1:$G$40</definedName>
    <definedName name="_xlnm.Print_Area" localSheetId="1">Quote!$A$1:$P$21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4" l="1"/>
  <c r="D34" i="4"/>
  <c r="D33" i="4"/>
  <c r="D32" i="4"/>
  <c r="D31" i="4"/>
  <c r="D28" i="4"/>
  <c r="M27" i="4"/>
  <c r="D27" i="4"/>
  <c r="M26" i="4"/>
  <c r="D26" i="4"/>
  <c r="M25" i="4"/>
  <c r="D25" i="4"/>
  <c r="M24" i="4"/>
  <c r="D24" i="4"/>
  <c r="M23" i="4"/>
  <c r="M22" i="4"/>
  <c r="M21" i="4"/>
  <c r="D21" i="4"/>
  <c r="M20" i="4"/>
  <c r="D20" i="4"/>
  <c r="M19" i="4"/>
  <c r="D19" i="4"/>
  <c r="M18" i="4"/>
  <c r="D18" i="4"/>
  <c r="M17" i="4"/>
  <c r="D17" i="4"/>
  <c r="M16" i="4"/>
  <c r="M15" i="4"/>
  <c r="M14" i="4"/>
  <c r="D14" i="4"/>
  <c r="M13" i="4"/>
  <c r="D13" i="4"/>
  <c r="M12" i="4"/>
  <c r="D12" i="4"/>
  <c r="M11" i="4"/>
  <c r="D11" i="4"/>
  <c r="M10" i="4"/>
  <c r="D10" i="4"/>
  <c r="M9" i="4"/>
  <c r="M8" i="4"/>
  <c r="M7" i="4"/>
  <c r="M6" i="4"/>
  <c r="D6" i="4"/>
  <c r="M5" i="4"/>
  <c r="D5" i="4"/>
  <c r="M4" i="4"/>
  <c r="D4" i="4"/>
  <c r="M3" i="4"/>
  <c r="D3" i="4"/>
  <c r="M2" i="4"/>
  <c r="D2" i="4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2" i="3"/>
  <c r="T21" i="2"/>
  <c r="Q21" i="2"/>
  <c r="K21" i="2"/>
  <c r="J21" i="2"/>
  <c r="H21" i="2"/>
  <c r="T20" i="2"/>
  <c r="Q20" i="2"/>
  <c r="K20" i="2"/>
  <c r="J20" i="2"/>
  <c r="H20" i="2"/>
  <c r="T19" i="2"/>
  <c r="Q19" i="2"/>
  <c r="K19" i="2"/>
  <c r="J19" i="2"/>
  <c r="H19" i="2"/>
  <c r="T18" i="2"/>
  <c r="Q18" i="2"/>
  <c r="K18" i="2"/>
  <c r="J18" i="2"/>
  <c r="H18" i="2"/>
  <c r="T17" i="2"/>
  <c r="Q17" i="2"/>
  <c r="K17" i="2"/>
  <c r="J17" i="2"/>
  <c r="H17" i="2"/>
  <c r="T16" i="2"/>
  <c r="Q16" i="2"/>
  <c r="K16" i="2"/>
  <c r="J16" i="2"/>
  <c r="H16" i="2"/>
  <c r="T15" i="2"/>
  <c r="Q15" i="2"/>
  <c r="K15" i="2"/>
  <c r="J15" i="2"/>
  <c r="H15" i="2"/>
  <c r="T14" i="2"/>
  <c r="Q14" i="2"/>
  <c r="K14" i="2"/>
  <c r="J14" i="2"/>
  <c r="H14" i="2"/>
  <c r="T13" i="2"/>
  <c r="Q13" i="2"/>
  <c r="K13" i="2"/>
  <c r="J13" i="2"/>
  <c r="H13" i="2"/>
  <c r="T12" i="2"/>
  <c r="Q12" i="2"/>
  <c r="K12" i="2"/>
  <c r="J12" i="2"/>
  <c r="H12" i="2"/>
  <c r="T11" i="2"/>
  <c r="Q11" i="2"/>
  <c r="K11" i="2"/>
  <c r="J11" i="2"/>
  <c r="H11" i="2"/>
  <c r="T10" i="2"/>
  <c r="Q10" i="2"/>
  <c r="K10" i="2"/>
  <c r="J10" i="2"/>
  <c r="H10" i="2"/>
  <c r="T9" i="2"/>
  <c r="Q9" i="2"/>
  <c r="K9" i="2"/>
  <c r="J9" i="2"/>
  <c r="H9" i="2"/>
  <c r="T8" i="2"/>
  <c r="Q8" i="2"/>
  <c r="K8" i="2"/>
  <c r="J8" i="2"/>
  <c r="H8" i="2"/>
  <c r="T7" i="2"/>
  <c r="Q7" i="2"/>
  <c r="K7" i="2"/>
  <c r="J7" i="2"/>
  <c r="H7" i="2"/>
  <c r="M5" i="2"/>
  <c r="G1" i="4" s="1"/>
  <c r="H5" i="2" a="1"/>
  <c r="H5" i="2"/>
  <c r="A4" i="2"/>
  <c r="B3" i="2"/>
  <c r="A3" i="2"/>
  <c r="Q2" i="2"/>
  <c r="O2" i="2"/>
  <c r="M2" i="2" a="1"/>
  <c r="N2" i="2" s="1"/>
  <c r="M2" i="2"/>
  <c r="K2" i="2"/>
  <c r="J2" i="2"/>
  <c r="C2" i="2"/>
  <c r="B2" i="2"/>
  <c r="A2" i="2"/>
  <c r="U1" i="2"/>
  <c r="G40" i="1"/>
  <c r="E40" i="1"/>
  <c r="A40" i="1"/>
  <c r="C39" i="1" a="1"/>
  <c r="C39" i="1"/>
  <c r="E38" i="1"/>
  <c r="D33" i="1"/>
  <c r="E33" i="1" s="1"/>
  <c r="C33" i="1"/>
  <c r="E32" i="1"/>
  <c r="E31" i="1"/>
  <c r="E30" i="1"/>
  <c r="E29" i="1"/>
  <c r="E28" i="1"/>
  <c r="E27" i="1"/>
  <c r="E26" i="1"/>
  <c r="C22" i="1"/>
  <c r="B1" i="2" s="1"/>
  <c r="G21" i="1" a="1"/>
  <c r="G21" i="1"/>
  <c r="G20" i="1"/>
  <c r="C40" i="1" s="1"/>
  <c r="C15" i="1"/>
  <c r="B15" i="1"/>
  <c r="K14" i="1"/>
  <c r="J14" i="1"/>
  <c r="G12" i="1"/>
  <c r="J3" i="1"/>
  <c r="G3" i="1"/>
  <c r="B3" i="1"/>
  <c r="J2" i="1"/>
  <c r="G2" i="1"/>
  <c r="B2" i="1"/>
  <c r="O1" i="1"/>
  <c r="B1" i="1"/>
  <c r="J4" i="1" l="1"/>
  <c r="K3" i="1"/>
  <c r="B17" i="1" s="1"/>
  <c r="H4" i="2"/>
  <c r="G30" i="1"/>
  <c r="G24" i="1"/>
  <c r="G23" i="1"/>
  <c r="H22" i="1"/>
  <c r="I22" i="1" s="1"/>
  <c r="G22" i="1"/>
  <c r="G25" i="1" s="1"/>
  <c r="H21" i="1"/>
  <c r="R7" i="2"/>
  <c r="M7" i="2"/>
  <c r="L7" i="2"/>
  <c r="R8" i="2"/>
  <c r="M8" i="2"/>
  <c r="L8" i="2"/>
  <c r="S8" i="2" s="1"/>
  <c r="R9" i="2"/>
  <c r="M9" i="2"/>
  <c r="L9" i="2"/>
  <c r="S9" i="2" s="1"/>
  <c r="R10" i="2"/>
  <c r="M10" i="2"/>
  <c r="L10" i="2"/>
  <c r="S10" i="2" s="1"/>
  <c r="R11" i="2"/>
  <c r="M11" i="2"/>
  <c r="L11" i="2"/>
  <c r="S11" i="2" s="1"/>
  <c r="R12" i="2"/>
  <c r="M12" i="2"/>
  <c r="L12" i="2"/>
  <c r="S12" i="2" s="1"/>
  <c r="R13" i="2"/>
  <c r="M13" i="2"/>
  <c r="L13" i="2"/>
  <c r="S13" i="2" s="1"/>
  <c r="R14" i="2"/>
  <c r="M14" i="2"/>
  <c r="L14" i="2"/>
  <c r="S14" i="2" s="1"/>
  <c r="R15" i="2"/>
  <c r="M15" i="2"/>
  <c r="L15" i="2"/>
  <c r="S15" i="2" s="1"/>
  <c r="R16" i="2"/>
  <c r="M16" i="2"/>
  <c r="L16" i="2"/>
  <c r="S16" i="2" s="1"/>
  <c r="R17" i="2"/>
  <c r="M17" i="2"/>
  <c r="L17" i="2"/>
  <c r="S17" i="2" s="1"/>
  <c r="R18" i="2"/>
  <c r="M18" i="2"/>
  <c r="L18" i="2"/>
  <c r="S18" i="2" s="1"/>
  <c r="R19" i="2"/>
  <c r="M19" i="2"/>
  <c r="L19" i="2"/>
  <c r="S19" i="2" s="1"/>
  <c r="R20" i="2"/>
  <c r="M20" i="2"/>
  <c r="L20" i="2"/>
  <c r="S20" i="2" s="1"/>
  <c r="R21" i="2"/>
  <c r="M21" i="2"/>
  <c r="L21" i="2"/>
  <c r="S21" i="2" s="1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N21" i="2" l="1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S7" i="2"/>
  <c r="H2" i="2"/>
  <c r="N7" i="2"/>
  <c r="O7" i="2" s="1"/>
  <c r="G26" i="1"/>
  <c r="G27" i="1" s="1"/>
  <c r="Q5" i="2" s="1"/>
  <c r="F2" i="2"/>
  <c r="D21" i="1"/>
  <c r="B21" i="1"/>
  <c r="B20" i="1"/>
  <c r="B19" i="1"/>
  <c r="B18" i="1"/>
  <c r="C17" i="1"/>
  <c r="D16" i="1"/>
  <c r="J5" i="1"/>
  <c r="K4" i="1"/>
  <c r="J6" i="1" l="1"/>
  <c r="K5" i="1"/>
  <c r="A1" i="2"/>
  <c r="A38" i="1"/>
  <c r="G1" i="1"/>
  <c r="S2" i="2"/>
  <c r="D15" i="1"/>
  <c r="S3" i="2"/>
  <c r="E15" i="1" l="1"/>
  <c r="G15" i="1"/>
  <c r="J7" i="1"/>
  <c r="K6" i="1"/>
  <c r="J8" i="1" l="1"/>
  <c r="K7" i="1"/>
  <c r="J9" i="1" l="1"/>
  <c r="K9" i="1" s="1"/>
  <c r="K8" i="1"/>
</calcChain>
</file>

<file path=xl/sharedStrings.xml><?xml version="1.0" encoding="utf-8"?>
<sst xmlns="http://schemas.openxmlformats.org/spreadsheetml/2006/main" count="930" uniqueCount="674">
  <si>
    <t>SEARCH HERE&gt;&gt;&gt;</t>
  </si>
  <si>
    <t>&lt;&lt;&lt;Name Here</t>
  </si>
  <si>
    <t>DATE:</t>
  </si>
  <si>
    <t>PARTSTRADER #:</t>
  </si>
  <si>
    <t>REGO #:</t>
  </si>
  <si>
    <t>NEW</t>
  </si>
  <si>
    <t>ç</t>
  </si>
  <si>
    <t>MAKE:</t>
  </si>
  <si>
    <t>USED</t>
  </si>
  <si>
    <t>MODEL:</t>
  </si>
  <si>
    <t>YEAR:</t>
  </si>
  <si>
    <t>COLOUR:</t>
  </si>
  <si>
    <t>VIN/CHASSIS #:</t>
  </si>
  <si>
    <t>SUPPLIER QUOTE #:</t>
  </si>
  <si>
    <t>Job Description</t>
  </si>
  <si>
    <t>QUOTED BY</t>
  </si>
  <si>
    <t>Date</t>
  </si>
  <si>
    <t>Amount (Excl Freight and Fees)</t>
  </si>
  <si>
    <t>Cost 
(Excl Freight and Fees)</t>
  </si>
  <si>
    <t>Margin</t>
  </si>
  <si>
    <t>GROSS $$</t>
  </si>
  <si>
    <t>Customer #:</t>
  </si>
  <si>
    <t>OUR ORDER #:</t>
  </si>
  <si>
    <t>CUSTOMER:</t>
  </si>
  <si>
    <t>DATE ORDERED:</t>
  </si>
  <si>
    <t>ADDRESS:</t>
  </si>
  <si>
    <t>Ordered Time:</t>
  </si>
  <si>
    <t>P/Slip #:</t>
  </si>
  <si>
    <t>Success Fees? Y/N</t>
  </si>
  <si>
    <t>Name:</t>
  </si>
  <si>
    <t>Success Fees $:</t>
  </si>
  <si>
    <t>ORDER DATE:</t>
  </si>
  <si>
    <t>Fees on Inv #:</t>
  </si>
  <si>
    <t>ORDER #:</t>
  </si>
  <si>
    <t>Freight:</t>
  </si>
  <si>
    <t>Invoice #</t>
  </si>
  <si>
    <t>Total</t>
  </si>
  <si>
    <t>GST</t>
  </si>
  <si>
    <t>TOTAL</t>
  </si>
  <si>
    <t>Added to PartsTrader Spreadsheet:</t>
  </si>
  <si>
    <t>Marked as Dispatched on PartsTrader:</t>
  </si>
  <si>
    <t>ORDER COMPLETED DATE:</t>
  </si>
  <si>
    <t>Make and Model</t>
  </si>
  <si>
    <t>Customer Order #</t>
  </si>
  <si>
    <t>Reg #</t>
  </si>
  <si>
    <t>PartsTrader  #</t>
  </si>
  <si>
    <t>A/c #</t>
  </si>
  <si>
    <t>Smash Buy</t>
  </si>
  <si>
    <t>Retail</t>
  </si>
  <si>
    <t>Daily</t>
  </si>
  <si>
    <t>Cust Order #</t>
  </si>
  <si>
    <t>Our 
Order #</t>
  </si>
  <si>
    <t>Supplier Order #</t>
  </si>
  <si>
    <t>Parts Total</t>
  </si>
  <si>
    <t>% markup</t>
  </si>
  <si>
    <t>% margin</t>
  </si>
  <si>
    <t>Supplier Quote #</t>
  </si>
  <si>
    <t>excl GST</t>
  </si>
  <si>
    <t>Gross $$</t>
  </si>
  <si>
    <t>Freight</t>
  </si>
  <si>
    <t>Quote TOTAL</t>
  </si>
  <si>
    <t>Success Fees? Y / N / I</t>
  </si>
  <si>
    <t>N</t>
  </si>
  <si>
    <t>Item</t>
  </si>
  <si>
    <t>PNC</t>
  </si>
  <si>
    <t>Part Number</t>
  </si>
  <si>
    <t>Qty</t>
  </si>
  <si>
    <t>BMW Disc Code</t>
  </si>
  <si>
    <t xml:space="preserve"> Smash Buy $</t>
  </si>
  <si>
    <t>SOH</t>
  </si>
  <si>
    <t>TOTAL Retail</t>
  </si>
  <si>
    <t>Total Daily</t>
  </si>
  <si>
    <t>Total Smash Buy $</t>
  </si>
  <si>
    <t>Quoted Unit $</t>
  </si>
  <si>
    <t>If Fees Incl</t>
  </si>
  <si>
    <t>Quoted Total $</t>
  </si>
  <si>
    <t>Sub Totals</t>
  </si>
  <si>
    <t>Quoted $</t>
  </si>
  <si>
    <t>Condensed part #</t>
  </si>
  <si>
    <t>ETA / Rec'd Date</t>
  </si>
  <si>
    <t>Supplier Inv #</t>
  </si>
  <si>
    <t>Location / Date dispatched</t>
  </si>
  <si>
    <t>Dispatched via</t>
  </si>
  <si>
    <t>Our Inv #</t>
  </si>
  <si>
    <t>.</t>
  </si>
  <si>
    <t>Column2</t>
  </si>
  <si>
    <t>Column1</t>
  </si>
  <si>
    <t xml:space="preserve">Business </t>
  </si>
  <si>
    <t>Business 2</t>
  </si>
  <si>
    <t>Contact</t>
  </si>
  <si>
    <t>Phone</t>
  </si>
  <si>
    <t>Street</t>
  </si>
  <si>
    <t>Suburb</t>
  </si>
  <si>
    <t>City</t>
  </si>
  <si>
    <t>Post Code</t>
  </si>
  <si>
    <t>Email</t>
  </si>
  <si>
    <t>A &amp; A Autoworks A&amp;A</t>
  </si>
  <si>
    <t>A &amp; A Autoworks</t>
  </si>
  <si>
    <t>Andrew</t>
  </si>
  <si>
    <t>027 357 6233</t>
  </si>
  <si>
    <t>201 Totaramahonga Road</t>
  </si>
  <si>
    <t>Dannevirke</t>
  </si>
  <si>
    <t>aandaautowrks@gmail.com</t>
  </si>
  <si>
    <t>A&amp;M Panel &amp; Paint A &amp; M</t>
  </si>
  <si>
    <t>16131 / 2047</t>
  </si>
  <si>
    <t>A&amp;M Panel &amp; Paint</t>
  </si>
  <si>
    <t>Tim McDougal
Brad</t>
  </si>
  <si>
    <t>12 Thames Street</t>
  </si>
  <si>
    <t>Pandora</t>
  </si>
  <si>
    <t>Napier</t>
  </si>
  <si>
    <t>info@ampanel.co.nz</t>
  </si>
  <si>
    <t>Accurate Automotive</t>
  </si>
  <si>
    <t>835 4747</t>
  </si>
  <si>
    <t>14 Thames St</t>
  </si>
  <si>
    <t>accurateautomotive@xtra.co.nz</t>
  </si>
  <si>
    <t>Allan Kellett Panel &amp; Paint</t>
  </si>
  <si>
    <t>28775 / 2134</t>
  </si>
  <si>
    <t>06 867 8088</t>
  </si>
  <si>
    <t>72 Disraeli Street</t>
  </si>
  <si>
    <t xml:space="preserve"> </t>
  </si>
  <si>
    <t>Gisborne</t>
  </si>
  <si>
    <t>admin@akpp.co.nz</t>
  </si>
  <si>
    <t>Ansin &amp; Monteith</t>
  </si>
  <si>
    <t>8652 / 2541</t>
  </si>
  <si>
    <t>508 Karamu Road North</t>
  </si>
  <si>
    <t>Hastings</t>
  </si>
  <si>
    <t>ansin.Monteith@xtra.co.nz</t>
  </si>
  <si>
    <t>Apex CHECK CREDIT! Panel &amp; Paint</t>
  </si>
  <si>
    <t>Apex Panel &amp; Paint</t>
  </si>
  <si>
    <t>505 Warren Street North</t>
  </si>
  <si>
    <t>apexpanel@xtra.co.nz</t>
  </si>
  <si>
    <t>Auto Elctrical Solutions</t>
  </si>
  <si>
    <t>#### / 4013</t>
  </si>
  <si>
    <t>Auto Electrical Solutions</t>
  </si>
  <si>
    <t>06 355 5955</t>
  </si>
  <si>
    <t>21 David Street</t>
  </si>
  <si>
    <t>Palmerston North</t>
  </si>
  <si>
    <t>wokshop@aesolutions.co.nz</t>
  </si>
  <si>
    <t>Auto Panel &amp; Paint NP</t>
  </si>
  <si>
    <t xml:space="preserve"> ####  / 5171</t>
  </si>
  <si>
    <t>06 758 0002</t>
  </si>
  <si>
    <t>28 Dawson Street</t>
  </si>
  <si>
    <t>New Plymouth</t>
  </si>
  <si>
    <t>panel.shop@autopanelandpaint.co.nz</t>
  </si>
  <si>
    <t>Auto Panels</t>
  </si>
  <si>
    <t>2576 / 2013</t>
  </si>
  <si>
    <t>929 Karamu Road North</t>
  </si>
  <si>
    <t>Mayfair</t>
  </si>
  <si>
    <t>autopanels@xtra.co.nz</t>
  </si>
  <si>
    <t>Aztech Panel Repairs</t>
  </si>
  <si>
    <t>aztechpanel@actrix.co.nz</t>
  </si>
  <si>
    <t>Bay Panel &amp; Paint</t>
  </si>
  <si>
    <t>Guy Walker</t>
  </si>
  <si>
    <t>60a Wakefield Street</t>
  </si>
  <si>
    <t>Onekawa</t>
  </si>
  <si>
    <t>Bell Block Panel &amp; Paint</t>
  </si>
  <si>
    <t>#### / 4328</t>
  </si>
  <si>
    <t>Bell Block Panel and Paint</t>
  </si>
  <si>
    <t>06 757 4292</t>
  </si>
  <si>
    <t>70 Hurlstone Drive</t>
  </si>
  <si>
    <t>Waiwhakaiho</t>
  </si>
  <si>
    <t>bell-blockpanelbeaters@xtra.co.nz</t>
  </si>
  <si>
    <t>Ben Thomas Panelbeating</t>
  </si>
  <si>
    <t>#### / 4298</t>
  </si>
  <si>
    <t>06 278 6750</t>
  </si>
  <si>
    <t>55 Union Street</t>
  </si>
  <si>
    <t>Hawera</t>
  </si>
  <si>
    <t>info@bentpanel.co.nz</t>
  </si>
  <si>
    <t>BMW Manawatu &amp; HB Ltd</t>
  </si>
  <si>
    <t>23740 / 3092</t>
  </si>
  <si>
    <t>BMW Manawatu &amp; Hawke's Bay Ltd</t>
  </si>
  <si>
    <t>06 952 6940
06 873 0055</t>
  </si>
  <si>
    <t>44 Grey St
822-824 Karamu Road North</t>
  </si>
  <si>
    <t xml:space="preserve"> 
Mayfair</t>
  </si>
  <si>
    <t xml:space="preserve"> Palmerston North
Hastings</t>
  </si>
  <si>
    <t>4410
4122</t>
  </si>
  <si>
    <t>Bodyzone Panel Repairs</t>
  </si>
  <si>
    <t>2835 / 2353</t>
  </si>
  <si>
    <t>203 Wilson Road</t>
  </si>
  <si>
    <t>Flaxmere</t>
  </si>
  <si>
    <t>bzone@xtra.co.nz</t>
  </si>
  <si>
    <t>Bruce Jack Panelbeaters (B Jack Panelbeaters)</t>
  </si>
  <si>
    <t>#### / 4905</t>
  </si>
  <si>
    <t>Bruce Jack</t>
  </si>
  <si>
    <t>06 363 8468</t>
  </si>
  <si>
    <t>8 Ravensworth Place</t>
  </si>
  <si>
    <t>Foxton</t>
  </si>
  <si>
    <t>jackpanel@xtra.co.nz</t>
  </si>
  <si>
    <t>Burnside Panelbeaters</t>
  </si>
  <si>
    <t>Jack Baty</t>
  </si>
  <si>
    <t>06 838 8702</t>
  </si>
  <si>
    <t>653 Mangapoike Road</t>
  </si>
  <si>
    <t xml:space="preserve">Frasertown RD6 </t>
  </si>
  <si>
    <t>Wairoa</t>
  </si>
  <si>
    <t>jbaty@gisborne.net.nz</t>
  </si>
  <si>
    <t>CHB Central Hawkes Bay Motors</t>
  </si>
  <si>
    <t>2577 / 4026</t>
  </si>
  <si>
    <t>Central Hawkes Bay Motors</t>
  </si>
  <si>
    <t>06 857 8799</t>
  </si>
  <si>
    <t>1 Victoria Street</t>
  </si>
  <si>
    <t>Waipawa</t>
  </si>
  <si>
    <t>Hawke's Bay</t>
  </si>
  <si>
    <t>chbmotors@xtra.co.nz</t>
  </si>
  <si>
    <t>Chris Panel and Paint</t>
  </si>
  <si>
    <t>34628 / ####</t>
  </si>
  <si>
    <t>Chris Tregilgas</t>
  </si>
  <si>
    <t>07 348 8800</t>
  </si>
  <si>
    <t>21 Maisey Place</t>
  </si>
  <si>
    <t>Rotorua</t>
  </si>
  <si>
    <t>chris@chrispanelandpaint.co.nz</t>
  </si>
  <si>
    <t>Chris White Auto Electrical</t>
  </si>
  <si>
    <t>20869/2088</t>
  </si>
  <si>
    <t>Chris</t>
  </si>
  <si>
    <t>06 858 9921</t>
  </si>
  <si>
    <t>24 Takapau Road</t>
  </si>
  <si>
    <t>Waipukurau</t>
  </si>
  <si>
    <t>c.whiteautoelec@xtra.co.nz</t>
  </si>
  <si>
    <t>City Auto Painters</t>
  </si>
  <si>
    <t>#### / 5204</t>
  </si>
  <si>
    <t>06 357 2817</t>
  </si>
  <si>
    <t>22 North Street</t>
  </si>
  <si>
    <t>cityautopainters@gmail.com</t>
  </si>
  <si>
    <t>City Collision Repairs</t>
  </si>
  <si>
    <t>17 / 2854</t>
  </si>
  <si>
    <t>32 Leyland Street</t>
  </si>
  <si>
    <t>admin@citycollision.co.nz</t>
  </si>
  <si>
    <t>CJ Autospray</t>
  </si>
  <si>
    <t>511 Heretaunga Street West</t>
  </si>
  <si>
    <t>Colling and Gray Ltd</t>
  </si>
  <si>
    <t>#### / 5557</t>
  </si>
  <si>
    <t>06 368 4722</t>
  </si>
  <si>
    <t>22 Liverpool Street</t>
  </si>
  <si>
    <t>Levin</t>
  </si>
  <si>
    <t>collingandgray@xtra.co.nz</t>
  </si>
  <si>
    <t>DART Panel and Paint</t>
  </si>
  <si>
    <t>5237/2847</t>
  </si>
  <si>
    <t>DART Panel and Paint CHECK CREDIT</t>
  </si>
  <si>
    <t>06 374 8730</t>
  </si>
  <si>
    <t>9 Barraud Street</t>
  </si>
  <si>
    <t>dartpanel@gmail.com</t>
  </si>
  <si>
    <t>David Gooch Spray and Sign</t>
  </si>
  <si>
    <t>30448 / ####</t>
  </si>
  <si>
    <t>David Gooch Spray &amp; Sign CASH ACCOUNT</t>
  </si>
  <si>
    <t>Dave Gooch</t>
  </si>
  <si>
    <t>06 868 4910</t>
  </si>
  <si>
    <t>346 Childers Road</t>
  </si>
  <si>
    <t>dgooch@xtra.co.nz</t>
  </si>
  <si>
    <t>Dents Panel Beaters</t>
  </si>
  <si>
    <t>2464 / 2565</t>
  </si>
  <si>
    <t>802 Omahu Road</t>
  </si>
  <si>
    <t>Frimley</t>
  </si>
  <si>
    <t>dentspanel@xtra.co.nz</t>
  </si>
  <si>
    <t>Dewes Contracting Limited</t>
  </si>
  <si>
    <t>23060 / 4096</t>
  </si>
  <si>
    <t>Luke</t>
  </si>
  <si>
    <t>06 862 8135</t>
  </si>
  <si>
    <t>42 Papatu Road</t>
  </si>
  <si>
    <t>Manutuke</t>
  </si>
  <si>
    <t>workshop@dewescontractors.co.nz</t>
  </si>
  <si>
    <t>Dittmer Collision Repair</t>
  </si>
  <si>
    <t>10519 / 2874</t>
  </si>
  <si>
    <t>Max</t>
  </si>
  <si>
    <t>06 356 8218</t>
  </si>
  <si>
    <t>934 Tremian Ave</t>
  </si>
  <si>
    <t xml:space="preserve">  </t>
  </si>
  <si>
    <t>info@dittmer.co.nz</t>
  </si>
  <si>
    <t>DJ Mac Panel &amp; Paint</t>
  </si>
  <si>
    <t>10044 / 4507</t>
  </si>
  <si>
    <t>Dylan MacGregor</t>
  </si>
  <si>
    <t>06 867 7816</t>
  </si>
  <si>
    <t>271 Grey Street</t>
  </si>
  <si>
    <t>Awapuni</t>
  </si>
  <si>
    <t>djmacpanelandpaint@xtra.co.nz</t>
  </si>
  <si>
    <t>DW Panelbeaters</t>
  </si>
  <si>
    <t>22228 / 1135</t>
  </si>
  <si>
    <t>29 Wakefield Street</t>
  </si>
  <si>
    <t>dwpanelbeaters@xtra.co.nz</t>
  </si>
  <si>
    <t>Elite Autospray (Chris Harvie)</t>
  </si>
  <si>
    <t>23880 / 5437</t>
  </si>
  <si>
    <t>Chris Harvie</t>
  </si>
  <si>
    <t>07 378 4896</t>
  </si>
  <si>
    <t>17 Matai Street</t>
  </si>
  <si>
    <t>Tauhara</t>
  </si>
  <si>
    <t>Taupo</t>
  </si>
  <si>
    <t>eliteautospray@xtra.co.nz</t>
  </si>
  <si>
    <t>Endless Panel Repairs</t>
  </si>
  <si>
    <t>28382 / 3064</t>
  </si>
  <si>
    <t>701 Hastings Street Nth</t>
  </si>
  <si>
    <t>endless1@xtra.co.nz</t>
  </si>
  <si>
    <t>Enterprise Motor Group</t>
  </si>
  <si>
    <t>376 / 1104</t>
  </si>
  <si>
    <t>06 867 8368</t>
  </si>
  <si>
    <t>329 Gladstone Road</t>
  </si>
  <si>
    <t>parts@enterprisemg.co.nz</t>
  </si>
  <si>
    <t>Eurocity</t>
  </si>
  <si>
    <t>8393 / ####</t>
  </si>
  <si>
    <t>120 Prebenson Drive</t>
  </si>
  <si>
    <t>parts@eurocity.co.nz</t>
  </si>
  <si>
    <t>Friend and Wistrand</t>
  </si>
  <si>
    <t>### / 3612</t>
  </si>
  <si>
    <t>John Wistrand</t>
  </si>
  <si>
    <t>06 357 2723</t>
  </si>
  <si>
    <t>674 Tremain Ave</t>
  </si>
  <si>
    <t>office@friendandwistrand.co.nz</t>
  </si>
  <si>
    <t>GB Glass and Aluminium Ltd</t>
  </si>
  <si>
    <t>#### /4833</t>
  </si>
  <si>
    <t>07 378 1958</t>
  </si>
  <si>
    <t>14 Miro Street</t>
  </si>
  <si>
    <t>admin@gbglass.co.nz</t>
  </si>
  <si>
    <t>Gee Motors</t>
  </si>
  <si>
    <t>16130 / ####</t>
  </si>
  <si>
    <t>843 0406</t>
  </si>
  <si>
    <t>92 Niven Street</t>
  </si>
  <si>
    <t>parts@geemotors.co.nz</t>
  </si>
  <si>
    <t>Gisborne Motors Ltd</t>
  </si>
  <si>
    <t>18319 / 2464</t>
  </si>
  <si>
    <t>Murray</t>
  </si>
  <si>
    <t>06 867 6759</t>
  </si>
  <si>
    <t>75 Grey Street</t>
  </si>
  <si>
    <t>panel@gisbornemotors.co.nz</t>
  </si>
  <si>
    <t>GM Panelbeaters</t>
  </si>
  <si>
    <t>5212 / 2849</t>
  </si>
  <si>
    <t>Glen Millar</t>
  </si>
  <si>
    <t>06 858 7489</t>
  </si>
  <si>
    <t>7 Racecourse Road</t>
  </si>
  <si>
    <t>gmpanel@xtra.co.nz</t>
  </si>
  <si>
    <t>Grant Crossan Panelbeating</t>
  </si>
  <si>
    <t>####  / 4524</t>
  </si>
  <si>
    <t>Grant Crossan</t>
  </si>
  <si>
    <t>06 758 5296</t>
  </si>
  <si>
    <t>1 Burton St</t>
  </si>
  <si>
    <t>crossanpanel@xtra.co.nz</t>
  </si>
  <si>
    <t>Grant White Autobody</t>
  </si>
  <si>
    <t>34801 / 5589</t>
  </si>
  <si>
    <t>HB Collision Repairs Ltd</t>
  </si>
  <si>
    <t>307 Eastbourne Street West</t>
  </si>
  <si>
    <t>admin@hbcollision.co.nz</t>
  </si>
  <si>
    <t>Greenmeadows Panelbeaters</t>
  </si>
  <si>
    <t>16958 / 4584</t>
  </si>
  <si>
    <t>Tony</t>
  </si>
  <si>
    <t>18 Gloucester Street</t>
  </si>
  <si>
    <t>Taradale</t>
  </si>
  <si>
    <t>admin@gpp.net.nz</t>
  </si>
  <si>
    <t>Greerton Panel and Paint Repairs</t>
  </si>
  <si>
    <t>12062 / ####</t>
  </si>
  <si>
    <t>Craig Fenton</t>
  </si>
  <si>
    <t>07 577 6242</t>
  </si>
  <si>
    <t>78b Oropi Road</t>
  </si>
  <si>
    <t>Greerton</t>
  </si>
  <si>
    <t>Tauranga</t>
  </si>
  <si>
    <t>greertonpanel@kinect.co.nz</t>
  </si>
  <si>
    <t>Harts Body Shop</t>
  </si>
  <si>
    <t>####  / 2614</t>
  </si>
  <si>
    <t>06 358 4098</t>
  </si>
  <si>
    <t>28 Willis Street</t>
  </si>
  <si>
    <t>harts.bodyshop@xtra.co.nz</t>
  </si>
  <si>
    <t>Hastings Panel Repairs &amp; Spraypainters</t>
  </si>
  <si>
    <t>3014 / ####</t>
  </si>
  <si>
    <t>811 Orchard Road</t>
  </si>
  <si>
    <t>Camberley</t>
  </si>
  <si>
    <t>hastingspanelrepairs@clear.net.nz</t>
  </si>
  <si>
    <t>Havelock North Panel &amp; Paint</t>
  </si>
  <si>
    <t>34816 CASH</t>
  </si>
  <si>
    <t>Tony Hall</t>
  </si>
  <si>
    <t>021 244 3600</t>
  </si>
  <si>
    <t>12 Cooper Street</t>
  </si>
  <si>
    <t>Havelock North</t>
  </si>
  <si>
    <t>Hasings</t>
  </si>
  <si>
    <t>hnpanel@gmail.com</t>
  </si>
  <si>
    <t>Henderson Road Panel Repairs</t>
  </si>
  <si>
    <t>30283 / ####</t>
  </si>
  <si>
    <t>110 Henderson Road</t>
  </si>
  <si>
    <t>Woolwich</t>
  </si>
  <si>
    <t>admin@hrpp.co.nz</t>
  </si>
  <si>
    <t>IAG Vehicle Solutions Team</t>
  </si>
  <si>
    <t>IAG</t>
  </si>
  <si>
    <t>IAG Vehicle Colutions Team</t>
  </si>
  <si>
    <t>354 Victoria Street</t>
  </si>
  <si>
    <t>Hamilton Central</t>
  </si>
  <si>
    <t>Hamilton</t>
  </si>
  <si>
    <t>motorhamilton@iag.co.nz</t>
  </si>
  <si>
    <t>Kawan Collision Repair</t>
  </si>
  <si>
    <t>11488 / 4261</t>
  </si>
  <si>
    <t>110 Alexandra Cres</t>
  </si>
  <si>
    <t>admin@kawans.co.nz</t>
  </si>
  <si>
    <t>Kings Autos</t>
  </si>
  <si>
    <t>16133 / 1010</t>
  </si>
  <si>
    <t>206 Hastings St North</t>
  </si>
  <si>
    <t>kingsautos@gmail.com</t>
  </si>
  <si>
    <t>Larsen Collision Repairs Ltd</t>
  </si>
  <si>
    <t>31204 / 4799</t>
  </si>
  <si>
    <t>06 345 3377</t>
  </si>
  <si>
    <t>77 Taupo Quay</t>
  </si>
  <si>
    <t>Whanganui</t>
  </si>
  <si>
    <t>admin@larsencollision.co.nz</t>
  </si>
  <si>
    <t xml:space="preserve">Lex Miller PSP </t>
  </si>
  <si>
    <t>26494 / 4683</t>
  </si>
  <si>
    <t>810 North Karamu Rd</t>
  </si>
  <si>
    <t>lexmillerpsp@gmail.com</t>
  </si>
  <si>
    <t>Longridge Panel &amp; Paint</t>
  </si>
  <si>
    <t>10742 / 2570</t>
  </si>
  <si>
    <t>Walter Edgecomb</t>
  </si>
  <si>
    <t>06 858 9608</t>
  </si>
  <si>
    <t>39 Takapau Road</t>
  </si>
  <si>
    <t>accounts@longridge.net.nz</t>
  </si>
  <si>
    <t>Manawatu Autobodies</t>
  </si>
  <si>
    <t>#### / 5598</t>
  </si>
  <si>
    <t>06 353 5310</t>
  </si>
  <si>
    <t>477 Rangitikei St</t>
  </si>
  <si>
    <t>The Village, Unit 4</t>
  </si>
  <si>
    <t>manawatuautobodies@gmail.com</t>
  </si>
  <si>
    <t>Marty's Panel &amp; Paint Ltd</t>
  </si>
  <si>
    <t>#### / 5552</t>
  </si>
  <si>
    <t>Marty</t>
  </si>
  <si>
    <t>06 368 8276</t>
  </si>
  <si>
    <t>27 coventry Street</t>
  </si>
  <si>
    <t>marty@martyspanelandpaintltd.co.nz</t>
  </si>
  <si>
    <t>Max Pennington's Auto City</t>
  </si>
  <si>
    <t>22093 / 3053</t>
  </si>
  <si>
    <t>06 751 1950</t>
  </si>
  <si>
    <t>7 Manadon Street</t>
  </si>
  <si>
    <t>Spotswood</t>
  </si>
  <si>
    <t>panel@autocity.co.nz</t>
  </si>
  <si>
    <t>McVerry Crawford Motors</t>
  </si>
  <si>
    <t>14328 / 2262</t>
  </si>
  <si>
    <t>06 357 9029</t>
  </si>
  <si>
    <t>2 Princess Street</t>
  </si>
  <si>
    <t>parts@mcverrycrawford.co.nz</t>
  </si>
  <si>
    <t>Mike Murphy Electrical</t>
  </si>
  <si>
    <t>#### / 2855</t>
  </si>
  <si>
    <t>Mike Murphy Elctrical</t>
  </si>
  <si>
    <t>06 356 2287</t>
  </si>
  <si>
    <t>97 Lombard Street</t>
  </si>
  <si>
    <t>info@mikemurphy.co.nz</t>
  </si>
  <si>
    <t>Napier Collision Repair Centre</t>
  </si>
  <si>
    <t>175 / 2211</t>
  </si>
  <si>
    <t>Wayne Zaloum</t>
  </si>
  <si>
    <t>56 Thames Street</t>
  </si>
  <si>
    <t>admin@ncrc.nz</t>
  </si>
  <si>
    <t>New Plymouth Car Painters</t>
  </si>
  <si>
    <t>#### / 3821</t>
  </si>
  <si>
    <t>06 758 6252</t>
  </si>
  <si>
    <t>126 Molesworth St</t>
  </si>
  <si>
    <t>mrfixnp@xtra.co.nz</t>
  </si>
  <si>
    <t>North Clyde Panel &amp; Paint</t>
  </si>
  <si>
    <t>8528 / ####</t>
  </si>
  <si>
    <t>Mark Ripia</t>
  </si>
  <si>
    <t>06 838 7736</t>
  </si>
  <si>
    <t>Carroll Street</t>
  </si>
  <si>
    <t>ncpp@xtra.co.nz</t>
  </si>
  <si>
    <t>Novus Gisborne</t>
  </si>
  <si>
    <t>23919 / 4876</t>
  </si>
  <si>
    <t>06 867 2509</t>
  </si>
  <si>
    <t>711 Gladstone Road</t>
  </si>
  <si>
    <t>Te Hapara</t>
  </si>
  <si>
    <t>gisborne@novus.co.nz</t>
  </si>
  <si>
    <t>Novus Napier</t>
  </si>
  <si>
    <t>22076 / 3152</t>
  </si>
  <si>
    <t>834 1222</t>
  </si>
  <si>
    <t>2 Sheffield Place</t>
  </si>
  <si>
    <t>napier@novus.co.nz</t>
  </si>
  <si>
    <t>Olympic Panel &amp; Spray</t>
  </si>
  <si>
    <t>2843 / ####</t>
  </si>
  <si>
    <t>205 St. Aubyn Street</t>
  </si>
  <si>
    <t>Onekawa Collision Repair Centre</t>
  </si>
  <si>
    <t>33177 / 5482</t>
  </si>
  <si>
    <t>Peter Hurring</t>
  </si>
  <si>
    <t>7 Ford Road</t>
  </si>
  <si>
    <t>oka.crashrepair@xtra.co.nz</t>
  </si>
  <si>
    <t>Onsite Services</t>
  </si>
  <si>
    <t>30641 / 4644</t>
  </si>
  <si>
    <t>Onsite Services Hawke's Bay Ltd</t>
  </si>
  <si>
    <t>54 Thams Street</t>
  </si>
  <si>
    <t>service@onsiteservices.co.nz</t>
  </si>
  <si>
    <t>Pacific Dents and Stripes</t>
  </si>
  <si>
    <t>6810 / 4439</t>
  </si>
  <si>
    <t>027 430 1877</t>
  </si>
  <si>
    <t>26 Surrey Street</t>
  </si>
  <si>
    <t>Palmerston North Panel and Paint</t>
  </si>
  <si>
    <t>#### / 4588</t>
  </si>
  <si>
    <t>06 358 6285</t>
  </si>
  <si>
    <t>665 Main Street</t>
  </si>
  <si>
    <t>info@pnpanelandpaint.co.nz</t>
  </si>
  <si>
    <t>Panel &amp; Paint Services</t>
  </si>
  <si>
    <t>20548 / ####</t>
  </si>
  <si>
    <t>94 Austin Street</t>
  </si>
  <si>
    <t>panelpaint@actrix.co.nz</t>
  </si>
  <si>
    <t>Pearse &amp; Harrison A/C CLOSED</t>
  </si>
  <si>
    <t>7819 / 4632</t>
  </si>
  <si>
    <t>Raymond Pearse</t>
  </si>
  <si>
    <t>06 867 5828</t>
  </si>
  <si>
    <t>71 Carnavon Street</t>
  </si>
  <si>
    <t>panelbeata@xtra.co.nz</t>
  </si>
  <si>
    <t>Peter Long Collision Repairs Ltd</t>
  </si>
  <si>
    <t>#### / 4383</t>
  </si>
  <si>
    <t>06 357 8060</t>
  </si>
  <si>
    <t>77 Cook Street</t>
  </si>
  <si>
    <t>plong@inspire.net.nz</t>
  </si>
  <si>
    <t>Peter Morgans Panelbeaters</t>
  </si>
  <si>
    <t>5448 / 2779</t>
  </si>
  <si>
    <t>06 374 8871</t>
  </si>
  <si>
    <t>6 Queen Street</t>
  </si>
  <si>
    <t>p.morgans2020@gmail.com</t>
  </si>
  <si>
    <t>Phill Law Panelbeaters</t>
  </si>
  <si>
    <t>24508 / ####</t>
  </si>
  <si>
    <t>Phillip Law</t>
  </si>
  <si>
    <t>06 868 1622</t>
  </si>
  <si>
    <t>237 Awapuni Road</t>
  </si>
  <si>
    <t>plpbe@xtra.co.nz</t>
  </si>
  <si>
    <t>Prior and Palmer Ltd</t>
  </si>
  <si>
    <t>#### / 5017</t>
  </si>
  <si>
    <t>06 368 3411</t>
  </si>
  <si>
    <t>111-113 Cambridge Street</t>
  </si>
  <si>
    <t>priorandpalmer@gmail.com</t>
  </si>
  <si>
    <t>PSY Slater Panel Beaters Ltd</t>
  </si>
  <si>
    <t>8416 / ####</t>
  </si>
  <si>
    <t>31 Tallyho Street</t>
  </si>
  <si>
    <t>Mangakakahi</t>
  </si>
  <si>
    <t>admin@psyslater.co.nz</t>
  </si>
  <si>
    <t>Quality Auto Machinists</t>
  </si>
  <si>
    <t>2833 / 5261</t>
  </si>
  <si>
    <t>Robert</t>
  </si>
  <si>
    <t>Cnr Ellison Rd and Miller St</t>
  </si>
  <si>
    <t>admin@qam.co.nz</t>
  </si>
  <si>
    <t>Revolution Electrical</t>
  </si>
  <si>
    <t>20060 / 2653</t>
  </si>
  <si>
    <t>303A Jervois Street</t>
  </si>
  <si>
    <t>Right Panel Beaters</t>
  </si>
  <si>
    <t>30825 / ####</t>
  </si>
  <si>
    <t>Terry</t>
  </si>
  <si>
    <t>06 357 4386</t>
  </si>
  <si>
    <t>18A McGiffert St</t>
  </si>
  <si>
    <t>rightpanelbeaters@xtra.co.nz</t>
  </si>
  <si>
    <t>Rob Harvey Panel</t>
  </si>
  <si>
    <t>27334 / ####</t>
  </si>
  <si>
    <t>Rob Harvey</t>
  </si>
  <si>
    <t>027 494 3537</t>
  </si>
  <si>
    <t>6 Innes Street</t>
  </si>
  <si>
    <t>robharveypanelbeaters338@gmail.com</t>
  </si>
  <si>
    <t>Rod Naylor Collision Repair</t>
  </si>
  <si>
    <t>303 Hastings Street North</t>
  </si>
  <si>
    <t>panelshop@hbtow.co.nz</t>
  </si>
  <si>
    <t>Ross Francis Panelbeaters</t>
  </si>
  <si>
    <t>#### / 5158</t>
  </si>
  <si>
    <t>06 345 7300</t>
  </si>
  <si>
    <t>1A Liffiton St</t>
  </si>
  <si>
    <t>Wanganui</t>
  </si>
  <si>
    <t>rfpanelbeaters@xtra.co.nz</t>
  </si>
  <si>
    <t>Ross White Panel &amp; Paint</t>
  </si>
  <si>
    <t>23889/1086</t>
  </si>
  <si>
    <t>Ken</t>
  </si>
  <si>
    <t>07 378 5445</t>
  </si>
  <si>
    <t>7 Fleet Street</t>
  </si>
  <si>
    <t>ken@rosswhite.co.nz</t>
  </si>
  <si>
    <t>Stichbury Automotive Care</t>
  </si>
  <si>
    <t>6311 / 1138</t>
  </si>
  <si>
    <t>209 St Aubyn Street East</t>
  </si>
  <si>
    <t>admin@stichautos.co.nz</t>
  </si>
  <si>
    <t>Stratford Panelbeaters Limited</t>
  </si>
  <si>
    <t>#### / 4756</t>
  </si>
  <si>
    <t>Brendan Thomas</t>
  </si>
  <si>
    <t>06 765 5174</t>
  </si>
  <si>
    <t>138 Broadway North</t>
  </si>
  <si>
    <t>Stratford</t>
  </si>
  <si>
    <t>office@stratfordpanelbeaters.co.nz</t>
  </si>
  <si>
    <t>Stuart Jenkinson Panelbeaters</t>
  </si>
  <si>
    <t>#### / 5003</t>
  </si>
  <si>
    <t>Stuart Jenkinson</t>
  </si>
  <si>
    <t>06 357 6770</t>
  </si>
  <si>
    <t>34 Taunui Street</t>
  </si>
  <si>
    <t>Jenkinson@inspire.net.nz</t>
  </si>
  <si>
    <t>Sun City Car Painters</t>
  </si>
  <si>
    <t>26210 / 3290</t>
  </si>
  <si>
    <t>Stef Evans</t>
  </si>
  <si>
    <t>300 Jervois St</t>
  </si>
  <si>
    <t>suncitycarpainters@gmail.com</t>
  </si>
  <si>
    <t>Taradale Panel &amp; Paint</t>
  </si>
  <si>
    <t>331 / 4038</t>
  </si>
  <si>
    <t>4 Devonshire Place</t>
  </si>
  <si>
    <t>panelman@xtra.co.nz</t>
  </si>
  <si>
    <t>Taupo Smash Repairs</t>
  </si>
  <si>
    <t>8347 / 4062</t>
  </si>
  <si>
    <t>07 378 7807</t>
  </si>
  <si>
    <t>30 Miro Street</t>
  </si>
  <si>
    <t>tauposmash@xtra.co.nz</t>
  </si>
  <si>
    <t>Terry's Panel Shop</t>
  </si>
  <si>
    <t>#### / 2449</t>
  </si>
  <si>
    <t>06 759 1058</t>
  </si>
  <si>
    <t>183 Devon Street West</t>
  </si>
  <si>
    <t>crash@terryspanel.com</t>
  </si>
  <si>
    <t>Tom Ditchfield Panelbeaters</t>
  </si>
  <si>
    <t>#### / 5571</t>
  </si>
  <si>
    <t>Tom ditchfield</t>
  </si>
  <si>
    <t>06 345 3300</t>
  </si>
  <si>
    <t>32 Hatrick Street East</t>
  </si>
  <si>
    <t>tom.don66@gmail.com</t>
  </si>
  <si>
    <t>Universal Autoworks</t>
  </si>
  <si>
    <t>21663/ ####</t>
  </si>
  <si>
    <t>Universal Auto Works</t>
  </si>
  <si>
    <t>700A Warren Street North</t>
  </si>
  <si>
    <t>dughn@yahoo.com</t>
  </si>
  <si>
    <t>Vehicle Solutions Centre</t>
  </si>
  <si>
    <t>35 Mersey Street</t>
  </si>
  <si>
    <t>Village Panel Repairs</t>
  </si>
  <si>
    <t>7186 / 1047</t>
  </si>
  <si>
    <t>Shane Bassick</t>
  </si>
  <si>
    <t>villagepanel@airnet.net.nz</t>
  </si>
  <si>
    <t>Waipukurau Motors Ltd</t>
  </si>
  <si>
    <t>2689 / 3646</t>
  </si>
  <si>
    <t>Garry Carswell</t>
  </si>
  <si>
    <t>06 858 9777</t>
  </si>
  <si>
    <t>9 James St</t>
  </si>
  <si>
    <t>wpkparts@clear.net.nz</t>
  </si>
  <si>
    <t>Wairoa Autobodys</t>
  </si>
  <si>
    <t>332 / ####</t>
  </si>
  <si>
    <t>06 838 7397</t>
  </si>
  <si>
    <t>36 Lucknow Street</t>
  </si>
  <si>
    <t>wairoa.autobodies@xtra.co.nz</t>
  </si>
  <si>
    <t>Wiseman Panelbeaters Limited</t>
  </si>
  <si>
    <t>#### / 3660</t>
  </si>
  <si>
    <t>Wiseman Panelbeaters Ltd</t>
  </si>
  <si>
    <t>Scott Wiseman</t>
  </si>
  <si>
    <t>06 323 8991</t>
  </si>
  <si>
    <t>10 Gladstone Street</t>
  </si>
  <si>
    <t>Feilding</t>
  </si>
  <si>
    <t>scott@wisemanpanel.co.nz</t>
  </si>
  <si>
    <t>Suzuki freight direct</t>
  </si>
  <si>
    <t>Cost</t>
  </si>
  <si>
    <t>Totals</t>
  </si>
  <si>
    <t>BMW Discount codes</t>
  </si>
  <si>
    <t>%</t>
  </si>
  <si>
    <t xml:space="preserve"> x factor</t>
  </si>
  <si>
    <t>Tailgate, Large doors, sill panels</t>
  </si>
  <si>
    <t>A</t>
  </si>
  <si>
    <t>Bumpers. Quarter panels, hoods</t>
  </si>
  <si>
    <t>B</t>
  </si>
  <si>
    <t>Lights, panels</t>
  </si>
  <si>
    <t>C</t>
  </si>
  <si>
    <t>Wheels, mirrors, trims, clips etc</t>
  </si>
  <si>
    <t>D</t>
  </si>
  <si>
    <t>Other</t>
  </si>
  <si>
    <t>E</t>
  </si>
  <si>
    <t>F</t>
  </si>
  <si>
    <t xml:space="preserve">Gizzy on the Go </t>
  </si>
  <si>
    <t>G</t>
  </si>
  <si>
    <t>Gisborne ex Napier</t>
  </si>
  <si>
    <t>H</t>
  </si>
  <si>
    <t>Bumper</t>
  </si>
  <si>
    <t>I</t>
  </si>
  <si>
    <t>Bonnet</t>
  </si>
  <si>
    <t>J</t>
  </si>
  <si>
    <t>Large Box</t>
  </si>
  <si>
    <t>K</t>
  </si>
  <si>
    <t>Med box</t>
  </si>
  <si>
    <t>L</t>
  </si>
  <si>
    <t>Small box</t>
  </si>
  <si>
    <t>M</t>
  </si>
  <si>
    <t>Gisborne ex Hastings</t>
  </si>
  <si>
    <t>O</t>
  </si>
  <si>
    <t>P</t>
  </si>
  <si>
    <t>Q</t>
  </si>
  <si>
    <t>R</t>
  </si>
  <si>
    <t>Med Box</t>
  </si>
  <si>
    <t>S</t>
  </si>
  <si>
    <t>T</t>
  </si>
  <si>
    <t>U</t>
  </si>
  <si>
    <t>Wairoa ex Napier</t>
  </si>
  <si>
    <t>V</t>
  </si>
  <si>
    <t>W</t>
  </si>
  <si>
    <t>X</t>
  </si>
  <si>
    <t>Y</t>
  </si>
  <si>
    <t>Z</t>
  </si>
  <si>
    <t>Small Box</t>
  </si>
  <si>
    <t>Wairoa ex Hastings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</si>
</sst>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164" formatCode="[$-409]mmmm\ d\,\ yyyy;@"/>
    <numFmt numFmtId="165" formatCode="###\ ####"/>
    <numFmt numFmtId="166" formatCode=";;;"/>
    <numFmt numFmtId="167" formatCode="&quot;$&quot;#,##0.00"/>
    <numFmt numFmtId="168" formatCode="&quot;PartsTrader #&quot;\ ######"/>
    <numFmt numFmtId="169" formatCode="[$-409]d\-mmm\-yy;@"/>
    <numFmt numFmtId="170" formatCode="00000000000"/>
  </numFmts>
  <fonts count="2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Wingdings"/>
      <charset val="2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>
      <alignment vertical="top"/>
    </xf>
    <xf numFmtId="0" fontId="4" fillId="0" borderId="0">
      <alignment vertical="top"/>
    </xf>
    <xf numFmtId="0" fontId="4" fillId="0" borderId="0"/>
    <xf numFmtId="0" fontId="5" fillId="3" borderId="0"/>
    <xf numFmtId="44" fontId="3" fillId="0" borderId="0"/>
    <xf numFmtId="9" fontId="3" fillId="0" borderId="0"/>
  </cellStyleXfs>
  <cellXfs count="15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5" fontId="3" fillId="0" borderId="0" xfId="1" applyNumberFormat="1" applyAlignment="1">
      <alignment horizontal="center" vertical="top" wrapText="1"/>
    </xf>
    <xf numFmtId="0" fontId="3" fillId="0" borderId="0" xfId="1" applyAlignment="1">
      <alignment horizontal="center" vertical="top" wrapText="1"/>
    </xf>
    <xf numFmtId="165" fontId="3" fillId="0" borderId="0" xfId="1" applyNumberFormat="1" applyAlignment="1">
      <alignment horizontal="right" vertical="top" wrapText="1"/>
    </xf>
    <xf numFmtId="0" fontId="4" fillId="0" borderId="0" xfId="2" applyAlignment="1">
      <alignment vertical="top"/>
    </xf>
    <xf numFmtId="165" fontId="3" fillId="0" borderId="0" xfId="1" quotePrefix="1" applyNumberFormat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center"/>
    </xf>
    <xf numFmtId="0" fontId="4" fillId="0" borderId="0" xfId="3" applyAlignment="1">
      <alignment vertical="top"/>
    </xf>
    <xf numFmtId="0" fontId="1" fillId="0" borderId="0" xfId="0" applyFont="1"/>
    <xf numFmtId="16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164" fontId="1" fillId="4" borderId="3" xfId="0" applyNumberFormat="1" applyFont="1" applyFill="1" applyBorder="1" applyAlignment="1">
      <alignment horizontal="right" vertical="center"/>
    </xf>
    <xf numFmtId="0" fontId="0" fillId="0" borderId="0" xfId="0" applyAlignment="1" applyProtection="1">
      <alignment vertical="top"/>
      <protection locked="0"/>
    </xf>
    <xf numFmtId="10" fontId="0" fillId="0" borderId="0" xfId="0" applyNumberFormat="1" applyAlignment="1" applyProtection="1">
      <alignment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horizontal="right" vertical="top" wrapText="1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165" fontId="3" fillId="0" borderId="0" xfId="1" applyNumberFormat="1" applyAlignment="1">
      <alignment horizontal="left" vertical="top" wrapText="1"/>
    </xf>
    <xf numFmtId="0" fontId="3" fillId="0" borderId="0" xfId="1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4" applyFont="1" applyFill="1" applyAlignment="1">
      <alignment horizontal="right" vertical="center"/>
    </xf>
    <xf numFmtId="0" fontId="6" fillId="0" borderId="0" xfId="4" applyFont="1" applyFill="1" applyAlignment="1">
      <alignment horizontal="right" vertical="center"/>
    </xf>
    <xf numFmtId="20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0" fillId="5" borderId="5" xfId="0" applyFill="1" applyBorder="1" applyAlignment="1" applyProtection="1">
      <alignment horizontal="right" vertical="top"/>
      <protection locked="0"/>
    </xf>
    <xf numFmtId="0" fontId="1" fillId="0" borderId="0" xfId="0" applyFont="1" applyAlignment="1">
      <alignment horizontal="center" vertical="center"/>
    </xf>
    <xf numFmtId="164" fontId="1" fillId="5" borderId="1" xfId="0" applyNumberFormat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right" vertical="center"/>
    </xf>
    <xf numFmtId="0" fontId="1" fillId="0" borderId="0" xfId="0" quotePrefix="1" applyFont="1" applyAlignment="1">
      <alignment horizontal="left" vertical="center"/>
    </xf>
    <xf numFmtId="9" fontId="6" fillId="3" borderId="0" xfId="4" applyNumberFormat="1" applyFont="1" applyAlignment="1">
      <alignment horizontal="center" vertical="top"/>
    </xf>
    <xf numFmtId="10" fontId="0" fillId="0" borderId="0" xfId="0" applyNumberFormat="1" applyAlignment="1">
      <alignment vertical="top"/>
    </xf>
    <xf numFmtId="1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0" fontId="0" fillId="5" borderId="8" xfId="0" applyFill="1" applyBorder="1" applyAlignment="1" applyProtection="1">
      <alignment horizontal="center" vertical="top"/>
      <protection locked="0"/>
    </xf>
    <xf numFmtId="0" fontId="13" fillId="5" borderId="3" xfId="4" applyFont="1" applyFill="1" applyBorder="1" applyAlignment="1">
      <alignment horizontal="center" vertical="center"/>
    </xf>
    <xf numFmtId="0" fontId="13" fillId="5" borderId="3" xfId="4" applyFont="1" applyFill="1" applyBorder="1" applyAlignment="1">
      <alignment horizontal="right" vertical="center"/>
    </xf>
    <xf numFmtId="0" fontId="13" fillId="3" borderId="0" xfId="4" applyFont="1" applyAlignment="1">
      <alignment horizontal="left" vertical="center"/>
    </xf>
    <xf numFmtId="0" fontId="5" fillId="3" borderId="0" xfId="4" applyAlignment="1">
      <alignment horizontal="right" vertical="center"/>
    </xf>
    <xf numFmtId="0" fontId="13" fillId="3" borderId="0" xfId="4" applyFont="1" applyAlignment="1">
      <alignment horizontal="right" vertical="center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5" borderId="0" xfId="0" applyFont="1" applyFill="1" applyAlignment="1">
      <alignment horizontal="center" vertical="center"/>
    </xf>
    <xf numFmtId="0" fontId="12" fillId="0" borderId="0" xfId="0" applyFont="1"/>
    <xf numFmtId="0" fontId="8" fillId="6" borderId="4" xfId="0" applyFont="1" applyFill="1" applyBorder="1" applyAlignment="1" applyProtection="1">
      <alignment horizontal="right" vertical="top"/>
      <protection locked="0"/>
    </xf>
    <xf numFmtId="0" fontId="0" fillId="0" borderId="0" xfId="0" applyAlignment="1">
      <alignment horizontal="right" vertical="top"/>
    </xf>
    <xf numFmtId="0" fontId="16" fillId="0" borderId="0" xfId="0" applyFont="1" applyAlignment="1">
      <alignment horizontal="left" vertical="center"/>
    </xf>
    <xf numFmtId="9" fontId="1" fillId="0" borderId="3" xfId="6" applyFont="1" applyBorder="1" applyAlignment="1">
      <alignment horizontal="center" vertical="center"/>
    </xf>
    <xf numFmtId="9" fontId="1" fillId="4" borderId="3" xfId="6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4" fillId="0" borderId="0" xfId="3" applyAlignment="1">
      <alignment horizontal="right" vertical="center"/>
    </xf>
    <xf numFmtId="0" fontId="12" fillId="0" borderId="0" xfId="0" applyFont="1" applyAlignment="1">
      <alignment horizontal="right" vertical="top"/>
    </xf>
    <xf numFmtId="164" fontId="18" fillId="0" borderId="0" xfId="0" applyNumberFormat="1" applyFont="1" applyAlignment="1">
      <alignment horizontal="right"/>
    </xf>
    <xf numFmtId="0" fontId="3" fillId="0" borderId="0" xfId="1" applyAlignment="1">
      <alignment horizontal="right" vertical="top" wrapText="1"/>
    </xf>
    <xf numFmtId="0" fontId="1" fillId="0" borderId="2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164" fontId="19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3" fillId="0" borderId="0" xfId="4" applyFont="1" applyFill="1" applyAlignment="1">
      <alignment horizontal="left" vertical="center"/>
    </xf>
    <xf numFmtId="0" fontId="13" fillId="0" borderId="0" xfId="4" applyFont="1" applyFill="1" applyAlignment="1">
      <alignment horizontal="center" vertical="center"/>
    </xf>
    <xf numFmtId="0" fontId="13" fillId="0" borderId="0" xfId="4" applyFont="1" applyFill="1" applyAlignment="1">
      <alignment horizontal="right" vertical="center"/>
    </xf>
    <xf numFmtId="0" fontId="5" fillId="0" borderId="0" xfId="4" applyFill="1" applyAlignment="1">
      <alignment horizontal="right" vertical="center"/>
    </xf>
    <xf numFmtId="0" fontId="3" fillId="0" borderId="0" xfId="1" quotePrefix="1" applyAlignment="1">
      <alignment horizontal="right" vertical="top" wrapText="1"/>
    </xf>
    <xf numFmtId="0" fontId="8" fillId="0" borderId="0" xfId="0" applyFont="1" applyAlignment="1">
      <alignment horizontal="center" vertical="top"/>
    </xf>
    <xf numFmtId="9" fontId="22" fillId="0" borderId="0" xfId="4" applyNumberFormat="1" applyFont="1" applyFill="1" applyAlignment="1">
      <alignment horizontal="right" vertical="top"/>
    </xf>
    <xf numFmtId="9" fontId="8" fillId="0" borderId="0" xfId="6" applyFont="1"/>
    <xf numFmtId="9" fontId="0" fillId="0" borderId="0" xfId="6" applyFont="1"/>
    <xf numFmtId="0" fontId="0" fillId="0" borderId="0" xfId="0" applyAlignment="1" applyProtection="1">
      <alignment horizontal="right" vertical="top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0" xfId="0" applyFont="1" applyAlignment="1">
      <alignment vertical="top"/>
    </xf>
    <xf numFmtId="0" fontId="8" fillId="0" borderId="4" xfId="0" applyFont="1" applyBorder="1" applyAlignment="1" applyProtection="1">
      <alignment horizontal="right" vertical="top" wrapText="1"/>
      <protection locked="0"/>
    </xf>
    <xf numFmtId="0" fontId="9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10" fontId="6" fillId="3" borderId="0" xfId="4" applyNumberFormat="1" applyFont="1" applyAlignment="1">
      <alignment horizontal="center" vertical="top" wrapText="1"/>
    </xf>
    <xf numFmtId="0" fontId="6" fillId="3" borderId="0" xfId="4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1" applyFont="1" applyAlignment="1">
      <alignment vertical="top"/>
    </xf>
    <xf numFmtId="0" fontId="23" fillId="0" borderId="0" xfId="1" applyFont="1" applyAlignment="1">
      <alignment horizontal="right" vertical="top" wrapText="1"/>
    </xf>
    <xf numFmtId="9" fontId="6" fillId="0" borderId="0" xfId="6" applyFont="1" applyAlignment="1">
      <alignment horizontal="center" vertical="top"/>
    </xf>
    <xf numFmtId="167" fontId="1" fillId="0" borderId="0" xfId="0" applyNumberFormat="1" applyFont="1" applyAlignment="1">
      <alignment horizontal="right" vertical="center"/>
    </xf>
    <xf numFmtId="167" fontId="15" fillId="0" borderId="0" xfId="0" applyNumberFormat="1" applyFont="1" applyAlignment="1">
      <alignment horizontal="right" vertical="center"/>
    </xf>
    <xf numFmtId="167" fontId="0" fillId="0" borderId="0" xfId="0" applyNumberFormat="1" applyAlignment="1" applyProtection="1">
      <alignment vertical="top"/>
      <protection locked="0"/>
    </xf>
    <xf numFmtId="167" fontId="0" fillId="0" borderId="0" xfId="0" applyNumberFormat="1" applyAlignment="1">
      <alignment vertical="top"/>
    </xf>
    <xf numFmtId="167" fontId="0" fillId="0" borderId="0" xfId="0" applyNumberFormat="1" applyAlignment="1" applyProtection="1">
      <alignment vertical="top" wrapText="1"/>
      <protection locked="0"/>
    </xf>
    <xf numFmtId="167" fontId="0" fillId="0" borderId="0" xfId="0" applyNumberFormat="1" applyAlignment="1">
      <alignment horizontal="right" vertical="top" wrapText="1"/>
    </xf>
    <xf numFmtId="167" fontId="8" fillId="0" borderId="0" xfId="0" applyNumberFormat="1" applyFont="1" applyAlignment="1" applyProtection="1">
      <alignment vertical="top"/>
      <protection locked="0"/>
    </xf>
    <xf numFmtId="167" fontId="10" fillId="0" borderId="0" xfId="0" applyNumberFormat="1" applyFont="1" applyAlignment="1">
      <alignment vertical="top"/>
    </xf>
    <xf numFmtId="167" fontId="8" fillId="0" borderId="0" xfId="0" applyNumberFormat="1" applyFont="1" applyAlignment="1">
      <alignment vertical="top"/>
    </xf>
    <xf numFmtId="167" fontId="11" fillId="0" borderId="0" xfId="0" applyNumberFormat="1" applyFont="1" applyAlignment="1">
      <alignment horizontal="right" vertical="top"/>
    </xf>
    <xf numFmtId="167" fontId="8" fillId="0" borderId="0" xfId="0" applyNumberFormat="1" applyFont="1" applyAlignment="1">
      <alignment horizontal="center" vertical="top"/>
    </xf>
    <xf numFmtId="167" fontId="0" fillId="0" borderId="0" xfId="0" applyNumberFormat="1" applyAlignment="1" applyProtection="1">
      <alignment horizontal="center" vertical="top" wrapText="1"/>
      <protection locked="0"/>
    </xf>
    <xf numFmtId="167" fontId="0" fillId="0" borderId="0" xfId="0" applyNumberFormat="1" applyAlignment="1" applyProtection="1">
      <alignment horizontal="right" vertical="top" wrapText="1"/>
      <protection locked="0"/>
    </xf>
    <xf numFmtId="167" fontId="0" fillId="0" borderId="0" xfId="0" applyNumberFormat="1" applyAlignment="1">
      <alignment horizontal="center" vertical="top" wrapText="1"/>
    </xf>
    <xf numFmtId="167" fontId="0" fillId="0" borderId="0" xfId="0" applyNumberFormat="1" applyAlignment="1">
      <alignment vertical="top" wrapText="1"/>
    </xf>
    <xf numFmtId="167" fontId="0" fillId="0" borderId="0" xfId="0" applyNumberFormat="1" applyAlignment="1">
      <alignment horizontal="right"/>
    </xf>
    <xf numFmtId="167" fontId="8" fillId="0" borderId="0" xfId="0" applyNumberFormat="1" applyFont="1" applyAlignment="1">
      <alignment horizontal="center"/>
    </xf>
    <xf numFmtId="167" fontId="8" fillId="0" borderId="0" xfId="0" applyNumberFormat="1" applyFont="1"/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right" vertical="center"/>
    </xf>
    <xf numFmtId="0" fontId="18" fillId="0" borderId="0" xfId="0" applyFont="1" applyAlignment="1">
      <alignment horizontal="right"/>
    </xf>
    <xf numFmtId="44" fontId="1" fillId="0" borderId="0" xfId="5" applyFont="1" applyAlignment="1">
      <alignment horizontal="right" vertical="center" wrapText="1"/>
    </xf>
    <xf numFmtId="44" fontId="1" fillId="0" borderId="3" xfId="5" applyFont="1" applyBorder="1" applyAlignment="1">
      <alignment horizontal="right" vertical="center"/>
    </xf>
    <xf numFmtId="44" fontId="1" fillId="0" borderId="0" xfId="0" applyNumberFormat="1" applyFont="1" applyAlignment="1">
      <alignment horizontal="right" vertical="center"/>
    </xf>
    <xf numFmtId="44" fontId="1" fillId="0" borderId="2" xfId="5" applyFont="1" applyBorder="1" applyAlignment="1">
      <alignment horizontal="right" vertical="center"/>
    </xf>
    <xf numFmtId="44" fontId="1" fillId="0" borderId="0" xfId="5" applyFont="1" applyAlignment="1">
      <alignment horizontal="right" vertical="center"/>
    </xf>
    <xf numFmtId="44" fontId="1" fillId="0" borderId="6" xfId="5" applyFont="1" applyBorder="1" applyAlignment="1">
      <alignment horizontal="right" vertical="center"/>
    </xf>
    <xf numFmtId="44" fontId="1" fillId="4" borderId="3" xfId="5" applyFont="1" applyFill="1" applyBorder="1" applyAlignment="1">
      <alignment horizontal="right" vertical="center"/>
    </xf>
    <xf numFmtId="168" fontId="0" fillId="0" borderId="0" xfId="0" applyNumberFormat="1" applyAlignment="1" applyProtection="1">
      <alignment horizontal="left" vertical="top"/>
      <protection locked="0"/>
    </xf>
    <xf numFmtId="44" fontId="0" fillId="0" borderId="0" xfId="0" applyNumberFormat="1" applyAlignment="1">
      <alignment vertical="top"/>
    </xf>
    <xf numFmtId="169" fontId="8" fillId="0" borderId="0" xfId="0" applyNumberFormat="1" applyFont="1" applyAlignment="1">
      <alignment horizontal="center" vertical="top"/>
    </xf>
    <xf numFmtId="44" fontId="0" fillId="0" borderId="0" xfId="5" applyFont="1" applyAlignment="1">
      <alignment horizontal="right" vertical="top"/>
    </xf>
    <xf numFmtId="170" fontId="0" fillId="0" borderId="0" xfId="0" applyNumberFormat="1" applyAlignment="1">
      <alignment vertical="top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166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164" fontId="1" fillId="5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2" fillId="0" borderId="0" xfId="0" applyFont="1" applyAlignment="1">
      <alignment horizontal="center" vertical="top" wrapText="1"/>
    </xf>
    <xf numFmtId="0" fontId="8" fillId="0" borderId="7" xfId="0" applyFont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</cellXfs>
  <cellStyles count="7">
    <cellStyle name="Currency" xfId="5" builtinId="4"/>
    <cellStyle name="Good" xfId="4" builtinId="26"/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Percent" xfId="6" builtinId="5"/>
  </cellStyles>
  <dxfs count="50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alignment horizontal="general" vertical="top"/>
    </dxf>
    <dxf>
      <alignment vertical="top" wrapText="1"/>
    </dxf>
    <dxf>
      <alignment vertical="top" wrapText="1"/>
    </dxf>
    <dxf>
      <alignment vertical="top" wrapText="1"/>
    </dxf>
    <dxf>
      <alignment horizontal="general" vertical="top"/>
    </dxf>
    <dxf>
      <numFmt numFmtId="165" formatCode="###\ ####"/>
      <alignment horizontal="right" vertical="top" wrapText="1"/>
    </dxf>
    <dxf>
      <alignment vertical="top" wrapText="1"/>
    </dxf>
    <dxf>
      <alignment horizontal="general" vertical="top"/>
    </dxf>
    <dxf>
      <alignment horizontal="right" vertical="top" wrapText="1"/>
    </dxf>
    <dxf>
      <alignment horizontal="general" vertical="top"/>
    </dxf>
    <dxf>
      <numFmt numFmtId="0" formatCode="General"/>
      <alignment vertical="top" wrapText="1"/>
    </dxf>
    <dxf>
      <numFmt numFmtId="0" formatCode="General"/>
      <alignment vertical="top" wrapText="1"/>
    </dxf>
    <dxf>
      <alignment vertical="top" wrapText="1"/>
    </dxf>
    <dxf>
      <alignment horizontal="general" vertical="top" wrapText="1"/>
    </dxf>
    <dxf>
      <alignment horizontal="general" vertical="top"/>
    </dxf>
    <dxf>
      <alignment vertical="top"/>
    </dxf>
    <dxf>
      <alignment vertical="top"/>
    </dxf>
    <dxf>
      <alignment horizontal="right" vertical="top"/>
    </dxf>
    <dxf>
      <alignment horizontal="right" vertical="top"/>
    </dxf>
    <dxf>
      <numFmt numFmtId="0" formatCode="General"/>
      <alignment vertical="top"/>
    </dxf>
    <dxf>
      <numFmt numFmtId="0" formatCode="General"/>
      <alignment horizontal="center" vertical="top"/>
    </dxf>
    <dxf>
      <numFmt numFmtId="13" formatCode="0%"/>
      <alignment horizontal="center" vertical="top"/>
      <protection locked="1" hidden="0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167" formatCode="&quot;$&quot;#,##0.00"/>
      <alignment horizontal="general" vertical="top"/>
    </dxf>
    <dxf>
      <numFmt numFmtId="167" formatCode="&quot;$&quot;#,##0.00"/>
      <alignment horizontal="general" vertical="top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0" formatCode="General"/>
      <alignment horizontal="center" vertical="top"/>
      <protection locked="0" hidden="0"/>
    </dxf>
    <dxf>
      <numFmt numFmtId="167" formatCode="&quot;$&quot;#,##0.00"/>
      <alignment horizontal="general" vertical="top"/>
      <protection locked="1" hidden="0"/>
    </dxf>
    <dxf>
      <numFmt numFmtId="167" formatCode="&quot;$&quot;#,##0.00"/>
      <alignment horizontal="general" vertical="top"/>
      <protection locked="0" hidden="0"/>
    </dxf>
    <dxf>
      <numFmt numFmtId="167" formatCode="&quot;$&quot;#,##0.00"/>
      <alignment horizontal="general" vertical="top"/>
      <protection locked="0" hidden="0"/>
    </dxf>
    <dxf>
      <alignment horizontal="center" vertical="top"/>
      <protection locked="0" hidden="0"/>
    </dxf>
    <dxf>
      <alignment horizontal="center" vertical="top"/>
      <protection locked="0" hidden="0"/>
    </dxf>
    <dxf>
      <alignment horizontal="right" vertical="top"/>
      <protection locked="0" hidden="0"/>
    </dxf>
    <dxf>
      <alignment horizontal="left" vertical="top"/>
      <protection locked="0" hidden="0"/>
    </dxf>
    <dxf>
      <alignment vertical="top"/>
      <protection locked="0" hidden="0"/>
    </dxf>
    <dxf>
      <alignment vertical="top"/>
    </dxf>
    <dxf>
      <numFmt numFmtId="167" formatCode="&quot;$&quot;#,##0.00"/>
      <alignment vertical="top" wrapText="1"/>
    </dxf>
    <dxf>
      <font>
        <strike val="0"/>
      </font>
      <fill>
        <patternFill>
          <bgColor rgb="FFFF5757"/>
        </patternFill>
      </fill>
    </dxf>
    <dxf>
      <fill>
        <patternFill>
          <bgColor rgb="FFFF5757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1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strike val="0"/>
      </font>
      <fill>
        <patternFill>
          <bgColor rgb="FFFFC000"/>
        </patternFill>
      </fill>
    </dxf>
    <dxf>
      <font>
        <b/>
        <strike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0</xdr:rowOff>
    </xdr:from>
    <xdr:to>
      <xdr:col>2</xdr:col>
      <xdr:colOff>768163</xdr:colOff>
      <xdr:row>4</xdr:row>
      <xdr:rowOff>109180</xdr:rowOff>
    </xdr:to>
    <xdr:pic>
      <xdr:nvPicPr>
        <xdr:cNvPr id="2" name="Picture 1" descr="Bayswater Vehicl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0"/>
          <a:ext cx="3333750" cy="38540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Y21" totalsRowShown="0" headerRowDxfId="41" dataDxfId="40">
  <tableColumns count="25">
    <tableColumn id="1" xr3:uid="{00000000-0010-0000-0000-000001000000}" name="Item" dataDxfId="39"/>
    <tableColumn id="2" xr3:uid="{00000000-0010-0000-0000-000002000000}" name="PNC" dataDxfId="38"/>
    <tableColumn id="3" xr3:uid="{00000000-0010-0000-0000-000003000000}" name="Part Number" dataDxfId="37"/>
    <tableColumn id="4" xr3:uid="{00000000-0010-0000-0000-000004000000}" name="Qty" dataDxfId="36"/>
    <tableColumn id="25" xr3:uid="{00000000-0010-0000-0000-000019000000}" name="BMW Disc Code" dataDxfId="35"/>
    <tableColumn id="5" xr3:uid="{00000000-0010-0000-0000-000005000000}" name="Retail" dataDxfId="34"/>
    <tableColumn id="11" xr3:uid="{00000000-0010-0000-0000-00000B000000}" name="Daily" dataDxfId="33"/>
    <tableColumn id="6" xr3:uid="{00000000-0010-0000-0000-000006000000}" name=" Smash Buy $" dataDxfId="32">
      <calculatedColumnFormula>IF(Table1[[#This Row],[BMW Disc Code]]="","",IF(OR('Cover Sheet'!$G$7="BMW",'Cover Sheet'!$G$7="Mini"),(Table1[[#This Row],[Retail]]-SUM(VLOOKUP(Table1[[#This Row],[BMW Disc Code]],BMWdisc[#All],2,FALSE)*Table1[[#This Row],[Retail]])),""))</calculatedColumnFormula>
    </tableColumn>
    <tableColumn id="7" xr3:uid="{00000000-0010-0000-0000-000007000000}" name="SOH" dataDxfId="31"/>
    <tableColumn id="8" xr3:uid="{00000000-0010-0000-0000-000008000000}" name="TOTAL Retail" dataDxfId="30">
      <calculatedColumnFormula>IFERROR(IF(ISBLANK(F7),"",IF(ISBLANK(D7),F7,D7*F7)),"")</calculatedColumnFormula>
    </tableColumn>
    <tableColumn id="12" xr3:uid="{00000000-0010-0000-0000-00000C000000}" name="Total Daily" dataDxfId="29">
      <calculatedColumnFormula>IFERROR(IF(ISBLANK(G7),"",IF(ISBLANK(D7),G7,D7*G7)),"")</calculatedColumnFormula>
    </tableColumn>
    <tableColumn id="19" xr3:uid="{00000000-0010-0000-0000-000013000000}" name="Total Smash Buy $" dataDxfId="28">
      <calculatedColumnFormula>IF(Table1[[#This Row],[ Smash Buy $]]="","",Table1[[#This Row],[Qty]]*Table1[[#This Row],[ Smash Buy $]])</calculatedColumnFormula>
    </tableColumn>
    <tableColumn id="18" xr3:uid="{00000000-0010-0000-0000-000012000000}" name="Quoted Unit $" dataDxfId="27">
      <calculatedColumnFormula>IFERROR(IF(ISBLANK(H7),"",ROUNDUP(H7*R7+H7,0)),"")</calculatedColumnFormula>
    </tableColumn>
    <tableColumn id="14" xr3:uid="{00000000-0010-0000-0000-00000E000000}" name="If Fees Incl" dataDxfId="26">
      <calculatedColumnFormula>IF($C$5="I",ROUNDUP(M7*1.035,2),M7)</calculatedColumnFormula>
    </tableColumn>
    <tableColumn id="9" xr3:uid="{00000000-0010-0000-0000-000009000000}" name="Quoted Total $" dataDxfId="25">
      <calculatedColumnFormula>IFERROR(IF(ISBLANK(M7),"",IF(D7="",N7,D7*N7)),"")</calculatedColumnFormula>
    </tableColumn>
    <tableColumn id="17" xr3:uid="{00000000-0010-0000-0000-000011000000}" name="Sub Totals" dataDxfId="24">
      <calculatedColumnFormula>SUM(O7:O21)</calculatedColumnFormula>
    </tableColumn>
    <tableColumn id="13" xr3:uid="{00000000-0010-0000-0000-00000D000000}" name="Quoted $" dataDxfId="23">
      <calculatedColumnFormula>IFERROR(IF(ISBLANK(Table1[[#This Row],[Item]]),"",D7*N7),"")</calculatedColumnFormula>
    </tableColumn>
    <tableColumn id="15" xr3:uid="{00000000-0010-0000-0000-00000F000000}" name="% markup" dataDxfId="22">
      <calculatedColumnFormula>IF(H7="","",$R$2)</calculatedColumnFormula>
    </tableColumn>
    <tableColumn id="16" xr3:uid="{00000000-0010-0000-0000-000010000000}" name="% margin" dataDxfId="21">
      <calculatedColumnFormula>IF(Table1[[#This Row],[Total Smash Buy $]]="","",ROUND(100-(Table1[[#This Row],[Total Smash Buy $]]/Table1[[#This Row],[Quoted Total $]]*100),0)&amp;"%")</calculatedColumnFormula>
    </tableColumn>
    <tableColumn id="10" xr3:uid="{00000000-0010-0000-0000-00000A000000}" name="Condensed part #" dataDxfId="20">
      <calculatedColumnFormula>IF(OR('Cover Sheet'!$G$7="Suzuki",'Cover Sheet'!$G$7="Isuzu",'Cover Sheet'!$G$7="BMW",'Cover Sheet'!$G$7="Mini"),SUBSTITUTE(SUBSTITUTE(Table1[[#This Row],[Part Number]],"-","")," ",""),"")</calculatedColumnFormula>
    </tableColumn>
    <tableColumn id="20" xr3:uid="{00000000-0010-0000-0000-000014000000}" name="ETA / Rec'd Date" dataDxfId="19"/>
    <tableColumn id="21" xr3:uid="{00000000-0010-0000-0000-000015000000}" name="Supplier Inv #" dataDxfId="18"/>
    <tableColumn id="23" xr3:uid="{00000000-0010-0000-0000-000017000000}" name="Location / Date dispatched" dataDxfId="17"/>
    <tableColumn id="24" xr3:uid="{00000000-0010-0000-0000-000018000000}" name="Dispatched via" dataDxfId="16"/>
    <tableColumn id="22" xr3:uid="{00000000-0010-0000-0000-000016000000}" name="Our Inv #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L99" totalsRowShown="0" headerRowDxfId="14" dataDxfId="13">
  <autoFilter ref="A1:L99" xr:uid="{00000000-0009-0000-0100-000002000000}"/>
  <sortState xmlns:xlrd2="http://schemas.microsoft.com/office/spreadsheetml/2017/richdata2" ref="A2:L99">
    <sortCondition ref="C99"/>
  </sortState>
  <tableColumns count="12">
    <tableColumn id="11" xr3:uid="{00000000-0010-0000-0100-00000B000000}" name="Column2" dataDxfId="12">
      <calculatedColumnFormula>IFERROR(RANK(B2,$B$2:$B$203,1),"")</calculatedColumnFormula>
    </tableColumn>
    <tableColumn id="9" xr3:uid="{00000000-0010-0000-0100-000009000000}" name="Column1" dataDxfId="11">
      <calculatedColumnFormula>IFERROR(SEARCH('Cover Sheet'!$J$1,Table3[[#This Row],[Business 2]])+ROW()/100000,"")</calculatedColumnFormula>
    </tableColumn>
    <tableColumn id="4" xr3:uid="{00000000-0010-0000-0100-000004000000}" name="Business " dataDxfId="10" dataCellStyle="Normal 2"/>
    <tableColumn id="12" xr3:uid="{00000000-0010-0000-0100-00000C000000}" name="A/c #" dataDxfId="9" dataCellStyle="Normal 2"/>
    <tableColumn id="1" xr3:uid="{00000000-0010-0000-0100-000001000000}" name="Business 2" dataDxfId="8"/>
    <tableColumn id="2" xr3:uid="{00000000-0010-0000-0100-000002000000}" name="Contact" dataDxfId="7"/>
    <tableColumn id="3" xr3:uid="{00000000-0010-0000-0100-000003000000}" name="Phone" dataDxfId="6"/>
    <tableColumn id="5" xr3:uid="{00000000-0010-0000-0100-000005000000}" name="Street" dataDxfId="5"/>
    <tableColumn id="6" xr3:uid="{00000000-0010-0000-0100-000006000000}" name="Suburb" dataDxfId="4"/>
    <tableColumn id="7" xr3:uid="{00000000-0010-0000-0100-000007000000}" name="City" dataDxfId="3"/>
    <tableColumn id="8" xr3:uid="{00000000-0010-0000-0100-000008000000}" name="Post Code" dataDxfId="2"/>
    <tableColumn id="10" xr3:uid="{00000000-0010-0000-0100-00000A000000}" name="Email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MWdisc" displayName="BMWdisc" ref="K1:M27" totalsRowShown="0" headerRowDxfId="0">
  <tableColumns count="3">
    <tableColumn id="1" xr3:uid="{00000000-0010-0000-0200-000001000000}" name="BMW Discount codes"/>
    <tableColumn id="2" xr3:uid="{00000000-0010-0000-0200-000002000000}" name="%" dataCellStyle="Percent"/>
    <tableColumn id="3" xr3:uid="{00000000-0010-0000-0200-000003000000}" name=" x fact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eliteautospray@xtra.co.nz" TargetMode="External"/><Relationship Id="rId21" Type="http://schemas.openxmlformats.org/officeDocument/2006/relationships/hyperlink" Target="mailto:dgooch@xtra.co.nz" TargetMode="External"/><Relationship Id="rId42" Type="http://schemas.openxmlformats.org/officeDocument/2006/relationships/hyperlink" Target="mailto:admin@hrpp.co.nz" TargetMode="External"/><Relationship Id="rId47" Type="http://schemas.openxmlformats.org/officeDocument/2006/relationships/hyperlink" Target="mailto:manawatuautobodies@gmail.com" TargetMode="External"/><Relationship Id="rId63" Type="http://schemas.openxmlformats.org/officeDocument/2006/relationships/hyperlink" Target="mailto:priorandpalmer@gmail.com" TargetMode="External"/><Relationship Id="rId68" Type="http://schemas.openxmlformats.org/officeDocument/2006/relationships/hyperlink" Target="mailto:panelshop@hbtow.co.nz" TargetMode="External"/><Relationship Id="rId16" Type="http://schemas.openxmlformats.org/officeDocument/2006/relationships/hyperlink" Target="mailto:c.whiteautoelec@xtra.co.nz" TargetMode="External"/><Relationship Id="rId11" Type="http://schemas.openxmlformats.org/officeDocument/2006/relationships/hyperlink" Target="mailto:bzone@xtra.co.nz" TargetMode="External"/><Relationship Id="rId32" Type="http://schemas.openxmlformats.org/officeDocument/2006/relationships/hyperlink" Target="mailto:parts@geemotors.co.nz" TargetMode="External"/><Relationship Id="rId37" Type="http://schemas.openxmlformats.org/officeDocument/2006/relationships/hyperlink" Target="mailto:greertonpanel@kinect.co.nz" TargetMode="External"/><Relationship Id="rId53" Type="http://schemas.openxmlformats.org/officeDocument/2006/relationships/hyperlink" Target="mailto:ncpp@xtra.co.nz" TargetMode="External"/><Relationship Id="rId58" Type="http://schemas.openxmlformats.org/officeDocument/2006/relationships/hyperlink" Target="mailto:panelpaint@actrix.co.nz" TargetMode="External"/><Relationship Id="rId74" Type="http://schemas.openxmlformats.org/officeDocument/2006/relationships/hyperlink" Target="mailto:panelman@xtra.co.nz" TargetMode="External"/><Relationship Id="rId79" Type="http://schemas.openxmlformats.org/officeDocument/2006/relationships/hyperlink" Target="mailto:villagepanel@airnet.net.nz" TargetMode="External"/><Relationship Id="rId5" Type="http://schemas.openxmlformats.org/officeDocument/2006/relationships/hyperlink" Target="mailto:ansin.montieth@xtra.co.nz" TargetMode="External"/><Relationship Id="rId61" Type="http://schemas.openxmlformats.org/officeDocument/2006/relationships/hyperlink" Target="mailto:p.morgans2020@gmail.com" TargetMode="External"/><Relationship Id="rId82" Type="http://schemas.openxmlformats.org/officeDocument/2006/relationships/hyperlink" Target="mailto:scott@wisemanpanel.co.nz" TargetMode="External"/><Relationship Id="rId19" Type="http://schemas.openxmlformats.org/officeDocument/2006/relationships/hyperlink" Target="mailto:collingandgray@xtra.co.nz" TargetMode="External"/><Relationship Id="rId14" Type="http://schemas.openxmlformats.org/officeDocument/2006/relationships/hyperlink" Target="mailto:chbmotors@xtra.co.nz" TargetMode="External"/><Relationship Id="rId22" Type="http://schemas.openxmlformats.org/officeDocument/2006/relationships/hyperlink" Target="mailto:dentspanel@xtra.co.nz" TargetMode="External"/><Relationship Id="rId27" Type="http://schemas.openxmlformats.org/officeDocument/2006/relationships/hyperlink" Target="mailto:endless1@xtra.co.nz" TargetMode="External"/><Relationship Id="rId30" Type="http://schemas.openxmlformats.org/officeDocument/2006/relationships/hyperlink" Target="mailto:office@friendandwistrand.co.nz" TargetMode="External"/><Relationship Id="rId35" Type="http://schemas.openxmlformats.org/officeDocument/2006/relationships/hyperlink" Target="mailto:admin@hbcollision.co.nz" TargetMode="External"/><Relationship Id="rId43" Type="http://schemas.openxmlformats.org/officeDocument/2006/relationships/hyperlink" Target="mailto:motorhamilton@iag.co.nz" TargetMode="External"/><Relationship Id="rId48" Type="http://schemas.openxmlformats.org/officeDocument/2006/relationships/hyperlink" Target="mailto:marty@martyspanelandpaintltd.co.nz" TargetMode="External"/><Relationship Id="rId56" Type="http://schemas.openxmlformats.org/officeDocument/2006/relationships/hyperlink" Target="mailto:oka.crashrepair@xtra.co.nz" TargetMode="External"/><Relationship Id="rId64" Type="http://schemas.openxmlformats.org/officeDocument/2006/relationships/hyperlink" Target="mailto:admin@psyslater.co.nz" TargetMode="External"/><Relationship Id="rId69" Type="http://schemas.openxmlformats.org/officeDocument/2006/relationships/hyperlink" Target="mailto:rfpanelbeaters@xtra.co.nz" TargetMode="External"/><Relationship Id="rId77" Type="http://schemas.openxmlformats.org/officeDocument/2006/relationships/hyperlink" Target="mailto:tom.don66@gmail.com" TargetMode="External"/><Relationship Id="rId8" Type="http://schemas.openxmlformats.org/officeDocument/2006/relationships/hyperlink" Target="mailto:autopanels@xtra.co.nz" TargetMode="External"/><Relationship Id="rId51" Type="http://schemas.openxmlformats.org/officeDocument/2006/relationships/hyperlink" Target="mailto:admin@ncrc.nz" TargetMode="External"/><Relationship Id="rId72" Type="http://schemas.openxmlformats.org/officeDocument/2006/relationships/hyperlink" Target="mailto:Jenkinson@inspire.net.nz" TargetMode="External"/><Relationship Id="rId80" Type="http://schemas.openxmlformats.org/officeDocument/2006/relationships/hyperlink" Target="mailto:wpkparts@clear.net.nz" TargetMode="External"/><Relationship Id="rId3" Type="http://schemas.openxmlformats.org/officeDocument/2006/relationships/hyperlink" Target="mailto:accurateautomotive@xtra.co.nz" TargetMode="External"/><Relationship Id="rId12" Type="http://schemas.openxmlformats.org/officeDocument/2006/relationships/hyperlink" Target="mailto:jackpanel@xtra.co.nz" TargetMode="External"/><Relationship Id="rId17" Type="http://schemas.openxmlformats.org/officeDocument/2006/relationships/hyperlink" Target="mailto:cityautopainters@gmail.com" TargetMode="External"/><Relationship Id="rId25" Type="http://schemas.openxmlformats.org/officeDocument/2006/relationships/hyperlink" Target="mailto:dwpanelbeaters@xtra.co.nz" TargetMode="External"/><Relationship Id="rId33" Type="http://schemas.openxmlformats.org/officeDocument/2006/relationships/hyperlink" Target="mailto:panel@gisbornemotors.co.nz" TargetMode="External"/><Relationship Id="rId38" Type="http://schemas.openxmlformats.org/officeDocument/2006/relationships/hyperlink" Target="mailto:harts.bodyshop@xtra.co.nz" TargetMode="External"/><Relationship Id="rId46" Type="http://schemas.openxmlformats.org/officeDocument/2006/relationships/hyperlink" Target="mailto:lexmillerpsp@gmail.com" TargetMode="External"/><Relationship Id="rId59" Type="http://schemas.openxmlformats.org/officeDocument/2006/relationships/hyperlink" Target="mailto:panelbeata@xtra.co.nz" TargetMode="External"/><Relationship Id="rId67" Type="http://schemas.openxmlformats.org/officeDocument/2006/relationships/hyperlink" Target="mailto:robharveypanelbeaters338@gmail.com" TargetMode="External"/><Relationship Id="rId20" Type="http://schemas.openxmlformats.org/officeDocument/2006/relationships/hyperlink" Target="mailto:dartpanel@gmail.com" TargetMode="External"/><Relationship Id="rId41" Type="http://schemas.openxmlformats.org/officeDocument/2006/relationships/hyperlink" Target="mailto:admin@hbcollision.co.nz" TargetMode="External"/><Relationship Id="rId54" Type="http://schemas.openxmlformats.org/officeDocument/2006/relationships/hyperlink" Target="mailto:gisborne@novus.co.nz" TargetMode="External"/><Relationship Id="rId62" Type="http://schemas.openxmlformats.org/officeDocument/2006/relationships/hyperlink" Target="mailto:plpbe@xtra.co.nz" TargetMode="External"/><Relationship Id="rId70" Type="http://schemas.openxmlformats.org/officeDocument/2006/relationships/hyperlink" Target="mailto:admin@stichautos.co.nz" TargetMode="External"/><Relationship Id="rId75" Type="http://schemas.openxmlformats.org/officeDocument/2006/relationships/hyperlink" Target="mailto:tauposmash@xtra.co.nz" TargetMode="External"/><Relationship Id="rId83" Type="http://schemas.openxmlformats.org/officeDocument/2006/relationships/table" Target="../tables/table2.xml"/><Relationship Id="rId1" Type="http://schemas.openxmlformats.org/officeDocument/2006/relationships/hyperlink" Target="mailto:aandaautowrks@gmail.com" TargetMode="External"/><Relationship Id="rId6" Type="http://schemas.openxmlformats.org/officeDocument/2006/relationships/hyperlink" Target="mailto:apexpanel@xtra.co.nz" TargetMode="External"/><Relationship Id="rId15" Type="http://schemas.openxmlformats.org/officeDocument/2006/relationships/hyperlink" Target="mailto:chris@chrispanelandpaint.co.nz" TargetMode="External"/><Relationship Id="rId23" Type="http://schemas.openxmlformats.org/officeDocument/2006/relationships/hyperlink" Target="mailto:workshop@dewescontractors.co.nz" TargetMode="External"/><Relationship Id="rId28" Type="http://schemas.openxmlformats.org/officeDocument/2006/relationships/hyperlink" Target="mailto:parts@enterprisemg.co.nz" TargetMode="External"/><Relationship Id="rId36" Type="http://schemas.openxmlformats.org/officeDocument/2006/relationships/hyperlink" Target="mailto:admin@gpp.net.nz" TargetMode="External"/><Relationship Id="rId49" Type="http://schemas.openxmlformats.org/officeDocument/2006/relationships/hyperlink" Target="mailto:panel@autocity.co.nz" TargetMode="External"/><Relationship Id="rId57" Type="http://schemas.openxmlformats.org/officeDocument/2006/relationships/hyperlink" Target="mailto:info@pnpanelandpaint.co.nz" TargetMode="External"/><Relationship Id="rId10" Type="http://schemas.openxmlformats.org/officeDocument/2006/relationships/hyperlink" Target="mailto:bell-blockpanelbeaters@xtra.co.nz" TargetMode="External"/><Relationship Id="rId31" Type="http://schemas.openxmlformats.org/officeDocument/2006/relationships/hyperlink" Target="mailto:admin@gbglass.co.nz" TargetMode="External"/><Relationship Id="rId44" Type="http://schemas.openxmlformats.org/officeDocument/2006/relationships/hyperlink" Target="mailto:admin@kawans.co.nz" TargetMode="External"/><Relationship Id="rId52" Type="http://schemas.openxmlformats.org/officeDocument/2006/relationships/hyperlink" Target="mailto:mrfixnp@xtra.co.nz" TargetMode="External"/><Relationship Id="rId60" Type="http://schemas.openxmlformats.org/officeDocument/2006/relationships/hyperlink" Target="mailto:plong@inspire.net.nz" TargetMode="External"/><Relationship Id="rId65" Type="http://schemas.openxmlformats.org/officeDocument/2006/relationships/hyperlink" Target="mailto:admin@qam.co.nz" TargetMode="External"/><Relationship Id="rId73" Type="http://schemas.openxmlformats.org/officeDocument/2006/relationships/hyperlink" Target="mailto:suncitycarpainters@gmail.com" TargetMode="External"/><Relationship Id="rId78" Type="http://schemas.openxmlformats.org/officeDocument/2006/relationships/hyperlink" Target="mailto:dughn@yahoo.com" TargetMode="External"/><Relationship Id="rId81" Type="http://schemas.openxmlformats.org/officeDocument/2006/relationships/hyperlink" Target="mailto:wairoa.autobodies@xtra.co.nz" TargetMode="External"/><Relationship Id="rId4" Type="http://schemas.openxmlformats.org/officeDocument/2006/relationships/hyperlink" Target="mailto:admin@akpp.co.nz" TargetMode="External"/><Relationship Id="rId9" Type="http://schemas.openxmlformats.org/officeDocument/2006/relationships/hyperlink" Target="mailto:aztechpanel@actrix.co.nz" TargetMode="External"/><Relationship Id="rId13" Type="http://schemas.openxmlformats.org/officeDocument/2006/relationships/hyperlink" Target="mailto:jbaty@gisborne.net.nz" TargetMode="External"/><Relationship Id="rId18" Type="http://schemas.openxmlformats.org/officeDocument/2006/relationships/hyperlink" Target="mailto:admin@citycollision.co.nz" TargetMode="External"/><Relationship Id="rId39" Type="http://schemas.openxmlformats.org/officeDocument/2006/relationships/hyperlink" Target="mailto:hastingspanelrepairs@clear.net.nz" TargetMode="External"/><Relationship Id="rId34" Type="http://schemas.openxmlformats.org/officeDocument/2006/relationships/hyperlink" Target="mailto:gmpanel@xtra.co.nz" TargetMode="External"/><Relationship Id="rId50" Type="http://schemas.openxmlformats.org/officeDocument/2006/relationships/hyperlink" Target="mailto:parts@mcverrycrawford.co.nz" TargetMode="External"/><Relationship Id="rId55" Type="http://schemas.openxmlformats.org/officeDocument/2006/relationships/hyperlink" Target="mailto:napier@novus.co.nz" TargetMode="External"/><Relationship Id="rId76" Type="http://schemas.openxmlformats.org/officeDocument/2006/relationships/hyperlink" Target="mailto:crash@terryspanel.com" TargetMode="External"/><Relationship Id="rId7" Type="http://schemas.openxmlformats.org/officeDocument/2006/relationships/hyperlink" Target="mailto:panel.shop@autopanelandpaint.co.nz" TargetMode="External"/><Relationship Id="rId71" Type="http://schemas.openxmlformats.org/officeDocument/2006/relationships/hyperlink" Target="mailto:office@stratfordpanelbeaters.co.nz" TargetMode="External"/><Relationship Id="rId2" Type="http://schemas.openxmlformats.org/officeDocument/2006/relationships/hyperlink" Target="mailto:info@ampanel.co.nz" TargetMode="External"/><Relationship Id="rId29" Type="http://schemas.openxmlformats.org/officeDocument/2006/relationships/hyperlink" Target="mailto:parts@eurocity.co.nz" TargetMode="External"/><Relationship Id="rId24" Type="http://schemas.openxmlformats.org/officeDocument/2006/relationships/hyperlink" Target="mailto:info@dittmer.co.nz" TargetMode="External"/><Relationship Id="rId40" Type="http://schemas.openxmlformats.org/officeDocument/2006/relationships/hyperlink" Target="mailto:hnpanel@gmail.com" TargetMode="External"/><Relationship Id="rId45" Type="http://schemas.openxmlformats.org/officeDocument/2006/relationships/hyperlink" Target="mailto:admin@larsencollision.co.nz" TargetMode="External"/><Relationship Id="rId66" Type="http://schemas.openxmlformats.org/officeDocument/2006/relationships/hyperlink" Target="mailto:rightpanelbeaters@xtra.co.n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40"/>
  <sheetViews>
    <sheetView topLeftCell="A13" zoomScale="85" zoomScaleNormal="85" workbookViewId="0">
      <selection activeCell="K1" sqref="K1"/>
    </sheetView>
  </sheetViews>
  <sheetFormatPr defaultColWidth="18.265625" defaultRowHeight="21.95" customHeight="1" x14ac:dyDescent="0.45"/>
  <cols>
    <col min="1" max="1" width="12.3984375" style="119" bestFit="1" customWidth="1"/>
    <col min="2" max="2" width="26.3984375" style="119" customWidth="1"/>
    <col min="3" max="4" width="11.73046875" style="119" customWidth="1"/>
    <col min="5" max="5" width="20.1328125" style="119" bestFit="1" customWidth="1"/>
    <col min="6" max="6" width="0.73046875" style="119" customWidth="1"/>
    <col min="7" max="7" width="19.73046875" style="119" bestFit="1" customWidth="1"/>
    <col min="8" max="9" width="18.265625" style="119" customWidth="1"/>
    <col min="10" max="10" width="21.73046875" style="119" bestFit="1" customWidth="1"/>
    <col min="11" max="14" width="18.265625" style="119" customWidth="1"/>
    <col min="15" max="16384" width="18.265625" style="119"/>
  </cols>
  <sheetData>
    <row r="1" spans="1:15" s="115" customFormat="1" ht="21" customHeight="1" x14ac:dyDescent="0.45">
      <c r="A1" s="140"/>
      <c r="B1" s="71" t="str">
        <f>IF(G18="","ORDERED",G18)</f>
        <v>ORDERED</v>
      </c>
      <c r="C1" s="34"/>
      <c r="G1" s="115" t="str">
        <f>IF(B18="","",B18)</f>
        <v/>
      </c>
      <c r="H1" s="51"/>
      <c r="I1" s="53" t="s">
        <v>0</v>
      </c>
      <c r="J1" s="49"/>
      <c r="K1" s="50"/>
      <c r="L1" s="51" t="s">
        <v>1</v>
      </c>
      <c r="M1" s="52"/>
      <c r="O1" s="115" t="str">
        <f>IF(G12="","","Quote " &amp; G12)</f>
        <v/>
      </c>
    </row>
    <row r="2" spans="1:15" s="115" customFormat="1" ht="21" customHeight="1" x14ac:dyDescent="0.45">
      <c r="A2" s="141"/>
      <c r="B2" s="73" t="str">
        <f>IF(G20="","Confirmed",IF(G7="Hyundai","PSORD " &amp;G20,IF(G7="Isuzu","IPSO " &amp;G20,G20)))</f>
        <v>Confirmed</v>
      </c>
      <c r="C2" s="34"/>
      <c r="E2" s="70"/>
      <c r="F2" s="70"/>
      <c r="G2" s="70" t="str">
        <f>IF(G5="","","PT " &amp; G5)</f>
        <v/>
      </c>
      <c r="H2" s="75"/>
      <c r="I2" s="77"/>
      <c r="J2" s="76" t="str">
        <f>Quote!U1</f>
        <v xml:space="preserve">  </v>
      </c>
      <c r="K2" s="77"/>
      <c r="L2" s="75"/>
      <c r="M2" s="78"/>
    </row>
    <row r="3" spans="1:15" s="115" customFormat="1" ht="21" customHeight="1" x14ac:dyDescent="0.45">
      <c r="A3" s="141"/>
      <c r="B3" s="74" t="str">
        <f>IF(G12="","","Quote " &amp; G12)</f>
        <v/>
      </c>
      <c r="E3" s="70"/>
      <c r="F3" s="70"/>
      <c r="G3" s="72" t="str">
        <f>G9 &amp; " " &amp; G7 &amp; " " &amp; G8 &amp; " " &amp; G6</f>
        <v xml:space="preserve">   </v>
      </c>
      <c r="I3" s="36">
        <v>1</v>
      </c>
      <c r="J3" s="35" t="str">
        <f>IFERROR(IF(J1="","",VLOOKUP(I3,Table3[#All],3,FALSE)),"")</f>
        <v/>
      </c>
      <c r="K3" s="115" t="str">
        <f>IFERROR(VLOOKUP(J3,Table3[[#All],[Business ]:[A/c '#]],2,FALSE),"")</f>
        <v/>
      </c>
    </row>
    <row r="4" spans="1:15" ht="21.95" customHeight="1" x14ac:dyDescent="0.5">
      <c r="A4" s="12"/>
      <c r="E4" s="119" t="s">
        <v>2</v>
      </c>
      <c r="G4" s="39"/>
      <c r="I4" s="14">
        <v>2</v>
      </c>
      <c r="J4" s="1" t="str">
        <f>IFERROR(IF(J3="","",VLOOKUP(I4,Table3[#All],3,FALSE)),"")</f>
        <v/>
      </c>
      <c r="K4" s="119" t="str">
        <f>IFERROR(VLOOKUP(J4,Table3[[#All],[Business ]:[A/c '#]],2,FALSE),"")</f>
        <v/>
      </c>
    </row>
    <row r="5" spans="1:15" ht="21.95" customHeight="1" x14ac:dyDescent="0.45">
      <c r="E5" s="119" t="s">
        <v>3</v>
      </c>
      <c r="G5" s="121"/>
      <c r="I5" s="14">
        <v>3</v>
      </c>
      <c r="J5" s="1" t="str">
        <f>IFERROR(IF(J4="","",VLOOKUP(I5,Table3[#All],3,FALSE)),"")</f>
        <v/>
      </c>
      <c r="K5" s="119" t="str">
        <f>IFERROR(VLOOKUP(J5,Table3[[#All],[Business ]:[A/c '#]],2,FALSE),"")</f>
        <v/>
      </c>
    </row>
    <row r="6" spans="1:15" ht="21.95" customHeight="1" x14ac:dyDescent="0.45">
      <c r="A6" s="1"/>
      <c r="B6" s="38"/>
      <c r="E6" s="119" t="s">
        <v>4</v>
      </c>
      <c r="G6" s="121"/>
      <c r="I6" s="14">
        <v>4</v>
      </c>
      <c r="J6" s="1" t="str">
        <f>IFERROR(IF(J5="","",VLOOKUP(I6,Table3[#All],3,FALSE)),"")</f>
        <v/>
      </c>
      <c r="K6" s="119" t="str">
        <f>IFERROR(VLOOKUP(J6,Table3[[#All],[Business ]:[A/c '#]],2,FALSE),"")</f>
        <v/>
      </c>
    </row>
    <row r="7" spans="1:15" ht="21.95" customHeight="1" x14ac:dyDescent="0.45">
      <c r="A7" s="1"/>
      <c r="B7" s="38" t="s">
        <v>5</v>
      </c>
      <c r="C7" s="61" t="s">
        <v>6</v>
      </c>
      <c r="E7" s="119" t="s">
        <v>7</v>
      </c>
      <c r="G7" s="121"/>
      <c r="I7" s="14">
        <v>5</v>
      </c>
      <c r="J7" s="1" t="str">
        <f>IFERROR(IF(J6="","",VLOOKUP(I7,Table3[#All],3,FALSE)),"")</f>
        <v/>
      </c>
      <c r="K7" s="119" t="str">
        <f>IFERROR(VLOOKUP(J7,Table3[[#All],[Business ]:[A/c '#]],2,FALSE),"")</f>
        <v/>
      </c>
    </row>
    <row r="8" spans="1:15" ht="21.95" customHeight="1" x14ac:dyDescent="0.45">
      <c r="A8" s="1"/>
      <c r="B8" s="38" t="s">
        <v>8</v>
      </c>
      <c r="C8" s="1"/>
      <c r="E8" s="119" t="s">
        <v>9</v>
      </c>
      <c r="G8" s="121"/>
      <c r="I8" s="14">
        <v>6</v>
      </c>
      <c r="J8" s="1" t="str">
        <f>IFERROR(IF(J7="","",VLOOKUP(I8,Table3[#All],3,FALSE)),"")</f>
        <v/>
      </c>
      <c r="K8" s="119" t="str">
        <f>IFERROR(VLOOKUP(J8,Table3[[#All],[Business ]:[A/c '#]],2,FALSE),"")</f>
        <v/>
      </c>
    </row>
    <row r="9" spans="1:15" ht="21.95" customHeight="1" x14ac:dyDescent="0.45">
      <c r="A9" s="1"/>
      <c r="B9" s="38"/>
      <c r="C9" s="1"/>
      <c r="E9" s="119" t="s">
        <v>10</v>
      </c>
      <c r="G9" s="121"/>
      <c r="I9" s="14">
        <v>7</v>
      </c>
      <c r="J9" s="1" t="str">
        <f>IFERROR(IF(J8="","",VLOOKUP(I9,Table3[#All],3,FALSE)),"")</f>
        <v/>
      </c>
      <c r="K9" s="119" t="str">
        <f>IFERROR(VLOOKUP(J9,Table3[[#All],[Business ]:[A/c '#]],2,FALSE),"")</f>
        <v/>
      </c>
    </row>
    <row r="10" spans="1:15" ht="21.95" customHeight="1" x14ac:dyDescent="0.45">
      <c r="A10" s="1"/>
      <c r="B10" s="38"/>
      <c r="C10" s="1"/>
      <c r="D10" s="1"/>
      <c r="E10" s="119" t="s">
        <v>11</v>
      </c>
      <c r="G10" s="121"/>
      <c r="I10" s="17"/>
      <c r="J10" s="18"/>
      <c r="K10" s="118"/>
    </row>
    <row r="11" spans="1:15" ht="21.95" customHeight="1" x14ac:dyDescent="0.45">
      <c r="A11" s="1"/>
      <c r="B11" s="38"/>
      <c r="C11" s="1"/>
      <c r="D11" s="119" t="s">
        <v>12</v>
      </c>
      <c r="E11" s="3"/>
      <c r="F11" s="3"/>
      <c r="G11" s="40"/>
    </row>
    <row r="12" spans="1:15" ht="21.95" customHeight="1" x14ac:dyDescent="0.45">
      <c r="A12" s="1"/>
      <c r="B12" s="38"/>
      <c r="E12" s="119" t="s">
        <v>13</v>
      </c>
      <c r="G12" s="69" t="str">
        <f>IF(ISBLANK(Quote!C4),"",Quote!C4)</f>
        <v/>
      </c>
    </row>
    <row r="13" spans="1:15" ht="21.95" customHeight="1" x14ac:dyDescent="0.45">
      <c r="A13" s="142" t="s">
        <v>14</v>
      </c>
      <c r="B13" s="143"/>
      <c r="C13" s="143"/>
      <c r="D13" s="143"/>
    </row>
    <row r="14" spans="1:15" ht="36.75" customHeight="1" x14ac:dyDescent="0.45">
      <c r="A14" s="15" t="s">
        <v>15</v>
      </c>
      <c r="B14" s="15" t="s">
        <v>16</v>
      </c>
      <c r="C14" s="16" t="s">
        <v>17</v>
      </c>
      <c r="D14" s="16" t="s">
        <v>18</v>
      </c>
      <c r="E14" s="15" t="s">
        <v>19</v>
      </c>
      <c r="G14" s="119" t="s">
        <v>20</v>
      </c>
      <c r="J14" s="123">
        <f>SUM(J15:J99)</f>
        <v>0</v>
      </c>
      <c r="K14" s="123">
        <f>SUM(K15:K99)</f>
        <v>0</v>
      </c>
    </row>
    <row r="15" spans="1:15" ht="21.95" customHeight="1" x14ac:dyDescent="0.45">
      <c r="A15" s="41"/>
      <c r="B15" s="42" t="str">
        <f>IF(ISBLANK(G4),"",G4)</f>
        <v/>
      </c>
      <c r="C15" s="124">
        <f>IF(Quote!Q2="","",Quote!Q2)</f>
        <v>0</v>
      </c>
      <c r="D15" s="124">
        <f>IF(Quote!H2="","",Quote!H2)</f>
        <v>0</v>
      </c>
      <c r="E15" s="62" t="str">
        <f>IF(D15=0,"",IF(Quote!C5="I",ROUND(1-(D15/(C15/1.035)),2),ROUND(1-(D15/C15),2)))</f>
        <v/>
      </c>
      <c r="G15" s="125">
        <f>IF(G21="included",C15-D15-(H22-(G24-Freight!G1)),C15-D15)</f>
        <v>0</v>
      </c>
    </row>
    <row r="16" spans="1:15" ht="21.95" customHeight="1" x14ac:dyDescent="0.45">
      <c r="D16" s="119" t="str">
        <f>IF($B$17="","",VLOOKUP(B17,Repairers!$D$1:$L$106,9,FALSE))</f>
        <v/>
      </c>
    </row>
    <row r="17" spans="1:11" ht="21.95" customHeight="1" x14ac:dyDescent="0.45">
      <c r="A17" s="119" t="s">
        <v>21</v>
      </c>
      <c r="B17" s="117" t="str">
        <f>K3</f>
        <v/>
      </c>
      <c r="C17" s="146" t="str">
        <f>IF($B$17="","","ph "&amp; (VLOOKUP(B17,Repairers!D1:L106,4,FALSE)))</f>
        <v/>
      </c>
      <c r="D17" s="146"/>
      <c r="E17" s="119" t="s">
        <v>22</v>
      </c>
      <c r="G17" s="40"/>
      <c r="I17" s="32"/>
      <c r="J17" s="32"/>
      <c r="K17" s="33"/>
    </row>
    <row r="18" spans="1:11" ht="21.95" customHeight="1" x14ac:dyDescent="0.45">
      <c r="A18" s="119" t="s">
        <v>23</v>
      </c>
      <c r="B18" s="142" t="str">
        <f>IF($B$17="","",VLOOKUP(B17,Repairers!$D$1:$L$106,2,FALSE))</f>
        <v/>
      </c>
      <c r="C18" s="143"/>
      <c r="D18" s="143"/>
      <c r="E18" s="119" t="s">
        <v>24</v>
      </c>
      <c r="G18" s="39"/>
      <c r="I18" s="14"/>
    </row>
    <row r="19" spans="1:11" ht="21.95" customHeight="1" x14ac:dyDescent="0.45">
      <c r="A19" s="119" t="s">
        <v>25</v>
      </c>
      <c r="B19" s="142" t="str">
        <f>IF($B$17="","",VLOOKUP(B17,Repairers!$D$1:$L$106,5,FALSE))</f>
        <v/>
      </c>
      <c r="C19" s="143"/>
      <c r="D19" s="143"/>
      <c r="E19" s="119" t="s">
        <v>26</v>
      </c>
      <c r="G19" s="121"/>
      <c r="I19" s="14"/>
    </row>
    <row r="20" spans="1:11" ht="21.95" customHeight="1" x14ac:dyDescent="0.45">
      <c r="B20" s="148" t="str">
        <f>IF($B$17="","",VLOOKUP(B17,Repairers!$D$1:$L$106,6,FALSE))</f>
        <v/>
      </c>
      <c r="C20" s="149"/>
      <c r="D20" s="149"/>
      <c r="E20" s="119" t="s">
        <v>27</v>
      </c>
      <c r="G20" s="40" t="str">
        <f>IF(Quote!P2="","",Quote!P2)</f>
        <v/>
      </c>
      <c r="I20" s="14"/>
    </row>
    <row r="21" spans="1:11" ht="21.95" customHeight="1" x14ac:dyDescent="0.45">
      <c r="B21" s="148" t="str">
        <f>IF($B$17="","",VLOOKUP(B17,Repairers!$D$1:$L$106,7,FALSE))</f>
        <v/>
      </c>
      <c r="C21" s="149"/>
      <c r="D21" s="120" t="str">
        <f>IF($B$17="","",VLOOKUP(B17,Repairers!$D$1:$L$106,8,FALSE))</f>
        <v/>
      </c>
      <c r="E21" s="119" t="s">
        <v>28</v>
      </c>
      <c r="G21" s="38" t="str">
        <f t="array" ref="G21">_xlfn.IFS(Quote!C5="","",Quote!C5="N","No",Quote!C5="No","No",Quote!C5="Y","Yes",Quote!C5="Yes","Yes",Quote!C5="I","Included")</f>
        <v>No</v>
      </c>
      <c r="H21" s="43" t="str">
        <f>IF(G21="Included","Fees Inluded","")</f>
        <v/>
      </c>
      <c r="I21" s="14"/>
    </row>
    <row r="22" spans="1:11" ht="21.95" customHeight="1" x14ac:dyDescent="0.45">
      <c r="B22" s="119" t="s">
        <v>29</v>
      </c>
      <c r="C22" s="151" t="str">
        <f>IF(K1="","",K1)</f>
        <v/>
      </c>
      <c r="D22" s="149"/>
      <c r="E22" s="119" t="s">
        <v>30</v>
      </c>
      <c r="G22" s="126" t="str">
        <f>IF(G21="","",IF(G21="N","",IF(G21="No","",IF(G21="Yes",(C15*0.035)+(G24*0.035),IF(G21="Included","$ "&amp; I22 &amp;" Incl","")))))</f>
        <v/>
      </c>
      <c r="H22" s="97" t="str">
        <f>IF(G21="Included",(C15+G24)-(C15+G24)/1.035,"")</f>
        <v/>
      </c>
      <c r="I22" s="98" t="str">
        <f>IFERROR(IF(H22="","",(ROUND(((C15+G24)-(C15+G24)/1.035),2))),"")</f>
        <v/>
      </c>
    </row>
    <row r="23" spans="1:11" ht="21.95" customHeight="1" x14ac:dyDescent="0.45">
      <c r="B23" s="119" t="s">
        <v>31</v>
      </c>
      <c r="C23" s="150"/>
      <c r="D23" s="143"/>
      <c r="E23" s="119" t="s">
        <v>32</v>
      </c>
      <c r="G23" s="57" t="str">
        <f>IF(G21="No","N/A",IF(G21="Included","Included",""))</f>
        <v>N/A</v>
      </c>
      <c r="I23" s="14"/>
    </row>
    <row r="24" spans="1:11" ht="21.95" customHeight="1" x14ac:dyDescent="0.45">
      <c r="B24" s="119" t="s">
        <v>33</v>
      </c>
      <c r="C24" s="147"/>
      <c r="D24" s="143"/>
      <c r="E24" s="119" t="s">
        <v>34</v>
      </c>
      <c r="G24" s="126" t="str">
        <f>IF(G4="","",IF(G21="Included",Freight!G1*1.035,Freight!G1))</f>
        <v/>
      </c>
      <c r="I24" s="14"/>
    </row>
    <row r="25" spans="1:11" s="118" customFormat="1" ht="36.75" customHeight="1" x14ac:dyDescent="0.45">
      <c r="A25" s="15" t="s">
        <v>35</v>
      </c>
      <c r="B25" s="15" t="s">
        <v>16</v>
      </c>
      <c r="C25" s="16" t="s">
        <v>17</v>
      </c>
      <c r="D25" s="16" t="s">
        <v>18</v>
      </c>
      <c r="E25" s="15" t="s">
        <v>19</v>
      </c>
      <c r="G25" s="127">
        <f>IF(AND(G22="",G24=""),C15,IF(G21="Included",C15+G24,IF(AND(G22="",G24&gt;0),C15+G24,IF(AND(G22&gt;0,G24=""),C15+G22,C15+G22+G24))))</f>
        <v>0</v>
      </c>
      <c r="H25" s="1" t="s">
        <v>36</v>
      </c>
      <c r="I25" s="17"/>
    </row>
    <row r="26" spans="1:11" ht="21.95" customHeight="1" x14ac:dyDescent="0.45">
      <c r="A26" s="2"/>
      <c r="B26" s="10"/>
      <c r="C26" s="124"/>
      <c r="D26" s="124"/>
      <c r="E26" s="62" t="str">
        <f>IF(D26=0,"",IF(Quote!$C$5="I",ROUND(1-(D26/(C26/1.035)),2),ROUND(1-(D26/C26),2)))</f>
        <v/>
      </c>
      <c r="G26" s="127">
        <f>ROUND(IF(G25="","",G25*0.15),2)</f>
        <v>0</v>
      </c>
      <c r="H26" s="1" t="s">
        <v>37</v>
      </c>
      <c r="I26" s="14"/>
    </row>
    <row r="27" spans="1:11" ht="21.95" customHeight="1" thickBot="1" x14ac:dyDescent="0.5">
      <c r="A27" s="2"/>
      <c r="B27" s="10"/>
      <c r="C27" s="124"/>
      <c r="D27" s="124"/>
      <c r="E27" s="62" t="str">
        <f>IF(D27=0,"",IF(Quote!$C$5="I",ROUND(1-(D27/(C27/1.035)),2),ROUND(1-(D27/C27),2)))</f>
        <v/>
      </c>
      <c r="G27" s="128">
        <f>IF(G25="","",G25+G26)</f>
        <v>0</v>
      </c>
      <c r="H27" s="1" t="s">
        <v>38</v>
      </c>
      <c r="I27" s="14"/>
    </row>
    <row r="28" spans="1:11" ht="21.95" customHeight="1" x14ac:dyDescent="0.45">
      <c r="A28" s="2"/>
      <c r="B28" s="10"/>
      <c r="C28" s="124"/>
      <c r="D28" s="124"/>
      <c r="E28" s="62" t="str">
        <f>IF(D28=0,"",IF(Quote!$C$5="I",ROUND(1-(D28/(C28/1.035)),2),ROUND(1-(D28/C28),2)))</f>
        <v/>
      </c>
      <c r="I28" s="14"/>
    </row>
    <row r="29" spans="1:11" ht="21.95" customHeight="1" x14ac:dyDescent="0.45">
      <c r="A29" s="2"/>
      <c r="B29" s="10"/>
      <c r="C29" s="124"/>
      <c r="D29" s="124"/>
      <c r="E29" s="62" t="str">
        <f>IF(D29=0,"",IF(Quote!$C$5="I",ROUND(1-(D29/(C29/1.035)),2),ROUND(1-(D29/C29),2)))</f>
        <v/>
      </c>
      <c r="G29" s="119" t="s">
        <v>20</v>
      </c>
      <c r="I29" s="14"/>
    </row>
    <row r="30" spans="1:11" ht="21.95" customHeight="1" x14ac:dyDescent="0.45">
      <c r="A30" s="2"/>
      <c r="B30" s="10"/>
      <c r="C30" s="124"/>
      <c r="D30" s="124"/>
      <c r="E30" s="62" t="str">
        <f>IF(D30=0,"",IF(Quote!$C$5="I",ROUND(1-(D30/(C30/1.035)),2),ROUND(1-(D30/C30),2)))</f>
        <v/>
      </c>
      <c r="G30" s="125">
        <f>IF(G21="included",C33-D33-(H22-(G24-Freight!G1)),C33-D33)</f>
        <v>0</v>
      </c>
      <c r="I30" s="14"/>
    </row>
    <row r="31" spans="1:11" ht="21.95" customHeight="1" x14ac:dyDescent="0.45">
      <c r="A31" s="2"/>
      <c r="B31" s="10"/>
      <c r="C31" s="124"/>
      <c r="D31" s="124"/>
      <c r="E31" s="62" t="str">
        <f>IF(D31=0,"",IF(Quote!$C$5="I",ROUND(1-(D31/(C31/1.035)),2),ROUND(1-(D31/C31),2)))</f>
        <v/>
      </c>
    </row>
    <row r="32" spans="1:11" ht="21.95" customHeight="1" x14ac:dyDescent="0.45">
      <c r="A32" s="2"/>
      <c r="B32" s="10"/>
      <c r="C32" s="124"/>
      <c r="D32" s="124"/>
      <c r="E32" s="62" t="str">
        <f>IF(D32=0,"",IF(Quote!$C$5="I",ROUND(1-(D32/(C32/1.035)),2),ROUND(1-(D32/C32),2)))</f>
        <v/>
      </c>
    </row>
    <row r="33" spans="1:7" ht="21.95" customHeight="1" x14ac:dyDescent="0.45">
      <c r="A33" s="2"/>
      <c r="B33" s="19" t="s">
        <v>38</v>
      </c>
      <c r="C33" s="129">
        <f>SUM(C26:C32)</f>
        <v>0</v>
      </c>
      <c r="D33" s="129">
        <f>SUM(D26:D32)</f>
        <v>0</v>
      </c>
      <c r="E33" s="63" t="str">
        <f>IF(D33=0,"",IF(Quote!$C$5="I",ROUND(1-(D33/(C33/1.035)),2),ROUND(1-(D33/C33),2)))</f>
        <v/>
      </c>
    </row>
    <row r="34" spans="1:7" ht="9" customHeight="1" x14ac:dyDescent="0.45"/>
    <row r="35" spans="1:7" ht="21.75" customHeight="1" x14ac:dyDescent="0.45">
      <c r="C35" s="146" t="s">
        <v>39</v>
      </c>
      <c r="D35" s="146"/>
      <c r="E35" s="146"/>
      <c r="G35" s="13" t="b">
        <v>0</v>
      </c>
    </row>
    <row r="36" spans="1:7" ht="21.95" customHeight="1" x14ac:dyDescent="0.45">
      <c r="C36" s="146" t="s">
        <v>40</v>
      </c>
      <c r="D36" s="146"/>
      <c r="E36" s="146"/>
      <c r="G36" s="13" t="b">
        <v>0</v>
      </c>
    </row>
    <row r="37" spans="1:7" ht="21.95" customHeight="1" x14ac:dyDescent="0.45">
      <c r="D37" s="146" t="s">
        <v>41</v>
      </c>
      <c r="E37" s="146"/>
      <c r="G37" s="4"/>
    </row>
    <row r="38" spans="1:7" s="116" customFormat="1" ht="44.25" customHeight="1" x14ac:dyDescent="0.65">
      <c r="A38" s="138" t="str">
        <f>B18</f>
        <v/>
      </c>
      <c r="B38" s="139"/>
      <c r="C38" s="139"/>
      <c r="D38" s="58"/>
      <c r="E38" s="139" t="str">
        <f>IF(G5="","","PartsTrader " &amp; G5)</f>
        <v/>
      </c>
      <c r="F38" s="139"/>
      <c r="G38" s="139"/>
    </row>
    <row r="39" spans="1:7" s="122" customFormat="1" ht="10.5" customHeight="1" x14ac:dyDescent="0.35">
      <c r="A39" s="135" t="s">
        <v>42</v>
      </c>
      <c r="B39" s="136"/>
      <c r="C39" s="137" t="str">
        <f t="array" ref="C39">IFERROR(_xlfn.IFS(G7="Hyundai", "PSORD",G7="Isuzu", "IPSO",G7="Suzuki", "Suzuki Packing Slip",G7="Subaru", "Subaru Packing Slip",G7="Land Rover", "JLR Order Number",G7="Jaguar", "JLR Order Number",G7="Volvo", "Volvo Order Number"),"Supplier Packing Slip")</f>
        <v>Supplier Packing Slip</v>
      </c>
      <c r="D39" s="136"/>
      <c r="E39" s="122" t="s">
        <v>43</v>
      </c>
      <c r="G39" s="67" t="s">
        <v>44</v>
      </c>
    </row>
    <row r="40" spans="1:7" s="118" customFormat="1" ht="21" customHeight="1" x14ac:dyDescent="0.45">
      <c r="A40" s="144" t="str">
        <f>IF(G8="","",G7 &amp; " " &amp; G8)</f>
        <v/>
      </c>
      <c r="B40" s="145"/>
      <c r="C40" s="152" t="str">
        <f>IF(G20="","",G20)</f>
        <v/>
      </c>
      <c r="D40" s="145"/>
      <c r="E40" s="66" t="str">
        <f>IF(C24="","",C24)</f>
        <v/>
      </c>
      <c r="F40" s="66"/>
      <c r="G40" s="66" t="str">
        <f>IF(G6="","",G6)</f>
        <v/>
      </c>
    </row>
  </sheetData>
  <mergeCells count="19">
    <mergeCell ref="A40:B40"/>
    <mergeCell ref="C17:D17"/>
    <mergeCell ref="C24:D24"/>
    <mergeCell ref="B18:D18"/>
    <mergeCell ref="B19:D19"/>
    <mergeCell ref="B20:D20"/>
    <mergeCell ref="B21:C21"/>
    <mergeCell ref="C35:E35"/>
    <mergeCell ref="D37:E37"/>
    <mergeCell ref="C23:D23"/>
    <mergeCell ref="C22:D22"/>
    <mergeCell ref="C36:E36"/>
    <mergeCell ref="C40:D40"/>
    <mergeCell ref="A39:B39"/>
    <mergeCell ref="C39:D39"/>
    <mergeCell ref="A38:C38"/>
    <mergeCell ref="A1:A3"/>
    <mergeCell ref="E38:G38"/>
    <mergeCell ref="A13:D13"/>
  </mergeCells>
  <conditionalFormatting sqref="G21:G22">
    <cfRule type="expression" dxfId="49" priority="7">
      <formula>$G$21="Yes"</formula>
    </cfRule>
  </conditionalFormatting>
  <conditionalFormatting sqref="G24">
    <cfRule type="expression" dxfId="48" priority="4">
      <formula>$G$24&gt;0</formula>
    </cfRule>
  </conditionalFormatting>
  <conditionalFormatting sqref="H22:I22 G21:G22">
    <cfRule type="expression" dxfId="47" priority="3">
      <formula>$G$21="Included"</formula>
    </cfRule>
  </conditionalFormatting>
  <conditionalFormatting sqref="B6:B12">
    <cfRule type="notContainsBlanks" dxfId="46" priority="8">
      <formula>LEN(TRIM(B6))&gt;0</formula>
    </cfRule>
  </conditionalFormatting>
  <pageMargins left="0.47244094488188981" right="0.23622047244094491" top="0.39370078740157483" bottom="0.19685039370078741" header="0.31496062992125978" footer="0.31496062992125978"/>
  <pageSetup paperSize="9" scale="9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1"/>
  <sheetViews>
    <sheetView tabSelected="1" workbookViewId="0">
      <pane xSplit="1" ySplit="6" topLeftCell="B9" activePane="bottomRight" state="frozen"/>
      <selection pane="topRight" activeCell="B1" sqref="B1"/>
      <selection pane="bottomLeft" activeCell="A4" sqref="A4"/>
      <selection pane="bottomRight" activeCell="U1" sqref="U1"/>
    </sheetView>
  </sheetViews>
  <sheetFormatPr defaultColWidth="9.1328125" defaultRowHeight="14.25" x14ac:dyDescent="0.45"/>
  <cols>
    <col min="1" max="1" width="38.3984375" style="20" customWidth="1"/>
    <col min="2" max="2" width="9.1328125" style="20" customWidth="1"/>
    <col min="3" max="3" width="16" style="84" bestFit="1" customWidth="1"/>
    <col min="4" max="4" width="4.1328125" style="54" bestFit="1" customWidth="1"/>
    <col min="5" max="5" width="6.3984375" style="99" hidden="1" customWidth="1"/>
    <col min="6" max="6" width="9.1328125" style="99" customWidth="1"/>
    <col min="7" max="7" width="10.1328125" style="99" hidden="1" customWidth="1"/>
    <col min="8" max="8" width="10.3984375" style="54" bestFit="1" customWidth="1"/>
    <col min="9" max="9" width="7.59765625" style="100" customWidth="1"/>
    <col min="10" max="10" width="9.3984375" style="100" hidden="1" customWidth="1"/>
    <col min="11" max="11" width="9.73046875" style="56" hidden="1" customWidth="1"/>
    <col min="12" max="12" width="8.86328125" style="56" hidden="1" customWidth="1"/>
    <col min="13" max="13" width="9.73046875" style="56" customWidth="1"/>
    <col min="14" max="14" width="11.265625" style="56" hidden="1" customWidth="1"/>
    <col min="15" max="15" width="10.1328125" style="21" customWidth="1"/>
    <col min="16" max="16" width="11.59765625" style="56" bestFit="1" customWidth="1"/>
    <col min="17" max="17" width="12.59765625" style="56" bestFit="1" customWidth="1"/>
    <col min="18" max="18" width="11.1328125" style="56" customWidth="1"/>
    <col min="19" max="19" width="14.1328125" style="56" bestFit="1" customWidth="1"/>
    <col min="20" max="20" width="20.59765625" style="60" customWidth="1"/>
    <col min="21" max="21" width="9.1328125" style="60" customWidth="1"/>
    <col min="22" max="22" width="9.1328125" style="56" customWidth="1"/>
    <col min="23" max="23" width="11" style="56" customWidth="1"/>
    <col min="24" max="24" width="11.59765625" style="56" customWidth="1"/>
    <col min="25" max="26" width="9.1328125" style="56" customWidth="1"/>
    <col min="27" max="27" width="10.1328125" style="56" bestFit="1" customWidth="1"/>
    <col min="28" max="31" width="9.1328125" style="56" customWidth="1"/>
    <col min="32" max="16384" width="9.1328125" style="56"/>
  </cols>
  <sheetData>
    <row r="1" spans="1:27" s="89" customFormat="1" ht="28.5" customHeight="1" x14ac:dyDescent="0.45">
      <c r="A1" s="22" t="str">
        <f>IF('Cover Sheet'!B18="","Repairer",'Cover Sheet'!B18 &amp; " - " &amp; 'Cover Sheet'!K1)</f>
        <v>Repairer</v>
      </c>
      <c r="B1" s="22" t="str">
        <f>IF('Cover Sheet'!C22="","Name",'Cover Sheet'!C22)</f>
        <v>Name</v>
      </c>
      <c r="C1" s="87" t="s">
        <v>45</v>
      </c>
      <c r="D1" s="24"/>
      <c r="E1" s="24"/>
      <c r="F1" s="101" t="s">
        <v>46</v>
      </c>
      <c r="G1" s="101"/>
      <c r="H1" s="88" t="s">
        <v>47</v>
      </c>
      <c r="I1" s="24"/>
      <c r="J1" s="102" t="s">
        <v>48</v>
      </c>
      <c r="K1" s="102" t="s">
        <v>49</v>
      </c>
      <c r="M1" s="92" t="s">
        <v>50</v>
      </c>
      <c r="N1" s="102"/>
      <c r="O1" s="92" t="s">
        <v>51</v>
      </c>
      <c r="P1" s="92" t="s">
        <v>52</v>
      </c>
      <c r="Q1" s="102" t="s">
        <v>53</v>
      </c>
      <c r="R1" s="90" t="s">
        <v>54</v>
      </c>
      <c r="S1" s="91" t="s">
        <v>55</v>
      </c>
      <c r="U1" s="93" t="str">
        <f>'Cover Sheet'!G5 &amp;" " &amp; 'Cover Sheet'!G6 &amp;" " &amp; 'Cover Sheet'!G8</f>
        <v xml:space="preserve">  </v>
      </c>
    </row>
    <row r="2" spans="1:27" ht="31.5" customHeight="1" thickBot="1" x14ac:dyDescent="0.5">
      <c r="A2" s="130" t="str">
        <f>IF('Cover Sheet'!G5="","","PartsTrader "&amp;C2)</f>
        <v/>
      </c>
      <c r="B2" s="54" t="str">
        <f>IF('Cover Sheet'!G6="","Reg #",'Cover Sheet'!G6)</f>
        <v>Reg #</v>
      </c>
      <c r="C2" s="37" t="str">
        <f>IF('Cover Sheet'!G5="","",'Cover Sheet'!G5)</f>
        <v/>
      </c>
      <c r="E2" s="54"/>
      <c r="F2" s="85" t="str">
        <f>IF('Cover Sheet'!B17="","",'Cover Sheet'!B17)</f>
        <v/>
      </c>
      <c r="G2" s="103"/>
      <c r="H2" s="104">
        <f>SUM(Table1[[#All],[Total Smash Buy $]])</f>
        <v>0</v>
      </c>
      <c r="I2" s="54"/>
      <c r="J2" s="105">
        <f>SUM(Table1[[#All],[TOTAL Retail]])</f>
        <v>0</v>
      </c>
      <c r="K2" s="105">
        <f>SUM(Table1[[#All],[Total Daily]])</f>
        <v>0</v>
      </c>
      <c r="M2" s="80" t="str">
        <f t="array" ref="M2:N2">IF('Cover Sheet'!C24:D24="","",'Cover Sheet'!C24:D24)</f>
        <v/>
      </c>
      <c r="N2" s="105" t="str">
        <v/>
      </c>
      <c r="O2" s="86" t="str">
        <f>IF('Cover Sheet'!G17="","",'Cover Sheet'!G17)</f>
        <v/>
      </c>
      <c r="P2" s="86"/>
      <c r="Q2" s="105">
        <f>SUM(Table1[[#All],[Quoted $]])</f>
        <v>0</v>
      </c>
      <c r="R2" s="44">
        <v>0.32</v>
      </c>
      <c r="S2" s="96" t="str">
        <f>IF(H2=0,"",IF(C5="I",ROUND(1-(H2/(Q2/1.035)),2),ROUND(1-(H2/Q2),2)))</f>
        <v/>
      </c>
      <c r="T2" s="56"/>
      <c r="V2" s="60"/>
    </row>
    <row r="3" spans="1:27" x14ac:dyDescent="0.45">
      <c r="A3" s="20" t="str">
        <f>IF('Cover Sheet'!G7="","Make / Model",'Cover Sheet'!G9 &amp;" " &amp; 'Cover Sheet'!G7 &amp;" " &amp; 'Cover Sheet'!G8 &amp;" " &amp; 'Cover Sheet'!G6)</f>
        <v>Make / Model</v>
      </c>
      <c r="B3" s="20" t="str">
        <f>IF('Cover Sheet'!G9="","Year",'Cover Sheet'!G9)</f>
        <v>Year</v>
      </c>
      <c r="C3" s="59" t="s">
        <v>56</v>
      </c>
      <c r="E3" s="54"/>
      <c r="H3" s="106" t="s">
        <v>57</v>
      </c>
      <c r="I3" s="54"/>
      <c r="J3" s="106" t="s">
        <v>57</v>
      </c>
      <c r="K3" s="106" t="s">
        <v>57</v>
      </c>
      <c r="O3" s="56"/>
      <c r="P3" s="21"/>
      <c r="Q3" s="106" t="s">
        <v>57</v>
      </c>
      <c r="R3" s="45" t="s">
        <v>58</v>
      </c>
      <c r="S3" s="131">
        <f>Q2-H2</f>
        <v>0</v>
      </c>
      <c r="T3" s="56"/>
      <c r="V3" s="60"/>
    </row>
    <row r="4" spans="1:27" ht="14.65" customHeight="1" thickBot="1" x14ac:dyDescent="0.5">
      <c r="A4" s="20" t="str">
        <f>IF('Cover Sheet'!G11="","VIN Number",'Cover Sheet'!G11)</f>
        <v>VIN Number</v>
      </c>
      <c r="C4" s="37"/>
      <c r="E4" s="54"/>
      <c r="H4" s="107" t="str">
        <f>IF(C5="","",IF('Cover Sheet'!G21="Yes","FEES",IF('Cover Sheet'!G21="Included","FEES",IF('Cover Sheet'!G21="No",""))))</f>
        <v/>
      </c>
      <c r="I4" s="54"/>
      <c r="J4" s="106"/>
      <c r="K4" s="106"/>
      <c r="L4" s="106"/>
      <c r="M4" s="81" t="s">
        <v>59</v>
      </c>
      <c r="O4" s="56"/>
      <c r="P4" s="21"/>
      <c r="Q4" s="132" t="s">
        <v>60</v>
      </c>
      <c r="R4" s="45"/>
      <c r="T4" s="56"/>
      <c r="V4" s="60"/>
    </row>
    <row r="5" spans="1:27" ht="14.65" customHeight="1" thickBot="1" x14ac:dyDescent="0.5">
      <c r="A5" s="153" t="s">
        <v>61</v>
      </c>
      <c r="B5" s="154"/>
      <c r="C5" s="48" t="s">
        <v>62</v>
      </c>
      <c r="E5" s="54"/>
      <c r="H5" s="107" t="str">
        <f t="array" ref="H5">IF(Quote!C5="","",_xlfn.IFS(C5="I",'Cover Sheet'!G22,C5="Y",'Cover Sheet'!G22,C5="N",""))</f>
        <v/>
      </c>
      <c r="I5" s="54"/>
      <c r="J5" s="106"/>
      <c r="K5" s="106"/>
      <c r="L5" s="106"/>
      <c r="M5" s="133">
        <f>IF(SUM(Freight!D:D)&lt;35,35,SUM(Freight!D:D))</f>
        <v>35</v>
      </c>
      <c r="O5" s="56"/>
      <c r="P5" s="21"/>
      <c r="Q5" s="131">
        <f>'Cover Sheet'!G27</f>
        <v>0</v>
      </c>
      <c r="R5" s="45"/>
      <c r="T5" s="56"/>
      <c r="V5" s="60"/>
    </row>
    <row r="6" spans="1:27" ht="42.75" customHeight="1" x14ac:dyDescent="0.45">
      <c r="A6" s="22" t="s">
        <v>63</v>
      </c>
      <c r="B6" s="22" t="s">
        <v>64</v>
      </c>
      <c r="C6" s="23" t="s">
        <v>65</v>
      </c>
      <c r="D6" s="24" t="s">
        <v>66</v>
      </c>
      <c r="E6" s="24" t="s">
        <v>67</v>
      </c>
      <c r="F6" s="108" t="s">
        <v>48</v>
      </c>
      <c r="G6" s="109" t="s">
        <v>49</v>
      </c>
      <c r="H6" s="108" t="s">
        <v>68</v>
      </c>
      <c r="I6" s="24" t="s">
        <v>69</v>
      </c>
      <c r="J6" s="110" t="s">
        <v>70</v>
      </c>
      <c r="K6" s="110" t="s">
        <v>71</v>
      </c>
      <c r="L6" s="110" t="s">
        <v>72</v>
      </c>
      <c r="M6" s="110" t="s">
        <v>73</v>
      </c>
      <c r="N6" s="110" t="s">
        <v>74</v>
      </c>
      <c r="O6" s="110" t="s">
        <v>75</v>
      </c>
      <c r="P6" s="92" t="s">
        <v>76</v>
      </c>
      <c r="Q6" s="110" t="s">
        <v>77</v>
      </c>
      <c r="R6" s="46" t="s">
        <v>54</v>
      </c>
      <c r="S6" s="92" t="s">
        <v>55</v>
      </c>
      <c r="T6" s="110" t="s">
        <v>78</v>
      </c>
      <c r="U6" s="110" t="s">
        <v>79</v>
      </c>
      <c r="V6" s="110" t="s">
        <v>80</v>
      </c>
      <c r="W6" s="111" t="s">
        <v>81</v>
      </c>
      <c r="X6" s="111" t="s">
        <v>82</v>
      </c>
      <c r="Y6" s="111" t="s">
        <v>83</v>
      </c>
    </row>
    <row r="7" spans="1:27" x14ac:dyDescent="0.45">
      <c r="B7" s="25"/>
      <c r="E7" s="54"/>
      <c r="H7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7" s="54"/>
      <c r="J7" s="100" t="str">
        <f t="shared" ref="J7:J21" si="0">IFERROR(IF(ISBLANK(F7),"",IF(ISBLANK(D7),F7,D7*F7)),"")</f>
        <v/>
      </c>
      <c r="K7" s="100" t="str">
        <f t="shared" ref="K7:K21" si="1">IFERROR(IF(ISBLANK(G7),"",IF(ISBLANK(D7),G7,D7*G7)),"")</f>
        <v/>
      </c>
      <c r="L7" s="100" t="str">
        <f>IF(Table1[[#This Row],[ Smash Buy $]]="","",Table1[[#This Row],[Qty]]*Table1[[#This Row],[ Smash Buy $]])</f>
        <v/>
      </c>
      <c r="M7" s="100" t="str">
        <f t="shared" ref="M7:M21" si="2">IFERROR(IF(ISBLANK(H7),"",ROUNDUP(H7*R7+H7,0)),"")</f>
        <v/>
      </c>
      <c r="N7" s="100" t="str">
        <f t="shared" ref="N7:N21" si="3">IF($C$5="I",ROUNDUP(M7*1.035,2),M7)</f>
        <v/>
      </c>
      <c r="O7" s="100" t="str">
        <f t="shared" ref="O7:O21" si="4">IFERROR(IF(ISBLANK(M7),"",IF(D7="",N7,D7*N7)),"")</f>
        <v/>
      </c>
      <c r="P7" s="100"/>
      <c r="Q7" s="100" t="str">
        <f>IFERROR(IF(ISBLANK(Table1[[#This Row],[Item]]),"",D7*N7),"")</f>
        <v/>
      </c>
      <c r="R7" s="47" t="str">
        <f t="shared" ref="R7:R21" si="5">IF(H7="","",$R$2)</f>
        <v/>
      </c>
      <c r="S7" s="55" t="str">
        <f>IF(Table1[[#This Row],[Total Smash Buy $]]="","",ROUND(100-(Table1[[#This Row],[Total Smash Buy $]]/Table1[[#This Row],[Quoted Total $]]*100),0)&amp;"%")</f>
        <v/>
      </c>
      <c r="T7" s="56" t="str">
        <f>IF(OR('Cover Sheet'!$G$7="Suzuki",'Cover Sheet'!$G$7="Isuzu",'Cover Sheet'!$G$7="BMW",'Cover Sheet'!$G$7="Mini"),SUBSTITUTE(SUBSTITUTE(Table1[[#This Row],[Part Number]],"-","")," ",""),"")</f>
        <v/>
      </c>
      <c r="V7" s="60"/>
      <c r="AA7" s="134"/>
    </row>
    <row r="8" spans="1:27" x14ac:dyDescent="0.45">
      <c r="B8" s="25"/>
      <c r="E8" s="54"/>
      <c r="H8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8" s="54"/>
      <c r="J8" s="100" t="str">
        <f t="shared" si="0"/>
        <v/>
      </c>
      <c r="K8" s="100" t="str">
        <f t="shared" si="1"/>
        <v/>
      </c>
      <c r="L8" s="100" t="str">
        <f>IF(Table1[[#This Row],[ Smash Buy $]]="","",Table1[[#This Row],[Qty]]*Table1[[#This Row],[ Smash Buy $]])</f>
        <v/>
      </c>
      <c r="M8" s="100" t="str">
        <f t="shared" si="2"/>
        <v/>
      </c>
      <c r="N8" s="100" t="str">
        <f t="shared" si="3"/>
        <v/>
      </c>
      <c r="O8" s="100" t="str">
        <f t="shared" si="4"/>
        <v/>
      </c>
      <c r="P8" s="100"/>
      <c r="Q8" s="100" t="str">
        <f>IFERROR(IF(ISBLANK(Table1[[#This Row],[Item]]),"",D8*N8),"")</f>
        <v/>
      </c>
      <c r="R8" s="47" t="str">
        <f t="shared" si="5"/>
        <v/>
      </c>
      <c r="S8" s="55" t="str">
        <f>IF(Table1[[#This Row],[Total Smash Buy $]]="","",ROUND(100-(Table1[[#This Row],[Total Smash Buy $]]/Table1[[#This Row],[Quoted Total $]]*100),0)&amp;"%")</f>
        <v/>
      </c>
      <c r="T8" s="56" t="str">
        <f>IF(OR('Cover Sheet'!$G$7="Suzuki",'Cover Sheet'!$G$7="Isuzu",'Cover Sheet'!$G$7="BMW",'Cover Sheet'!$G$7="Mini"),SUBSTITUTE(SUBSTITUTE(Table1[[#This Row],[Part Number]],"-","")," ",""),"")</f>
        <v/>
      </c>
      <c r="V8" s="60"/>
    </row>
    <row r="9" spans="1:27" x14ac:dyDescent="0.45">
      <c r="B9" s="25"/>
      <c r="E9" s="54"/>
      <c r="H9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9" s="54"/>
      <c r="J9" s="100" t="str">
        <f t="shared" si="0"/>
        <v/>
      </c>
      <c r="K9" s="100" t="str">
        <f t="shared" si="1"/>
        <v/>
      </c>
      <c r="L9" s="100" t="str">
        <f>IF(Table1[[#This Row],[ Smash Buy $]]="","",Table1[[#This Row],[Qty]]*Table1[[#This Row],[ Smash Buy $]])</f>
        <v/>
      </c>
      <c r="M9" s="100" t="str">
        <f t="shared" si="2"/>
        <v/>
      </c>
      <c r="N9" s="100" t="str">
        <f t="shared" si="3"/>
        <v/>
      </c>
      <c r="O9" s="100" t="str">
        <f t="shared" si="4"/>
        <v/>
      </c>
      <c r="P9" s="100"/>
      <c r="Q9" s="100" t="str">
        <f>IFERROR(IF(ISBLANK(Table1[[#This Row],[Item]]),"",D9*N9),"")</f>
        <v/>
      </c>
      <c r="R9" s="47" t="str">
        <f t="shared" si="5"/>
        <v/>
      </c>
      <c r="S9" s="55" t="str">
        <f>IF(Table1[[#This Row],[Total Smash Buy $]]="","",ROUND(100-(Table1[[#This Row],[Total Smash Buy $]]/Table1[[#This Row],[Quoted Total $]]*100),0)&amp;"%")</f>
        <v/>
      </c>
      <c r="T9" s="56" t="str">
        <f>IF(OR('Cover Sheet'!$G$7="Suzuki",'Cover Sheet'!$G$7="Isuzu",'Cover Sheet'!$G$7="BMW",'Cover Sheet'!$G$7="Mini"),SUBSTITUTE(SUBSTITUTE(Table1[[#This Row],[Part Number]],"-","")," ",""),"")</f>
        <v/>
      </c>
      <c r="V9" s="60"/>
    </row>
    <row r="10" spans="1:27" x14ac:dyDescent="0.45">
      <c r="B10" s="25"/>
      <c r="E10" s="54"/>
      <c r="H10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0" s="54"/>
      <c r="J10" s="100" t="str">
        <f t="shared" si="0"/>
        <v/>
      </c>
      <c r="K10" s="100" t="str">
        <f t="shared" si="1"/>
        <v/>
      </c>
      <c r="L10" s="100" t="str">
        <f>IF(Table1[[#This Row],[ Smash Buy $]]="","",Table1[[#This Row],[Qty]]*Table1[[#This Row],[ Smash Buy $]])</f>
        <v/>
      </c>
      <c r="M10" s="100" t="str">
        <f t="shared" si="2"/>
        <v/>
      </c>
      <c r="N10" s="100" t="str">
        <f t="shared" si="3"/>
        <v/>
      </c>
      <c r="O10" s="100" t="str">
        <f t="shared" si="4"/>
        <v/>
      </c>
      <c r="P10" s="100"/>
      <c r="Q10" s="100" t="str">
        <f>IFERROR(IF(ISBLANK(Table1[[#This Row],[Item]]),"",D10*N10),"")</f>
        <v/>
      </c>
      <c r="R10" s="47" t="str">
        <f t="shared" si="5"/>
        <v/>
      </c>
      <c r="S10" s="55" t="str">
        <f>IF(Table1[[#This Row],[Total Smash Buy $]]="","",ROUND(100-(Table1[[#This Row],[Total Smash Buy $]]/Table1[[#This Row],[Quoted Total $]]*100),0)&amp;"%")</f>
        <v/>
      </c>
      <c r="T10" s="56" t="str">
        <f>IF(OR('Cover Sheet'!$G$7="Suzuki",'Cover Sheet'!$G$7="Isuzu",'Cover Sheet'!$G$7="BMW",'Cover Sheet'!$G$7="Mini"),SUBSTITUTE(SUBSTITUTE(Table1[[#This Row],[Part Number]],"-","")," ",""),"")</f>
        <v/>
      </c>
      <c r="V10" s="60"/>
    </row>
    <row r="11" spans="1:27" x14ac:dyDescent="0.45">
      <c r="B11" s="25"/>
      <c r="E11" s="54"/>
      <c r="H11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1" s="54"/>
      <c r="J11" s="100" t="str">
        <f t="shared" si="0"/>
        <v/>
      </c>
      <c r="K11" s="100" t="str">
        <f t="shared" si="1"/>
        <v/>
      </c>
      <c r="L11" s="100" t="str">
        <f>IF(Table1[[#This Row],[ Smash Buy $]]="","",Table1[[#This Row],[Qty]]*Table1[[#This Row],[ Smash Buy $]])</f>
        <v/>
      </c>
      <c r="M11" s="100" t="str">
        <f t="shared" si="2"/>
        <v/>
      </c>
      <c r="N11" s="100" t="str">
        <f t="shared" si="3"/>
        <v/>
      </c>
      <c r="O11" s="100" t="str">
        <f t="shared" si="4"/>
        <v/>
      </c>
      <c r="P11" s="100"/>
      <c r="Q11" s="100" t="str">
        <f>IFERROR(IF(ISBLANK(Table1[[#This Row],[Item]]),"",D11*N11),"")</f>
        <v/>
      </c>
      <c r="R11" s="47" t="str">
        <f t="shared" si="5"/>
        <v/>
      </c>
      <c r="S11" s="55" t="str">
        <f>IF(Table1[[#This Row],[Total Smash Buy $]]="","",ROUND(100-(Table1[[#This Row],[Total Smash Buy $]]/Table1[[#This Row],[Quoted Total $]]*100),0)&amp;"%")</f>
        <v/>
      </c>
      <c r="T11" s="56" t="str">
        <f>IF(OR('Cover Sheet'!$G$7="Suzuki",'Cover Sheet'!$G$7="Isuzu",'Cover Sheet'!$G$7="BMW",'Cover Sheet'!$G$7="Mini"),SUBSTITUTE(SUBSTITUTE(Table1[[#This Row],[Part Number]],"-","")," ",""),"")</f>
        <v/>
      </c>
      <c r="V11" s="60"/>
    </row>
    <row r="12" spans="1:27" x14ac:dyDescent="0.45">
      <c r="B12" s="25"/>
      <c r="E12" s="54"/>
      <c r="H12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2" s="54"/>
      <c r="J12" s="100" t="str">
        <f t="shared" si="0"/>
        <v/>
      </c>
      <c r="K12" s="100" t="str">
        <f t="shared" si="1"/>
        <v/>
      </c>
      <c r="L12" s="100" t="str">
        <f>IF(Table1[[#This Row],[ Smash Buy $]]="","",Table1[[#This Row],[Qty]]*Table1[[#This Row],[ Smash Buy $]])</f>
        <v/>
      </c>
      <c r="M12" s="100" t="str">
        <f t="shared" si="2"/>
        <v/>
      </c>
      <c r="N12" s="100" t="str">
        <f t="shared" si="3"/>
        <v/>
      </c>
      <c r="O12" s="100" t="str">
        <f t="shared" si="4"/>
        <v/>
      </c>
      <c r="P12" s="100"/>
      <c r="Q12" s="100" t="str">
        <f>IFERROR(IF(ISBLANK(Table1[[#This Row],[Item]]),"",D12*N12),"")</f>
        <v/>
      </c>
      <c r="R12" s="47" t="str">
        <f t="shared" si="5"/>
        <v/>
      </c>
      <c r="S12" s="55" t="str">
        <f>IF(Table1[[#This Row],[Total Smash Buy $]]="","",ROUND(100-(Table1[[#This Row],[Total Smash Buy $]]/Table1[[#This Row],[Quoted Total $]]*100),0)&amp;"%")</f>
        <v/>
      </c>
      <c r="T12" s="56" t="str">
        <f>IF(OR('Cover Sheet'!$G$7="Suzuki",'Cover Sheet'!$G$7="Isuzu",'Cover Sheet'!$G$7="BMW",'Cover Sheet'!$G$7="Mini"),SUBSTITUTE(SUBSTITUTE(Table1[[#This Row],[Part Number]],"-","")," ",""),"")</f>
        <v/>
      </c>
      <c r="V12" s="60"/>
    </row>
    <row r="13" spans="1:27" x14ac:dyDescent="0.45">
      <c r="B13" s="25"/>
      <c r="E13" s="54"/>
      <c r="H13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3" s="54"/>
      <c r="J13" s="100" t="str">
        <f t="shared" si="0"/>
        <v/>
      </c>
      <c r="K13" s="100" t="str">
        <f t="shared" si="1"/>
        <v/>
      </c>
      <c r="L13" s="100" t="str">
        <f>IF(Table1[[#This Row],[ Smash Buy $]]="","",Table1[[#This Row],[Qty]]*Table1[[#This Row],[ Smash Buy $]])</f>
        <v/>
      </c>
      <c r="M13" s="100" t="str">
        <f t="shared" si="2"/>
        <v/>
      </c>
      <c r="N13" s="100" t="str">
        <f t="shared" si="3"/>
        <v/>
      </c>
      <c r="O13" s="100" t="str">
        <f t="shared" si="4"/>
        <v/>
      </c>
      <c r="P13" s="100"/>
      <c r="Q13" s="100" t="str">
        <f>IFERROR(IF(ISBLANK(Table1[[#This Row],[Item]]),"",D13*N13),"")</f>
        <v/>
      </c>
      <c r="R13" s="47" t="str">
        <f t="shared" si="5"/>
        <v/>
      </c>
      <c r="S13" s="55" t="str">
        <f>IF(Table1[[#This Row],[Total Smash Buy $]]="","",ROUND(100-(Table1[[#This Row],[Total Smash Buy $]]/Table1[[#This Row],[Quoted Total $]]*100),0)&amp;"%")</f>
        <v/>
      </c>
      <c r="T13" s="56" t="str">
        <f>IF(OR('Cover Sheet'!$G$7="Suzuki",'Cover Sheet'!$G$7="Isuzu",'Cover Sheet'!$G$7="BMW",'Cover Sheet'!$G$7="Mini"),SUBSTITUTE(SUBSTITUTE(Table1[[#This Row],[Part Number]],"-","")," ",""),"")</f>
        <v/>
      </c>
      <c r="V13" s="60"/>
    </row>
    <row r="14" spans="1:27" x14ac:dyDescent="0.45">
      <c r="B14" s="25"/>
      <c r="E14" s="54"/>
      <c r="H14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4" s="54"/>
      <c r="J14" s="100" t="str">
        <f t="shared" si="0"/>
        <v/>
      </c>
      <c r="K14" s="100" t="str">
        <f t="shared" si="1"/>
        <v/>
      </c>
      <c r="L14" s="100" t="str">
        <f>IF(Table1[[#This Row],[ Smash Buy $]]="","",Table1[[#This Row],[Qty]]*Table1[[#This Row],[ Smash Buy $]])</f>
        <v/>
      </c>
      <c r="M14" s="100" t="str">
        <f t="shared" si="2"/>
        <v/>
      </c>
      <c r="N14" s="100" t="str">
        <f t="shared" si="3"/>
        <v/>
      </c>
      <c r="O14" s="100" t="str">
        <f t="shared" si="4"/>
        <v/>
      </c>
      <c r="P14" s="100"/>
      <c r="Q14" s="100" t="str">
        <f>IFERROR(IF(ISBLANK(Table1[[#This Row],[Item]]),"",D14*N14),"")</f>
        <v/>
      </c>
      <c r="R14" s="47" t="str">
        <f t="shared" si="5"/>
        <v/>
      </c>
      <c r="S14" s="55" t="str">
        <f>IF(Table1[[#This Row],[Total Smash Buy $]]="","",ROUND(100-(Table1[[#This Row],[Total Smash Buy $]]/Table1[[#This Row],[Quoted Total $]]*100),0)&amp;"%")</f>
        <v/>
      </c>
      <c r="T14" s="56" t="str">
        <f>IF(OR('Cover Sheet'!$G$7="Suzuki",'Cover Sheet'!$G$7="Isuzu",'Cover Sheet'!$G$7="BMW",'Cover Sheet'!$G$7="Mini"),SUBSTITUTE(SUBSTITUTE(Table1[[#This Row],[Part Number]],"-","")," ",""),"")</f>
        <v/>
      </c>
      <c r="V14" s="60"/>
    </row>
    <row r="15" spans="1:27" x14ac:dyDescent="0.45">
      <c r="B15" s="25"/>
      <c r="E15" s="54"/>
      <c r="H15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5" s="54"/>
      <c r="J15" s="100" t="str">
        <f t="shared" si="0"/>
        <v/>
      </c>
      <c r="K15" s="100" t="str">
        <f t="shared" si="1"/>
        <v/>
      </c>
      <c r="L15" s="100" t="str">
        <f>IF(Table1[[#This Row],[ Smash Buy $]]="","",Table1[[#This Row],[Qty]]*Table1[[#This Row],[ Smash Buy $]])</f>
        <v/>
      </c>
      <c r="M15" s="100" t="str">
        <f t="shared" si="2"/>
        <v/>
      </c>
      <c r="N15" s="100" t="str">
        <f t="shared" si="3"/>
        <v/>
      </c>
      <c r="O15" s="100" t="str">
        <f t="shared" si="4"/>
        <v/>
      </c>
      <c r="P15" s="100"/>
      <c r="Q15" s="100" t="str">
        <f>IFERROR(IF(ISBLANK(Table1[[#This Row],[Item]]),"",D15*N15),"")</f>
        <v/>
      </c>
      <c r="R15" s="47" t="str">
        <f t="shared" si="5"/>
        <v/>
      </c>
      <c r="S15" s="55" t="str">
        <f>IF(Table1[[#This Row],[Total Smash Buy $]]="","",ROUND(100-(Table1[[#This Row],[Total Smash Buy $]]/Table1[[#This Row],[Quoted Total $]]*100),0)&amp;"%")</f>
        <v/>
      </c>
      <c r="T15" s="56" t="str">
        <f>IF(OR('Cover Sheet'!$G$7="Suzuki",'Cover Sheet'!$G$7="Isuzu",'Cover Sheet'!$G$7="BMW",'Cover Sheet'!$G$7="Mini"),SUBSTITUTE(SUBSTITUTE(Table1[[#This Row],[Part Number]],"-","")," ",""),"")</f>
        <v/>
      </c>
      <c r="V15" s="60"/>
    </row>
    <row r="16" spans="1:27" x14ac:dyDescent="0.45">
      <c r="B16" s="25"/>
      <c r="E16" s="54"/>
      <c r="H16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6" s="54"/>
      <c r="J16" s="100" t="str">
        <f t="shared" si="0"/>
        <v/>
      </c>
      <c r="K16" s="100" t="str">
        <f t="shared" si="1"/>
        <v/>
      </c>
      <c r="L16" s="100" t="str">
        <f>IF(Table1[[#This Row],[ Smash Buy $]]="","",Table1[[#This Row],[Qty]]*Table1[[#This Row],[ Smash Buy $]])</f>
        <v/>
      </c>
      <c r="M16" s="100" t="str">
        <f t="shared" si="2"/>
        <v/>
      </c>
      <c r="N16" s="100" t="str">
        <f t="shared" si="3"/>
        <v/>
      </c>
      <c r="O16" s="100" t="str">
        <f t="shared" si="4"/>
        <v/>
      </c>
      <c r="P16" s="100"/>
      <c r="Q16" s="100" t="str">
        <f>IFERROR(IF(ISBLANK(Table1[[#This Row],[Item]]),"",D16*N16),"")</f>
        <v/>
      </c>
      <c r="R16" s="47" t="str">
        <f t="shared" si="5"/>
        <v/>
      </c>
      <c r="S16" s="55" t="str">
        <f>IF(Table1[[#This Row],[Total Smash Buy $]]="","",ROUND(100-(Table1[[#This Row],[Total Smash Buy $]]/Table1[[#This Row],[Quoted Total $]]*100),0)&amp;"%")</f>
        <v/>
      </c>
      <c r="T16" s="56" t="str">
        <f>IF(OR('Cover Sheet'!$G$7="Suzuki",'Cover Sheet'!$G$7="Isuzu",'Cover Sheet'!$G$7="BMW",'Cover Sheet'!$G$7="Mini"),SUBSTITUTE(SUBSTITUTE(Table1[[#This Row],[Part Number]],"-","")," ",""),"")</f>
        <v/>
      </c>
      <c r="V16" s="60"/>
    </row>
    <row r="17" spans="2:22" x14ac:dyDescent="0.45">
      <c r="B17" s="25"/>
      <c r="E17" s="54"/>
      <c r="H17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7" s="54"/>
      <c r="J17" s="100" t="str">
        <f t="shared" si="0"/>
        <v/>
      </c>
      <c r="K17" s="100" t="str">
        <f t="shared" si="1"/>
        <v/>
      </c>
      <c r="L17" s="100" t="str">
        <f>IF(Table1[[#This Row],[ Smash Buy $]]="","",Table1[[#This Row],[Qty]]*Table1[[#This Row],[ Smash Buy $]])</f>
        <v/>
      </c>
      <c r="M17" s="100" t="str">
        <f t="shared" si="2"/>
        <v/>
      </c>
      <c r="N17" s="100" t="str">
        <f t="shared" si="3"/>
        <v/>
      </c>
      <c r="O17" s="100" t="str">
        <f t="shared" si="4"/>
        <v/>
      </c>
      <c r="P17" s="100"/>
      <c r="Q17" s="100" t="str">
        <f>IFERROR(IF(ISBLANK(Table1[[#This Row],[Item]]),"",D17*N17),"")</f>
        <v/>
      </c>
      <c r="R17" s="47" t="str">
        <f t="shared" si="5"/>
        <v/>
      </c>
      <c r="S17" s="55" t="str">
        <f>IF(Table1[[#This Row],[Total Smash Buy $]]="","",ROUND(100-(Table1[[#This Row],[Total Smash Buy $]]/Table1[[#This Row],[Quoted Total $]]*100),0)&amp;"%")</f>
        <v/>
      </c>
      <c r="T17" s="56" t="str">
        <f>IF(OR('Cover Sheet'!$G$7="Suzuki",'Cover Sheet'!$G$7="Isuzu",'Cover Sheet'!$G$7="BMW",'Cover Sheet'!$G$7="Mini"),SUBSTITUTE(SUBSTITUTE(Table1[[#This Row],[Part Number]],"-","")," ",""),"")</f>
        <v/>
      </c>
      <c r="V17" s="60"/>
    </row>
    <row r="18" spans="2:22" x14ac:dyDescent="0.45">
      <c r="B18" s="25"/>
      <c r="E18" s="54"/>
      <c r="H18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8" s="54"/>
      <c r="J18" s="100" t="str">
        <f t="shared" si="0"/>
        <v/>
      </c>
      <c r="K18" s="100" t="str">
        <f t="shared" si="1"/>
        <v/>
      </c>
      <c r="L18" s="100" t="str">
        <f>IF(Table1[[#This Row],[ Smash Buy $]]="","",Table1[[#This Row],[Qty]]*Table1[[#This Row],[ Smash Buy $]])</f>
        <v/>
      </c>
      <c r="M18" s="100" t="str">
        <f t="shared" si="2"/>
        <v/>
      </c>
      <c r="N18" s="100" t="str">
        <f t="shared" si="3"/>
        <v/>
      </c>
      <c r="O18" s="100" t="str">
        <f t="shared" si="4"/>
        <v/>
      </c>
      <c r="P18" s="100"/>
      <c r="Q18" s="100" t="str">
        <f>IFERROR(IF(ISBLANK(Table1[[#This Row],[Item]]),"",D18*N18),"")</f>
        <v/>
      </c>
      <c r="R18" s="47" t="str">
        <f t="shared" si="5"/>
        <v/>
      </c>
      <c r="S18" s="55" t="str">
        <f>IF(Table1[[#This Row],[Total Smash Buy $]]="","",ROUND(100-(Table1[[#This Row],[Total Smash Buy $]]/Table1[[#This Row],[Quoted Total $]]*100),0)&amp;"%")</f>
        <v/>
      </c>
      <c r="T18" s="56" t="str">
        <f>IF(OR('Cover Sheet'!$G$7="Suzuki",'Cover Sheet'!$G$7="Isuzu",'Cover Sheet'!$G$7="BMW",'Cover Sheet'!$G$7="Mini"),SUBSTITUTE(SUBSTITUTE(Table1[[#This Row],[Part Number]],"-","")," ",""),"")</f>
        <v/>
      </c>
      <c r="V18" s="60"/>
    </row>
    <row r="19" spans="2:22" x14ac:dyDescent="0.45">
      <c r="B19" s="25"/>
      <c r="E19" s="54"/>
      <c r="H19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9" s="54"/>
      <c r="J19" s="100" t="str">
        <f t="shared" si="0"/>
        <v/>
      </c>
      <c r="K19" s="100" t="str">
        <f t="shared" si="1"/>
        <v/>
      </c>
      <c r="L19" s="100" t="str">
        <f>IF(Table1[[#This Row],[ Smash Buy $]]="","",Table1[[#This Row],[Qty]]*Table1[[#This Row],[ Smash Buy $]])</f>
        <v/>
      </c>
      <c r="M19" s="100" t="str">
        <f t="shared" si="2"/>
        <v/>
      </c>
      <c r="N19" s="100" t="str">
        <f t="shared" si="3"/>
        <v/>
      </c>
      <c r="O19" s="100" t="str">
        <f t="shared" si="4"/>
        <v/>
      </c>
      <c r="P19" s="100"/>
      <c r="Q19" s="100" t="str">
        <f>IFERROR(IF(ISBLANK(Table1[[#This Row],[Item]]),"",D19*N19),"")</f>
        <v/>
      </c>
      <c r="R19" s="47" t="str">
        <f t="shared" si="5"/>
        <v/>
      </c>
      <c r="S19" s="55" t="str">
        <f>IF(Table1[[#This Row],[Total Smash Buy $]]="","",ROUND(100-(Table1[[#This Row],[Total Smash Buy $]]/Table1[[#This Row],[Quoted Total $]]*100),0)&amp;"%")</f>
        <v/>
      </c>
      <c r="T19" s="56" t="str">
        <f>IF(OR('Cover Sheet'!$G$7="Suzuki",'Cover Sheet'!$G$7="Isuzu",'Cover Sheet'!$G$7="BMW",'Cover Sheet'!$G$7="Mini"),SUBSTITUTE(SUBSTITUTE(Table1[[#This Row],[Part Number]],"-","")," ",""),"")</f>
        <v/>
      </c>
      <c r="V19" s="60"/>
    </row>
    <row r="20" spans="2:22" x14ac:dyDescent="0.45">
      <c r="B20" s="25"/>
      <c r="E20" s="54"/>
      <c r="H20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20" s="54"/>
      <c r="J20" s="100" t="str">
        <f t="shared" si="0"/>
        <v/>
      </c>
      <c r="K20" s="100" t="str">
        <f t="shared" si="1"/>
        <v/>
      </c>
      <c r="L20" s="100" t="str">
        <f>IF(Table1[[#This Row],[ Smash Buy $]]="","",Table1[[#This Row],[Qty]]*Table1[[#This Row],[ Smash Buy $]])</f>
        <v/>
      </c>
      <c r="M20" s="100" t="str">
        <f t="shared" si="2"/>
        <v/>
      </c>
      <c r="N20" s="100" t="str">
        <f t="shared" si="3"/>
        <v/>
      </c>
      <c r="O20" s="100" t="str">
        <f t="shared" si="4"/>
        <v/>
      </c>
      <c r="P20" s="100"/>
      <c r="Q20" s="100" t="str">
        <f>IFERROR(IF(ISBLANK(Table1[[#This Row],[Item]]),"",D20*N20),"")</f>
        <v/>
      </c>
      <c r="R20" s="47" t="str">
        <f t="shared" si="5"/>
        <v/>
      </c>
      <c r="S20" s="55" t="str">
        <f>IF(Table1[[#This Row],[Total Smash Buy $]]="","",ROUND(100-(Table1[[#This Row],[Total Smash Buy $]]/Table1[[#This Row],[Quoted Total $]]*100),0)&amp;"%")</f>
        <v/>
      </c>
      <c r="T20" s="56" t="str">
        <f>IF(OR('Cover Sheet'!$G$7="Suzuki",'Cover Sheet'!$G$7="Isuzu",'Cover Sheet'!$G$7="BMW",'Cover Sheet'!$G$7="Mini"),SUBSTITUTE(SUBSTITUTE(Table1[[#This Row],[Part Number]],"-","")," ",""),"")</f>
        <v/>
      </c>
      <c r="V20" s="60"/>
    </row>
    <row r="21" spans="2:22" x14ac:dyDescent="0.45">
      <c r="B21" s="25"/>
      <c r="E21" s="54"/>
      <c r="H21" s="100" t="str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21" s="54"/>
      <c r="J21" s="100" t="str">
        <f t="shared" si="0"/>
        <v/>
      </c>
      <c r="K21" s="100" t="str">
        <f t="shared" si="1"/>
        <v/>
      </c>
      <c r="L21" s="100" t="str">
        <f>IF(Table1[[#This Row],[ Smash Buy $]]="","",Table1[[#This Row],[Qty]]*Table1[[#This Row],[ Smash Buy $]])</f>
        <v/>
      </c>
      <c r="M21" s="100" t="str">
        <f t="shared" si="2"/>
        <v/>
      </c>
      <c r="N21" s="100" t="str">
        <f t="shared" si="3"/>
        <v/>
      </c>
      <c r="O21" s="100" t="str">
        <f t="shared" si="4"/>
        <v/>
      </c>
      <c r="P21" s="100" t="s">
        <v>84</v>
      </c>
      <c r="Q21" s="100" t="str">
        <f>IFERROR(IF(ISBLANK(Table1[[#This Row],[Item]]),"",D21*N21),"")</f>
        <v/>
      </c>
      <c r="R21" s="47" t="str">
        <f t="shared" si="5"/>
        <v/>
      </c>
      <c r="S21" s="55" t="str">
        <f>IF(Table1[[#This Row],[Total Smash Buy $]]="","",ROUND(100-(Table1[[#This Row],[Total Smash Buy $]]/Table1[[#This Row],[Quoted Total $]]*100),0)&amp;"%")</f>
        <v/>
      </c>
      <c r="T21" s="56" t="str">
        <f>IF(OR('Cover Sheet'!$G$7="Suzuki",'Cover Sheet'!$G$7="Isuzu",'Cover Sheet'!$G$7="BMW",'Cover Sheet'!$G$7="Mini"),SUBSTITUTE(SUBSTITUTE(Table1[[#This Row],[Part Number]],"-","")," ",""),"")</f>
        <v/>
      </c>
      <c r="V21" s="60"/>
    </row>
  </sheetData>
  <mergeCells count="1">
    <mergeCell ref="A5:B5"/>
  </mergeCells>
  <conditionalFormatting sqref="C5">
    <cfRule type="expression" dxfId="45" priority="3">
      <formula>$C$5="I"</formula>
    </cfRule>
  </conditionalFormatting>
  <conditionalFormatting sqref="C7:C21">
    <cfRule type="duplicateValues" dxfId="44" priority="1"/>
  </conditionalFormatting>
  <conditionalFormatting sqref="I7:I21">
    <cfRule type="expression" dxfId="43" priority="9">
      <formula>ISTEXT($I7)</formula>
    </cfRule>
    <cfRule type="expression" dxfId="42" priority="10">
      <formula>$I7&lt;$D7</formula>
    </cfRule>
  </conditionalFormatting>
  <printOptions horizontalCentered="1"/>
  <pageMargins left="0.19685039370078741" right="0.19685039370078741" top="0.74803149606299213" bottom="0.74803149606299213" header="0.31496062992125978" footer="0.31496062992125978"/>
  <pageSetup paperSize="9" scale="7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99"/>
  <sheetViews>
    <sheetView workbookViewId="0">
      <selection activeCell="E4" sqref="E4"/>
    </sheetView>
  </sheetViews>
  <sheetFormatPr defaultColWidth="9.1328125" defaultRowHeight="14.25" x14ac:dyDescent="0.45"/>
  <cols>
    <col min="1" max="1" width="5" style="27" bestFit="1" customWidth="1"/>
    <col min="2" max="2" width="7.59765625" style="28" bestFit="1" customWidth="1"/>
    <col min="3" max="3" width="36.1328125" style="7" bestFit="1" customWidth="1"/>
    <col min="4" max="4" width="11.73046875" style="27" customWidth="1"/>
    <col min="5" max="5" width="36.1328125" style="28" bestFit="1" customWidth="1"/>
    <col min="6" max="6" width="11.1328125" style="27" bestFit="1" customWidth="1"/>
    <col min="7" max="7" width="11.86328125" style="27" bestFit="1" customWidth="1"/>
    <col min="8" max="8" width="26.1328125" style="28" bestFit="1" customWidth="1"/>
    <col min="9" max="9" width="14.73046875" style="28" bestFit="1" customWidth="1"/>
    <col min="10" max="10" width="18.1328125" style="27" bestFit="1" customWidth="1"/>
    <col min="11" max="11" width="5.59765625" style="27" bestFit="1" customWidth="1"/>
    <col min="12" max="12" width="32.3984375" style="27" bestFit="1" customWidth="1"/>
    <col min="13" max="16" width="9.1328125" style="27" customWidth="1"/>
    <col min="17" max="16384" width="9.1328125" style="27"/>
  </cols>
  <sheetData>
    <row r="1" spans="1:12" ht="28.5" customHeight="1" x14ac:dyDescent="0.45">
      <c r="A1" s="27" t="s">
        <v>85</v>
      </c>
      <c r="B1" s="27" t="s">
        <v>86</v>
      </c>
      <c r="C1" s="28" t="s">
        <v>87</v>
      </c>
      <c r="D1" s="6" t="s">
        <v>46</v>
      </c>
      <c r="E1" s="28" t="s">
        <v>88</v>
      </c>
      <c r="F1" s="27" t="s">
        <v>89</v>
      </c>
      <c r="G1" s="5" t="s">
        <v>90</v>
      </c>
      <c r="H1" s="28" t="s">
        <v>91</v>
      </c>
      <c r="I1" s="27" t="s">
        <v>92</v>
      </c>
      <c r="J1" s="27" t="s">
        <v>93</v>
      </c>
      <c r="K1" s="27" t="s">
        <v>94</v>
      </c>
      <c r="L1" s="28" t="s">
        <v>95</v>
      </c>
    </row>
    <row r="2" spans="1:12" x14ac:dyDescent="0.45">
      <c r="A2" s="27">
        <f t="shared" ref="A2:A33" si="0">IFERROR(RANK(B2,$B$2:$B$203,1),"")</f>
        <v>1</v>
      </c>
      <c r="B2" s="27">
        <f>IFERROR(SEARCH('Cover Sheet'!$J$1,Table3[[#This Row],[Business 2]])+ROW()/100000,"")</f>
        <v>1.0000199999999999</v>
      </c>
      <c r="C2" s="28" t="s">
        <v>96</v>
      </c>
      <c r="D2" s="68">
        <v>26046</v>
      </c>
      <c r="E2" s="28" t="s">
        <v>97</v>
      </c>
      <c r="F2" s="27" t="s">
        <v>98</v>
      </c>
      <c r="G2" s="7" t="s">
        <v>99</v>
      </c>
      <c r="H2" s="28" t="s">
        <v>100</v>
      </c>
      <c r="I2" s="27" t="s">
        <v>101</v>
      </c>
      <c r="J2" s="27" t="s">
        <v>101</v>
      </c>
      <c r="K2" s="27">
        <v>4972</v>
      </c>
      <c r="L2" s="11" t="s">
        <v>102</v>
      </c>
    </row>
    <row r="3" spans="1:12" ht="42.75" customHeight="1" x14ac:dyDescent="0.45">
      <c r="A3" s="27">
        <f t="shared" si="0"/>
        <v>2</v>
      </c>
      <c r="B3" s="27">
        <f>IFERROR(SEARCH('Cover Sheet'!$J$1,Table3[[#This Row],[Business 2]])+ROW()/100000,"")</f>
        <v>1.00003</v>
      </c>
      <c r="C3" s="28" t="s">
        <v>103</v>
      </c>
      <c r="D3" s="68" t="s">
        <v>104</v>
      </c>
      <c r="E3" s="28" t="s">
        <v>105</v>
      </c>
      <c r="F3" s="27" t="s">
        <v>106</v>
      </c>
      <c r="G3" s="7">
        <v>8356267</v>
      </c>
      <c r="H3" s="28" t="s">
        <v>107</v>
      </c>
      <c r="I3" s="27" t="s">
        <v>108</v>
      </c>
      <c r="J3" s="27" t="s">
        <v>109</v>
      </c>
      <c r="K3" s="27">
        <v>4110</v>
      </c>
      <c r="L3" s="8" t="s">
        <v>110</v>
      </c>
    </row>
    <row r="4" spans="1:12" x14ac:dyDescent="0.45">
      <c r="A4" s="27">
        <f t="shared" si="0"/>
        <v>3</v>
      </c>
      <c r="B4" s="27">
        <f>IFERROR(SEARCH('Cover Sheet'!$J$1,Table3[[#This Row],[Business 2]])+ROW()/100000,"")</f>
        <v>1.00004</v>
      </c>
      <c r="C4" s="28" t="s">
        <v>111</v>
      </c>
      <c r="D4" s="68"/>
      <c r="E4" s="28" t="s">
        <v>111</v>
      </c>
      <c r="G4" s="7" t="s">
        <v>112</v>
      </c>
      <c r="H4" s="28" t="s">
        <v>113</v>
      </c>
      <c r="I4" s="27" t="s">
        <v>108</v>
      </c>
      <c r="J4" s="27" t="s">
        <v>109</v>
      </c>
      <c r="K4" s="27">
        <v>4110</v>
      </c>
      <c r="L4" s="11" t="s">
        <v>114</v>
      </c>
    </row>
    <row r="5" spans="1:12" x14ac:dyDescent="0.45">
      <c r="A5" s="27">
        <f t="shared" si="0"/>
        <v>4</v>
      </c>
      <c r="B5" s="27">
        <f>IFERROR(SEARCH('Cover Sheet'!$J$1,Table3[[#This Row],[Business 2]])+ROW()/100000,"")</f>
        <v>1.0000500000000001</v>
      </c>
      <c r="C5" s="28" t="s">
        <v>115</v>
      </c>
      <c r="D5" s="68" t="s">
        <v>116</v>
      </c>
      <c r="E5" s="28" t="s">
        <v>115</v>
      </c>
      <c r="G5" s="9" t="s">
        <v>117</v>
      </c>
      <c r="H5" s="28" t="s">
        <v>118</v>
      </c>
      <c r="I5" s="27" t="s">
        <v>119</v>
      </c>
      <c r="J5" s="27" t="s">
        <v>120</v>
      </c>
      <c r="K5" s="27">
        <v>4010</v>
      </c>
      <c r="L5" s="8" t="s">
        <v>121</v>
      </c>
    </row>
    <row r="6" spans="1:12" x14ac:dyDescent="0.45">
      <c r="A6" s="27">
        <f t="shared" si="0"/>
        <v>5</v>
      </c>
      <c r="B6" s="27">
        <f>IFERROR(SEARCH('Cover Sheet'!$J$1,Table3[[#This Row],[Business 2]])+ROW()/100000,"")</f>
        <v>1.0000599999999999</v>
      </c>
      <c r="C6" s="28" t="s">
        <v>122</v>
      </c>
      <c r="D6" s="68" t="s">
        <v>123</v>
      </c>
      <c r="E6" s="28" t="s">
        <v>122</v>
      </c>
      <c r="G6" s="7">
        <v>8786623</v>
      </c>
      <c r="H6" s="28" t="s">
        <v>124</v>
      </c>
      <c r="I6" s="27" t="s">
        <v>125</v>
      </c>
      <c r="J6" s="27" t="s">
        <v>125</v>
      </c>
      <c r="K6" s="27">
        <v>4122</v>
      </c>
      <c r="L6" s="11" t="s">
        <v>126</v>
      </c>
    </row>
    <row r="7" spans="1:12" x14ac:dyDescent="0.45">
      <c r="A7" s="27">
        <f t="shared" si="0"/>
        <v>6</v>
      </c>
      <c r="B7" s="27">
        <f>IFERROR(SEARCH('Cover Sheet'!$J$1,Table3[[#This Row],[Business 2]])+ROW()/100000,"")</f>
        <v>1.00007</v>
      </c>
      <c r="C7" s="28" t="s">
        <v>127</v>
      </c>
      <c r="D7" s="68">
        <v>7225</v>
      </c>
      <c r="E7" s="28" t="s">
        <v>128</v>
      </c>
      <c r="G7" s="7">
        <v>8767439</v>
      </c>
      <c r="H7" s="28" t="s">
        <v>129</v>
      </c>
      <c r="I7" s="27" t="s">
        <v>119</v>
      </c>
      <c r="J7" s="27" t="s">
        <v>125</v>
      </c>
      <c r="K7" s="27">
        <v>4122</v>
      </c>
      <c r="L7" s="8" t="s">
        <v>130</v>
      </c>
    </row>
    <row r="8" spans="1:12" x14ac:dyDescent="0.45">
      <c r="A8" s="27">
        <f t="shared" si="0"/>
        <v>7</v>
      </c>
      <c r="B8" s="27">
        <f>IFERROR(SEARCH('Cover Sheet'!$J$1,Table3[[#This Row],[Business 2]])+ROW()/100000,"")</f>
        <v>1.0000800000000001</v>
      </c>
      <c r="C8" s="28" t="s">
        <v>131</v>
      </c>
      <c r="D8" s="68" t="s">
        <v>132</v>
      </c>
      <c r="E8" s="28" t="s">
        <v>133</v>
      </c>
      <c r="G8" s="7" t="s">
        <v>134</v>
      </c>
      <c r="H8" s="28" t="s">
        <v>135</v>
      </c>
      <c r="I8" s="27" t="s">
        <v>119</v>
      </c>
      <c r="J8" s="27" t="s">
        <v>136</v>
      </c>
      <c r="K8" s="27">
        <v>4410</v>
      </c>
      <c r="L8" s="28" t="s">
        <v>137</v>
      </c>
    </row>
    <row r="9" spans="1:12" x14ac:dyDescent="0.45">
      <c r="A9" s="27">
        <f t="shared" si="0"/>
        <v>8</v>
      </c>
      <c r="B9" s="27">
        <f>IFERROR(SEARCH('Cover Sheet'!$J$1,Table3[[#This Row],[Business 2]])+ROW()/100000,"")</f>
        <v>1.0000899999999999</v>
      </c>
      <c r="C9" s="28" t="s">
        <v>138</v>
      </c>
      <c r="D9" s="68" t="s">
        <v>139</v>
      </c>
      <c r="E9" s="28" t="s">
        <v>138</v>
      </c>
      <c r="G9" s="7" t="s">
        <v>140</v>
      </c>
      <c r="H9" s="28" t="s">
        <v>141</v>
      </c>
      <c r="I9" s="27" t="s">
        <v>119</v>
      </c>
      <c r="J9" s="27" t="s">
        <v>142</v>
      </c>
      <c r="K9" s="27">
        <v>4310</v>
      </c>
      <c r="L9" s="11" t="s">
        <v>143</v>
      </c>
    </row>
    <row r="10" spans="1:12" x14ac:dyDescent="0.45">
      <c r="A10" s="27">
        <f t="shared" si="0"/>
        <v>9</v>
      </c>
      <c r="B10" s="27">
        <f>IFERROR(SEARCH('Cover Sheet'!$J$1,Table3[[#This Row],[Business 2]])+ROW()/100000,"")</f>
        <v>1.0001</v>
      </c>
      <c r="C10" s="28" t="s">
        <v>144</v>
      </c>
      <c r="D10" s="68" t="s">
        <v>145</v>
      </c>
      <c r="E10" s="28" t="s">
        <v>144</v>
      </c>
      <c r="G10" s="7">
        <v>8785332</v>
      </c>
      <c r="H10" s="28" t="s">
        <v>146</v>
      </c>
      <c r="I10" s="27" t="s">
        <v>147</v>
      </c>
      <c r="J10" s="27" t="s">
        <v>125</v>
      </c>
      <c r="K10" s="27">
        <v>4122</v>
      </c>
      <c r="L10" s="8" t="s">
        <v>148</v>
      </c>
    </row>
    <row r="11" spans="1:12" x14ac:dyDescent="0.45">
      <c r="A11" s="27">
        <f t="shared" si="0"/>
        <v>10</v>
      </c>
      <c r="B11" s="27">
        <f>IFERROR(SEARCH('Cover Sheet'!$J$1,Table3[[#This Row],[Business 2]])+ROW()/100000,"")</f>
        <v>1.0001100000000001</v>
      </c>
      <c r="C11" s="28" t="s">
        <v>149</v>
      </c>
      <c r="D11" s="68">
        <v>633</v>
      </c>
      <c r="E11" s="28" t="s">
        <v>149</v>
      </c>
      <c r="G11" s="7">
        <v>8357927</v>
      </c>
      <c r="H11" s="28" t="s">
        <v>107</v>
      </c>
      <c r="I11" s="27" t="s">
        <v>108</v>
      </c>
      <c r="J11" s="27" t="s">
        <v>109</v>
      </c>
      <c r="K11" s="27">
        <v>4110</v>
      </c>
      <c r="L11" s="8" t="s">
        <v>150</v>
      </c>
    </row>
    <row r="12" spans="1:12" x14ac:dyDescent="0.45">
      <c r="A12" s="27">
        <f t="shared" si="0"/>
        <v>11</v>
      </c>
      <c r="B12" s="27">
        <f>IFERROR(SEARCH('Cover Sheet'!$J$1,Table3[[#This Row],[Business 2]])+ROW()/100000,"")</f>
        <v>1.0001199999999999</v>
      </c>
      <c r="C12" s="28" t="s">
        <v>151</v>
      </c>
      <c r="D12" s="68">
        <v>3106</v>
      </c>
      <c r="E12" s="28" t="s">
        <v>151</v>
      </c>
      <c r="F12" s="27" t="s">
        <v>152</v>
      </c>
      <c r="G12" s="7">
        <v>8432789</v>
      </c>
      <c r="H12" s="28" t="s">
        <v>153</v>
      </c>
      <c r="I12" s="27" t="s">
        <v>154</v>
      </c>
      <c r="J12" s="27" t="s">
        <v>109</v>
      </c>
      <c r="K12" s="27">
        <v>4110</v>
      </c>
      <c r="L12" s="28"/>
    </row>
    <row r="13" spans="1:12" x14ac:dyDescent="0.45">
      <c r="A13" s="27">
        <f t="shared" si="0"/>
        <v>12</v>
      </c>
      <c r="B13" s="27">
        <f>IFERROR(SEARCH('Cover Sheet'!$J$1,Table3[[#This Row],[Business 2]])+ROW()/100000,"")</f>
        <v>1.00013</v>
      </c>
      <c r="C13" s="28" t="s">
        <v>155</v>
      </c>
      <c r="D13" s="68" t="s">
        <v>156</v>
      </c>
      <c r="E13" s="28" t="s">
        <v>157</v>
      </c>
      <c r="G13" s="7" t="s">
        <v>158</v>
      </c>
      <c r="H13" s="28" t="s">
        <v>159</v>
      </c>
      <c r="I13" s="27" t="s">
        <v>160</v>
      </c>
      <c r="J13" s="27" t="s">
        <v>142</v>
      </c>
      <c r="K13" s="27">
        <v>4292</v>
      </c>
      <c r="L13" s="65" t="s">
        <v>161</v>
      </c>
    </row>
    <row r="14" spans="1:12" x14ac:dyDescent="0.45">
      <c r="A14" s="27">
        <f t="shared" si="0"/>
        <v>13</v>
      </c>
      <c r="B14" s="27">
        <f>IFERROR(SEARCH('Cover Sheet'!$J$1,Table3[[#This Row],[Business 2]])+ROW()/100000,"")</f>
        <v>1.00014</v>
      </c>
      <c r="C14" s="28" t="s">
        <v>162</v>
      </c>
      <c r="D14" s="68" t="s">
        <v>163</v>
      </c>
      <c r="E14" s="28" t="s">
        <v>162</v>
      </c>
      <c r="G14" s="7" t="s">
        <v>164</v>
      </c>
      <c r="H14" s="28" t="s">
        <v>165</v>
      </c>
      <c r="I14" s="27" t="s">
        <v>119</v>
      </c>
      <c r="J14" s="27" t="s">
        <v>166</v>
      </c>
      <c r="K14" s="27">
        <v>4610</v>
      </c>
      <c r="L14" s="28" t="s">
        <v>167</v>
      </c>
    </row>
    <row r="15" spans="1:12" ht="28.5" customHeight="1" x14ac:dyDescent="0.45">
      <c r="A15" s="27">
        <f t="shared" si="0"/>
        <v>14</v>
      </c>
      <c r="B15" s="27">
        <f>IFERROR(SEARCH('Cover Sheet'!$J$1,Table3[[#This Row],[Business 2]])+ROW()/100000,"")</f>
        <v>1.0001500000000001</v>
      </c>
      <c r="C15" s="28" t="s">
        <v>168</v>
      </c>
      <c r="D15" s="68" t="s">
        <v>169</v>
      </c>
      <c r="E15" s="28" t="s">
        <v>170</v>
      </c>
      <c r="G15" s="7" t="s">
        <v>171</v>
      </c>
      <c r="H15" s="27" t="s">
        <v>172</v>
      </c>
      <c r="I15" s="27" t="s">
        <v>173</v>
      </c>
      <c r="J15" s="27" t="s">
        <v>174</v>
      </c>
      <c r="K15" s="27" t="s">
        <v>175</v>
      </c>
      <c r="L15" s="11"/>
    </row>
    <row r="16" spans="1:12" x14ac:dyDescent="0.45">
      <c r="A16" s="27">
        <f t="shared" si="0"/>
        <v>15</v>
      </c>
      <c r="B16" s="27">
        <f>IFERROR(SEARCH('Cover Sheet'!$J$1,Table3[[#This Row],[Business 2]])+ROW()/100000,"")</f>
        <v>1.0001599999999999</v>
      </c>
      <c r="C16" s="28" t="s">
        <v>176</v>
      </c>
      <c r="D16" s="68" t="s">
        <v>177</v>
      </c>
      <c r="E16" s="28" t="s">
        <v>176</v>
      </c>
      <c r="G16" s="7">
        <v>8798192</v>
      </c>
      <c r="H16" s="28" t="s">
        <v>178</v>
      </c>
      <c r="I16" s="27" t="s">
        <v>179</v>
      </c>
      <c r="J16" s="27" t="s">
        <v>125</v>
      </c>
      <c r="K16" s="27">
        <v>4120</v>
      </c>
      <c r="L16" s="8" t="s">
        <v>180</v>
      </c>
    </row>
    <row r="17" spans="1:12" x14ac:dyDescent="0.45">
      <c r="A17" s="27">
        <f t="shared" si="0"/>
        <v>16</v>
      </c>
      <c r="B17" s="27">
        <f>IFERROR(SEARCH('Cover Sheet'!$J$1,Table3[[#This Row],[Business 2]])+ROW()/100000,"")</f>
        <v>1.00017</v>
      </c>
      <c r="C17" s="28" t="s">
        <v>181</v>
      </c>
      <c r="D17" s="68" t="s">
        <v>182</v>
      </c>
      <c r="E17" s="28" t="s">
        <v>181</v>
      </c>
      <c r="F17" s="27" t="s">
        <v>183</v>
      </c>
      <c r="G17" s="7" t="s">
        <v>184</v>
      </c>
      <c r="H17" s="28" t="s">
        <v>185</v>
      </c>
      <c r="I17" s="27" t="s">
        <v>119</v>
      </c>
      <c r="J17" s="27" t="s">
        <v>186</v>
      </c>
      <c r="K17" s="27">
        <v>4814</v>
      </c>
      <c r="L17" s="11" t="s">
        <v>187</v>
      </c>
    </row>
    <row r="18" spans="1:12" x14ac:dyDescent="0.45">
      <c r="A18" s="27">
        <f t="shared" si="0"/>
        <v>17</v>
      </c>
      <c r="B18" s="27">
        <f>IFERROR(SEARCH('Cover Sheet'!$J$1,Table3[[#This Row],[Business 2]])+ROW()/100000,"")</f>
        <v>1.0001800000000001</v>
      </c>
      <c r="C18" s="28" t="s">
        <v>188</v>
      </c>
      <c r="D18" s="68">
        <v>10485</v>
      </c>
      <c r="E18" s="28" t="s">
        <v>188</v>
      </c>
      <c r="F18" s="27" t="s">
        <v>189</v>
      </c>
      <c r="G18" s="7" t="s">
        <v>190</v>
      </c>
      <c r="H18" s="28" t="s">
        <v>191</v>
      </c>
      <c r="I18" s="27" t="s">
        <v>192</v>
      </c>
      <c r="J18" s="27" t="s">
        <v>193</v>
      </c>
      <c r="K18" s="27">
        <v>4196</v>
      </c>
      <c r="L18" s="11" t="s">
        <v>194</v>
      </c>
    </row>
    <row r="19" spans="1:12" x14ac:dyDescent="0.45">
      <c r="A19" s="27">
        <f t="shared" si="0"/>
        <v>18</v>
      </c>
      <c r="B19" s="27">
        <f>IFERROR(SEARCH('Cover Sheet'!$J$1,Table3[[#This Row],[Business 2]])+ROW()/100000,"")</f>
        <v>1.0001899999999999</v>
      </c>
      <c r="C19" s="28" t="s">
        <v>195</v>
      </c>
      <c r="D19" s="68" t="s">
        <v>196</v>
      </c>
      <c r="E19" s="28" t="s">
        <v>197</v>
      </c>
      <c r="G19" s="7" t="s">
        <v>198</v>
      </c>
      <c r="H19" s="28" t="s">
        <v>199</v>
      </c>
      <c r="I19" s="27" t="s">
        <v>200</v>
      </c>
      <c r="J19" s="27" t="s">
        <v>201</v>
      </c>
      <c r="K19" s="27">
        <v>4210</v>
      </c>
      <c r="L19" s="11" t="s">
        <v>202</v>
      </c>
    </row>
    <row r="20" spans="1:12" ht="28.5" customHeight="1" x14ac:dyDescent="0.45">
      <c r="A20" s="27">
        <f t="shared" si="0"/>
        <v>19</v>
      </c>
      <c r="B20" s="27">
        <f>IFERROR(SEARCH('Cover Sheet'!$J$1,Table3[[#This Row],[Business 2]])+ROW()/100000,"")</f>
        <v>1.0002</v>
      </c>
      <c r="C20" s="28" t="s">
        <v>203</v>
      </c>
      <c r="D20" s="68" t="s">
        <v>204</v>
      </c>
      <c r="E20" s="28" t="s">
        <v>203</v>
      </c>
      <c r="F20" s="27" t="s">
        <v>205</v>
      </c>
      <c r="G20" s="7" t="s">
        <v>206</v>
      </c>
      <c r="H20" s="28" t="s">
        <v>207</v>
      </c>
      <c r="I20" s="27" t="s">
        <v>119</v>
      </c>
      <c r="J20" s="27" t="s">
        <v>208</v>
      </c>
      <c r="K20" s="27">
        <v>3015</v>
      </c>
      <c r="L20" s="11" t="s">
        <v>209</v>
      </c>
    </row>
    <row r="21" spans="1:12" x14ac:dyDescent="0.45">
      <c r="A21" s="27">
        <f t="shared" si="0"/>
        <v>20</v>
      </c>
      <c r="B21" s="27">
        <f>IFERROR(SEARCH('Cover Sheet'!$J$1,Table3[[#This Row],[Business 2]])+ROW()/100000,"")</f>
        <v>1.00021</v>
      </c>
      <c r="C21" s="28" t="s">
        <v>210</v>
      </c>
      <c r="D21" s="68" t="s">
        <v>211</v>
      </c>
      <c r="E21" s="28" t="s">
        <v>210</v>
      </c>
      <c r="F21" s="27" t="s">
        <v>212</v>
      </c>
      <c r="G21" s="7" t="s">
        <v>213</v>
      </c>
      <c r="H21" s="28" t="s">
        <v>214</v>
      </c>
      <c r="I21" s="27"/>
      <c r="J21" s="27" t="s">
        <v>215</v>
      </c>
      <c r="K21" s="27">
        <v>4200</v>
      </c>
      <c r="L21" s="11" t="s">
        <v>216</v>
      </c>
    </row>
    <row r="22" spans="1:12" x14ac:dyDescent="0.45">
      <c r="A22" s="27">
        <f t="shared" si="0"/>
        <v>21</v>
      </c>
      <c r="B22" s="27">
        <f>IFERROR(SEARCH('Cover Sheet'!$J$1,Table3[[#This Row],[Business 2]])+ROW()/100000,"")</f>
        <v>1.0002200000000001</v>
      </c>
      <c r="C22" s="28" t="s">
        <v>217</v>
      </c>
      <c r="D22" s="68" t="s">
        <v>218</v>
      </c>
      <c r="E22" s="28" t="s">
        <v>217</v>
      </c>
      <c r="G22" s="7" t="s">
        <v>219</v>
      </c>
      <c r="H22" s="28" t="s">
        <v>220</v>
      </c>
      <c r="I22" s="27"/>
      <c r="J22" s="27" t="s">
        <v>136</v>
      </c>
      <c r="K22" s="27">
        <v>4410</v>
      </c>
      <c r="L22" s="11" t="s">
        <v>221</v>
      </c>
    </row>
    <row r="23" spans="1:12" x14ac:dyDescent="0.45">
      <c r="A23" s="27">
        <f t="shared" si="0"/>
        <v>22</v>
      </c>
      <c r="B23" s="27">
        <f>IFERROR(SEARCH('Cover Sheet'!$J$1,Table3[[#This Row],[Business 2]])+ROW()/100000,"")</f>
        <v>1.00023</v>
      </c>
      <c r="C23" s="28" t="s">
        <v>222</v>
      </c>
      <c r="D23" s="68" t="s">
        <v>223</v>
      </c>
      <c r="E23" s="28" t="s">
        <v>222</v>
      </c>
      <c r="G23" s="7">
        <v>8438200</v>
      </c>
      <c r="H23" s="28" t="s">
        <v>224</v>
      </c>
      <c r="I23" s="27" t="s">
        <v>154</v>
      </c>
      <c r="J23" s="27" t="s">
        <v>109</v>
      </c>
      <c r="K23" s="27">
        <v>4110</v>
      </c>
      <c r="L23" s="8" t="s">
        <v>225</v>
      </c>
    </row>
    <row r="24" spans="1:12" x14ac:dyDescent="0.45">
      <c r="A24" s="27">
        <f t="shared" si="0"/>
        <v>23</v>
      </c>
      <c r="B24" s="27">
        <f>IFERROR(SEARCH('Cover Sheet'!$J$1,Table3[[#This Row],[Business 2]])+ROW()/100000,"")</f>
        <v>1.00024</v>
      </c>
      <c r="C24" s="28" t="s">
        <v>226</v>
      </c>
      <c r="D24" s="68">
        <v>27662</v>
      </c>
      <c r="E24" s="28" t="s">
        <v>226</v>
      </c>
      <c r="G24" s="7">
        <v>8735990</v>
      </c>
      <c r="H24" s="28" t="s">
        <v>227</v>
      </c>
      <c r="I24" s="27" t="s">
        <v>119</v>
      </c>
      <c r="J24" s="27" t="s">
        <v>125</v>
      </c>
      <c r="K24" s="27">
        <v>4122</v>
      </c>
      <c r="L24" s="28"/>
    </row>
    <row r="25" spans="1:12" x14ac:dyDescent="0.45">
      <c r="A25" s="27">
        <f t="shared" si="0"/>
        <v>24</v>
      </c>
      <c r="B25" s="27">
        <f>IFERROR(SEARCH('Cover Sheet'!$J$1,Table3[[#This Row],[Business 2]])+ROW()/100000,"")</f>
        <v>1.0002500000000001</v>
      </c>
      <c r="C25" s="28" t="s">
        <v>228</v>
      </c>
      <c r="D25" s="68" t="s">
        <v>229</v>
      </c>
      <c r="E25" s="28" t="s">
        <v>228</v>
      </c>
      <c r="G25" s="7" t="s">
        <v>230</v>
      </c>
      <c r="H25" s="28" t="s">
        <v>231</v>
      </c>
      <c r="I25" s="27" t="s">
        <v>119</v>
      </c>
      <c r="J25" s="27" t="s">
        <v>232</v>
      </c>
      <c r="K25" s="27">
        <v>5510</v>
      </c>
      <c r="L25" s="11" t="s">
        <v>233</v>
      </c>
    </row>
    <row r="26" spans="1:12" x14ac:dyDescent="0.45">
      <c r="A26" s="27">
        <f t="shared" si="0"/>
        <v>25</v>
      </c>
      <c r="B26" s="27">
        <f>IFERROR(SEARCH('Cover Sheet'!$J$1,Table3[[#This Row],[Business 2]])+ROW()/100000,"")</f>
        <v>1.0002599999999999</v>
      </c>
      <c r="C26" s="28" t="s">
        <v>234</v>
      </c>
      <c r="D26" s="68" t="s">
        <v>235</v>
      </c>
      <c r="E26" s="28" t="s">
        <v>236</v>
      </c>
      <c r="G26" s="7" t="s">
        <v>237</v>
      </c>
      <c r="H26" s="28" t="s">
        <v>238</v>
      </c>
      <c r="I26" s="27"/>
      <c r="J26" s="27" t="s">
        <v>101</v>
      </c>
      <c r="K26" s="27">
        <v>4930</v>
      </c>
      <c r="L26" s="11" t="s">
        <v>239</v>
      </c>
    </row>
    <row r="27" spans="1:12" x14ac:dyDescent="0.45">
      <c r="A27" s="27">
        <f t="shared" si="0"/>
        <v>26</v>
      </c>
      <c r="B27" s="27">
        <f>IFERROR(SEARCH('Cover Sheet'!$J$1,Table3[[#This Row],[Business 2]])+ROW()/100000,"")</f>
        <v>1.00027</v>
      </c>
      <c r="C27" s="28" t="s">
        <v>240</v>
      </c>
      <c r="D27" s="68" t="s">
        <v>241</v>
      </c>
      <c r="E27" s="28" t="s">
        <v>242</v>
      </c>
      <c r="F27" s="27" t="s">
        <v>243</v>
      </c>
      <c r="G27" s="9" t="s">
        <v>244</v>
      </c>
      <c r="H27" s="28" t="s">
        <v>245</v>
      </c>
      <c r="I27" s="27" t="s">
        <v>119</v>
      </c>
      <c r="J27" s="27" t="s">
        <v>120</v>
      </c>
      <c r="K27" s="27">
        <v>4010</v>
      </c>
      <c r="L27" s="11" t="s">
        <v>246</v>
      </c>
    </row>
    <row r="28" spans="1:12" x14ac:dyDescent="0.45">
      <c r="A28" s="27">
        <f t="shared" si="0"/>
        <v>27</v>
      </c>
      <c r="B28" s="27">
        <f>IFERROR(SEARCH('Cover Sheet'!$J$1,Table3[[#This Row],[Business 2]])+ROW()/100000,"")</f>
        <v>1.0002800000000001</v>
      </c>
      <c r="C28" s="28" t="s">
        <v>247</v>
      </c>
      <c r="D28" s="68" t="s">
        <v>248</v>
      </c>
      <c r="E28" s="28" t="s">
        <v>247</v>
      </c>
      <c r="G28" s="7">
        <v>8789957</v>
      </c>
      <c r="H28" s="28" t="s">
        <v>249</v>
      </c>
      <c r="I28" s="27" t="s">
        <v>250</v>
      </c>
      <c r="J28" s="27" t="s">
        <v>125</v>
      </c>
      <c r="K28" s="27">
        <v>4120</v>
      </c>
      <c r="L28" s="8" t="s">
        <v>251</v>
      </c>
    </row>
    <row r="29" spans="1:12" x14ac:dyDescent="0.45">
      <c r="A29" s="27">
        <f t="shared" si="0"/>
        <v>28</v>
      </c>
      <c r="B29" s="27">
        <f>IFERROR(SEARCH('Cover Sheet'!$J$1,Table3[[#This Row],[Business 2]])+ROW()/100000,"")</f>
        <v>1.0002899999999999</v>
      </c>
      <c r="C29" s="28" t="s">
        <v>252</v>
      </c>
      <c r="D29" s="68" t="s">
        <v>253</v>
      </c>
      <c r="E29" s="28" t="s">
        <v>252</v>
      </c>
      <c r="F29" s="27" t="s">
        <v>254</v>
      </c>
      <c r="G29" s="7" t="s">
        <v>255</v>
      </c>
      <c r="H29" s="28" t="s">
        <v>256</v>
      </c>
      <c r="I29" s="27" t="s">
        <v>257</v>
      </c>
      <c r="J29" s="27" t="s">
        <v>120</v>
      </c>
      <c r="K29" s="27">
        <v>4272</v>
      </c>
      <c r="L29" s="11" t="s">
        <v>258</v>
      </c>
    </row>
    <row r="30" spans="1:12" x14ac:dyDescent="0.45">
      <c r="A30" s="27">
        <f t="shared" si="0"/>
        <v>29</v>
      </c>
      <c r="B30" s="27">
        <f>IFERROR(SEARCH('Cover Sheet'!$J$1,Table3[[#This Row],[Business 2]])+ROW()/100000,"")</f>
        <v>1.0003</v>
      </c>
      <c r="C30" s="28" t="s">
        <v>259</v>
      </c>
      <c r="D30" s="68" t="s">
        <v>260</v>
      </c>
      <c r="E30" s="28" t="s">
        <v>259</v>
      </c>
      <c r="F30" s="27" t="s">
        <v>261</v>
      </c>
      <c r="G30" s="7" t="s">
        <v>262</v>
      </c>
      <c r="H30" s="28" t="s">
        <v>263</v>
      </c>
      <c r="I30" s="27" t="s">
        <v>264</v>
      </c>
      <c r="J30" s="27" t="s">
        <v>136</v>
      </c>
      <c r="K30" s="27">
        <v>4414</v>
      </c>
      <c r="L30" s="11" t="s">
        <v>265</v>
      </c>
    </row>
    <row r="31" spans="1:12" ht="28.5" customHeight="1" x14ac:dyDescent="0.45">
      <c r="A31" s="27">
        <f t="shared" si="0"/>
        <v>30</v>
      </c>
      <c r="B31" s="27">
        <f>IFERROR(SEARCH('Cover Sheet'!$J$1,Table3[[#This Row],[Business 2]])+ROW()/100000,"")</f>
        <v>1.00031</v>
      </c>
      <c r="C31" s="28" t="s">
        <v>266</v>
      </c>
      <c r="D31" s="68" t="s">
        <v>267</v>
      </c>
      <c r="E31" s="28" t="s">
        <v>266</v>
      </c>
      <c r="F31" s="27" t="s">
        <v>268</v>
      </c>
      <c r="G31" s="7" t="s">
        <v>269</v>
      </c>
      <c r="H31" s="28" t="s">
        <v>270</v>
      </c>
      <c r="I31" s="27" t="s">
        <v>271</v>
      </c>
      <c r="J31" s="27" t="s">
        <v>120</v>
      </c>
      <c r="K31" s="27">
        <v>4010</v>
      </c>
      <c r="L31" s="28" t="s">
        <v>272</v>
      </c>
    </row>
    <row r="32" spans="1:12" x14ac:dyDescent="0.45">
      <c r="A32" s="27">
        <f t="shared" si="0"/>
        <v>31</v>
      </c>
      <c r="B32" s="27">
        <f>IFERROR(SEARCH('Cover Sheet'!$J$1,Table3[[#This Row],[Business 2]])+ROW()/100000,"")</f>
        <v>1.0003200000000001</v>
      </c>
      <c r="C32" s="28" t="s">
        <v>273</v>
      </c>
      <c r="D32" s="68" t="s">
        <v>274</v>
      </c>
      <c r="E32" s="28" t="s">
        <v>273</v>
      </c>
      <c r="G32" s="7">
        <v>8431080</v>
      </c>
      <c r="H32" s="28" t="s">
        <v>275</v>
      </c>
      <c r="I32" s="27" t="s">
        <v>154</v>
      </c>
      <c r="J32" s="27" t="s">
        <v>109</v>
      </c>
      <c r="K32" s="27">
        <v>4110</v>
      </c>
      <c r="L32" s="8" t="s">
        <v>276</v>
      </c>
    </row>
    <row r="33" spans="1:12" x14ac:dyDescent="0.45">
      <c r="A33" s="27">
        <f t="shared" si="0"/>
        <v>32</v>
      </c>
      <c r="B33" s="27">
        <f>IFERROR(SEARCH('Cover Sheet'!$J$1,Table3[[#This Row],[Business 2]])+ROW()/100000,"")</f>
        <v>1.0003299999999999</v>
      </c>
      <c r="C33" s="28" t="s">
        <v>277</v>
      </c>
      <c r="D33" s="68" t="s">
        <v>278</v>
      </c>
      <c r="E33" s="28" t="s">
        <v>277</v>
      </c>
      <c r="F33" s="27" t="s">
        <v>279</v>
      </c>
      <c r="G33" s="7" t="s">
        <v>280</v>
      </c>
      <c r="H33" s="28" t="s">
        <v>281</v>
      </c>
      <c r="I33" s="27" t="s">
        <v>282</v>
      </c>
      <c r="J33" s="27" t="s">
        <v>283</v>
      </c>
      <c r="K33" s="27">
        <v>3378</v>
      </c>
      <c r="L33" s="11" t="s">
        <v>284</v>
      </c>
    </row>
    <row r="34" spans="1:12" x14ac:dyDescent="0.45">
      <c r="A34" s="27">
        <f t="shared" ref="A34:A65" si="1">IFERROR(RANK(B34,$B$2:$B$203,1),"")</f>
        <v>33</v>
      </c>
      <c r="B34" s="27">
        <f>IFERROR(SEARCH('Cover Sheet'!$J$1,Table3[[#This Row],[Business 2]])+ROW()/100000,"")</f>
        <v>1.00034</v>
      </c>
      <c r="C34" s="28" t="s">
        <v>285</v>
      </c>
      <c r="D34" s="68" t="s">
        <v>286</v>
      </c>
      <c r="E34" s="28" t="s">
        <v>285</v>
      </c>
      <c r="G34" s="7">
        <v>8760717</v>
      </c>
      <c r="H34" s="28" t="s">
        <v>287</v>
      </c>
      <c r="I34" s="27" t="s">
        <v>119</v>
      </c>
      <c r="J34" s="27" t="s">
        <v>125</v>
      </c>
      <c r="K34" s="27">
        <v>4122</v>
      </c>
      <c r="L34" s="8" t="s">
        <v>288</v>
      </c>
    </row>
    <row r="35" spans="1:12" x14ac:dyDescent="0.45">
      <c r="A35" s="27">
        <f t="shared" si="1"/>
        <v>34</v>
      </c>
      <c r="B35" s="27">
        <f>IFERROR(SEARCH('Cover Sheet'!$J$1,Table3[[#This Row],[Business 2]])+ROW()/100000,"")</f>
        <v>1.0003500000000001</v>
      </c>
      <c r="C35" s="28" t="s">
        <v>289</v>
      </c>
      <c r="D35" s="68" t="s">
        <v>290</v>
      </c>
      <c r="E35" s="28" t="s">
        <v>289</v>
      </c>
      <c r="G35" s="9" t="s">
        <v>291</v>
      </c>
      <c r="H35" s="28" t="s">
        <v>292</v>
      </c>
      <c r="I35" s="27"/>
      <c r="J35" s="27" t="s">
        <v>120</v>
      </c>
      <c r="K35" s="27">
        <v>4010</v>
      </c>
      <c r="L35" s="11" t="s">
        <v>293</v>
      </c>
    </row>
    <row r="36" spans="1:12" x14ac:dyDescent="0.45">
      <c r="A36" s="27">
        <f t="shared" si="1"/>
        <v>35</v>
      </c>
      <c r="B36" s="27">
        <f>IFERROR(SEARCH('Cover Sheet'!$J$1,Table3[[#This Row],[Business 2]])+ROW()/100000,"")</f>
        <v>1.0003599999999999</v>
      </c>
      <c r="C36" s="28" t="s">
        <v>294</v>
      </c>
      <c r="D36" s="68" t="s">
        <v>295</v>
      </c>
      <c r="E36" s="28" t="s">
        <v>294</v>
      </c>
      <c r="G36" s="7">
        <v>8358810</v>
      </c>
      <c r="H36" s="28" t="s">
        <v>296</v>
      </c>
      <c r="I36" s="27" t="s">
        <v>154</v>
      </c>
      <c r="J36" s="27" t="s">
        <v>109</v>
      </c>
      <c r="K36" s="27">
        <v>4110</v>
      </c>
      <c r="L36" s="11" t="s">
        <v>297</v>
      </c>
    </row>
    <row r="37" spans="1:12" ht="28.5" customHeight="1" x14ac:dyDescent="0.45">
      <c r="A37" s="27">
        <f t="shared" si="1"/>
        <v>36</v>
      </c>
      <c r="B37" s="27">
        <f>IFERROR(SEARCH('Cover Sheet'!$J$1,Table3[[#This Row],[Business 2]])+ROW()/100000,"")</f>
        <v>1.00037</v>
      </c>
      <c r="C37" s="28" t="s">
        <v>298</v>
      </c>
      <c r="D37" s="68" t="s">
        <v>299</v>
      </c>
      <c r="E37" s="28" t="s">
        <v>298</v>
      </c>
      <c r="F37" s="27" t="s">
        <v>300</v>
      </c>
      <c r="G37" s="7" t="s">
        <v>301</v>
      </c>
      <c r="H37" s="28" t="s">
        <v>302</v>
      </c>
      <c r="I37" s="27"/>
      <c r="J37" s="27" t="s">
        <v>136</v>
      </c>
      <c r="K37" s="27">
        <v>4439</v>
      </c>
      <c r="L37" s="11" t="s">
        <v>303</v>
      </c>
    </row>
    <row r="38" spans="1:12" x14ac:dyDescent="0.45">
      <c r="A38" s="27">
        <f t="shared" si="1"/>
        <v>37</v>
      </c>
      <c r="B38" s="27">
        <f>IFERROR(SEARCH('Cover Sheet'!$J$1,Table3[[#This Row],[Business 2]])+ROW()/100000,"")</f>
        <v>1.00038</v>
      </c>
      <c r="C38" s="28" t="s">
        <v>304</v>
      </c>
      <c r="D38" s="68" t="s">
        <v>305</v>
      </c>
      <c r="E38" s="28" t="s">
        <v>304</v>
      </c>
      <c r="G38" s="7" t="s">
        <v>306</v>
      </c>
      <c r="H38" s="28" t="s">
        <v>307</v>
      </c>
      <c r="I38" s="27" t="s">
        <v>282</v>
      </c>
      <c r="J38" s="27" t="s">
        <v>283</v>
      </c>
      <c r="K38" s="27">
        <v>3330</v>
      </c>
      <c r="L38" s="11" t="s">
        <v>308</v>
      </c>
    </row>
    <row r="39" spans="1:12" x14ac:dyDescent="0.45">
      <c r="A39" s="27">
        <f t="shared" si="1"/>
        <v>38</v>
      </c>
      <c r="B39" s="27">
        <f>IFERROR(SEARCH('Cover Sheet'!$J$1,Table3[[#This Row],[Business 2]])+ROW()/100000,"")</f>
        <v>1.0003899999999999</v>
      </c>
      <c r="C39" s="28" t="s">
        <v>309</v>
      </c>
      <c r="D39" s="68" t="s">
        <v>310</v>
      </c>
      <c r="E39" s="28" t="s">
        <v>309</v>
      </c>
      <c r="F39" s="27" t="s">
        <v>212</v>
      </c>
      <c r="G39" s="7" t="s">
        <v>311</v>
      </c>
      <c r="H39" s="28" t="s">
        <v>312</v>
      </c>
      <c r="I39" s="27" t="s">
        <v>154</v>
      </c>
      <c r="J39" s="27" t="s">
        <v>109</v>
      </c>
      <c r="K39" s="27">
        <v>4110</v>
      </c>
      <c r="L39" s="11" t="s">
        <v>313</v>
      </c>
    </row>
    <row r="40" spans="1:12" x14ac:dyDescent="0.45">
      <c r="A40" s="27">
        <f t="shared" si="1"/>
        <v>39</v>
      </c>
      <c r="B40" s="27">
        <f>IFERROR(SEARCH('Cover Sheet'!$J$1,Table3[[#This Row],[Business 2]])+ROW()/100000,"")</f>
        <v>1.0004</v>
      </c>
      <c r="C40" s="28" t="s">
        <v>314</v>
      </c>
      <c r="D40" s="68" t="s">
        <v>315</v>
      </c>
      <c r="E40" s="28" t="s">
        <v>314</v>
      </c>
      <c r="F40" s="27" t="s">
        <v>316</v>
      </c>
      <c r="G40" s="9" t="s">
        <v>317</v>
      </c>
      <c r="H40" s="28" t="s">
        <v>318</v>
      </c>
      <c r="I40" s="27" t="s">
        <v>119</v>
      </c>
      <c r="J40" s="27" t="s">
        <v>120</v>
      </c>
      <c r="K40" s="27">
        <v>4010</v>
      </c>
      <c r="L40" s="11" t="s">
        <v>319</v>
      </c>
    </row>
    <row r="41" spans="1:12" x14ac:dyDescent="0.45">
      <c r="A41" s="27">
        <f t="shared" si="1"/>
        <v>40</v>
      </c>
      <c r="B41" s="27">
        <f>IFERROR(SEARCH('Cover Sheet'!$J$1,Table3[[#This Row],[Business 2]])+ROW()/100000,"")</f>
        <v>1.00041</v>
      </c>
      <c r="C41" s="28" t="s">
        <v>320</v>
      </c>
      <c r="D41" s="68" t="s">
        <v>321</v>
      </c>
      <c r="E41" s="28" t="s">
        <v>320</v>
      </c>
      <c r="F41" s="27" t="s">
        <v>322</v>
      </c>
      <c r="G41" s="9" t="s">
        <v>323</v>
      </c>
      <c r="H41" s="28" t="s">
        <v>324</v>
      </c>
      <c r="I41" s="27" t="s">
        <v>119</v>
      </c>
      <c r="J41" s="27" t="s">
        <v>215</v>
      </c>
      <c r="K41" s="27">
        <v>4200</v>
      </c>
      <c r="L41" s="11" t="s">
        <v>325</v>
      </c>
    </row>
    <row r="42" spans="1:12" ht="28.5" customHeight="1" x14ac:dyDescent="0.45">
      <c r="A42" s="27">
        <f t="shared" si="1"/>
        <v>41</v>
      </c>
      <c r="B42" s="27">
        <f>IFERROR(SEARCH('Cover Sheet'!$J$1,Table3[[#This Row],[Business 2]])+ROW()/100000,"")</f>
        <v>1.0004200000000001</v>
      </c>
      <c r="C42" s="28" t="s">
        <v>326</v>
      </c>
      <c r="D42" s="68" t="s">
        <v>327</v>
      </c>
      <c r="E42" s="28" t="s">
        <v>326</v>
      </c>
      <c r="F42" s="27" t="s">
        <v>328</v>
      </c>
      <c r="G42" s="7" t="s">
        <v>329</v>
      </c>
      <c r="H42" s="28" t="s">
        <v>330</v>
      </c>
      <c r="I42" s="27" t="s">
        <v>119</v>
      </c>
      <c r="J42" s="27" t="s">
        <v>142</v>
      </c>
      <c r="K42" s="27">
        <v>4312</v>
      </c>
      <c r="L42" s="28" t="s">
        <v>331</v>
      </c>
    </row>
    <row r="43" spans="1:12" x14ac:dyDescent="0.45">
      <c r="A43" s="27">
        <f t="shared" si="1"/>
        <v>42</v>
      </c>
      <c r="B43" s="27">
        <f>IFERROR(SEARCH('Cover Sheet'!$J$1,Table3[[#This Row],[Business 2]])+ROW()/100000,"")</f>
        <v>1.0004299999999999</v>
      </c>
      <c r="C43" s="28" t="s">
        <v>332</v>
      </c>
      <c r="D43" s="68" t="s">
        <v>333</v>
      </c>
      <c r="E43" s="28" t="s">
        <v>334</v>
      </c>
      <c r="F43" s="27" t="s">
        <v>98</v>
      </c>
      <c r="G43" s="7">
        <v>8789772</v>
      </c>
      <c r="H43" s="28" t="s">
        <v>335</v>
      </c>
      <c r="I43" s="27" t="s">
        <v>119</v>
      </c>
      <c r="J43" s="27" t="s">
        <v>125</v>
      </c>
      <c r="K43" s="27">
        <v>4122</v>
      </c>
      <c r="L43" s="11" t="s">
        <v>336</v>
      </c>
    </row>
    <row r="44" spans="1:12" x14ac:dyDescent="0.45">
      <c r="A44" s="27">
        <f t="shared" si="1"/>
        <v>43</v>
      </c>
      <c r="B44" s="27">
        <f>IFERROR(SEARCH('Cover Sheet'!$J$1,Table3[[#This Row],[Business 2]])+ROW()/100000,"")</f>
        <v>1.00044</v>
      </c>
      <c r="C44" s="28" t="s">
        <v>337</v>
      </c>
      <c r="D44" s="68" t="s">
        <v>338</v>
      </c>
      <c r="E44" s="28" t="s">
        <v>337</v>
      </c>
      <c r="F44" s="27" t="s">
        <v>339</v>
      </c>
      <c r="G44" s="7">
        <v>8442791</v>
      </c>
      <c r="H44" s="28" t="s">
        <v>340</v>
      </c>
      <c r="I44" s="27" t="s">
        <v>341</v>
      </c>
      <c r="J44" s="27" t="s">
        <v>109</v>
      </c>
      <c r="K44" s="27">
        <v>4112</v>
      </c>
      <c r="L44" s="8" t="s">
        <v>342</v>
      </c>
    </row>
    <row r="45" spans="1:12" x14ac:dyDescent="0.45">
      <c r="A45" s="27">
        <f t="shared" si="1"/>
        <v>44</v>
      </c>
      <c r="B45" s="27">
        <f>IFERROR(SEARCH('Cover Sheet'!$J$1,Table3[[#This Row],[Business 2]])+ROW()/100000,"")</f>
        <v>1.0004500000000001</v>
      </c>
      <c r="C45" s="28" t="s">
        <v>343</v>
      </c>
      <c r="D45" s="68" t="s">
        <v>344</v>
      </c>
      <c r="E45" s="28" t="s">
        <v>343</v>
      </c>
      <c r="F45" s="27" t="s">
        <v>345</v>
      </c>
      <c r="G45" s="7" t="s">
        <v>346</v>
      </c>
      <c r="H45" s="28" t="s">
        <v>347</v>
      </c>
      <c r="I45" s="27" t="s">
        <v>348</v>
      </c>
      <c r="J45" s="27" t="s">
        <v>349</v>
      </c>
      <c r="K45" s="27">
        <v>3112</v>
      </c>
      <c r="L45" s="11" t="s">
        <v>350</v>
      </c>
    </row>
    <row r="46" spans="1:12" x14ac:dyDescent="0.45">
      <c r="A46" s="27">
        <f t="shared" si="1"/>
        <v>45</v>
      </c>
      <c r="B46" s="27">
        <f>IFERROR(SEARCH('Cover Sheet'!$J$1,Table3[[#This Row],[Business 2]])+ROW()/100000,"")</f>
        <v>1.0004599999999999</v>
      </c>
      <c r="C46" s="28" t="s">
        <v>351</v>
      </c>
      <c r="D46" s="68" t="s">
        <v>352</v>
      </c>
      <c r="E46" s="28" t="s">
        <v>351</v>
      </c>
      <c r="G46" s="7" t="s">
        <v>353</v>
      </c>
      <c r="H46" s="28" t="s">
        <v>354</v>
      </c>
      <c r="I46" s="27" t="s">
        <v>119</v>
      </c>
      <c r="J46" s="27" t="s">
        <v>136</v>
      </c>
      <c r="K46" s="27">
        <v>4443</v>
      </c>
      <c r="L46" s="11" t="s">
        <v>355</v>
      </c>
    </row>
    <row r="47" spans="1:12" x14ac:dyDescent="0.45">
      <c r="A47" s="27">
        <f t="shared" si="1"/>
        <v>46</v>
      </c>
      <c r="B47" s="27">
        <f>IFERROR(SEARCH('Cover Sheet'!$J$1,Table3[[#This Row],[Business 2]])+ROW()/100000,"")</f>
        <v>1.00047</v>
      </c>
      <c r="C47" s="28" t="s">
        <v>356</v>
      </c>
      <c r="D47" s="68" t="s">
        <v>357</v>
      </c>
      <c r="E47" s="28" t="s">
        <v>356</v>
      </c>
      <c r="G47" s="7">
        <v>8767297</v>
      </c>
      <c r="H47" s="28" t="s">
        <v>358</v>
      </c>
      <c r="I47" s="27" t="s">
        <v>359</v>
      </c>
      <c r="J47" s="27" t="s">
        <v>125</v>
      </c>
      <c r="K47" s="27">
        <v>4120</v>
      </c>
      <c r="L47" s="8" t="s">
        <v>360</v>
      </c>
    </row>
    <row r="48" spans="1:12" x14ac:dyDescent="0.45">
      <c r="A48" s="27">
        <f t="shared" si="1"/>
        <v>47</v>
      </c>
      <c r="B48" s="27">
        <f>IFERROR(SEARCH('Cover Sheet'!$J$1,Table3[[#This Row],[Business 2]])+ROW()/100000,"")</f>
        <v>1.00048</v>
      </c>
      <c r="C48" s="28" t="s">
        <v>361</v>
      </c>
      <c r="D48" s="68" t="s">
        <v>362</v>
      </c>
      <c r="E48" s="28" t="s">
        <v>361</v>
      </c>
      <c r="F48" s="27" t="s">
        <v>363</v>
      </c>
      <c r="G48" s="7" t="s">
        <v>364</v>
      </c>
      <c r="H48" s="28" t="s">
        <v>365</v>
      </c>
      <c r="I48" s="27" t="s">
        <v>366</v>
      </c>
      <c r="J48" s="27" t="s">
        <v>367</v>
      </c>
      <c r="K48" s="27">
        <v>4130</v>
      </c>
      <c r="L48" s="11" t="s">
        <v>368</v>
      </c>
    </row>
    <row r="49" spans="1:12" x14ac:dyDescent="0.45">
      <c r="A49" s="27">
        <f t="shared" si="1"/>
        <v>48</v>
      </c>
      <c r="B49" s="27">
        <f>IFERROR(SEARCH('Cover Sheet'!$J$1,Table3[[#This Row],[Business 2]])+ROW()/100000,"")</f>
        <v>1.0004900000000001</v>
      </c>
      <c r="C49" s="28" t="s">
        <v>334</v>
      </c>
      <c r="D49" s="68" t="s">
        <v>333</v>
      </c>
      <c r="E49" s="28" t="s">
        <v>334</v>
      </c>
      <c r="F49" s="27" t="s">
        <v>98</v>
      </c>
      <c r="G49" s="7">
        <v>8789772</v>
      </c>
      <c r="H49" s="28" t="s">
        <v>335</v>
      </c>
      <c r="I49" s="27"/>
      <c r="J49" s="27" t="s">
        <v>125</v>
      </c>
      <c r="K49" s="27">
        <v>4122</v>
      </c>
      <c r="L49" s="11" t="s">
        <v>336</v>
      </c>
    </row>
    <row r="50" spans="1:12" x14ac:dyDescent="0.45">
      <c r="A50" s="27">
        <f t="shared" si="1"/>
        <v>49</v>
      </c>
      <c r="B50" s="27">
        <f>IFERROR(SEARCH('Cover Sheet'!$J$1,Table3[[#This Row],[Business 2]])+ROW()/100000,"")</f>
        <v>1.0004999999999999</v>
      </c>
      <c r="C50" s="28" t="s">
        <v>369</v>
      </c>
      <c r="D50" s="68" t="s">
        <v>370</v>
      </c>
      <c r="E50" s="28" t="s">
        <v>369</v>
      </c>
      <c r="G50" s="7">
        <v>8794630</v>
      </c>
      <c r="H50" s="28" t="s">
        <v>371</v>
      </c>
      <c r="I50" s="27" t="s">
        <v>372</v>
      </c>
      <c r="J50" s="27" t="s">
        <v>125</v>
      </c>
      <c r="K50" s="27">
        <v>4175</v>
      </c>
      <c r="L50" s="11" t="s">
        <v>373</v>
      </c>
    </row>
    <row r="51" spans="1:12" x14ac:dyDescent="0.45">
      <c r="A51" s="27">
        <f t="shared" si="1"/>
        <v>50</v>
      </c>
      <c r="B51" s="27">
        <f>IFERROR(SEARCH('Cover Sheet'!$J$1,Table3[[#This Row],[Business 2]])+ROW()/100000,"")</f>
        <v>1.00051</v>
      </c>
      <c r="C51" s="28" t="s">
        <v>374</v>
      </c>
      <c r="D51" s="68" t="s">
        <v>375</v>
      </c>
      <c r="E51" s="28" t="s">
        <v>376</v>
      </c>
      <c r="G51" s="7"/>
      <c r="H51" s="28" t="s">
        <v>377</v>
      </c>
      <c r="I51" s="27" t="s">
        <v>378</v>
      </c>
      <c r="J51" s="27" t="s">
        <v>379</v>
      </c>
      <c r="K51" s="27">
        <v>3204</v>
      </c>
      <c r="L51" s="11" t="s">
        <v>380</v>
      </c>
    </row>
    <row r="52" spans="1:12" x14ac:dyDescent="0.45">
      <c r="A52" s="27">
        <f t="shared" si="1"/>
        <v>51</v>
      </c>
      <c r="B52" s="27">
        <f>IFERROR(SEARCH('Cover Sheet'!$J$1,Table3[[#This Row],[Business 2]])+ROW()/100000,"")</f>
        <v>1.0005200000000001</v>
      </c>
      <c r="C52" s="28" t="s">
        <v>381</v>
      </c>
      <c r="D52" s="68" t="s">
        <v>382</v>
      </c>
      <c r="E52" s="28" t="s">
        <v>381</v>
      </c>
      <c r="G52" s="7">
        <v>8789498</v>
      </c>
      <c r="H52" s="28" t="s">
        <v>383</v>
      </c>
      <c r="I52" s="27" t="s">
        <v>119</v>
      </c>
      <c r="J52" s="27" t="s">
        <v>125</v>
      </c>
      <c r="K52" s="27">
        <v>4122</v>
      </c>
      <c r="L52" s="8" t="s">
        <v>384</v>
      </c>
    </row>
    <row r="53" spans="1:12" x14ac:dyDescent="0.45">
      <c r="A53" s="27">
        <f t="shared" si="1"/>
        <v>52</v>
      </c>
      <c r="B53" s="27">
        <f>IFERROR(SEARCH('Cover Sheet'!$J$1,Table3[[#This Row],[Business 2]])+ROW()/100000,"")</f>
        <v>1.0005299999999999</v>
      </c>
      <c r="C53" s="28" t="s">
        <v>385</v>
      </c>
      <c r="D53" s="68" t="s">
        <v>386</v>
      </c>
      <c r="E53" s="28" t="s">
        <v>385</v>
      </c>
      <c r="G53" s="7">
        <v>8769495</v>
      </c>
      <c r="H53" s="28" t="s">
        <v>387</v>
      </c>
      <c r="I53" s="27"/>
      <c r="J53" s="27" t="s">
        <v>125</v>
      </c>
      <c r="K53" s="27">
        <v>4122</v>
      </c>
      <c r="L53" s="28" t="s">
        <v>388</v>
      </c>
    </row>
    <row r="54" spans="1:12" x14ac:dyDescent="0.45">
      <c r="A54" s="27">
        <f t="shared" si="1"/>
        <v>53</v>
      </c>
      <c r="B54" s="27">
        <f>IFERROR(SEARCH('Cover Sheet'!$J$1,Table3[[#This Row],[Business 2]])+ROW()/100000,"")</f>
        <v>1.00054</v>
      </c>
      <c r="C54" s="28" t="s">
        <v>389</v>
      </c>
      <c r="D54" s="68" t="s">
        <v>390</v>
      </c>
      <c r="E54" s="28" t="s">
        <v>389</v>
      </c>
      <c r="G54" s="7" t="s">
        <v>391</v>
      </c>
      <c r="H54" s="28" t="s">
        <v>392</v>
      </c>
      <c r="I54" s="27"/>
      <c r="J54" s="27" t="s">
        <v>393</v>
      </c>
      <c r="K54" s="27">
        <v>4500</v>
      </c>
      <c r="L54" s="11" t="s">
        <v>394</v>
      </c>
    </row>
    <row r="55" spans="1:12" x14ac:dyDescent="0.45">
      <c r="A55" s="27">
        <f t="shared" si="1"/>
        <v>54</v>
      </c>
      <c r="B55" s="27">
        <f>IFERROR(SEARCH('Cover Sheet'!$J$1,Table3[[#This Row],[Business 2]])+ROW()/100000,"")</f>
        <v>1.0005500000000001</v>
      </c>
      <c r="C55" s="28" t="s">
        <v>395</v>
      </c>
      <c r="D55" s="68" t="s">
        <v>396</v>
      </c>
      <c r="E55" s="28" t="s">
        <v>395</v>
      </c>
      <c r="G55" s="7">
        <v>8769690</v>
      </c>
      <c r="H55" s="28" t="s">
        <v>397</v>
      </c>
      <c r="I55" s="27" t="s">
        <v>147</v>
      </c>
      <c r="J55" s="27" t="s">
        <v>125</v>
      </c>
      <c r="K55" s="27">
        <v>4122</v>
      </c>
      <c r="L55" s="8" t="s">
        <v>398</v>
      </c>
    </row>
    <row r="56" spans="1:12" ht="28.5" customHeight="1" x14ac:dyDescent="0.45">
      <c r="A56" s="27">
        <f t="shared" si="1"/>
        <v>55</v>
      </c>
      <c r="B56" s="27">
        <f>IFERROR(SEARCH('Cover Sheet'!$J$1,Table3[[#This Row],[Business 2]])+ROW()/100000,"")</f>
        <v>1.0005599999999999</v>
      </c>
      <c r="C56" s="28" t="s">
        <v>399</v>
      </c>
      <c r="D56" s="68" t="s">
        <v>400</v>
      </c>
      <c r="E56" s="28" t="s">
        <v>399</v>
      </c>
      <c r="F56" s="27" t="s">
        <v>401</v>
      </c>
      <c r="G56" s="7" t="s">
        <v>402</v>
      </c>
      <c r="H56" s="28" t="s">
        <v>403</v>
      </c>
      <c r="I56" s="27" t="s">
        <v>215</v>
      </c>
      <c r="J56" s="27" t="s">
        <v>201</v>
      </c>
      <c r="K56" s="27">
        <v>4200</v>
      </c>
      <c r="L56" s="28" t="s">
        <v>404</v>
      </c>
    </row>
    <row r="57" spans="1:12" ht="28.5" customHeight="1" x14ac:dyDescent="0.45">
      <c r="A57" s="27">
        <f t="shared" si="1"/>
        <v>56</v>
      </c>
      <c r="B57" s="27">
        <f>IFERROR(SEARCH('Cover Sheet'!$J$1,Table3[[#This Row],[Business 2]])+ROW()/100000,"")</f>
        <v>1.00057</v>
      </c>
      <c r="C57" s="28" t="s">
        <v>405</v>
      </c>
      <c r="D57" s="68" t="s">
        <v>406</v>
      </c>
      <c r="E57" s="28" t="s">
        <v>405</v>
      </c>
      <c r="G57" s="7" t="s">
        <v>407</v>
      </c>
      <c r="H57" s="28" t="s">
        <v>408</v>
      </c>
      <c r="I57" s="27" t="s">
        <v>409</v>
      </c>
      <c r="J57" s="27" t="s">
        <v>136</v>
      </c>
      <c r="K57" s="27">
        <v>4412</v>
      </c>
      <c r="L57" s="11" t="s">
        <v>410</v>
      </c>
    </row>
    <row r="58" spans="1:12" x14ac:dyDescent="0.45">
      <c r="A58" s="27">
        <f t="shared" si="1"/>
        <v>57</v>
      </c>
      <c r="B58" s="27">
        <f>IFERROR(SEARCH('Cover Sheet'!$J$1,Table3[[#This Row],[Business 2]])+ROW()/100000,"")</f>
        <v>1.00058</v>
      </c>
      <c r="C58" s="28" t="s">
        <v>411</v>
      </c>
      <c r="D58" s="68" t="s">
        <v>412</v>
      </c>
      <c r="E58" s="28" t="s">
        <v>411</v>
      </c>
      <c r="F58" s="27" t="s">
        <v>413</v>
      </c>
      <c r="G58" s="7" t="s">
        <v>414</v>
      </c>
      <c r="H58" s="28" t="s">
        <v>415</v>
      </c>
      <c r="I58" s="27" t="s">
        <v>119</v>
      </c>
      <c r="J58" s="27" t="s">
        <v>232</v>
      </c>
      <c r="K58" s="27">
        <v>5510</v>
      </c>
      <c r="L58" s="11" t="s">
        <v>416</v>
      </c>
    </row>
    <row r="59" spans="1:12" x14ac:dyDescent="0.45">
      <c r="A59" s="27">
        <f t="shared" si="1"/>
        <v>58</v>
      </c>
      <c r="B59" s="27">
        <f>IFERROR(SEARCH('Cover Sheet'!$J$1,Table3[[#This Row],[Business 2]])+ROW()/100000,"")</f>
        <v>1.0005900000000001</v>
      </c>
      <c r="C59" s="28" t="s">
        <v>417</v>
      </c>
      <c r="D59" s="68" t="s">
        <v>418</v>
      </c>
      <c r="E59" s="28" t="s">
        <v>417</v>
      </c>
      <c r="G59" s="7" t="s">
        <v>419</v>
      </c>
      <c r="H59" s="28" t="s">
        <v>420</v>
      </c>
      <c r="I59" s="27" t="s">
        <v>421</v>
      </c>
      <c r="J59" s="27" t="s">
        <v>142</v>
      </c>
      <c r="K59" s="27">
        <v>4310</v>
      </c>
      <c r="L59" s="11" t="s">
        <v>422</v>
      </c>
    </row>
    <row r="60" spans="1:12" x14ac:dyDescent="0.45">
      <c r="A60" s="27">
        <f t="shared" si="1"/>
        <v>59</v>
      </c>
      <c r="B60" s="27">
        <f>IFERROR(SEARCH('Cover Sheet'!$J$1,Table3[[#This Row],[Business 2]])+ROW()/100000,"")</f>
        <v>1.0005999999999999</v>
      </c>
      <c r="C60" s="28" t="s">
        <v>423</v>
      </c>
      <c r="D60" s="68" t="s">
        <v>424</v>
      </c>
      <c r="E60" s="28" t="s">
        <v>423</v>
      </c>
      <c r="G60" s="7" t="s">
        <v>425</v>
      </c>
      <c r="H60" s="28" t="s">
        <v>426</v>
      </c>
      <c r="I60" s="27" t="s">
        <v>119</v>
      </c>
      <c r="J60" s="27" t="s">
        <v>136</v>
      </c>
      <c r="K60" s="27">
        <v>4011</v>
      </c>
      <c r="L60" s="11" t="s">
        <v>427</v>
      </c>
    </row>
    <row r="61" spans="1:12" x14ac:dyDescent="0.45">
      <c r="A61" s="27">
        <f t="shared" si="1"/>
        <v>60</v>
      </c>
      <c r="B61" s="27">
        <f>IFERROR(SEARCH('Cover Sheet'!$J$1,Table3[[#This Row],[Business 2]])+ROW()/100000,"")</f>
        <v>1.00061</v>
      </c>
      <c r="C61" s="28" t="s">
        <v>428</v>
      </c>
      <c r="D61" s="68" t="s">
        <v>429</v>
      </c>
      <c r="E61" s="28" t="s">
        <v>430</v>
      </c>
      <c r="G61" s="7" t="s">
        <v>431</v>
      </c>
      <c r="H61" s="28" t="s">
        <v>432</v>
      </c>
      <c r="I61" s="27" t="s">
        <v>119</v>
      </c>
      <c r="J61" s="27" t="s">
        <v>136</v>
      </c>
      <c r="K61" s="27">
        <v>4410</v>
      </c>
      <c r="L61" s="28" t="s">
        <v>433</v>
      </c>
    </row>
    <row r="62" spans="1:12" ht="28.5" customHeight="1" x14ac:dyDescent="0.45">
      <c r="A62" s="27">
        <f t="shared" si="1"/>
        <v>61</v>
      </c>
      <c r="B62" s="27">
        <f>IFERROR(SEARCH('Cover Sheet'!$J$1,Table3[[#This Row],[Business 2]])+ROW()/100000,"")</f>
        <v>1.0006200000000001</v>
      </c>
      <c r="C62" s="28" t="s">
        <v>434</v>
      </c>
      <c r="D62" s="68" t="s">
        <v>435</v>
      </c>
      <c r="E62" s="28" t="s">
        <v>434</v>
      </c>
      <c r="F62" s="27" t="s">
        <v>436</v>
      </c>
      <c r="G62" s="7">
        <v>8357490</v>
      </c>
      <c r="H62" s="28" t="s">
        <v>437</v>
      </c>
      <c r="I62" s="27" t="s">
        <v>108</v>
      </c>
      <c r="J62" s="27" t="s">
        <v>109</v>
      </c>
      <c r="K62" s="27">
        <v>4110</v>
      </c>
      <c r="L62" s="8" t="s">
        <v>438</v>
      </c>
    </row>
    <row r="63" spans="1:12" x14ac:dyDescent="0.45">
      <c r="A63" s="27">
        <f t="shared" si="1"/>
        <v>62</v>
      </c>
      <c r="B63" s="27">
        <f>IFERROR(SEARCH('Cover Sheet'!$J$1,Table3[[#This Row],[Business 2]])+ROW()/100000,"")</f>
        <v>1.0006299999999999</v>
      </c>
      <c r="C63" s="28" t="s">
        <v>439</v>
      </c>
      <c r="D63" s="79" t="s">
        <v>440</v>
      </c>
      <c r="E63" s="28" t="s">
        <v>439</v>
      </c>
      <c r="G63" s="7" t="s">
        <v>441</v>
      </c>
      <c r="H63" s="28" t="s">
        <v>442</v>
      </c>
      <c r="I63" s="27" t="s">
        <v>119</v>
      </c>
      <c r="J63" s="27" t="s">
        <v>142</v>
      </c>
      <c r="K63" s="27">
        <v>4312</v>
      </c>
      <c r="L63" s="11" t="s">
        <v>443</v>
      </c>
    </row>
    <row r="64" spans="1:12" x14ac:dyDescent="0.45">
      <c r="A64" s="27">
        <f t="shared" si="1"/>
        <v>63</v>
      </c>
      <c r="B64" s="27">
        <f>IFERROR(SEARCH('Cover Sheet'!$J$1,Table3[[#This Row],[Business 2]])+ROW()/100000,"")</f>
        <v>1.00064</v>
      </c>
      <c r="C64" s="28" t="s">
        <v>444</v>
      </c>
      <c r="D64" s="68" t="s">
        <v>445</v>
      </c>
      <c r="E64" s="28" t="s">
        <v>444</v>
      </c>
      <c r="F64" s="26" t="s">
        <v>446</v>
      </c>
      <c r="G64" s="9" t="s">
        <v>447</v>
      </c>
      <c r="H64" s="28" t="s">
        <v>448</v>
      </c>
      <c r="I64" s="27" t="s">
        <v>193</v>
      </c>
      <c r="J64" s="27" t="s">
        <v>201</v>
      </c>
      <c r="K64" s="27">
        <v>4108</v>
      </c>
      <c r="L64" s="11" t="s">
        <v>449</v>
      </c>
    </row>
    <row r="65" spans="1:12" x14ac:dyDescent="0.45">
      <c r="A65" s="27">
        <f t="shared" si="1"/>
        <v>64</v>
      </c>
      <c r="B65" s="27">
        <f>IFERROR(SEARCH('Cover Sheet'!$J$1,Table3[[#This Row],[Business 2]])+ROW()/100000,"")</f>
        <v>1.00065</v>
      </c>
      <c r="C65" s="28" t="s">
        <v>450</v>
      </c>
      <c r="D65" s="68" t="s">
        <v>451</v>
      </c>
      <c r="E65" s="28" t="s">
        <v>450</v>
      </c>
      <c r="G65" s="7" t="s">
        <v>452</v>
      </c>
      <c r="H65" s="28" t="s">
        <v>453</v>
      </c>
      <c r="I65" s="27" t="s">
        <v>454</v>
      </c>
      <c r="J65" s="27" t="s">
        <v>120</v>
      </c>
      <c r="K65" s="27">
        <v>4010</v>
      </c>
      <c r="L65" s="11" t="s">
        <v>455</v>
      </c>
    </row>
    <row r="66" spans="1:12" x14ac:dyDescent="0.45">
      <c r="A66" s="27">
        <f t="shared" ref="A66:A97" si="2">IFERROR(RANK(B66,$B$2:$B$203,1),"")</f>
        <v>65</v>
      </c>
      <c r="B66" s="27">
        <f>IFERROR(SEARCH('Cover Sheet'!$J$1,Table3[[#This Row],[Business 2]])+ROW()/100000,"")</f>
        <v>1.0006600000000001</v>
      </c>
      <c r="C66" s="28" t="s">
        <v>456</v>
      </c>
      <c r="D66" s="68" t="s">
        <v>457</v>
      </c>
      <c r="E66" s="28" t="s">
        <v>456</v>
      </c>
      <c r="G66" s="7" t="s">
        <v>458</v>
      </c>
      <c r="H66" s="28" t="s">
        <v>459</v>
      </c>
      <c r="I66" s="27" t="s">
        <v>154</v>
      </c>
      <c r="J66" s="27" t="s">
        <v>109</v>
      </c>
      <c r="K66" s="27">
        <v>4110</v>
      </c>
      <c r="L66" s="11" t="s">
        <v>460</v>
      </c>
    </row>
    <row r="67" spans="1:12" x14ac:dyDescent="0.45">
      <c r="A67" s="27">
        <f t="shared" si="2"/>
        <v>66</v>
      </c>
      <c r="B67" s="27">
        <f>IFERROR(SEARCH('Cover Sheet'!$J$1,Table3[[#This Row],[Business 2]])+ROW()/100000,"")</f>
        <v>1.0006699999999999</v>
      </c>
      <c r="C67" s="28" t="s">
        <v>461</v>
      </c>
      <c r="D67" s="68" t="s">
        <v>462</v>
      </c>
      <c r="E67" s="28" t="s">
        <v>461</v>
      </c>
      <c r="G67" s="7">
        <v>8786664</v>
      </c>
      <c r="H67" s="28" t="s">
        <v>463</v>
      </c>
      <c r="I67" s="27" t="s">
        <v>119</v>
      </c>
      <c r="J67" s="27" t="s">
        <v>125</v>
      </c>
      <c r="K67" s="27">
        <v>4122</v>
      </c>
      <c r="L67" s="28"/>
    </row>
    <row r="68" spans="1:12" ht="28.5" customHeight="1" x14ac:dyDescent="0.45">
      <c r="A68" s="27">
        <f t="shared" si="2"/>
        <v>67</v>
      </c>
      <c r="B68" s="27">
        <f>IFERROR(SEARCH('Cover Sheet'!$J$1,Table3[[#This Row],[Business 2]])+ROW()/100000,"")</f>
        <v>1.00068</v>
      </c>
      <c r="C68" s="28" t="s">
        <v>464</v>
      </c>
      <c r="D68" s="68" t="s">
        <v>465</v>
      </c>
      <c r="E68" s="28" t="s">
        <v>464</v>
      </c>
      <c r="F68" s="27" t="s">
        <v>466</v>
      </c>
      <c r="G68" s="7">
        <v>8439204</v>
      </c>
      <c r="H68" s="28" t="s">
        <v>467</v>
      </c>
      <c r="I68" s="27" t="s">
        <v>154</v>
      </c>
      <c r="J68" s="27" t="s">
        <v>109</v>
      </c>
      <c r="K68" s="27">
        <v>4110</v>
      </c>
      <c r="L68" s="8" t="s">
        <v>468</v>
      </c>
    </row>
    <row r="69" spans="1:12" x14ac:dyDescent="0.45">
      <c r="A69" s="27">
        <f t="shared" si="2"/>
        <v>68</v>
      </c>
      <c r="B69" s="27">
        <f>IFERROR(SEARCH('Cover Sheet'!$J$1,Table3[[#This Row],[Business 2]])+ROW()/100000,"")</f>
        <v>1.0006900000000001</v>
      </c>
      <c r="C69" s="28" t="s">
        <v>469</v>
      </c>
      <c r="D69" s="68" t="s">
        <v>470</v>
      </c>
      <c r="E69" s="28" t="s">
        <v>471</v>
      </c>
      <c r="G69" s="7">
        <v>8357528</v>
      </c>
      <c r="H69" s="28" t="s">
        <v>472</v>
      </c>
      <c r="I69" s="27" t="s">
        <v>108</v>
      </c>
      <c r="J69" s="27" t="s">
        <v>109</v>
      </c>
      <c r="K69" s="27">
        <v>4110</v>
      </c>
      <c r="L69" s="28" t="s">
        <v>473</v>
      </c>
    </row>
    <row r="70" spans="1:12" x14ac:dyDescent="0.45">
      <c r="A70" s="27">
        <f t="shared" si="2"/>
        <v>69</v>
      </c>
      <c r="B70" s="27">
        <f>IFERROR(SEARCH('Cover Sheet'!$J$1,Table3[[#This Row],[Business 2]])+ROW()/100000,"")</f>
        <v>1.0006999999999999</v>
      </c>
      <c r="C70" s="28" t="s">
        <v>474</v>
      </c>
      <c r="D70" s="68" t="s">
        <v>475</v>
      </c>
      <c r="E70" s="28" t="s">
        <v>474</v>
      </c>
      <c r="G70" s="9" t="s">
        <v>476</v>
      </c>
      <c r="H70" s="28" t="s">
        <v>477</v>
      </c>
      <c r="I70" s="27" t="s">
        <v>341</v>
      </c>
      <c r="J70" s="27" t="s">
        <v>109</v>
      </c>
      <c r="K70" s="27">
        <v>4112</v>
      </c>
      <c r="L70" s="28"/>
    </row>
    <row r="71" spans="1:12" x14ac:dyDescent="0.45">
      <c r="A71" s="27">
        <f t="shared" si="2"/>
        <v>70</v>
      </c>
      <c r="B71" s="27">
        <f>IFERROR(SEARCH('Cover Sheet'!$J$1,Table3[[#This Row],[Business 2]])+ROW()/100000,"")</f>
        <v>1.00071</v>
      </c>
      <c r="C71" s="28" t="s">
        <v>478</v>
      </c>
      <c r="D71" s="68" t="s">
        <v>479</v>
      </c>
      <c r="E71" s="28" t="s">
        <v>478</v>
      </c>
      <c r="G71" s="7" t="s">
        <v>480</v>
      </c>
      <c r="H71" s="28" t="s">
        <v>481</v>
      </c>
      <c r="I71" s="27"/>
      <c r="J71" s="27" t="s">
        <v>136</v>
      </c>
      <c r="K71" s="27">
        <v>4414</v>
      </c>
      <c r="L71" s="11" t="s">
        <v>482</v>
      </c>
    </row>
    <row r="72" spans="1:12" x14ac:dyDescent="0.45">
      <c r="A72" s="27">
        <f t="shared" si="2"/>
        <v>71</v>
      </c>
      <c r="B72" s="27">
        <f>IFERROR(SEARCH('Cover Sheet'!$J$1,Table3[[#This Row],[Business 2]])+ROW()/100000,"")</f>
        <v>1.0007200000000001</v>
      </c>
      <c r="C72" s="28" t="s">
        <v>483</v>
      </c>
      <c r="D72" s="68" t="s">
        <v>484</v>
      </c>
      <c r="E72" s="28" t="s">
        <v>483</v>
      </c>
      <c r="G72" s="7">
        <v>8439747</v>
      </c>
      <c r="H72" s="28" t="s">
        <v>485</v>
      </c>
      <c r="I72" s="27" t="s">
        <v>154</v>
      </c>
      <c r="J72" s="27" t="s">
        <v>109</v>
      </c>
      <c r="K72" s="27">
        <v>4110</v>
      </c>
      <c r="L72" s="8" t="s">
        <v>486</v>
      </c>
    </row>
    <row r="73" spans="1:12" ht="28.5" customHeight="1" x14ac:dyDescent="0.45">
      <c r="A73" s="27">
        <f t="shared" si="2"/>
        <v>72</v>
      </c>
      <c r="B73" s="27">
        <f>IFERROR(SEARCH('Cover Sheet'!$J$1,Table3[[#This Row],[Business 2]])+ROW()/100000,"")</f>
        <v>1.0007299999999999</v>
      </c>
      <c r="C73" s="94" t="s">
        <v>487</v>
      </c>
      <c r="D73" s="95" t="s">
        <v>488</v>
      </c>
      <c r="E73" s="94" t="s">
        <v>487</v>
      </c>
      <c r="F73" s="27" t="s">
        <v>489</v>
      </c>
      <c r="G73" s="9" t="s">
        <v>490</v>
      </c>
      <c r="H73" s="28" t="s">
        <v>491</v>
      </c>
      <c r="I73" s="27" t="s">
        <v>119</v>
      </c>
      <c r="J73" s="27" t="s">
        <v>120</v>
      </c>
      <c r="K73" s="27">
        <v>4010</v>
      </c>
      <c r="L73" s="8" t="s">
        <v>492</v>
      </c>
    </row>
    <row r="74" spans="1:12" x14ac:dyDescent="0.45">
      <c r="A74" s="27">
        <f t="shared" si="2"/>
        <v>73</v>
      </c>
      <c r="B74" s="27">
        <f>IFERROR(SEARCH('Cover Sheet'!$J$1,Table3[[#This Row],[Business 2]])+ROW()/100000,"")</f>
        <v>1.00074</v>
      </c>
      <c r="C74" s="28" t="s">
        <v>493</v>
      </c>
      <c r="D74" s="68" t="s">
        <v>494</v>
      </c>
      <c r="E74" s="28" t="s">
        <v>493</v>
      </c>
      <c r="G74" s="7" t="s">
        <v>495</v>
      </c>
      <c r="H74" s="28" t="s">
        <v>496</v>
      </c>
      <c r="I74" s="27" t="s">
        <v>271</v>
      </c>
      <c r="J74" s="27" t="s">
        <v>136</v>
      </c>
      <c r="K74" s="27">
        <v>4410</v>
      </c>
      <c r="L74" s="11" t="s">
        <v>497</v>
      </c>
    </row>
    <row r="75" spans="1:12" x14ac:dyDescent="0.45">
      <c r="A75" s="27">
        <f t="shared" si="2"/>
        <v>74</v>
      </c>
      <c r="B75" s="27">
        <f>IFERROR(SEARCH('Cover Sheet'!$J$1,Table3[[#This Row],[Business 2]])+ROW()/100000,"")</f>
        <v>1.00075</v>
      </c>
      <c r="C75" s="28" t="s">
        <v>498</v>
      </c>
      <c r="D75" s="68" t="s">
        <v>499</v>
      </c>
      <c r="E75" s="28" t="s">
        <v>498</v>
      </c>
      <c r="G75" s="7" t="s">
        <v>500</v>
      </c>
      <c r="H75" s="28" t="s">
        <v>501</v>
      </c>
      <c r="I75" s="27"/>
      <c r="J75" s="27" t="s">
        <v>101</v>
      </c>
      <c r="K75" s="27">
        <v>4930</v>
      </c>
      <c r="L75" s="11" t="s">
        <v>502</v>
      </c>
    </row>
    <row r="76" spans="1:12" x14ac:dyDescent="0.45">
      <c r="A76" s="27">
        <f t="shared" si="2"/>
        <v>75</v>
      </c>
      <c r="B76" s="27">
        <f>IFERROR(SEARCH('Cover Sheet'!$J$1,Table3[[#This Row],[Business 2]])+ROW()/100000,"")</f>
        <v>1.0007600000000001</v>
      </c>
      <c r="C76" s="28" t="s">
        <v>503</v>
      </c>
      <c r="D76" s="68" t="s">
        <v>504</v>
      </c>
      <c r="E76" s="28" t="s">
        <v>503</v>
      </c>
      <c r="F76" s="27" t="s">
        <v>505</v>
      </c>
      <c r="G76" s="9" t="s">
        <v>506</v>
      </c>
      <c r="H76" s="28" t="s">
        <v>507</v>
      </c>
      <c r="I76" s="27"/>
      <c r="J76" s="27" t="s">
        <v>120</v>
      </c>
      <c r="K76" s="27">
        <v>4010</v>
      </c>
      <c r="L76" s="11" t="s">
        <v>508</v>
      </c>
    </row>
    <row r="77" spans="1:12" x14ac:dyDescent="0.45">
      <c r="A77" s="27">
        <f t="shared" si="2"/>
        <v>76</v>
      </c>
      <c r="B77" s="27">
        <f>IFERROR(SEARCH('Cover Sheet'!$J$1,Table3[[#This Row],[Business 2]])+ROW()/100000,"")</f>
        <v>1.0007699999999999</v>
      </c>
      <c r="C77" s="28" t="s">
        <v>509</v>
      </c>
      <c r="D77" s="68" t="s">
        <v>510</v>
      </c>
      <c r="E77" s="28" t="s">
        <v>509</v>
      </c>
      <c r="G77" s="7" t="s">
        <v>511</v>
      </c>
      <c r="H77" s="28" t="s">
        <v>512</v>
      </c>
      <c r="I77" s="27"/>
      <c r="J77" s="27" t="s">
        <v>232</v>
      </c>
      <c r="K77" s="27">
        <v>5510</v>
      </c>
      <c r="L77" s="11" t="s">
        <v>513</v>
      </c>
    </row>
    <row r="78" spans="1:12" x14ac:dyDescent="0.45">
      <c r="A78" s="27">
        <f t="shared" si="2"/>
        <v>77</v>
      </c>
      <c r="B78" s="27">
        <f>IFERROR(SEARCH('Cover Sheet'!$J$1,Table3[[#This Row],[Business 2]])+ROW()/100000,"")</f>
        <v>1.00078</v>
      </c>
      <c r="C78" s="28" t="s">
        <v>514</v>
      </c>
      <c r="D78" s="68" t="s">
        <v>515</v>
      </c>
      <c r="E78" s="28" t="s">
        <v>514</v>
      </c>
      <c r="G78" s="7">
        <v>73484130</v>
      </c>
      <c r="H78" s="28" t="s">
        <v>516</v>
      </c>
      <c r="I78" s="27" t="s">
        <v>517</v>
      </c>
      <c r="J78" s="27" t="s">
        <v>208</v>
      </c>
      <c r="K78" s="27">
        <v>3015</v>
      </c>
      <c r="L78" s="11" t="s">
        <v>518</v>
      </c>
    </row>
    <row r="79" spans="1:12" x14ac:dyDescent="0.45">
      <c r="A79" s="27">
        <f t="shared" si="2"/>
        <v>78</v>
      </c>
      <c r="B79" s="27">
        <f>IFERROR(SEARCH('Cover Sheet'!$J$1,Table3[[#This Row],[Business 2]])+ROW()/100000,"")</f>
        <v>1.0007900000000001</v>
      </c>
      <c r="C79" s="28" t="s">
        <v>519</v>
      </c>
      <c r="D79" s="68" t="s">
        <v>520</v>
      </c>
      <c r="E79" s="28" t="s">
        <v>519</v>
      </c>
      <c r="F79" s="27" t="s">
        <v>521</v>
      </c>
      <c r="G79" s="7">
        <v>8766152</v>
      </c>
      <c r="H79" s="28" t="s">
        <v>522</v>
      </c>
      <c r="I79" s="27" t="s">
        <v>119</v>
      </c>
      <c r="J79" s="27" t="s">
        <v>125</v>
      </c>
      <c r="K79" s="27">
        <v>4122</v>
      </c>
      <c r="L79" s="11" t="s">
        <v>523</v>
      </c>
    </row>
    <row r="80" spans="1:12" x14ac:dyDescent="0.45">
      <c r="A80" s="27">
        <f t="shared" si="2"/>
        <v>79</v>
      </c>
      <c r="B80" s="27">
        <f>IFERROR(SEARCH('Cover Sheet'!$J$1,Table3[[#This Row],[Business 2]])+ROW()/100000,"")</f>
        <v>1.0007999999999999</v>
      </c>
      <c r="C80" s="28" t="s">
        <v>524</v>
      </c>
      <c r="D80" s="68" t="s">
        <v>525</v>
      </c>
      <c r="E80" s="28" t="s">
        <v>524</v>
      </c>
      <c r="G80" s="7">
        <v>8733697</v>
      </c>
      <c r="H80" s="28" t="s">
        <v>526</v>
      </c>
      <c r="I80" s="27" t="s">
        <v>147</v>
      </c>
      <c r="J80" s="27" t="s">
        <v>125</v>
      </c>
      <c r="K80" s="27">
        <v>4122</v>
      </c>
      <c r="L80" s="28"/>
    </row>
    <row r="81" spans="1:12" x14ac:dyDescent="0.45">
      <c r="A81" s="27">
        <f t="shared" si="2"/>
        <v>80</v>
      </c>
      <c r="B81" s="27">
        <f>IFERROR(SEARCH('Cover Sheet'!$J$1,Table3[[#This Row],[Business 2]])+ROW()/100000,"")</f>
        <v>1.00081</v>
      </c>
      <c r="C81" s="28" t="s">
        <v>527</v>
      </c>
      <c r="D81" s="68" t="s">
        <v>528</v>
      </c>
      <c r="E81" s="28" t="s">
        <v>527</v>
      </c>
      <c r="F81" s="27" t="s">
        <v>529</v>
      </c>
      <c r="G81" s="7" t="s">
        <v>530</v>
      </c>
      <c r="H81" s="28" t="s">
        <v>531</v>
      </c>
      <c r="I81" s="27"/>
      <c r="J81" s="27" t="s">
        <v>136</v>
      </c>
      <c r="K81" s="27">
        <v>4410</v>
      </c>
      <c r="L81" s="11" t="s">
        <v>532</v>
      </c>
    </row>
    <row r="82" spans="1:12" x14ac:dyDescent="0.45">
      <c r="A82" s="27">
        <f t="shared" si="2"/>
        <v>81</v>
      </c>
      <c r="B82" s="27">
        <f>IFERROR(SEARCH('Cover Sheet'!$J$1,Table3[[#This Row],[Business 2]])+ROW()/100000,"")</f>
        <v>1.00082</v>
      </c>
      <c r="C82" s="28" t="s">
        <v>533</v>
      </c>
      <c r="D82" s="68" t="s">
        <v>534</v>
      </c>
      <c r="E82" s="28" t="s">
        <v>533</v>
      </c>
      <c r="F82" s="27" t="s">
        <v>535</v>
      </c>
      <c r="G82" s="9" t="s">
        <v>536</v>
      </c>
      <c r="H82" s="28" t="s">
        <v>537</v>
      </c>
      <c r="I82" s="27" t="s">
        <v>119</v>
      </c>
      <c r="J82" s="27" t="s">
        <v>120</v>
      </c>
      <c r="K82" s="27">
        <v>4010</v>
      </c>
      <c r="L82" s="11" t="s">
        <v>538</v>
      </c>
    </row>
    <row r="83" spans="1:12" x14ac:dyDescent="0.45">
      <c r="A83" s="27">
        <f t="shared" si="2"/>
        <v>82</v>
      </c>
      <c r="B83" s="27">
        <f>IFERROR(SEARCH('Cover Sheet'!$J$1,Table3[[#This Row],[Business 2]])+ROW()/100000,"")</f>
        <v>1.0008300000000001</v>
      </c>
      <c r="C83" s="28" t="s">
        <v>539</v>
      </c>
      <c r="D83" s="68">
        <v>328</v>
      </c>
      <c r="E83" s="28" t="s">
        <v>539</v>
      </c>
      <c r="G83" s="7">
        <v>8767521</v>
      </c>
      <c r="H83" s="28" t="s">
        <v>540</v>
      </c>
      <c r="I83" s="27"/>
      <c r="J83" s="27" t="s">
        <v>125</v>
      </c>
      <c r="K83" s="27">
        <v>4122</v>
      </c>
      <c r="L83" s="8" t="s">
        <v>541</v>
      </c>
    </row>
    <row r="84" spans="1:12" x14ac:dyDescent="0.45">
      <c r="A84" s="27">
        <f t="shared" si="2"/>
        <v>83</v>
      </c>
      <c r="B84" s="27">
        <f>IFERROR(SEARCH('Cover Sheet'!$J$1,Table3[[#This Row],[Business 2]])+ROW()/100000,"")</f>
        <v>1.00084</v>
      </c>
      <c r="C84" s="28" t="s">
        <v>542</v>
      </c>
      <c r="D84" s="68" t="s">
        <v>543</v>
      </c>
      <c r="E84" s="28" t="s">
        <v>542</v>
      </c>
      <c r="G84" s="7" t="s">
        <v>544</v>
      </c>
      <c r="H84" s="28" t="s">
        <v>545</v>
      </c>
      <c r="I84" s="27" t="s">
        <v>119</v>
      </c>
      <c r="J84" s="27" t="s">
        <v>546</v>
      </c>
      <c r="K84" s="27">
        <v>4500</v>
      </c>
      <c r="L84" s="11" t="s">
        <v>547</v>
      </c>
    </row>
    <row r="85" spans="1:12" x14ac:dyDescent="0.45">
      <c r="A85" s="27">
        <f t="shared" si="2"/>
        <v>84</v>
      </c>
      <c r="B85" s="27">
        <f>IFERROR(SEARCH('Cover Sheet'!$J$1,Table3[[#This Row],[Business 2]])+ROW()/100000,"")</f>
        <v>1.00085</v>
      </c>
      <c r="C85" s="28" t="s">
        <v>548</v>
      </c>
      <c r="D85" s="68" t="s">
        <v>549</v>
      </c>
      <c r="E85" s="28" t="s">
        <v>548</v>
      </c>
      <c r="F85" s="27" t="s">
        <v>550</v>
      </c>
      <c r="G85" s="7" t="s">
        <v>551</v>
      </c>
      <c r="H85" s="28" t="s">
        <v>552</v>
      </c>
      <c r="I85" s="27" t="s">
        <v>282</v>
      </c>
      <c r="J85" s="27" t="s">
        <v>283</v>
      </c>
      <c r="K85" s="27">
        <v>3330</v>
      </c>
      <c r="L85" s="11" t="s">
        <v>553</v>
      </c>
    </row>
    <row r="86" spans="1:12" x14ac:dyDescent="0.45">
      <c r="A86" s="27">
        <f t="shared" si="2"/>
        <v>85</v>
      </c>
      <c r="B86" s="27">
        <f>IFERROR(SEARCH('Cover Sheet'!$J$1,Table3[[#This Row],[Business 2]])+ROW()/100000,"")</f>
        <v>1.0008600000000001</v>
      </c>
      <c r="C86" s="28" t="s">
        <v>554</v>
      </c>
      <c r="D86" s="68" t="s">
        <v>555</v>
      </c>
      <c r="E86" s="28" t="s">
        <v>554</v>
      </c>
      <c r="G86" s="7">
        <v>8787700</v>
      </c>
      <c r="H86" s="28" t="s">
        <v>556</v>
      </c>
      <c r="I86" s="27" t="s">
        <v>119</v>
      </c>
      <c r="J86" s="27" t="s">
        <v>125</v>
      </c>
      <c r="K86" s="27">
        <v>4122</v>
      </c>
      <c r="L86" s="11" t="s">
        <v>557</v>
      </c>
    </row>
    <row r="87" spans="1:12" ht="28.5" customHeight="1" x14ac:dyDescent="0.45">
      <c r="A87" s="27">
        <f t="shared" si="2"/>
        <v>86</v>
      </c>
      <c r="B87" s="27">
        <f>IFERROR(SEARCH('Cover Sheet'!$J$1,Table3[[#This Row],[Business 2]])+ROW()/100000,"")</f>
        <v>1.0008699999999999</v>
      </c>
      <c r="C87" s="28" t="s">
        <v>558</v>
      </c>
      <c r="D87" s="68" t="s">
        <v>559</v>
      </c>
      <c r="E87" s="28" t="s">
        <v>558</v>
      </c>
      <c r="F87" s="27" t="s">
        <v>560</v>
      </c>
      <c r="G87" s="7" t="s">
        <v>561</v>
      </c>
      <c r="H87" s="28" t="s">
        <v>562</v>
      </c>
      <c r="I87" s="27" t="s">
        <v>119</v>
      </c>
      <c r="J87" s="27" t="s">
        <v>563</v>
      </c>
      <c r="K87" s="27">
        <v>4332</v>
      </c>
      <c r="L87" s="11" t="s">
        <v>564</v>
      </c>
    </row>
    <row r="88" spans="1:12" ht="28.5" customHeight="1" x14ac:dyDescent="0.45">
      <c r="A88" s="27">
        <f t="shared" si="2"/>
        <v>87</v>
      </c>
      <c r="B88" s="27">
        <f>IFERROR(SEARCH('Cover Sheet'!$J$1,Table3[[#This Row],[Business 2]])+ROW()/100000,"")</f>
        <v>1.00088</v>
      </c>
      <c r="C88" s="28" t="s">
        <v>565</v>
      </c>
      <c r="D88" s="68" t="s">
        <v>566</v>
      </c>
      <c r="E88" s="28" t="s">
        <v>565</v>
      </c>
      <c r="F88" s="27" t="s">
        <v>567</v>
      </c>
      <c r="G88" s="7" t="s">
        <v>568</v>
      </c>
      <c r="H88" s="28" t="s">
        <v>569</v>
      </c>
      <c r="I88" s="27" t="s">
        <v>119</v>
      </c>
      <c r="J88" s="27" t="s">
        <v>136</v>
      </c>
      <c r="K88" s="27">
        <v>4410</v>
      </c>
      <c r="L88" s="11" t="s">
        <v>570</v>
      </c>
    </row>
    <row r="89" spans="1:12" x14ac:dyDescent="0.45">
      <c r="A89" s="27">
        <f t="shared" si="2"/>
        <v>88</v>
      </c>
      <c r="B89" s="27">
        <f>IFERROR(SEARCH('Cover Sheet'!$J$1,Table3[[#This Row],[Business 2]])+ROW()/100000,"")</f>
        <v>1.0008900000000001</v>
      </c>
      <c r="C89" s="28" t="s">
        <v>571</v>
      </c>
      <c r="D89" s="68" t="s">
        <v>572</v>
      </c>
      <c r="E89" s="28" t="s">
        <v>571</v>
      </c>
      <c r="F89" s="27" t="s">
        <v>573</v>
      </c>
      <c r="G89" s="7">
        <v>8767550</v>
      </c>
      <c r="H89" s="28" t="s">
        <v>574</v>
      </c>
      <c r="I89" s="27" t="s">
        <v>147</v>
      </c>
      <c r="J89" s="27" t="s">
        <v>125</v>
      </c>
      <c r="K89" s="27">
        <v>4122</v>
      </c>
      <c r="L89" s="8" t="s">
        <v>575</v>
      </c>
    </row>
    <row r="90" spans="1:12" x14ac:dyDescent="0.45">
      <c r="A90" s="27">
        <f t="shared" si="2"/>
        <v>89</v>
      </c>
      <c r="B90" s="27">
        <f>IFERROR(SEARCH('Cover Sheet'!$J$1,Table3[[#This Row],[Business 2]])+ROW()/100000,"")</f>
        <v>1.0008999999999999</v>
      </c>
      <c r="C90" s="28" t="s">
        <v>576</v>
      </c>
      <c r="D90" s="68" t="s">
        <v>577</v>
      </c>
      <c r="E90" s="28" t="s">
        <v>576</v>
      </c>
      <c r="G90" s="7">
        <v>8442419</v>
      </c>
      <c r="H90" s="28" t="s">
        <v>578</v>
      </c>
      <c r="I90" s="27" t="s">
        <v>341</v>
      </c>
      <c r="J90" s="27" t="s">
        <v>109</v>
      </c>
      <c r="K90" s="27">
        <v>4112</v>
      </c>
      <c r="L90" s="8" t="s">
        <v>579</v>
      </c>
    </row>
    <row r="91" spans="1:12" x14ac:dyDescent="0.45">
      <c r="A91" s="27">
        <f t="shared" si="2"/>
        <v>90</v>
      </c>
      <c r="B91" s="27">
        <f>IFERROR(SEARCH('Cover Sheet'!$J$1,Table3[[#This Row],[Business 2]])+ROW()/100000,"")</f>
        <v>1.00091</v>
      </c>
      <c r="C91" s="28" t="s">
        <v>580</v>
      </c>
      <c r="D91" s="68" t="s">
        <v>581</v>
      </c>
      <c r="E91" s="28" t="s">
        <v>580</v>
      </c>
      <c r="G91" s="7" t="s">
        <v>582</v>
      </c>
      <c r="H91" s="28" t="s">
        <v>583</v>
      </c>
      <c r="I91" s="27"/>
      <c r="J91" s="27" t="s">
        <v>283</v>
      </c>
      <c r="K91" s="27">
        <v>3378</v>
      </c>
      <c r="L91" s="11" t="s">
        <v>584</v>
      </c>
    </row>
    <row r="92" spans="1:12" x14ac:dyDescent="0.45">
      <c r="A92" s="27">
        <f t="shared" si="2"/>
        <v>91</v>
      </c>
      <c r="B92" s="27">
        <f>IFERROR(SEARCH('Cover Sheet'!$J$1,Table3[[#This Row],[Business 2]])+ROW()/100000,"")</f>
        <v>1.00092</v>
      </c>
      <c r="C92" s="28" t="s">
        <v>585</v>
      </c>
      <c r="D92" s="68" t="s">
        <v>586</v>
      </c>
      <c r="E92" s="28" t="s">
        <v>585</v>
      </c>
      <c r="G92" s="7" t="s">
        <v>587</v>
      </c>
      <c r="H92" s="28" t="s">
        <v>588</v>
      </c>
      <c r="I92" s="27" t="s">
        <v>119</v>
      </c>
      <c r="J92" s="27" t="s">
        <v>142</v>
      </c>
      <c r="K92" s="27">
        <v>4310</v>
      </c>
      <c r="L92" s="11" t="s">
        <v>589</v>
      </c>
    </row>
    <row r="93" spans="1:12" ht="28.5" customHeight="1" x14ac:dyDescent="0.45">
      <c r="A93" s="27">
        <f t="shared" si="2"/>
        <v>92</v>
      </c>
      <c r="B93" s="27">
        <f>IFERROR(SEARCH('Cover Sheet'!$J$1,Table3[[#This Row],[Business 2]])+ROW()/100000,"")</f>
        <v>1.0009300000000001</v>
      </c>
      <c r="C93" s="28" t="s">
        <v>590</v>
      </c>
      <c r="D93" s="68" t="s">
        <v>591</v>
      </c>
      <c r="E93" s="28" t="s">
        <v>590</v>
      </c>
      <c r="F93" s="27" t="s">
        <v>592</v>
      </c>
      <c r="G93" s="7" t="s">
        <v>593</v>
      </c>
      <c r="H93" s="28" t="s">
        <v>594</v>
      </c>
      <c r="I93" s="27"/>
      <c r="J93" s="27" t="s">
        <v>393</v>
      </c>
      <c r="K93" s="27">
        <v>4500</v>
      </c>
      <c r="L93" s="11" t="s">
        <v>595</v>
      </c>
    </row>
    <row r="94" spans="1:12" x14ac:dyDescent="0.45">
      <c r="A94" s="27">
        <f t="shared" si="2"/>
        <v>93</v>
      </c>
      <c r="B94" s="27">
        <f>IFERROR(SEARCH('Cover Sheet'!$J$1,Table3[[#This Row],[Business 2]])+ROW()/100000,"")</f>
        <v>1.0009399999999999</v>
      </c>
      <c r="C94" s="28" t="s">
        <v>596</v>
      </c>
      <c r="D94" s="68" t="s">
        <v>597</v>
      </c>
      <c r="E94" s="28" t="s">
        <v>598</v>
      </c>
      <c r="G94" s="7">
        <v>8765044</v>
      </c>
      <c r="H94" s="28" t="s">
        <v>599</v>
      </c>
      <c r="I94" s="27" t="s">
        <v>119</v>
      </c>
      <c r="J94" s="27" t="s">
        <v>125</v>
      </c>
      <c r="K94" s="27">
        <v>4122</v>
      </c>
      <c r="L94" s="11" t="s">
        <v>600</v>
      </c>
    </row>
    <row r="95" spans="1:12" x14ac:dyDescent="0.45">
      <c r="A95" s="27">
        <f t="shared" si="2"/>
        <v>94</v>
      </c>
      <c r="B95" s="27">
        <f>IFERROR(SEARCH('Cover Sheet'!$J$1,Table3[[#This Row],[Business 2]])+ROW()/100000,"")</f>
        <v>1.00095</v>
      </c>
      <c r="C95" s="28" t="s">
        <v>601</v>
      </c>
      <c r="D95" s="68">
        <v>19379</v>
      </c>
      <c r="E95" s="28" t="s">
        <v>601</v>
      </c>
      <c r="G95" s="7">
        <v>8354907</v>
      </c>
      <c r="H95" s="28" t="s">
        <v>602</v>
      </c>
      <c r="I95" s="27" t="s">
        <v>108</v>
      </c>
      <c r="J95" s="27" t="s">
        <v>109</v>
      </c>
      <c r="K95" s="27">
        <v>4110</v>
      </c>
      <c r="L95" s="28"/>
    </row>
    <row r="96" spans="1:12" ht="28.5" customHeight="1" x14ac:dyDescent="0.45">
      <c r="A96" s="27">
        <f t="shared" si="2"/>
        <v>95</v>
      </c>
      <c r="B96" s="27">
        <f>IFERROR(SEARCH('Cover Sheet'!$J$1,Table3[[#This Row],[Business 2]])+ROW()/100000,"")</f>
        <v>1.0009600000000001</v>
      </c>
      <c r="C96" s="28" t="s">
        <v>603</v>
      </c>
      <c r="D96" s="68" t="s">
        <v>604</v>
      </c>
      <c r="E96" s="28" t="s">
        <v>603</v>
      </c>
      <c r="F96" s="27" t="s">
        <v>605</v>
      </c>
      <c r="G96" s="7">
        <v>8777589</v>
      </c>
      <c r="H96" s="28" t="s">
        <v>365</v>
      </c>
      <c r="I96" s="27" t="s">
        <v>366</v>
      </c>
      <c r="J96" s="27" t="s">
        <v>125</v>
      </c>
      <c r="K96" s="27">
        <v>4130</v>
      </c>
      <c r="L96" s="8" t="s">
        <v>606</v>
      </c>
    </row>
    <row r="97" spans="1:12" ht="28.5" customHeight="1" x14ac:dyDescent="0.45">
      <c r="A97" s="27">
        <f t="shared" si="2"/>
        <v>96</v>
      </c>
      <c r="B97" s="27">
        <f>IFERROR(SEARCH('Cover Sheet'!$J$1,Table3[[#This Row],[Business 2]])+ROW()/100000,"")</f>
        <v>1.0009699999999999</v>
      </c>
      <c r="C97" s="28" t="s">
        <v>607</v>
      </c>
      <c r="D97" s="68" t="s">
        <v>608</v>
      </c>
      <c r="E97" s="28" t="s">
        <v>607</v>
      </c>
      <c r="F97" s="27" t="s">
        <v>609</v>
      </c>
      <c r="G97" s="7" t="s">
        <v>610</v>
      </c>
      <c r="H97" s="28" t="s">
        <v>611</v>
      </c>
      <c r="I97" s="27" t="s">
        <v>119</v>
      </c>
      <c r="J97" s="27" t="s">
        <v>215</v>
      </c>
      <c r="K97" s="27">
        <v>4200</v>
      </c>
      <c r="L97" s="11" t="s">
        <v>612</v>
      </c>
    </row>
    <row r="98" spans="1:12" x14ac:dyDescent="0.45">
      <c r="A98" s="27">
        <f t="shared" ref="A98:A129" si="3">IFERROR(RANK(B98,$B$2:$B$203,1),"")</f>
        <v>97</v>
      </c>
      <c r="B98" s="27">
        <f>IFERROR(SEARCH('Cover Sheet'!$J$1,Table3[[#This Row],[Business 2]])+ROW()/100000,"")</f>
        <v>1.00098</v>
      </c>
      <c r="C98" s="28" t="s">
        <v>613</v>
      </c>
      <c r="D98" s="68" t="s">
        <v>614</v>
      </c>
      <c r="E98" s="28" t="s">
        <v>613</v>
      </c>
      <c r="G98" s="7" t="s">
        <v>615</v>
      </c>
      <c r="H98" s="28" t="s">
        <v>616</v>
      </c>
      <c r="I98" s="27" t="s">
        <v>193</v>
      </c>
      <c r="J98" s="27" t="s">
        <v>201</v>
      </c>
      <c r="K98" s="27">
        <v>4108</v>
      </c>
      <c r="L98" s="11" t="s">
        <v>617</v>
      </c>
    </row>
    <row r="99" spans="1:12" ht="28.5" customHeight="1" x14ac:dyDescent="0.45">
      <c r="A99" s="27">
        <f t="shared" si="3"/>
        <v>98</v>
      </c>
      <c r="B99" s="27">
        <f>IFERROR(SEARCH('Cover Sheet'!$J$1,Table3[[#This Row],[Business 2]])+ROW()/100000,"")</f>
        <v>1.00099</v>
      </c>
      <c r="C99" s="28" t="s">
        <v>618</v>
      </c>
      <c r="D99" s="68" t="s">
        <v>619</v>
      </c>
      <c r="E99" s="28" t="s">
        <v>620</v>
      </c>
      <c r="F99" s="27" t="s">
        <v>621</v>
      </c>
      <c r="G99" s="7" t="s">
        <v>622</v>
      </c>
      <c r="H99" s="28" t="s">
        <v>623</v>
      </c>
      <c r="I99" s="27" t="s">
        <v>119</v>
      </c>
      <c r="J99" s="27" t="s">
        <v>624</v>
      </c>
      <c r="K99" s="27">
        <v>4702</v>
      </c>
      <c r="L99" s="11" t="s">
        <v>625</v>
      </c>
    </row>
  </sheetData>
  <hyperlinks>
    <hyperlink ref="L2" r:id="rId1" xr:uid="{00000000-0004-0000-0200-000000000000}"/>
    <hyperlink ref="L3" r:id="rId2" xr:uid="{00000000-0004-0000-0200-000001000000}"/>
    <hyperlink ref="L4" r:id="rId3" xr:uid="{00000000-0004-0000-0200-000002000000}"/>
    <hyperlink ref="L5" r:id="rId4" xr:uid="{00000000-0004-0000-0200-000003000000}"/>
    <hyperlink ref="L6" r:id="rId5" display="ansin.montieth@xtra.co.nz" xr:uid="{00000000-0004-0000-0200-000004000000}"/>
    <hyperlink ref="L7" r:id="rId6" xr:uid="{00000000-0004-0000-0200-000005000000}"/>
    <hyperlink ref="L9" r:id="rId7" xr:uid="{00000000-0004-0000-0200-000006000000}"/>
    <hyperlink ref="L10" r:id="rId8" xr:uid="{00000000-0004-0000-0200-000007000000}"/>
    <hyperlink ref="L11" r:id="rId9" xr:uid="{00000000-0004-0000-0200-000008000000}"/>
    <hyperlink ref="L13" r:id="rId10" xr:uid="{00000000-0004-0000-0200-000009000000}"/>
    <hyperlink ref="L16" r:id="rId11" xr:uid="{00000000-0004-0000-0200-00000A000000}"/>
    <hyperlink ref="L17" r:id="rId12" xr:uid="{00000000-0004-0000-0200-00000B000000}"/>
    <hyperlink ref="L18" r:id="rId13" xr:uid="{00000000-0004-0000-0200-00000C000000}"/>
    <hyperlink ref="L19" r:id="rId14" xr:uid="{00000000-0004-0000-0200-00000D000000}"/>
    <hyperlink ref="L20" r:id="rId15" xr:uid="{00000000-0004-0000-0200-00000E000000}"/>
    <hyperlink ref="L21" r:id="rId16" xr:uid="{00000000-0004-0000-0200-00000F000000}"/>
    <hyperlink ref="L22" r:id="rId17" xr:uid="{00000000-0004-0000-0200-000010000000}"/>
    <hyperlink ref="L23" r:id="rId18" xr:uid="{00000000-0004-0000-0200-000011000000}"/>
    <hyperlink ref="L25" r:id="rId19" xr:uid="{00000000-0004-0000-0200-000012000000}"/>
    <hyperlink ref="L26" r:id="rId20" xr:uid="{00000000-0004-0000-0200-000013000000}"/>
    <hyperlink ref="L27" r:id="rId21" xr:uid="{00000000-0004-0000-0200-000014000000}"/>
    <hyperlink ref="L28" r:id="rId22" xr:uid="{00000000-0004-0000-0200-000015000000}"/>
    <hyperlink ref="L29" r:id="rId23" xr:uid="{00000000-0004-0000-0200-000016000000}"/>
    <hyperlink ref="L30" r:id="rId24" xr:uid="{00000000-0004-0000-0200-000017000000}"/>
    <hyperlink ref="L32" r:id="rId25" xr:uid="{00000000-0004-0000-0200-000018000000}"/>
    <hyperlink ref="L33" r:id="rId26" xr:uid="{00000000-0004-0000-0200-000019000000}"/>
    <hyperlink ref="L34" r:id="rId27" xr:uid="{00000000-0004-0000-0200-00001A000000}"/>
    <hyperlink ref="L35" r:id="rId28" xr:uid="{00000000-0004-0000-0200-00001B000000}"/>
    <hyperlink ref="L36" r:id="rId29" xr:uid="{00000000-0004-0000-0200-00001C000000}"/>
    <hyperlink ref="L37" r:id="rId30" xr:uid="{00000000-0004-0000-0200-00001D000000}"/>
    <hyperlink ref="L38" r:id="rId31" xr:uid="{00000000-0004-0000-0200-00001E000000}"/>
    <hyperlink ref="L39" r:id="rId32" xr:uid="{00000000-0004-0000-0200-00001F000000}"/>
    <hyperlink ref="L40" r:id="rId33" xr:uid="{00000000-0004-0000-0200-000020000000}"/>
    <hyperlink ref="L41" r:id="rId34" xr:uid="{00000000-0004-0000-0200-000021000000}"/>
    <hyperlink ref="L43" r:id="rId35" xr:uid="{00000000-0004-0000-0200-000022000000}"/>
    <hyperlink ref="L44" r:id="rId36" xr:uid="{00000000-0004-0000-0200-000023000000}"/>
    <hyperlink ref="L45" r:id="rId37" xr:uid="{00000000-0004-0000-0200-000024000000}"/>
    <hyperlink ref="L46" r:id="rId38" xr:uid="{00000000-0004-0000-0200-000025000000}"/>
    <hyperlink ref="L47" r:id="rId39" xr:uid="{00000000-0004-0000-0200-000026000000}"/>
    <hyperlink ref="L48" r:id="rId40" xr:uid="{00000000-0004-0000-0200-000027000000}"/>
    <hyperlink ref="L49" r:id="rId41" xr:uid="{00000000-0004-0000-0200-000028000000}"/>
    <hyperlink ref="L50" r:id="rId42" xr:uid="{00000000-0004-0000-0200-000029000000}"/>
    <hyperlink ref="L51" r:id="rId43" xr:uid="{00000000-0004-0000-0200-00002A000000}"/>
    <hyperlink ref="L52" r:id="rId44" xr:uid="{00000000-0004-0000-0200-00002B000000}"/>
    <hyperlink ref="L54" r:id="rId45" xr:uid="{00000000-0004-0000-0200-00002C000000}"/>
    <hyperlink ref="L55" r:id="rId46" xr:uid="{00000000-0004-0000-0200-00002D000000}"/>
    <hyperlink ref="L57" r:id="rId47" xr:uid="{00000000-0004-0000-0200-00002E000000}"/>
    <hyperlink ref="L58" r:id="rId48" xr:uid="{00000000-0004-0000-0200-00002F000000}"/>
    <hyperlink ref="L59" r:id="rId49" xr:uid="{00000000-0004-0000-0200-000030000000}"/>
    <hyperlink ref="L60" r:id="rId50" xr:uid="{00000000-0004-0000-0200-000031000000}"/>
    <hyperlink ref="L62" r:id="rId51" xr:uid="{00000000-0004-0000-0200-000032000000}"/>
    <hyperlink ref="L63" r:id="rId52" xr:uid="{00000000-0004-0000-0200-000033000000}"/>
    <hyperlink ref="L64" r:id="rId53" xr:uid="{00000000-0004-0000-0200-000034000000}"/>
    <hyperlink ref="L65" r:id="rId54" xr:uid="{00000000-0004-0000-0200-000035000000}"/>
    <hyperlink ref="L66" r:id="rId55" xr:uid="{00000000-0004-0000-0200-000036000000}"/>
    <hyperlink ref="L68" r:id="rId56" xr:uid="{00000000-0004-0000-0200-000037000000}"/>
    <hyperlink ref="L71" r:id="rId57" xr:uid="{00000000-0004-0000-0200-000038000000}"/>
    <hyperlink ref="L72" r:id="rId58" xr:uid="{00000000-0004-0000-0200-000039000000}"/>
    <hyperlink ref="L73" r:id="rId59" xr:uid="{00000000-0004-0000-0200-00003A000000}"/>
    <hyperlink ref="L74" r:id="rId60" xr:uid="{00000000-0004-0000-0200-00003B000000}"/>
    <hyperlink ref="L75" r:id="rId61" xr:uid="{00000000-0004-0000-0200-00003C000000}"/>
    <hyperlink ref="L76" r:id="rId62" xr:uid="{00000000-0004-0000-0200-00003D000000}"/>
    <hyperlink ref="L77" r:id="rId63" xr:uid="{00000000-0004-0000-0200-00003E000000}"/>
    <hyperlink ref="L78" r:id="rId64" xr:uid="{00000000-0004-0000-0200-00003F000000}"/>
    <hyperlink ref="L79" r:id="rId65" xr:uid="{00000000-0004-0000-0200-000040000000}"/>
    <hyperlink ref="L81" r:id="rId66" xr:uid="{00000000-0004-0000-0200-000041000000}"/>
    <hyperlink ref="L82" r:id="rId67" xr:uid="{00000000-0004-0000-0200-000042000000}"/>
    <hyperlink ref="L83" r:id="rId68" xr:uid="{00000000-0004-0000-0200-000043000000}"/>
    <hyperlink ref="L84" r:id="rId69" xr:uid="{00000000-0004-0000-0200-000044000000}"/>
    <hyperlink ref="L86" r:id="rId70" xr:uid="{00000000-0004-0000-0200-000045000000}"/>
    <hyperlink ref="L87" r:id="rId71" xr:uid="{00000000-0004-0000-0200-000046000000}"/>
    <hyperlink ref="L88" r:id="rId72" xr:uid="{00000000-0004-0000-0200-000047000000}"/>
    <hyperlink ref="L89" r:id="rId73" xr:uid="{00000000-0004-0000-0200-000048000000}"/>
    <hyperlink ref="L90" r:id="rId74" xr:uid="{00000000-0004-0000-0200-000049000000}"/>
    <hyperlink ref="L91" r:id="rId75" xr:uid="{00000000-0004-0000-0200-00004A000000}"/>
    <hyperlink ref="L92" r:id="rId76" xr:uid="{00000000-0004-0000-0200-00004B000000}"/>
    <hyperlink ref="L93" r:id="rId77" xr:uid="{00000000-0004-0000-0200-00004C000000}"/>
    <hyperlink ref="L94" r:id="rId78" xr:uid="{00000000-0004-0000-0200-00004D000000}"/>
    <hyperlink ref="L96" r:id="rId79" xr:uid="{00000000-0004-0000-0200-00004E000000}"/>
    <hyperlink ref="L97" r:id="rId80" xr:uid="{00000000-0004-0000-0200-00004F000000}"/>
    <hyperlink ref="L98" r:id="rId81" xr:uid="{00000000-0004-0000-0200-000050000000}"/>
    <hyperlink ref="L99" r:id="rId82" xr:uid="{00000000-0004-0000-0200-000051000000}"/>
  </hyperlinks>
  <pageMargins left="0.7" right="0.7" top="0.75" bottom="0.75" header="0.3" footer="0.3"/>
  <tableParts count="1">
    <tablePart r:id="rId8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>
      <selection activeCell="L21" sqref="L21"/>
    </sheetView>
  </sheetViews>
  <sheetFormatPr defaultRowHeight="14.25" x14ac:dyDescent="0.45"/>
  <cols>
    <col min="1" max="1" width="9.1328125" style="29" customWidth="1"/>
    <col min="2" max="2" width="29.73046875" bestFit="1" customWidth="1"/>
    <col min="3" max="4" width="9.1328125" style="112" customWidth="1"/>
    <col min="11" max="11" width="21.86328125" customWidth="1"/>
    <col min="12" max="12" width="11" style="83" customWidth="1"/>
    <col min="13" max="13" width="11" customWidth="1"/>
  </cols>
  <sheetData>
    <row r="1" spans="1:13" s="30" customFormat="1" x14ac:dyDescent="0.45">
      <c r="A1" s="31" t="s">
        <v>66</v>
      </c>
      <c r="B1" s="30" t="s">
        <v>626</v>
      </c>
      <c r="C1" s="113" t="s">
        <v>627</v>
      </c>
      <c r="D1" s="113" t="s">
        <v>628</v>
      </c>
      <c r="F1" s="30" t="s">
        <v>38</v>
      </c>
      <c r="G1" s="114">
        <f>Quote!M5</f>
        <v>35</v>
      </c>
      <c r="K1" s="30" t="s">
        <v>629</v>
      </c>
      <c r="L1" s="82" t="s">
        <v>630</v>
      </c>
      <c r="M1" s="30" t="s">
        <v>631</v>
      </c>
    </row>
    <row r="2" spans="1:13" x14ac:dyDescent="0.45">
      <c r="B2" t="s">
        <v>632</v>
      </c>
      <c r="C2" s="112">
        <v>22.89</v>
      </c>
      <c r="D2" s="112" t="str">
        <f>IF(A2="","",ROUNDUP(A2*C2,0))</f>
        <v/>
      </c>
      <c r="K2" t="s">
        <v>633</v>
      </c>
      <c r="L2" s="83">
        <v>0.5</v>
      </c>
      <c r="M2">
        <f t="shared" ref="M2:M27" si="0">L2/100</f>
        <v>5.0000000000000001E-3</v>
      </c>
    </row>
    <row r="3" spans="1:13" x14ac:dyDescent="0.45">
      <c r="B3" t="s">
        <v>634</v>
      </c>
      <c r="C3" s="112">
        <v>18.46</v>
      </c>
      <c r="D3" s="112" t="str">
        <f>IF(A3="","",ROUNDUP(A3*C3,0))</f>
        <v/>
      </c>
      <c r="K3" t="s">
        <v>635</v>
      </c>
      <c r="L3" s="83">
        <v>0.5</v>
      </c>
      <c r="M3">
        <f t="shared" si="0"/>
        <v>5.0000000000000001E-3</v>
      </c>
    </row>
    <row r="4" spans="1:13" x14ac:dyDescent="0.45">
      <c r="B4" t="s">
        <v>636</v>
      </c>
      <c r="C4" s="112">
        <v>14.26</v>
      </c>
      <c r="D4" s="112" t="str">
        <f>IF(A4="","",ROUNDUP(A4*C4,0))</f>
        <v/>
      </c>
      <c r="K4" t="s">
        <v>637</v>
      </c>
      <c r="L4" s="83">
        <v>0.5</v>
      </c>
      <c r="M4">
        <f t="shared" si="0"/>
        <v>5.0000000000000001E-3</v>
      </c>
    </row>
    <row r="5" spans="1:13" x14ac:dyDescent="0.45">
      <c r="B5" t="s">
        <v>638</v>
      </c>
      <c r="C5" s="112">
        <v>5.84</v>
      </c>
      <c r="D5" s="112" t="str">
        <f>IF(A5="","",ROUNDUP(A5*C5,0))</f>
        <v/>
      </c>
      <c r="K5" t="s">
        <v>639</v>
      </c>
      <c r="L5" s="83">
        <v>0.5</v>
      </c>
      <c r="M5">
        <f t="shared" si="0"/>
        <v>5.0000000000000001E-3</v>
      </c>
    </row>
    <row r="6" spans="1:13" x14ac:dyDescent="0.45">
      <c r="B6" t="s">
        <v>640</v>
      </c>
      <c r="D6" s="112" t="str">
        <f>IF(A6="","",ROUNDUP(A6*C6,0))</f>
        <v/>
      </c>
      <c r="K6" t="s">
        <v>641</v>
      </c>
      <c r="L6" s="83">
        <v>0.5</v>
      </c>
      <c r="M6">
        <f t="shared" si="0"/>
        <v>5.0000000000000001E-3</v>
      </c>
    </row>
    <row r="7" spans="1:13" x14ac:dyDescent="0.45">
      <c r="K7" t="s">
        <v>642</v>
      </c>
      <c r="L7" s="83">
        <v>0.5</v>
      </c>
      <c r="M7">
        <f t="shared" si="0"/>
        <v>5.0000000000000001E-3</v>
      </c>
    </row>
    <row r="8" spans="1:13" x14ac:dyDescent="0.45">
      <c r="B8" s="64" t="s">
        <v>643</v>
      </c>
      <c r="K8" t="s">
        <v>644</v>
      </c>
      <c r="L8" s="83">
        <v>0.5</v>
      </c>
      <c r="M8">
        <f t="shared" si="0"/>
        <v>5.0000000000000001E-3</v>
      </c>
    </row>
    <row r="9" spans="1:13" x14ac:dyDescent="0.45">
      <c r="B9" s="30" t="s">
        <v>645</v>
      </c>
      <c r="K9" t="s">
        <v>646</v>
      </c>
      <c r="L9" s="83">
        <v>0.5</v>
      </c>
      <c r="M9">
        <f t="shared" si="0"/>
        <v>5.0000000000000001E-3</v>
      </c>
    </row>
    <row r="10" spans="1:13" x14ac:dyDescent="0.45">
      <c r="B10" t="s">
        <v>647</v>
      </c>
      <c r="C10" s="112">
        <v>45</v>
      </c>
      <c r="D10" s="112" t="str">
        <f>IF(A10="","",ROUNDUP(A10*C10,0))</f>
        <v/>
      </c>
      <c r="K10" t="s">
        <v>648</v>
      </c>
      <c r="L10" s="83">
        <v>0.5</v>
      </c>
      <c r="M10">
        <f t="shared" si="0"/>
        <v>5.0000000000000001E-3</v>
      </c>
    </row>
    <row r="11" spans="1:13" x14ac:dyDescent="0.45">
      <c r="B11" t="s">
        <v>649</v>
      </c>
      <c r="C11" s="112">
        <v>35</v>
      </c>
      <c r="D11" s="112" t="str">
        <f>IF(A11="","",ROUNDUP(A11*C11,0))</f>
        <v/>
      </c>
      <c r="K11" t="s">
        <v>650</v>
      </c>
      <c r="L11" s="83">
        <v>0.5</v>
      </c>
      <c r="M11">
        <f t="shared" si="0"/>
        <v>5.0000000000000001E-3</v>
      </c>
    </row>
    <row r="12" spans="1:13" x14ac:dyDescent="0.45">
      <c r="B12" t="s">
        <v>651</v>
      </c>
      <c r="C12" s="112">
        <v>25</v>
      </c>
      <c r="D12" s="112" t="str">
        <f>IF(A12="","",ROUNDUP(A12*C12,0))</f>
        <v/>
      </c>
      <c r="K12" t="s">
        <v>652</v>
      </c>
      <c r="L12" s="83">
        <v>0.5</v>
      </c>
      <c r="M12">
        <f t="shared" si="0"/>
        <v>5.0000000000000001E-3</v>
      </c>
    </row>
    <row r="13" spans="1:13" x14ac:dyDescent="0.45">
      <c r="B13" t="s">
        <v>653</v>
      </c>
      <c r="C13" s="112">
        <v>15</v>
      </c>
      <c r="D13" s="112" t="str">
        <f>IF(A13="","",ROUNDUP(A13*C13,0))</f>
        <v/>
      </c>
      <c r="K13" t="s">
        <v>654</v>
      </c>
      <c r="M13">
        <f t="shared" si="0"/>
        <v>0</v>
      </c>
    </row>
    <row r="14" spans="1:13" x14ac:dyDescent="0.45">
      <c r="B14" t="s">
        <v>655</v>
      </c>
      <c r="C14" s="112">
        <v>12</v>
      </c>
      <c r="D14" s="112" t="str">
        <f>IF(A14="","",ROUNDUP(A14*C14,0))</f>
        <v/>
      </c>
      <c r="K14" t="s">
        <v>656</v>
      </c>
      <c r="M14">
        <f t="shared" si="0"/>
        <v>0</v>
      </c>
    </row>
    <row r="15" spans="1:13" x14ac:dyDescent="0.45">
      <c r="K15" t="s">
        <v>62</v>
      </c>
      <c r="M15">
        <f t="shared" si="0"/>
        <v>0</v>
      </c>
    </row>
    <row r="16" spans="1:13" x14ac:dyDescent="0.45">
      <c r="B16" s="30" t="s">
        <v>657</v>
      </c>
      <c r="K16" t="s">
        <v>658</v>
      </c>
      <c r="M16">
        <f t="shared" si="0"/>
        <v>0</v>
      </c>
    </row>
    <row r="17" spans="2:13" x14ac:dyDescent="0.45">
      <c r="B17" t="s">
        <v>647</v>
      </c>
      <c r="C17" s="112">
        <v>50</v>
      </c>
      <c r="D17" s="112" t="str">
        <f>IF(A17="","",ROUNDUP(A17*C17,0))</f>
        <v/>
      </c>
      <c r="K17" t="s">
        <v>659</v>
      </c>
      <c r="M17">
        <f t="shared" si="0"/>
        <v>0</v>
      </c>
    </row>
    <row r="18" spans="2:13" x14ac:dyDescent="0.45">
      <c r="B18" t="s">
        <v>649</v>
      </c>
      <c r="C18" s="112">
        <v>40</v>
      </c>
      <c r="D18" s="112" t="str">
        <f>IF(A18="","",ROUNDUP(A18*C18,0))</f>
        <v/>
      </c>
      <c r="K18" t="s">
        <v>660</v>
      </c>
      <c r="L18" s="83">
        <v>0.15</v>
      </c>
      <c r="M18">
        <f t="shared" si="0"/>
        <v>1.5E-3</v>
      </c>
    </row>
    <row r="19" spans="2:13" x14ac:dyDescent="0.45">
      <c r="B19" t="s">
        <v>651</v>
      </c>
      <c r="C19" s="112">
        <v>30</v>
      </c>
      <c r="D19" s="112" t="str">
        <f>IF(A19="","",ROUNDUP(A19*C19,0))</f>
        <v/>
      </c>
      <c r="K19" t="s">
        <v>661</v>
      </c>
      <c r="L19" s="83">
        <v>0.15</v>
      </c>
      <c r="M19">
        <f t="shared" si="0"/>
        <v>1.5E-3</v>
      </c>
    </row>
    <row r="20" spans="2:13" x14ac:dyDescent="0.45">
      <c r="B20" t="s">
        <v>662</v>
      </c>
      <c r="C20" s="112">
        <v>25</v>
      </c>
      <c r="D20" s="112" t="str">
        <f>IF(A20="","",ROUNDUP(A20*C20,0))</f>
        <v/>
      </c>
      <c r="K20" t="s">
        <v>663</v>
      </c>
      <c r="L20" s="83">
        <v>0.17</v>
      </c>
      <c r="M20">
        <f t="shared" si="0"/>
        <v>1.7000000000000001E-3</v>
      </c>
    </row>
    <row r="21" spans="2:13" x14ac:dyDescent="0.45">
      <c r="B21" t="s">
        <v>655</v>
      </c>
      <c r="C21" s="112">
        <v>18</v>
      </c>
      <c r="D21" s="112" t="str">
        <f>IF(A21="","",ROUNDUP(A21*C21,0))</f>
        <v/>
      </c>
      <c r="K21" t="s">
        <v>664</v>
      </c>
      <c r="L21" s="83">
        <v>0.2</v>
      </c>
      <c r="M21">
        <f t="shared" si="0"/>
        <v>2E-3</v>
      </c>
    </row>
    <row r="22" spans="2:13" x14ac:dyDescent="0.45">
      <c r="K22" t="s">
        <v>665</v>
      </c>
      <c r="M22">
        <f t="shared" si="0"/>
        <v>0</v>
      </c>
    </row>
    <row r="23" spans="2:13" x14ac:dyDescent="0.45">
      <c r="B23" s="30" t="s">
        <v>666</v>
      </c>
      <c r="K23" t="s">
        <v>667</v>
      </c>
      <c r="M23">
        <f t="shared" si="0"/>
        <v>0</v>
      </c>
    </row>
    <row r="24" spans="2:13" x14ac:dyDescent="0.45">
      <c r="B24" t="s">
        <v>647</v>
      </c>
      <c r="C24" s="112">
        <v>45</v>
      </c>
      <c r="D24" s="112" t="str">
        <f>IF(A24="","",ROUNDUP(A24*C24,0))</f>
        <v/>
      </c>
      <c r="K24" t="s">
        <v>668</v>
      </c>
      <c r="M24">
        <f t="shared" si="0"/>
        <v>0</v>
      </c>
    </row>
    <row r="25" spans="2:13" x14ac:dyDescent="0.45">
      <c r="B25" t="s">
        <v>649</v>
      </c>
      <c r="C25" s="112">
        <v>35</v>
      </c>
      <c r="D25" s="112" t="str">
        <f>IF(A25="","",ROUNDUP(A25*C25,0))</f>
        <v/>
      </c>
      <c r="K25" t="s">
        <v>669</v>
      </c>
      <c r="M25">
        <f t="shared" si="0"/>
        <v>0</v>
      </c>
    </row>
    <row r="26" spans="2:13" x14ac:dyDescent="0.45">
      <c r="B26" t="s">
        <v>651</v>
      </c>
      <c r="C26" s="112">
        <v>20</v>
      </c>
      <c r="D26" s="112" t="str">
        <f>IF(A26="","",ROUNDUP(A26*C26,0))</f>
        <v/>
      </c>
      <c r="K26" t="s">
        <v>670</v>
      </c>
      <c r="M26">
        <f t="shared" si="0"/>
        <v>0</v>
      </c>
    </row>
    <row r="27" spans="2:13" x14ac:dyDescent="0.45">
      <c r="B27" t="s">
        <v>662</v>
      </c>
      <c r="C27" s="112">
        <v>15</v>
      </c>
      <c r="D27" s="112" t="str">
        <f>IF(A27="","",ROUNDUP(A27*C27,0))</f>
        <v/>
      </c>
      <c r="K27" t="s">
        <v>671</v>
      </c>
      <c r="M27">
        <f t="shared" si="0"/>
        <v>0</v>
      </c>
    </row>
    <row r="28" spans="2:13" x14ac:dyDescent="0.45">
      <c r="B28" t="s">
        <v>672</v>
      </c>
      <c r="C28" s="112">
        <v>12</v>
      </c>
      <c r="D28" s="112" t="str">
        <f>IF(A28="","",ROUNDUP(A28*C28,0))</f>
        <v/>
      </c>
    </row>
    <row r="30" spans="2:13" x14ac:dyDescent="0.45">
      <c r="B30" s="30" t="s">
        <v>673</v>
      </c>
    </row>
    <row r="31" spans="2:13" x14ac:dyDescent="0.45">
      <c r="B31" t="s">
        <v>647</v>
      </c>
      <c r="C31" s="112">
        <v>35</v>
      </c>
      <c r="D31" s="112" t="str">
        <f>IF(A31="","",ROUNDUP(A31*C31,0))</f>
        <v/>
      </c>
    </row>
    <row r="32" spans="2:13" x14ac:dyDescent="0.45">
      <c r="B32" t="s">
        <v>649</v>
      </c>
      <c r="C32" s="112">
        <v>35</v>
      </c>
      <c r="D32" s="112" t="str">
        <f>IF(A32="","",ROUNDUP(A32*C32,0))</f>
        <v/>
      </c>
    </row>
    <row r="33" spans="2:4" x14ac:dyDescent="0.45">
      <c r="B33" t="s">
        <v>651</v>
      </c>
      <c r="C33" s="112">
        <v>25</v>
      </c>
      <c r="D33" s="112" t="str">
        <f>IF(A33="","",ROUNDUP(A33*C33,0))</f>
        <v/>
      </c>
    </row>
    <row r="34" spans="2:4" x14ac:dyDescent="0.45">
      <c r="B34" t="s">
        <v>662</v>
      </c>
      <c r="C34" s="112">
        <v>20</v>
      </c>
      <c r="D34" s="112" t="str">
        <f>IF(A34="","",ROUNDUP(A34*C34,0))</f>
        <v/>
      </c>
    </row>
    <row r="35" spans="2:4" x14ac:dyDescent="0.45">
      <c r="B35" t="s">
        <v>672</v>
      </c>
      <c r="C35" s="112">
        <v>15</v>
      </c>
      <c r="D35" s="112" t="str">
        <f>IF(A35="","",ROUNDUP(A35*C35,0))</f>
        <v/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Cover Sheet</vt:lpstr>
      <vt:lpstr>Quote</vt:lpstr>
      <vt:lpstr>Repairers</vt:lpstr>
      <vt:lpstr>Freight</vt:lpstr>
      <vt:lpstr>'Cover Sheet'!Print_Area</vt:lpstr>
      <vt:lpstr>Quote!Print_Area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stothart</dc:creator>
  <cp:lastModifiedBy>max stothart</cp:lastModifiedBy>
  <cp:lastPrinted>2021-06-23T23:00:10Z</cp:lastPrinted>
  <dcterms:created xsi:type="dcterms:W3CDTF">2019-12-23T03:31:51Z</dcterms:created>
  <dcterms:modified xsi:type="dcterms:W3CDTF">2022-08-19T05:57:10Z</dcterms:modified>
</cp:coreProperties>
</file>