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axwelco/Documents/Teejet/prices/"/>
    </mc:Choice>
  </mc:AlternateContent>
  <xr:revisionPtr revIDLastSave="0" documentId="13_ncr:1_{79B67A6B-6717-E746-8C1F-CD96C1F43E7E}" xr6:coauthVersionLast="36" xr6:coauthVersionMax="47" xr10:uidLastSave="{00000000-0000-0000-0000-000000000000}"/>
  <bookViews>
    <workbookView xWindow="0" yWindow="500" windowWidth="38400" windowHeight="18300" activeTab="1" xr2:uid="{00000000-000D-0000-FFFF-FFFF00000000}"/>
  </bookViews>
  <sheets>
    <sheet name="Planilha2" sheetId="20" r:id="rId1"/>
    <sheet name="Geral" sheetId="1" r:id="rId2"/>
    <sheet name="Base 1" sheetId="4" r:id="rId3"/>
    <sheet name="Prices 2021" sheetId="10" r:id="rId4"/>
    <sheet name="Planilha1" sheetId="14" r:id="rId5"/>
    <sheet name="Base 2 - Ajustado Média" sheetId="6" r:id="rId6"/>
    <sheet name="Planilha4" sheetId="21" r:id="rId7"/>
    <sheet name="Graphics Only web database" sheetId="22" r:id="rId8"/>
    <sheet name="% Only web database" sheetId="29" r:id="rId9"/>
    <sheet name="Planilha3" sheetId="12" r:id="rId10"/>
    <sheet name="Surveys coming from" sheetId="19" r:id="rId11"/>
    <sheet name="General Analyses" sheetId="11" r:id="rId12"/>
    <sheet name="% Variation" sheetId="18" r:id="rId13"/>
  </sheets>
  <externalReferences>
    <externalReference r:id="rId14"/>
  </externalReferences>
  <definedNames>
    <definedName name="_xlnm._FilterDatabase" localSheetId="9" hidden="1">Planilha3!#REF!</definedName>
    <definedName name="price2021">'Prices 2021'!$1:$1048576</definedName>
  </definedNames>
  <calcPr calcId="181029"/>
  <pivotCaches>
    <pivotCache cacheId="5" r:id="rId15"/>
    <pivotCache cacheId="6" r:id="rId16"/>
    <pivotCache cacheId="7" r:id="rId17"/>
    <pivotCache cacheId="8" r:id="rId18"/>
    <pivotCache cacheId="9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9" i="6" l="1"/>
  <c r="AO21" i="6"/>
  <c r="AO24" i="6"/>
  <c r="F17" i="6"/>
  <c r="D24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6" i="10"/>
  <c r="D5" i="10"/>
  <c r="D4" i="10"/>
  <c r="D3" i="10"/>
  <c r="D2" i="10"/>
  <c r="AM24" i="6"/>
  <c r="AN24" i="6"/>
  <c r="AL24" i="6"/>
  <c r="AK24" i="6"/>
  <c r="AJ12" i="6"/>
  <c r="AI9" i="6"/>
  <c r="AF9" i="6"/>
  <c r="AE14" i="6"/>
  <c r="AD14" i="6"/>
  <c r="AD12" i="6"/>
  <c r="AH6" i="6"/>
  <c r="AH5" i="6"/>
  <c r="AH3" i="6"/>
  <c r="AH2" i="6"/>
  <c r="AC7" i="6"/>
  <c r="AB7" i="6"/>
  <c r="AA7" i="6"/>
  <c r="Z7" i="6"/>
  <c r="Y7" i="6"/>
  <c r="X7" i="6"/>
  <c r="W7" i="6"/>
  <c r="V7" i="6"/>
  <c r="U7" i="6"/>
  <c r="T5" i="6"/>
  <c r="T4" i="6"/>
  <c r="T2" i="6"/>
  <c r="S16" i="6"/>
  <c r="S14" i="6"/>
  <c r="R8" i="6"/>
  <c r="R7" i="6"/>
  <c r="R6" i="6"/>
  <c r="R5" i="6"/>
  <c r="R4" i="6"/>
  <c r="R2" i="6"/>
  <c r="Q4" i="6"/>
  <c r="Q2" i="6"/>
  <c r="P4" i="6"/>
  <c r="P2" i="6"/>
  <c r="O7" i="6"/>
  <c r="O6" i="6"/>
  <c r="O5" i="6"/>
  <c r="O4" i="6"/>
  <c r="N7" i="6"/>
  <c r="N6" i="6"/>
  <c r="N5" i="6"/>
  <c r="L5" i="6"/>
  <c r="L4" i="6"/>
  <c r="L3" i="6"/>
  <c r="L2" i="6"/>
  <c r="K5" i="6"/>
  <c r="K4" i="6"/>
  <c r="K3" i="6"/>
  <c r="K2" i="6"/>
  <c r="J6" i="6"/>
  <c r="J5" i="6"/>
  <c r="J4" i="6"/>
  <c r="I7" i="6"/>
  <c r="I6" i="6"/>
  <c r="H23" i="6"/>
  <c r="AN23" i="6" s="1"/>
  <c r="H22" i="6"/>
  <c r="AK22" i="6" s="1"/>
  <c r="AN21" i="6"/>
  <c r="H20" i="6"/>
  <c r="AL20" i="6" s="1"/>
  <c r="AM19" i="6"/>
  <c r="H18" i="6"/>
  <c r="AM18" i="6" s="1"/>
  <c r="H17" i="6"/>
  <c r="AN17" i="6" s="1"/>
  <c r="H16" i="6"/>
  <c r="H15" i="6"/>
  <c r="H13" i="6"/>
  <c r="H12" i="6"/>
  <c r="AN11" i="6"/>
  <c r="H8" i="6"/>
  <c r="H7" i="6"/>
  <c r="H6" i="6"/>
  <c r="H4" i="6"/>
  <c r="H3" i="6"/>
  <c r="H2" i="6"/>
  <c r="G16" i="6"/>
  <c r="G15" i="6"/>
  <c r="G13" i="6"/>
  <c r="G12" i="6"/>
  <c r="G9" i="6"/>
  <c r="G7" i="6"/>
  <c r="G6" i="6"/>
  <c r="G5" i="6"/>
  <c r="G4" i="6"/>
  <c r="G2" i="6"/>
  <c r="AN9" i="6" l="1"/>
  <c r="AO23" i="6"/>
  <c r="AO22" i="6"/>
  <c r="AO20" i="6"/>
  <c r="AO18" i="6"/>
  <c r="AO17" i="6"/>
  <c r="AL4" i="6"/>
  <c r="AO16" i="6"/>
  <c r="AO14" i="6"/>
  <c r="AM10" i="6"/>
  <c r="AN15" i="6"/>
  <c r="AK14" i="6"/>
  <c r="AL12" i="6"/>
  <c r="AL19" i="6"/>
  <c r="AK6" i="6"/>
  <c r="AM5" i="6"/>
  <c r="AM13" i="6"/>
  <c r="AM3" i="6"/>
  <c r="AN13" i="6"/>
  <c r="AO8" i="6"/>
  <c r="AK21" i="6"/>
  <c r="AN5" i="6"/>
  <c r="AO15" i="6"/>
  <c r="AK18" i="6"/>
  <c r="AM21" i="6"/>
  <c r="AK13" i="6"/>
  <c r="AN19" i="6"/>
  <c r="AO7" i="6"/>
  <c r="AN7" i="6"/>
  <c r="AN3" i="6"/>
  <c r="AL8" i="6"/>
  <c r="AM9" i="6"/>
  <c r="AO2" i="6"/>
  <c r="AM11" i="6"/>
  <c r="AL3" i="6"/>
  <c r="AK5" i="6"/>
  <c r="AO6" i="6"/>
  <c r="AK20" i="6"/>
  <c r="AK12" i="6"/>
  <c r="AK4" i="6"/>
  <c r="AL18" i="6"/>
  <c r="AL10" i="6"/>
  <c r="AN20" i="6"/>
  <c r="AN16" i="6"/>
  <c r="AN12" i="6"/>
  <c r="AN8" i="6"/>
  <c r="AN4" i="6"/>
  <c r="AO13" i="6"/>
  <c r="AO5" i="6"/>
  <c r="AK19" i="6"/>
  <c r="AK11" i="6"/>
  <c r="AK3" i="6"/>
  <c r="AL9" i="6"/>
  <c r="AM20" i="6"/>
  <c r="AM16" i="6"/>
  <c r="AM12" i="6"/>
  <c r="AM8" i="6"/>
  <c r="AM4" i="6"/>
  <c r="AO12" i="6"/>
  <c r="AO4" i="6"/>
  <c r="AO3" i="6"/>
  <c r="AO11" i="6"/>
  <c r="AK17" i="6"/>
  <c r="AK9" i="6"/>
  <c r="AL23" i="6"/>
  <c r="AL15" i="6"/>
  <c r="AL7" i="6"/>
  <c r="AM23" i="6"/>
  <c r="AM15" i="6"/>
  <c r="AM7" i="6"/>
  <c r="AO10" i="6"/>
  <c r="AL11" i="6"/>
  <c r="AK10" i="6"/>
  <c r="AL16" i="6"/>
  <c r="AK16" i="6"/>
  <c r="AK8" i="6"/>
  <c r="AL22" i="6"/>
  <c r="AL14" i="6"/>
  <c r="AL6" i="6"/>
  <c r="AN22" i="6"/>
  <c r="AN18" i="6"/>
  <c r="AN14" i="6"/>
  <c r="AN10" i="6"/>
  <c r="AN6" i="6"/>
  <c r="AO9" i="6"/>
  <c r="AK23" i="6"/>
  <c r="AK15" i="6"/>
  <c r="AK7" i="6"/>
  <c r="AL21" i="6"/>
  <c r="AL13" i="6"/>
  <c r="AL5" i="6"/>
  <c r="AM22" i="6"/>
  <c r="AM14" i="6"/>
  <c r="AM6" i="6"/>
  <c r="AK2" i="6"/>
  <c r="AL2" i="6"/>
  <c r="AM2" i="6"/>
  <c r="AN2" i="6"/>
</calcChain>
</file>

<file path=xl/sharedStrings.xml><?xml version="1.0" encoding="utf-8"?>
<sst xmlns="http://schemas.openxmlformats.org/spreadsheetml/2006/main" count="1901" uniqueCount="442">
  <si>
    <t>ID</t>
  </si>
  <si>
    <t>Hora de início</t>
  </si>
  <si>
    <t>Hora de conclusão</t>
  </si>
  <si>
    <t>Email</t>
  </si>
  <si>
    <t>Nome</t>
  </si>
  <si>
    <t>Idioma</t>
  </si>
  <si>
    <t>Nome2</t>
  </si>
  <si>
    <t>Nome do revendedor que esta visitando (Dealer). Ex. MacCampo</t>
  </si>
  <si>
    <t>O Cliente que esta visitando já é um revendedor TeeJet?</t>
  </si>
  <si>
    <t>Em qual Estado brasileiro está sediada a empresa visitada?</t>
  </si>
  <si>
    <t>Território da TeeJet-BR onde está sediado o cliente</t>
  </si>
  <si>
    <t>Cidade</t>
  </si>
  <si>
    <t>Quais marcas de Pontas de Pulverização a Revenda mantém em estoque?</t>
  </si>
  <si>
    <t>Telefone e Nome de um Contato na Empresa Revendedora (Dealer)</t>
  </si>
  <si>
    <t>Valor em reais do TX´s / TXA´s</t>
  </si>
  <si>
    <t>Valor em reais do XR-VK</t>
  </si>
  <si>
    <t>Valor em reais do TT-VP</t>
  </si>
  <si>
    <t>Valor em reais do TTJ60</t>
  </si>
  <si>
    <t>Valor em reais do AIXR-VK</t>
  </si>
  <si>
    <t>Valor em reais do TTI</t>
  </si>
  <si>
    <t>Valor em reais do APTJ (PWM)</t>
  </si>
  <si>
    <t>BD (similar ao XR-VK)</t>
  </si>
  <si>
    <t>MGA (similar ao TXA)</t>
  </si>
  <si>
    <t>MAG (similar ao TXA)</t>
  </si>
  <si>
    <t>ST (similar ao TT)</t>
  </si>
  <si>
    <t>ST-D (similar ao TTJ60)</t>
  </si>
  <si>
    <t>AD-IA (similar ao AIXR/AI -VK)</t>
  </si>
  <si>
    <t>STIA (similar ao AITTJ)</t>
  </si>
  <si>
    <t>MUG (similar ao TTI)</t>
  </si>
  <si>
    <t>AXI (similar ao XR-VK)</t>
  </si>
  <si>
    <t>JA (similar ao TXA)</t>
  </si>
  <si>
    <t>ATR (similar ao TXR)</t>
  </si>
  <si>
    <t>J3D (similar ao TT)</t>
  </si>
  <si>
    <t>JTT (TT com o nome Jacto)</t>
  </si>
  <si>
    <t>AVI (similar ao AIXR-VK)</t>
  </si>
  <si>
    <t>CVI (similar ao AIXR-VK)</t>
  </si>
  <si>
    <t>JMD (similar ao TTI)</t>
  </si>
  <si>
    <t>INSERIR:
-SIGLA DO MODELO DA PONTA DE PULVERIZAÇÃO
-NOME DO FABRICANTE
-PREÇO ENCONTRADO
Ex: GRD120-025 / HYPRO / R$37,50</t>
  </si>
  <si>
    <t>Quais materiais/ferramentas você apresentou/utilizou para o cliente durante essa visita</t>
  </si>
  <si>
    <t>Potencial do cliente como influenciador em T.A. na região</t>
  </si>
  <si>
    <t>Conhecimento técnico e valorização da importância das Pontas de Pulverização</t>
  </si>
  <si>
    <t>Interesse dos gestores e funcionários da revenda pelas Pontas TJ</t>
  </si>
  <si>
    <t>Chance de crescimento da marca TeeJet neste cliente</t>
  </si>
  <si>
    <t>Relevância deste cliente na região onde está a  sediada a revenda</t>
  </si>
  <si>
    <t>Probabilidade do Cliente efetivar uma Compra após essa visita</t>
  </si>
  <si>
    <t>TeeJet</t>
  </si>
  <si>
    <t>Hypro</t>
  </si>
  <si>
    <t>Jacto2</t>
  </si>
  <si>
    <t>Magnojet2</t>
  </si>
  <si>
    <t>TeeJet2</t>
  </si>
  <si>
    <t>Hypro2</t>
  </si>
  <si>
    <t>Jacto3</t>
  </si>
  <si>
    <t>Magnojet3</t>
  </si>
  <si>
    <t>Qual o nível de satisfação do cliente após sua visita?</t>
  </si>
  <si>
    <t>Insira suas Sugestões e Comentários referentes a essa pesquisa de mercado</t>
  </si>
  <si>
    <t>Quanto essa pesquisa contribuiu para sua avaliação sobre a visita ao seu cliente?</t>
  </si>
  <si>
    <t>Cristiano.Machado@teejet.com</t>
  </si>
  <si>
    <t>Cristiano Machado</t>
  </si>
  <si>
    <t>Teste</t>
  </si>
  <si>
    <t>Sim, já é um cliente TeeJet</t>
  </si>
  <si>
    <t>PR</t>
  </si>
  <si>
    <t>5LF (RS/SC)</t>
  </si>
  <si>
    <t>Chapecó</t>
  </si>
  <si>
    <t>TeeJet;</t>
  </si>
  <si>
    <t>19,01 a 21,00</t>
  </si>
  <si>
    <t>17,01 a 19,00</t>
  </si>
  <si>
    <t>21,01 a 23,00</t>
  </si>
  <si>
    <t>39,01 a 41,00</t>
  </si>
  <si>
    <t>48,01 a 51,00</t>
  </si>
  <si>
    <t>15,01 a 17,00</t>
  </si>
  <si>
    <t>11,01 a 12,00</t>
  </si>
  <si>
    <t>23,01 a 25,00</t>
  </si>
  <si>
    <t>25,01 a 28,00</t>
  </si>
  <si>
    <t>28,01 a 31,00</t>
  </si>
  <si>
    <t>37,01 a 40,00</t>
  </si>
  <si>
    <t>50,01 a 60,00</t>
  </si>
  <si>
    <t>App - SpraySelect / SpraySaver;</t>
  </si>
  <si>
    <t>40%-60%</t>
  </si>
  <si>
    <t>60%-80%</t>
  </si>
  <si>
    <t>Excelente</t>
  </si>
  <si>
    <t>Bom</t>
  </si>
  <si>
    <t>Regular</t>
  </si>
  <si>
    <t>Ruim</t>
  </si>
  <si>
    <t>teste</t>
  </si>
  <si>
    <t>max.oliveira@teejet.com</t>
  </si>
  <si>
    <t>Maxwel Oliveira</t>
  </si>
  <si>
    <t>Max Oliveira</t>
  </si>
  <si>
    <t>MacCampo</t>
  </si>
  <si>
    <t>5LG (PR)</t>
  </si>
  <si>
    <t>Londrina</t>
  </si>
  <si>
    <t>TeeJet;Jacto;</t>
  </si>
  <si>
    <t>(11) 964891846</t>
  </si>
  <si>
    <t>&gt; 25,01</t>
  </si>
  <si>
    <t>60,01 a 65,00</t>
  </si>
  <si>
    <t>&lt; 15,00</t>
  </si>
  <si>
    <t>10,01 a 11,00</t>
  </si>
  <si>
    <t>34,01 a 37,00</t>
  </si>
  <si>
    <t>40,01 a 43,00</t>
  </si>
  <si>
    <t>60,01 a 70,00</t>
  </si>
  <si>
    <t>20.01 a 22.00</t>
  </si>
  <si>
    <t>18.01 a 20.00</t>
  </si>
  <si>
    <t>20.01 a 24.00</t>
  </si>
  <si>
    <t>55.01 a 60.00</t>
  </si>
  <si>
    <t>17.01 a 19.00</t>
  </si>
  <si>
    <t>65.01 a 70.00</t>
  </si>
  <si>
    <t>65.01 a 75.00</t>
  </si>
  <si>
    <t>&lt; 55.00</t>
  </si>
  <si>
    <t>AA, Micron, 40</t>
  </si>
  <si>
    <t>SprayTank;Pontas Didáticas (maleta);Catalogo TJ / Landing Page / www.teejet.com;</t>
  </si>
  <si>
    <t>&gt; 80%</t>
  </si>
  <si>
    <t>Péssimo</t>
  </si>
  <si>
    <t>...</t>
  </si>
  <si>
    <t>Guilherme.Goncalves@teejet.com</t>
  </si>
  <si>
    <t>Guilherme Goncalves</t>
  </si>
  <si>
    <t>Português (Brasil)‎</t>
  </si>
  <si>
    <t>Guilherme Gonçalves</t>
  </si>
  <si>
    <t>Dusiqueira</t>
  </si>
  <si>
    <t>MG</t>
  </si>
  <si>
    <t>5LI (MG+GO+NORDESTE)</t>
  </si>
  <si>
    <t>Uberlandia</t>
  </si>
  <si>
    <t>Protásio 34998359798</t>
  </si>
  <si>
    <t>&gt; 23,00</t>
  </si>
  <si>
    <t>&gt; 25,00</t>
  </si>
  <si>
    <t>37,01 a 39,00</t>
  </si>
  <si>
    <t>45,01 a 48,00</t>
  </si>
  <si>
    <t>&gt; 80,00</t>
  </si>
  <si>
    <t>SprayTank;Guia de Bolso;Pontas Didáticas (maleta);App - SpraySelect / SpraySaver;Catalogo TJ / Landing Page / www.teejet.com;PowerPoint / Excel / WhatsApp;</t>
  </si>
  <si>
    <t>Cliente com bom potencial de aumentar a pulverização dos produtos TJ no Triângulo Mineiro.</t>
  </si>
  <si>
    <t>Auto Peças Silva</t>
  </si>
  <si>
    <t>São Gotardo</t>
  </si>
  <si>
    <t>Jeykson 34999845901</t>
  </si>
  <si>
    <t>Guia de Bolso;App - SpraySelect / SpraySaver;Catalogo TJ / Landing Page / www.teejet.com;</t>
  </si>
  <si>
    <t>20%-40%</t>
  </si>
  <si>
    <t>Cliente faz vendas casadas e preza por preço e não qualidade</t>
  </si>
  <si>
    <t>Casa do Pica Pau</t>
  </si>
  <si>
    <t>GO</t>
  </si>
  <si>
    <t>Goiânia</t>
  </si>
  <si>
    <t>Eliane 62996136430</t>
  </si>
  <si>
    <t>&gt; 60,00</t>
  </si>
  <si>
    <t>Cliente com pouco conhecimento, e nem todos os gestores acreditam no potencial do nosso produto.</t>
  </si>
  <si>
    <t>Vianópolis Goiás</t>
  </si>
  <si>
    <t>Paulo 62998473625</t>
  </si>
  <si>
    <t>Gestor recém contratado, ainda não comprou bem a ideia de vender pontas, acha complexo e arriscado.</t>
  </si>
  <si>
    <t>Julio.Gomes@teejet.com</t>
  </si>
  <si>
    <t>Julio Cezar Jesus Gomes</t>
  </si>
  <si>
    <t>Julio Gomes</t>
  </si>
  <si>
    <t xml:space="preserve">Júlio Gomes </t>
  </si>
  <si>
    <t>5LH (MS+GO)</t>
  </si>
  <si>
    <t xml:space="preserve">Chapadão do Céu </t>
  </si>
  <si>
    <t>TeeJet;Hypro;</t>
  </si>
  <si>
    <t>66 97237803</t>
  </si>
  <si>
    <t>&gt; 41,00</t>
  </si>
  <si>
    <t>3D</t>
  </si>
  <si>
    <t>SprayTank;Guia de Bolso;App - SpraySelect / SpraySaver;Catalogo TJ / Landing Page / www.teejet.com;PowerPoint / Excel / WhatsApp;</t>
  </si>
  <si>
    <t xml:space="preserve">Está pesquisar nos instiga a analisar de forma técnica e profunda as características comerciais de nossos clientes, desta forma poderemos concentrar nossas energias de forma totalmente eficiente </t>
  </si>
  <si>
    <t>Dener.Santos@teejet.com</t>
  </si>
  <si>
    <t>Dener Vinicius Aquino Santos</t>
  </si>
  <si>
    <t>Dener Santos</t>
  </si>
  <si>
    <t xml:space="preserve">MA Máquinas </t>
  </si>
  <si>
    <t>Palotina</t>
  </si>
  <si>
    <t>44991065578 Mateucci</t>
  </si>
  <si>
    <t>35,01 a 37,00</t>
  </si>
  <si>
    <t>Guia de Bolso;</t>
  </si>
  <si>
    <t>&lt; 20%</t>
  </si>
  <si>
    <t xml:space="preserve">Formulário preenchido </t>
  </si>
  <si>
    <t>Toledo</t>
  </si>
  <si>
    <t xml:space="preserve">4598500255 Matheus </t>
  </si>
  <si>
    <t xml:space="preserve">COCAMAR MÁQUINAS </t>
  </si>
  <si>
    <t xml:space="preserve">Maringá </t>
  </si>
  <si>
    <t xml:space="preserve">44999616755 Zé Marcos </t>
  </si>
  <si>
    <t>&lt; 33,00</t>
  </si>
  <si>
    <t>&lt; 45,00</t>
  </si>
  <si>
    <t xml:space="preserve">São Pedro do Ivaí </t>
  </si>
  <si>
    <t>4396586631 Elisson</t>
  </si>
  <si>
    <t>COMAM</t>
  </si>
  <si>
    <t>BELO HORIZONTE</t>
  </si>
  <si>
    <t>Hypro;</t>
  </si>
  <si>
    <t>FABIANO 21982071332</t>
  </si>
  <si>
    <t>3D100-02/ HYPRO/ R$ 50,89</t>
  </si>
  <si>
    <t>Catalogo TJ / Landing Page / www.teejet.com;</t>
  </si>
  <si>
    <t>COMAM JA FOI CLIENTE NO PASSADO, IREMOS RETOMAR A PARCERIA.</t>
  </si>
  <si>
    <t>Bruno.Crepaldi@teejet.com</t>
  </si>
  <si>
    <t>Bruno Henrique Crepaldi</t>
  </si>
  <si>
    <t>Bruno Crepaldi</t>
  </si>
  <si>
    <t xml:space="preserve">JB </t>
  </si>
  <si>
    <t>SC</t>
  </si>
  <si>
    <t>5LC (SP)</t>
  </si>
  <si>
    <t>kk</t>
  </si>
  <si>
    <t>33,01 a 35,00</t>
  </si>
  <si>
    <t>55,01 a 60,00</t>
  </si>
  <si>
    <t>&lt; 9,00</t>
  </si>
  <si>
    <t>&lt; 19,00</t>
  </si>
  <si>
    <t>jjjj</t>
  </si>
  <si>
    <t>Pontas Didáticas (maleta);</t>
  </si>
  <si>
    <t>h</t>
  </si>
  <si>
    <t>FABIANO 021982071332</t>
  </si>
  <si>
    <t>GA110-03/ HYPRO/ R$ 28,89</t>
  </si>
  <si>
    <t>COMAM JA FOI CLIENTE NOSSO NO PASSADO, IREMOS RETOMAR A PARCERIA</t>
  </si>
  <si>
    <t>GRD120-025/ HAYPRO/ R$ 38,98</t>
  </si>
  <si>
    <t>COMAM JA FOI CLIENTE NOSSO NO PASSADO, IREMOS RETOMAR A PARCERIA.</t>
  </si>
  <si>
    <t>HF140-10/ HYPRO/ R$ 54,89</t>
  </si>
  <si>
    <t>GAT110-02/ HYPRO/ R$ 59,89</t>
  </si>
  <si>
    <t>COMAM JA FOI NOSSO CLIENTE NO PASSADO, IREMOS RETOMAR A PARCERIA.</t>
  </si>
  <si>
    <t>30HCX2/ HYPRO/ R$ 84,89/ PACOTE 10 UNIDADES</t>
  </si>
  <si>
    <t>COMAM JA FOI NOSSO CLIENTE, IREMOS RETOMAR A PARCERIA</t>
  </si>
  <si>
    <t>ULDM130-03/ HYPRO/ R$ 72,89</t>
  </si>
  <si>
    <t>COMAM JA FOI NOSSO CLIENTE, ITEMOS RETOMAR A PARCERIA.</t>
  </si>
  <si>
    <t>Helder.zucckini@teejet.com</t>
  </si>
  <si>
    <t>Helder Zucckini</t>
  </si>
  <si>
    <t>Agrimax</t>
  </si>
  <si>
    <t>SP</t>
  </si>
  <si>
    <t>Araras</t>
  </si>
  <si>
    <t>TeeJet;Jacto;Magnojet;</t>
  </si>
  <si>
    <t>19 35420497. Lu</t>
  </si>
  <si>
    <t>&gt; 13,00</t>
  </si>
  <si>
    <t>&lt; 25,00</t>
  </si>
  <si>
    <t>&lt; 28,00</t>
  </si>
  <si>
    <t>34,01 a 36,00</t>
  </si>
  <si>
    <t>Guia de Bolso;App - SpraySelect / SpraySaver;</t>
  </si>
  <si>
    <t xml:space="preserve">Muito longa </t>
  </si>
  <si>
    <t>FC-ULDM130-025/ HYPRO/ R$ 87,89 CONJUNTO COMPLETO</t>
  </si>
  <si>
    <t>COMAM JA FOI NOSSO CLIENTE, IREMOS RETOMAR A PARCERIA.</t>
  </si>
  <si>
    <t>XT024/ HYPRO/ R$ 619,89 INOX</t>
  </si>
  <si>
    <t>21982071332</t>
  </si>
  <si>
    <t>FC-XT024/ HYPRO/ R$ 349,89 POLIACETAL</t>
  </si>
  <si>
    <t>ULD120-02/ HYPRO/ R$ 27,89; FC-ULD120-02/ HYPRO/ R$ 43,89 CONJUNTO COMPLETO</t>
  </si>
  <si>
    <t>COMAM JA FOI NOSSO CLIENTE NO PASSADO, IREMOS RETOMAR A PARCERIA</t>
  </si>
  <si>
    <t>SPRAYERCOM</t>
  </si>
  <si>
    <t>GOIÂNIA</t>
  </si>
  <si>
    <t>JUNIOR 62982345266</t>
  </si>
  <si>
    <t>AIXRVP11002/ TEEJET/ R$ 54,70</t>
  </si>
  <si>
    <t>E-COMMERCE NÃO ESTIMULAMOS MUITO ESSE PERFIL DE CLIENTE.</t>
  </si>
  <si>
    <t>MAQNELSON</t>
  </si>
  <si>
    <t>UBERLANDIA</t>
  </si>
  <si>
    <t>ALLAN 34998205370</t>
  </si>
  <si>
    <t>CAPA 114441A1/ TEEJET/ R$ 9,94</t>
  </si>
  <si>
    <t>CLIENTE COM ALTO POTENCIAL DE CRESCIMENTO.</t>
  </si>
  <si>
    <t>UBERABA</t>
  </si>
  <si>
    <t>VICENTE 34999737020</t>
  </si>
  <si>
    <t>SprayTank;Guia de Bolso;Pontas Didáticas (maleta);Catalogo TJ / Landing Page / www.teejet.com;App - SpraySelect / SpraySaver;PowerPoint / Excel / WhatsApp;</t>
  </si>
  <si>
    <t>GERENTE DE PEÇAS E VENDEDORES AINDA NÃO VEEM O GRANDE POTENCIAL DE VENDER TJ</t>
  </si>
  <si>
    <t>FRUTAL</t>
  </si>
  <si>
    <t>JULIANO 34999696018</t>
  </si>
  <si>
    <t>CAPA 114443A1/ TEEJET/ 11,08</t>
  </si>
  <si>
    <t>GERENTE MAIS INTERESSADO QUE OS DEMAIS DO  GRUPO.</t>
  </si>
  <si>
    <t>PATOS DE MINAS</t>
  </si>
  <si>
    <t>WILIAN 34999225369</t>
  </si>
  <si>
    <t>FILTRO 8079PP100/ TEEJET/ R$ 11,35</t>
  </si>
  <si>
    <t>EXCELENTE REGIAO PARA CRESCIMENTO DA TJ</t>
  </si>
  <si>
    <t>CATALÃO</t>
  </si>
  <si>
    <t>VILSON 64999471066</t>
  </si>
  <si>
    <t>PAPEL SENSIVEL 203011N/ TEEJET/ R$ 393,18</t>
  </si>
  <si>
    <t>REGIÃO MUITO RICA EM AGRICULTURA E GESTOR QUER CRESCER NA VENDA DE TJ</t>
  </si>
  <si>
    <t>ITUIUTABA</t>
  </si>
  <si>
    <t>JUNIOR 34998171807</t>
  </si>
  <si>
    <t>ESCOVA DE LIMPEZA CP20016NY/ TEEJET/ R$ 76,10</t>
  </si>
  <si>
    <t>REGIÃO QUE PODE SER BEM EXPLORADA, FALTA GESTOR E VENDEDORES COMPRAR A IDEIA.</t>
  </si>
  <si>
    <t xml:space="preserve">MAQNELSON </t>
  </si>
  <si>
    <t>ARAGUARI</t>
  </si>
  <si>
    <t>FRANCISCO 34999167300</t>
  </si>
  <si>
    <t>JARRA CP24034APP/ TEEJET/ R$ 335,75</t>
  </si>
  <si>
    <t>GERENTE E VENDEDORES PRECISAM ENXERGAR O POTENCIAL E QUERER VENDER TJ</t>
  </si>
  <si>
    <t>PATROCINIO</t>
  </si>
  <si>
    <t>CLODOALDO 34999381976</t>
  </si>
  <si>
    <t>FILTRO 8079PP50/ TEEJET/ R$ 11,35</t>
  </si>
  <si>
    <t>GESTOR QUER MUITO QUE TJ CRESÇA NA REGIÃO, ELE COBRA MUITO DO TIME DELE.</t>
  </si>
  <si>
    <t>SÃO GOTARDO</t>
  </si>
  <si>
    <t>JEVERSON 34998926058</t>
  </si>
  <si>
    <t>SprayTank;Guia de Bolso;Pontas Didáticas (maleta);App - SpraySelect / SpraySaver;PowerPoint / Excel / WhatsApp;Catalogo TJ / Landing Page / www.teejet.com;</t>
  </si>
  <si>
    <t>GRANDE POTENCIAL DE ATUAR EM HF NA REGIÃO.</t>
  </si>
  <si>
    <t>A CAMARGO</t>
  </si>
  <si>
    <t>Magnojet;</t>
  </si>
  <si>
    <t xml:space="preserve"> ROSICO 6232726666</t>
  </si>
  <si>
    <t>App - SpraySelect / SpraySaver;Catalogo TJ / Landing Page / www.teejet.com;</t>
  </si>
  <si>
    <t>CLIENTE FEZ CADASTRO, MAS NÃO DEU SINAL VERDE SOBRE PEDIDO INICIAL E TREINAMENTO DO TIME.</t>
  </si>
  <si>
    <t>UNIPARTS</t>
  </si>
  <si>
    <t>ANDRE 3432109127</t>
  </si>
  <si>
    <t>38,01 a 40,00</t>
  </si>
  <si>
    <t>CLIENTE VALORIZA MENOR PREÇO E NAO QUALIDADE</t>
  </si>
  <si>
    <t>JB pulverização</t>
  </si>
  <si>
    <t>BA</t>
  </si>
  <si>
    <t>5LE (MATOPIBA + GO)</t>
  </si>
  <si>
    <t>Luis Eduardo Magalhães</t>
  </si>
  <si>
    <t>TeeJet;Hypro;Magnojet;</t>
  </si>
  <si>
    <t>Murilo Paladino 77 9.99695795</t>
  </si>
  <si>
    <t>&gt; 37,00</t>
  </si>
  <si>
    <t>&gt; 40,00</t>
  </si>
  <si>
    <t>&gt; 90,00</t>
  </si>
  <si>
    <t>3D- Hypro-R$ 52,85</t>
  </si>
  <si>
    <t>Guia de Bolso;Catalogo TJ / Landing Page / www.teejet.com;PowerPoint / Excel / WhatsApp;</t>
  </si>
  <si>
    <t xml:space="preserve">Foca muito em TeeJet pois é demanda de mercado, aparentemente maior interesse em outras marcas </t>
  </si>
  <si>
    <t xml:space="preserve">Iguaçu máquinas </t>
  </si>
  <si>
    <t xml:space="preserve">Rio Verde </t>
  </si>
  <si>
    <t>06436111722</t>
  </si>
  <si>
    <t>GRD</t>
  </si>
  <si>
    <t>Guia de Bolso;SprayTank;Pontas Didáticas (maleta);App - SpraySelect / SpraySaver;</t>
  </si>
  <si>
    <t>programa de brindes aos clientes</t>
  </si>
  <si>
    <t xml:space="preserve">Como </t>
  </si>
  <si>
    <t>MS</t>
  </si>
  <si>
    <t xml:space="preserve">Amambai </t>
  </si>
  <si>
    <t>06734815366</t>
  </si>
  <si>
    <t>SprayTank;Guia de Bolso;Pontas Didáticas (maleta);App - SpraySelect / SpraySaver;Catalogo TJ / Landing Page / www.teejet.com;</t>
  </si>
  <si>
    <t xml:space="preserve">Política de brindes </t>
  </si>
  <si>
    <t>Alessandro</t>
  </si>
  <si>
    <t xml:space="preserve">Goiatuba </t>
  </si>
  <si>
    <t xml:space="preserve">Agripecas </t>
  </si>
  <si>
    <t>Política de brindes</t>
  </si>
  <si>
    <t>Casemaq</t>
  </si>
  <si>
    <t>Edeia</t>
  </si>
  <si>
    <t>Magnojet;Jacto;</t>
  </si>
  <si>
    <t>34921655</t>
  </si>
  <si>
    <t xml:space="preserve"> Brindes 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</si>
  <si>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</si>
  <si>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</si>
  <si>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</si>
  <si>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</si>
  <si>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</si>
  <si>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</si>
  <si>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</si>
  <si>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</si>
  <si>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</si>
  <si>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</si>
  <si>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Amostra 11</t>
  </si>
  <si>
    <t>Amostra 12</t>
  </si>
  <si>
    <t>Amostra 13</t>
  </si>
  <si>
    <t>Amostra 14</t>
  </si>
  <si>
    <t>Amostra 15</t>
  </si>
  <si>
    <t>Amostra 16</t>
  </si>
  <si>
    <t>Amostra 17</t>
  </si>
  <si>
    <t>Amostra 18</t>
  </si>
  <si>
    <t>Amostra 19</t>
  </si>
  <si>
    <t>Amostra 20</t>
  </si>
  <si>
    <t>Amostra 21</t>
  </si>
  <si>
    <t>Amostra 22</t>
  </si>
  <si>
    <t>Amostra 23</t>
  </si>
  <si>
    <t>Amostra 24</t>
  </si>
  <si>
    <t>Amostra 25</t>
  </si>
  <si>
    <t>Amostra 26</t>
  </si>
  <si>
    <t>Amostra 27</t>
  </si>
  <si>
    <t>Amostra 28</t>
  </si>
  <si>
    <t>Amostra 29</t>
  </si>
  <si>
    <t>Amostra 30</t>
  </si>
  <si>
    <t>Family</t>
  </si>
  <si>
    <t>Manufacturer</t>
  </si>
  <si>
    <t xml:space="preserve">TEEJET </t>
  </si>
  <si>
    <t>MAGNOJET</t>
  </si>
  <si>
    <t>JACTO</t>
  </si>
  <si>
    <t>Comparative</t>
  </si>
  <si>
    <t>TXA</t>
  </si>
  <si>
    <t>TTI</t>
  </si>
  <si>
    <t>XR-VK</t>
  </si>
  <si>
    <t>TT-VP</t>
  </si>
  <si>
    <t>TTJ60</t>
  </si>
  <si>
    <t>APTJ</t>
  </si>
  <si>
    <t>BD</t>
  </si>
  <si>
    <t>MGA</t>
  </si>
  <si>
    <t>MAG</t>
  </si>
  <si>
    <t>ST</t>
  </si>
  <si>
    <t>ST-D</t>
  </si>
  <si>
    <t>AD-IA</t>
  </si>
  <si>
    <t>STIA</t>
  </si>
  <si>
    <t>MUG</t>
  </si>
  <si>
    <t>AXI</t>
  </si>
  <si>
    <t>JÁ</t>
  </si>
  <si>
    <t>ATR</t>
  </si>
  <si>
    <t>J3D</t>
  </si>
  <si>
    <t>JTT</t>
  </si>
  <si>
    <t>AVI</t>
  </si>
  <si>
    <t>CVI</t>
  </si>
  <si>
    <t>JMD</t>
  </si>
  <si>
    <t>Group</t>
  </si>
  <si>
    <t>AIXR-VK</t>
  </si>
  <si>
    <t>Cont. Samples</t>
  </si>
  <si>
    <t>Minimun</t>
  </si>
  <si>
    <t>Maximun</t>
  </si>
  <si>
    <t>Standard deviation</t>
  </si>
  <si>
    <t>Soma de Minimun</t>
  </si>
  <si>
    <t>Soma de Maximun</t>
  </si>
  <si>
    <t>Soma de Cont. Samples</t>
  </si>
  <si>
    <t>Soma de Standard deviation</t>
  </si>
  <si>
    <t>TEEJET</t>
  </si>
  <si>
    <t>TT</t>
  </si>
  <si>
    <t>AIXR-VP</t>
  </si>
  <si>
    <t>ST/D</t>
  </si>
  <si>
    <t>ADIA</t>
  </si>
  <si>
    <t>JA</t>
  </si>
  <si>
    <t>TTI-CE</t>
  </si>
  <si>
    <t>Average 2022</t>
  </si>
  <si>
    <t>Average 2021</t>
  </si>
  <si>
    <t>Soma de Average 2022</t>
  </si>
  <si>
    <t>Rótulos de Linha</t>
  </si>
  <si>
    <t>Total Geral</t>
  </si>
  <si>
    <t>Soma de Average 2021</t>
  </si>
  <si>
    <t>Price List</t>
  </si>
  <si>
    <t>Soma de Price List</t>
  </si>
  <si>
    <t>Amosta 0 ( Manual)</t>
  </si>
  <si>
    <t>Coamo/ Coopercitrus</t>
  </si>
  <si>
    <t>Price % - Variation</t>
  </si>
  <si>
    <t>Soma de Price % - Variation</t>
  </si>
  <si>
    <t>(vazio)</t>
  </si>
  <si>
    <t>Contagem de Valor em reais do TX´s / TXA´s</t>
  </si>
  <si>
    <t>Contagem de Valor em reais do XR-VK</t>
  </si>
  <si>
    <t>Contagem de Valor em reais do TT-VP</t>
  </si>
  <si>
    <t>Contagem de Valor em reais do AIXR-VK</t>
  </si>
  <si>
    <t>Contagem de Valor em reais do TTI</t>
  </si>
  <si>
    <t>Contagem de MGA (similar ao TXA)</t>
  </si>
  <si>
    <t>Contagem de Valor em reais do APTJ (PWM)</t>
  </si>
  <si>
    <t>Contagem de MAG (similar ao TXA)</t>
  </si>
  <si>
    <t>Contagem de ST (similar ao TT)</t>
  </si>
  <si>
    <t>Contagem de ST-D (similar ao TTJ60)</t>
  </si>
  <si>
    <t>Contagem de AD-IA (similar ao AIXR/AI -VK)</t>
  </si>
  <si>
    <t>Contagem de MUG (similar ao TTI)</t>
  </si>
  <si>
    <t>Contagem de AXI (similar ao XR-VK)</t>
  </si>
  <si>
    <t>Contagem de ATR (similar ao TXR)</t>
  </si>
  <si>
    <t>Contagem de JA (similar ao TXA)</t>
  </si>
  <si>
    <t>Contagem de JTT (TT com o nome Jacto)</t>
  </si>
  <si>
    <t>Contagem de J3D (similar ao TT)</t>
  </si>
  <si>
    <t>Contagem de STIA (similar ao AITTJ)</t>
  </si>
  <si>
    <t>Contagem de AVI (similar ao AIXR-VK)</t>
  </si>
  <si>
    <t>Contagem de BD (similar ao XR-VK)</t>
  </si>
  <si>
    <t>Contagem de JMD (similar ao TTI)</t>
  </si>
  <si>
    <t>Contagem de CVI (similar ao AIXR-VK)</t>
  </si>
  <si>
    <t>Contagem de Valor em reais do TTJ60</t>
  </si>
  <si>
    <t>Contagem de Nome</t>
  </si>
  <si>
    <t>-</t>
  </si>
  <si>
    <t xml:space="preserve">Web - DRS Pulverizadores </t>
  </si>
  <si>
    <t>Web - Jacto Parts</t>
  </si>
  <si>
    <t xml:space="preserve">Soma de Web - DRS Pulverizadores </t>
  </si>
  <si>
    <t>(Vários itens)</t>
  </si>
  <si>
    <t>% Variation - Canal Web</t>
  </si>
  <si>
    <t>% Variation - Market</t>
  </si>
  <si>
    <t>Soma de % Variation - Canal Web</t>
  </si>
  <si>
    <t>Soma de % Variation - Market</t>
  </si>
  <si>
    <t>Web- Canal Agrícola 2022</t>
  </si>
  <si>
    <t>Web- Canal Agrícola 2021</t>
  </si>
  <si>
    <t>Soma de Web- Canal Agrícola 2021</t>
  </si>
  <si>
    <t>Soma de Web- Canal Agrícola 2022</t>
  </si>
  <si>
    <t>Web - Herbicat 2022</t>
  </si>
  <si>
    <t xml:space="preserve"> TXA</t>
  </si>
  <si>
    <t xml:space="preserve">APTJ </t>
  </si>
  <si>
    <t xml:space="preserve">ST-D </t>
  </si>
  <si>
    <t xml:space="preserve">J3D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</si>
</sst>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\ * #,##0.00_-;\-&quot;R$&quot;\ * #,##0.00_-;_-&quot;R$&quot;\ * &quot;-&quot;??_-;_-@_-"/>
    <numFmt numFmtId="165" formatCode="m/d/yy\ h:mm:ss"/>
    <numFmt numFmtId="166" formatCode="0.0"/>
    <numFmt numFmtId="167" formatCode="_-[$R$-416]\ * #,##0.00_-;\-[$R$-416]\ * #,##0.00_-;_-[$R$-416]\ * &quot;-&quot;??_-;_-@_-"/>
    <numFmt numFmtId="168" formatCode="&quot;R$&quot;\ #,##0.00"/>
    <numFmt numFmtId="169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theme="2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4" fillId="4" borderId="1" xfId="0" applyNumberFormat="1" applyFont="1" applyFill="1" applyBorder="1"/>
    <xf numFmtId="0" fontId="4" fillId="5" borderId="1" xfId="0" applyNumberFormat="1" applyFont="1" applyFill="1" applyBorder="1"/>
    <xf numFmtId="164" fontId="0" fillId="0" borderId="0" xfId="1" applyFont="1"/>
    <xf numFmtId="164" fontId="0" fillId="3" borderId="1" xfId="1" applyFont="1" applyFill="1" applyBorder="1"/>
    <xf numFmtId="164" fontId="0" fillId="0" borderId="1" xfId="1" applyFont="1" applyBorder="1"/>
    <xf numFmtId="164" fontId="0" fillId="0" borderId="0" xfId="0" applyNumberFormat="1"/>
    <xf numFmtId="166" fontId="0" fillId="0" borderId="0" xfId="0" applyNumberFormat="1" applyAlignment="1">
      <alignment horizontal="left" indent="5"/>
    </xf>
    <xf numFmtId="10" fontId="0" fillId="0" borderId="0" xfId="0" applyNumberFormat="1"/>
    <xf numFmtId="167" fontId="0" fillId="0" borderId="0" xfId="0" applyNumberFormat="1"/>
    <xf numFmtId="164" fontId="4" fillId="5" borderId="1" xfId="1" applyFont="1" applyFill="1" applyBorder="1"/>
    <xf numFmtId="9" fontId="0" fillId="0" borderId="0" xfId="2" applyFont="1"/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/>
    </xf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29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9" formatCode="#,##0_ ;\-#,##0\ "/>
    </dxf>
    <dxf>
      <numFmt numFmtId="168" formatCode="&quot;R$&quot;\ #,##0.00"/>
    </dxf>
    <dxf>
      <numFmt numFmtId="167" formatCode="_-[$R$-416]\ * #,##0.00_-;\-[$R$-416]\ * #,##0.00_-;_-[$R$-416]\ * &quot;-&quot;??_-;_-@_-"/>
    </dxf>
    <dxf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theme="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3" formatCode="0%"/>
    </dxf>
    <dxf>
      <numFmt numFmtId="13" formatCode="0%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theme="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theme="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[price_2022.xlsx]Graphics Only web database!Tabela dinâmica2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'Graphics Only web database'!$B$3</c:f>
              <c:strCache>
                <c:ptCount val="1"/>
                <c:pt idx="0">
                  <c:v>Soma de Web - DRS Pulverizadores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'Graphics Only web database'!$A$4:$A$8</c:f>
              <c:multiLvlStrCache>
                <c:ptCount val="3"/>
                <c:lvl>
                  <c:pt idx="0">
                    <c:v>MAG</c:v>
                  </c:pt>
                  <c:pt idx="1">
                    <c:v>MGA</c:v>
                  </c:pt>
                  <c:pt idx="2">
                    <c:v>TXA</c:v>
                  </c:pt>
                </c:lvl>
                <c:lvl>
                  <c:pt idx="0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'Graphics Only web database'!$B$4:$B$8</c:f>
              <c:numCache>
                <c:formatCode>_-"R$"\ * #,##0.00_-;\-"R$"\ * #,##0.00_-;_-"R$"\ * "-"??_-;_-@_-</c:formatCode>
                <c:ptCount val="3"/>
                <c:pt idx="0">
                  <c:v>9.58</c:v>
                </c:pt>
                <c:pt idx="1">
                  <c:v>21.54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2-4348-8B3E-DF553482E6E3}"/>
            </c:ext>
          </c:extLst>
        </c:ser>
        <c:ser>
          <c:idx val="1"/>
          <c:order val="1"/>
          <c:tx>
            <c:strRef>
              <c:f>'Graphics Only web database'!$C$3</c:f>
              <c:strCache>
                <c:ptCount val="1"/>
                <c:pt idx="0">
                  <c:v>Soma de Web- Canal Agrícola 2021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'Graphics Only web database'!$A$4:$A$8</c:f>
              <c:multiLvlStrCache>
                <c:ptCount val="3"/>
                <c:lvl>
                  <c:pt idx="0">
                    <c:v>MAG</c:v>
                  </c:pt>
                  <c:pt idx="1">
                    <c:v>MGA</c:v>
                  </c:pt>
                  <c:pt idx="2">
                    <c:v>TXA</c:v>
                  </c:pt>
                </c:lvl>
                <c:lvl>
                  <c:pt idx="0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'Graphics Only web database'!$C$4:$C$8</c:f>
              <c:numCache>
                <c:formatCode>_-"R$"\ * #,##0.00_-;\-"R$"\ * #,##0.00_-;_-"R$"\ * "-"??_-;_-@_-</c:formatCode>
                <c:ptCount val="3"/>
                <c:pt idx="0">
                  <c:v>9.42</c:v>
                </c:pt>
                <c:pt idx="1">
                  <c:v>19.32</c:v>
                </c:pt>
                <c:pt idx="2">
                  <c:v>23.24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2-4348-8B3E-DF553482E6E3}"/>
            </c:ext>
          </c:extLst>
        </c:ser>
        <c:ser>
          <c:idx val="2"/>
          <c:order val="2"/>
          <c:tx>
            <c:strRef>
              <c:f>'Graphics Only web database'!$D$3</c:f>
              <c:strCache>
                <c:ptCount val="1"/>
                <c:pt idx="0">
                  <c:v>Soma de Web- Canal Agrícola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'Graphics Only web database'!$A$4:$A$8</c:f>
              <c:multiLvlStrCache>
                <c:ptCount val="3"/>
                <c:lvl>
                  <c:pt idx="0">
                    <c:v>MAG</c:v>
                  </c:pt>
                  <c:pt idx="1">
                    <c:v>MGA</c:v>
                  </c:pt>
                  <c:pt idx="2">
                    <c:v>TXA</c:v>
                  </c:pt>
                </c:lvl>
                <c:lvl>
                  <c:pt idx="0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'Graphics Only web database'!$D$4:$D$8</c:f>
              <c:numCache>
                <c:formatCode>_-"R$"\ * #,##0.00_-;\-"R$"\ * #,##0.00_-;_-"R$"\ * "-"??_-;_-@_-</c:formatCode>
                <c:ptCount val="3"/>
                <c:pt idx="0">
                  <c:v>11</c:v>
                </c:pt>
                <c:pt idx="1">
                  <c:v>24.83</c:v>
                </c:pt>
                <c:pt idx="2">
                  <c:v>34.46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42-4348-8B3E-DF553482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9331567"/>
        <c:axId val="1799329071"/>
      </c:barChart>
      <c:lineChart>
        <c:grouping val="standard"/>
        <c:varyColors val="0"/>
        <c:ser>
          <c:idx val="3"/>
          <c:order val="3"/>
          <c:tx>
            <c:strRef>
              <c:f>'Graphics Only web database'!$E$3</c:f>
              <c:strCache>
                <c:ptCount val="1"/>
                <c:pt idx="0">
                  <c:v>Soma de Average 2021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'Graphics Only web database'!$A$4:$A$8</c:f>
              <c:multiLvlStrCache>
                <c:ptCount val="3"/>
                <c:lvl>
                  <c:pt idx="0">
                    <c:v>MAG</c:v>
                  </c:pt>
                  <c:pt idx="1">
                    <c:v>MGA</c:v>
                  </c:pt>
                  <c:pt idx="2">
                    <c:v>TXA</c:v>
                  </c:pt>
                </c:lvl>
                <c:lvl>
                  <c:pt idx="0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'Graphics Only web database'!$E$4:$E$8</c:f>
              <c:numCache>
                <c:formatCode>_-"R$"\ * #,##0.00_-;\-"R$"\ * #,##0.00_-;_-"R$"\ * "-"??_-;_-@_-</c:formatCode>
                <c:ptCount val="3"/>
                <c:pt idx="0">
                  <c:v>11.78</c:v>
                </c:pt>
                <c:pt idx="1">
                  <c:v>19.29</c:v>
                </c:pt>
                <c:pt idx="2">
                  <c:v>21.5275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42-4348-8B3E-DF553482E6E3}"/>
            </c:ext>
          </c:extLst>
        </c:ser>
        <c:ser>
          <c:idx val="4"/>
          <c:order val="4"/>
          <c:tx>
            <c:strRef>
              <c:f>'Graphics Only web database'!$F$3</c:f>
              <c:strCache>
                <c:ptCount val="1"/>
                <c:pt idx="0">
                  <c:v>Soma de Average 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'Graphics Only web database'!$A$4:$A$8</c:f>
              <c:multiLvlStrCache>
                <c:ptCount val="3"/>
                <c:lvl>
                  <c:pt idx="0">
                    <c:v>MAG</c:v>
                  </c:pt>
                  <c:pt idx="1">
                    <c:v>MGA</c:v>
                  </c:pt>
                  <c:pt idx="2">
                    <c:v>TXA</c:v>
                  </c:pt>
                </c:lvl>
                <c:lvl>
                  <c:pt idx="0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'Graphics Only web database'!$F$4:$F$8</c:f>
              <c:numCache>
                <c:formatCode>_-"R$"\ * #,##0.00_-;\-"R$"\ * #,##0.00_-;_-"R$"\ * "-"??_-;_-@_-</c:formatCode>
                <c:ptCount val="3"/>
                <c:pt idx="0">
                  <c:v>11.574285714285713</c:v>
                </c:pt>
                <c:pt idx="1">
                  <c:v>21.733750000000001</c:v>
                </c:pt>
                <c:pt idx="2">
                  <c:v>21.79354166666667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942-4348-8B3E-DF553482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31567"/>
        <c:axId val="1799329071"/>
      </c:lineChart>
      <c:catAx>
        <c:axId val="17993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29071"/>
        <c:crosses val="autoZero"/>
        <c:auto val="1"/>
        <c:lblAlgn val="ctr"/>
        <c:lblOffset val="100"/>
        <c:noMultiLvlLbl val="0"/>
      </c:catAx>
      <c:valAx>
        <c:axId val="17993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[price_2022.xlsx]% Only web database!Tabela dinâmica15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3.2459425717852687E-2"/>
              <c:y val="-6.1950010731497973E-2"/>
            </c:manualLayout>
          </c:layout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Only web database'!$B$4</c:f>
              <c:strCache>
                <c:ptCount val="1"/>
                <c:pt idx="0">
                  <c:v>Soma de Web- Canal Agrícola 2021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Only web database'!$A$5:$A$6</c:f>
              <c:strCache>
                <c:ptCount val="2"/>
                <c:pt idx="0">
                  <c:v>ST</c:v>
                </c:pt>
                <c:pt idx="1">
                  <c:v>TT-VP</c:v>
                </c:pt>
              </c:strCache>
            </c:strRef>
          </c:cat>
          <c:val>
            <c:numRef>
              <c:f>'% Only web database'!$B$5:$B$6</c:f>
              <c:numCache>
                <c:formatCode>_-"R$"\ * #,##0.00_-;\-"R$"\ * #,##0.00_-;_-"R$"\ * "-"??_-;_-@_-</c:formatCode>
                <c:ptCount val="2"/>
                <c:pt idx="0">
                  <c:v>21.06</c:v>
                </c:pt>
                <c:pt idx="1">
                  <c:v>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D-4390-ADDC-A3F9742B9738}"/>
            </c:ext>
          </c:extLst>
        </c:ser>
        <c:ser>
          <c:idx val="1"/>
          <c:order val="1"/>
          <c:tx>
            <c:strRef>
              <c:f>'% Only web database'!$C$4</c:f>
              <c:strCache>
                <c:ptCount val="1"/>
                <c:pt idx="0">
                  <c:v>Soma de Web- Canal Agrícola 2022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Only web database'!$A$5:$A$6</c:f>
              <c:strCache>
                <c:ptCount val="2"/>
                <c:pt idx="0">
                  <c:v>ST</c:v>
                </c:pt>
                <c:pt idx="1">
                  <c:v>TT-VP</c:v>
                </c:pt>
              </c:strCache>
            </c:strRef>
          </c:cat>
          <c:val>
            <c:numRef>
              <c:f>'% Only web database'!$C$5:$C$6</c:f>
              <c:numCache>
                <c:formatCode>_-"R$"\ * #,##0.00_-;\-"R$"\ * #,##0.00_-;_-"R$"\ * "-"??_-;_-@_-</c:formatCode>
                <c:ptCount val="2"/>
                <c:pt idx="0">
                  <c:v>27.08</c:v>
                </c:pt>
                <c:pt idx="1">
                  <c:v>32.15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D-4390-ADDC-A3F9742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767743"/>
        <c:axId val="1792768991"/>
      </c:barChart>
      <c:lineChart>
        <c:grouping val="standard"/>
        <c:varyColors val="0"/>
        <c:ser>
          <c:idx val="2"/>
          <c:order val="2"/>
          <c:tx>
            <c:strRef>
              <c:f>'% Only web database'!$D$4</c:f>
              <c:strCache>
                <c:ptCount val="1"/>
                <c:pt idx="0">
                  <c:v>Soma de % Variation - Canal Web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Only web database'!$A$5:$A$6</c:f>
              <c:strCache>
                <c:ptCount val="2"/>
                <c:pt idx="0">
                  <c:v>ST</c:v>
                </c:pt>
                <c:pt idx="1">
                  <c:v>TT-VP</c:v>
                </c:pt>
              </c:strCache>
            </c:strRef>
          </c:cat>
          <c:val>
            <c:numRef>
              <c:f>'% Only web database'!$D$5:$D$6</c:f>
              <c:numCache>
                <c:formatCode>0%</c:formatCode>
                <c:ptCount val="2"/>
                <c:pt idx="0">
                  <c:v>-0.15769828926905133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D-4390-ADDC-A3F9742B9738}"/>
            </c:ext>
          </c:extLst>
        </c:ser>
        <c:ser>
          <c:idx val="3"/>
          <c:order val="3"/>
          <c:tx>
            <c:strRef>
              <c:f>'% Only web database'!$E$4</c:f>
              <c:strCache>
                <c:ptCount val="1"/>
                <c:pt idx="0">
                  <c:v>Soma de % Variation -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 Only web database'!$A$5:$A$6</c:f>
              <c:strCache>
                <c:ptCount val="2"/>
                <c:pt idx="0">
                  <c:v>ST</c:v>
                </c:pt>
                <c:pt idx="1">
                  <c:v>TT-VP</c:v>
                </c:pt>
              </c:strCache>
            </c:strRef>
          </c:cat>
          <c:val>
            <c:numRef>
              <c:f>'% Only web database'!$E$5:$E$6</c:f>
              <c:numCache>
                <c:formatCode>0%</c:formatCode>
                <c:ptCount val="2"/>
                <c:pt idx="0">
                  <c:v>0.35601478262073166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D-4390-ADDC-A3F9742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60943"/>
        <c:axId val="1425561775"/>
      </c:lineChart>
      <c:catAx>
        <c:axId val="17927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68991"/>
        <c:crosses val="autoZero"/>
        <c:auto val="1"/>
        <c:lblAlgn val="ctr"/>
        <c:lblOffset val="100"/>
        <c:noMultiLvlLbl val="0"/>
      </c:catAx>
      <c:valAx>
        <c:axId val="17927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67743"/>
        <c:crosses val="autoZero"/>
        <c:crossBetween val="between"/>
      </c:valAx>
      <c:valAx>
        <c:axId val="142556177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60943"/>
        <c:crosses val="max"/>
        <c:crossBetween val="between"/>
      </c:valAx>
      <c:catAx>
        <c:axId val="142556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56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[price_2022.xlsx]Surveys coming from!Tabela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'Surveys coming from'!$B$3</c:f>
              <c:strCache>
                <c:ptCount val="1"/>
                <c:pt idx="0">
                  <c:v>Contagem de Valor em reais do TX´s / TXA´s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D9A-48E9-8281-7125B86B7F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2-4BEB-A286-F6361DC7DF1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from'!$B$4:$B$11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48E9-8281-7125B86B7F03}"/>
            </c:ext>
          </c:extLst>
        </c:ser>
        <c:ser>
          <c:idx val="1"/>
          <c:order val="1"/>
          <c:tx>
            <c:strRef>
              <c:f>'Surveys coming from'!$C$3</c:f>
              <c:strCache>
                <c:ptCount val="1"/>
                <c:pt idx="0">
                  <c:v>Contagem de Valor em reais do XR-VK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from'!$C$4:$C$11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A-48E9-8281-7125B86B7F03}"/>
            </c:ext>
          </c:extLst>
        </c:ser>
        <c:ser>
          <c:idx val="2"/>
          <c:order val="2"/>
          <c:tx>
            <c:strRef>
              <c:f>'Surveys coming from'!$D$3</c:f>
              <c:strCache>
                <c:ptCount val="1"/>
                <c:pt idx="0">
                  <c:v>Contagem de Valor em reais do TT-VP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from'!$D$4:$D$11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A-48E9-8281-7125B86B7F03}"/>
            </c:ext>
          </c:extLst>
        </c:ser>
        <c:ser>
          <c:idx val="3"/>
          <c:order val="3"/>
          <c:tx>
            <c:strRef>
              <c:f>'Surveys coming from'!$E$3</c:f>
              <c:strCache>
                <c:ptCount val="1"/>
                <c:pt idx="0">
                  <c:v>Contagem de Valor em reais do TTJ60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from'!$E$4:$E$11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A-48E9-8281-7125B86B7F03}"/>
            </c:ext>
          </c:extLst>
        </c:ser>
        <c:ser>
          <c:idx val="4"/>
          <c:order val="4"/>
          <c:tx>
            <c:strRef>
              <c:f>'Surveys coming from'!$F$3</c:f>
              <c:strCache>
                <c:ptCount val="1"/>
                <c:pt idx="0">
                  <c:v>Contagem de BD (similar ao XR-VK)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from'!$F$4:$F$11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A-48E9-8281-7125B86B7F03}"/>
            </c:ext>
          </c:extLst>
        </c:ser>
        <c:ser>
          <c:idx val="5"/>
          <c:order val="5"/>
          <c:tx>
            <c:strRef>
              <c:f>'Surveys coming from'!$G$3</c:f>
              <c:strCache>
                <c:ptCount val="1"/>
                <c:pt idx="0">
                  <c:v>Contagem de CVI (similar ao AIXR-VK)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from'!$G$4:$G$11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A-48E9-8281-7125B86B7F03}"/>
            </c:ext>
          </c:extLst>
        </c:ser>
        <c:ser>
          <c:idx val="6"/>
          <c:order val="6"/>
          <c:tx>
            <c:strRef>
              <c:f>'Surveys coming from'!$H$3</c:f>
              <c:strCache>
                <c:ptCount val="1"/>
                <c:pt idx="0">
                  <c:v>Contagem de AVI (similar ao AIXR-VK)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from'!$H$4:$H$11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A-48E9-8281-7125B86B7F03}"/>
            </c:ext>
          </c:extLst>
        </c:ser>
        <c:ser>
          <c:idx val="7"/>
          <c:order val="7"/>
          <c:tx>
            <c:strRef>
              <c:f>'Surveys coming from'!$I$3</c:f>
              <c:strCache>
                <c:ptCount val="1"/>
                <c:pt idx="0">
                  <c:v>Contagem de J3D (similar ao TT)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from'!$I$4:$I$11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A-48E9-8281-7125B86B7F03}"/>
            </c:ext>
          </c:extLst>
        </c:ser>
        <c:ser>
          <c:idx val="8"/>
          <c:order val="8"/>
          <c:tx>
            <c:strRef>
              <c:f>'Surveys coming from'!$J$3</c:f>
              <c:strCache>
                <c:ptCount val="1"/>
                <c:pt idx="0">
                  <c:v>Contagem de JMD (similar ao TTI)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from'!$J$4:$J$11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A-48E9-8281-7125B86B7F03}"/>
            </c:ext>
          </c:extLst>
        </c:ser>
        <c:ser>
          <c:idx val="9"/>
          <c:order val="9"/>
          <c:tx>
            <c:strRef>
              <c:f>'Surveys coming from'!$K$3</c:f>
              <c:strCache>
                <c:ptCount val="1"/>
                <c:pt idx="0">
                  <c:v>Contagem de STIA (similar ao AITTJ)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from'!$K$4:$K$11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9A-48E9-8281-7125B86B7F03}"/>
            </c:ext>
          </c:extLst>
        </c:ser>
        <c:ser>
          <c:idx val="10"/>
          <c:order val="10"/>
          <c:tx>
            <c:strRef>
              <c:f>'Surveys coming from'!$L$3</c:f>
              <c:strCache>
                <c:ptCount val="1"/>
                <c:pt idx="0">
                  <c:v>Contagem de JTT (TT com o nome Jacto)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from'!$L$4:$L$11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9A-48E9-8281-7125B86B7F03}"/>
            </c:ext>
          </c:extLst>
        </c:ser>
        <c:ser>
          <c:idx val="11"/>
          <c:order val="11"/>
          <c:tx>
            <c:strRef>
              <c:f>'Surveys coming from'!$M$3</c:f>
              <c:strCache>
                <c:ptCount val="1"/>
                <c:pt idx="0">
                  <c:v>Contagem de JA (similar ao TXA)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from'!$M$4:$M$11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9A-48E9-8281-7125B86B7F03}"/>
            </c:ext>
          </c:extLst>
        </c:ser>
        <c:ser>
          <c:idx val="12"/>
          <c:order val="12"/>
          <c:tx>
            <c:strRef>
              <c:f>'Surveys coming from'!$N$3</c:f>
              <c:strCache>
                <c:ptCount val="1"/>
                <c:pt idx="0">
                  <c:v>Contagem de Valor em reais do AIXR-VK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from'!$N$4:$N$11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9A-48E9-8281-7125B86B7F03}"/>
            </c:ext>
          </c:extLst>
        </c:ser>
        <c:ser>
          <c:idx val="13"/>
          <c:order val="13"/>
          <c:tx>
            <c:strRef>
              <c:f>'Surveys coming from'!$O$3</c:f>
              <c:strCache>
                <c:ptCount val="1"/>
                <c:pt idx="0">
                  <c:v>Contagem de ATR (similar ao TXR)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from'!$O$4:$O$11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9A-48E9-8281-7125B86B7F03}"/>
            </c:ext>
          </c:extLst>
        </c:ser>
        <c:ser>
          <c:idx val="14"/>
          <c:order val="14"/>
          <c:tx>
            <c:strRef>
              <c:f>'Surveys coming from'!$P$3</c:f>
              <c:strCache>
                <c:ptCount val="1"/>
                <c:pt idx="0">
                  <c:v>Contagem de MUG (similar ao TTI)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from'!$P$4:$P$11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9A-48E9-8281-7125B86B7F03}"/>
            </c:ext>
          </c:extLst>
        </c:ser>
        <c:ser>
          <c:idx val="15"/>
          <c:order val="15"/>
          <c:tx>
            <c:strRef>
              <c:f>'Surveys coming from'!$Q$3</c:f>
              <c:strCache>
                <c:ptCount val="1"/>
                <c:pt idx="0">
                  <c:v>Contagem de AXI (similar ao XR-VK)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from'!$Q$4:$Q$11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9A-48E9-8281-7125B86B7F03}"/>
            </c:ext>
          </c:extLst>
        </c:ser>
        <c:ser>
          <c:idx val="16"/>
          <c:order val="16"/>
          <c:tx>
            <c:strRef>
              <c:f>'Surveys coming from'!$R$3</c:f>
              <c:strCache>
                <c:ptCount val="1"/>
                <c:pt idx="0">
                  <c:v>Contagem de AD-IA (similar ao AIXR/AI -VK)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from'!$R$4:$R$11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9A-48E9-8281-7125B86B7F03}"/>
            </c:ext>
          </c:extLst>
        </c:ser>
        <c:ser>
          <c:idx val="17"/>
          <c:order val="17"/>
          <c:tx>
            <c:strRef>
              <c:f>'Surveys coming from'!$S$3</c:f>
              <c:strCache>
                <c:ptCount val="1"/>
                <c:pt idx="0">
                  <c:v>Contagem de ST-D (similar ao TTJ60)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from'!$S$4:$S$11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9A-48E9-8281-7125B86B7F03}"/>
            </c:ext>
          </c:extLst>
        </c:ser>
        <c:ser>
          <c:idx val="18"/>
          <c:order val="18"/>
          <c:tx>
            <c:strRef>
              <c:f>'Surveys coming from'!$T$3</c:f>
              <c:strCache>
                <c:ptCount val="1"/>
                <c:pt idx="0">
                  <c:v>Contagem de ST (similar ao TT)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from'!$T$4:$T$11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9A-48E9-8281-7125B86B7F03}"/>
            </c:ext>
          </c:extLst>
        </c:ser>
        <c:ser>
          <c:idx val="19"/>
          <c:order val="19"/>
          <c:tx>
            <c:strRef>
              <c:f>'Surveys coming from'!$U$3</c:f>
              <c:strCache>
                <c:ptCount val="1"/>
                <c:pt idx="0">
                  <c:v>Contagem de MAG (similar ao TXA)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from'!$U$4:$U$11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9A-48E9-8281-7125B86B7F03}"/>
            </c:ext>
          </c:extLst>
        </c:ser>
        <c:ser>
          <c:idx val="20"/>
          <c:order val="20"/>
          <c:tx>
            <c:strRef>
              <c:f>'Surveys coming from'!$V$3</c:f>
              <c:strCache>
                <c:ptCount val="1"/>
                <c:pt idx="0">
                  <c:v>Contagem de Valor em reais do 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from'!$V$4:$V$11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9A-48E9-8281-7125B86B7F03}"/>
            </c:ext>
          </c:extLst>
        </c:ser>
        <c:ser>
          <c:idx val="21"/>
          <c:order val="21"/>
          <c:tx>
            <c:strRef>
              <c:f>'Surveys coming from'!$W$3</c:f>
              <c:strCache>
                <c:ptCount val="1"/>
                <c:pt idx="0">
                  <c:v>Contagem de Valor em reais do APTJ (PWM)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from'!$W$4:$W$11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9A-48E9-8281-7125B86B7F03}"/>
            </c:ext>
          </c:extLst>
        </c:ser>
        <c:ser>
          <c:idx val="22"/>
          <c:order val="22"/>
          <c:tx>
            <c:strRef>
              <c:f>'Surveys coming from'!$X$3</c:f>
              <c:strCache>
                <c:ptCount val="1"/>
                <c:pt idx="0">
                  <c:v>Contagem de MGA (similar ao TXA)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7322-4BEB-A286-F6361DC7D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7322-4BEB-A286-F6361DC7D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7322-4BEB-A286-F6361DC7D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7322-4BEB-A286-F6361DC7DF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7322-4BEB-A286-F6361DC7DF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7322-4BEB-A286-F6361DC7DF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7322-4BEB-A286-F6361DC7DF13}"/>
              </c:ext>
            </c:extLst>
          </c:dPt>
          <c:cat>
            <c:strRef>
              <c:f>'Surveys coming from'!$A$4:$A$11</c:f>
              <c:strCache>
                <c:ptCount val="7"/>
                <c:pt idx="0">
                  <c:v>5LC (SP)</c:v>
                </c:pt>
                <c:pt idx="1">
                  <c:v>5LE (MATOPIBA + GO)</c:v>
                </c:pt>
                <c:pt idx="2">
                  <c:v>5LF (RS/SC)</c:v>
                </c:pt>
                <c:pt idx="3">
                  <c:v>5LG (PR)</c:v>
                </c:pt>
                <c:pt idx="4">
                  <c:v>5LH (MS+GO)</c:v>
                </c:pt>
                <c:pt idx="5">
                  <c:v>5LI (MG+GO+NORDESTE)</c:v>
                </c:pt>
                <c:pt idx="6">
                  <c:v>(blank)</c:v>
                </c:pt>
              </c:strCache>
            </c:strRef>
          </c:cat>
          <c:val>
            <c:numRef>
              <c:f>'Surveys coming from'!$X$4:$X$11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9A-48E9-8281-7125B86B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09482406972022"/>
          <c:y val="0.36921378070984368"/>
          <c:w val="0.31490520858780252"/>
          <c:h val="0.41133443203320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[price_2022.xlsx]General Analyses!Tabela dinâmica1</c:name>
    <c:fmtId val="0"/>
  </c:pivotSource>
  <c:chart>
    <c:autoTitleDeleted val="0"/>
    <c:pivotFmts>
      <c:pivotFmt>
        <c:idx val="0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70C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areaChart>
        <c:grouping val="stacked"/>
        <c:varyColors val="0"/>
        <c:ser>
          <c:idx val="5"/>
          <c:order val="5"/>
          <c:tx>
            <c:strRef>
              <c:f>'General Analyses'!$G$3</c:f>
              <c:strCache>
                <c:ptCount val="1"/>
                <c:pt idx="0">
                  <c:v>Soma de Cont. Samples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Analyses'!$G$4:$G$8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7-4D49-8A03-4D27E52F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17039"/>
        <c:axId val="1392494159"/>
      </c:areaChart>
      <c:barChart>
        <c:barDir val="col"/>
        <c:grouping val="clustered"/>
        <c:varyColors val="0"/>
        <c:ser>
          <c:idx val="0"/>
          <c:order val="0"/>
          <c:tx>
            <c:strRef>
              <c:f>'General Analyses'!$B$3</c:f>
              <c:strCache>
                <c:ptCount val="1"/>
                <c:pt idx="0">
                  <c:v>Soma de Minimun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Analyses'!$B$4:$B$8</c:f>
              <c:numCache>
                <c:formatCode>_-[$R$-416]\ * #,##0.00_-;\-[$R$-416]\ * #,##0.00_-;_-[$R$-416]\ * "-"??_-;_-@_-</c:formatCode>
                <c:ptCount val="4"/>
                <c:pt idx="0">
                  <c:v>57.504999999999995</c:v>
                </c:pt>
                <c:pt idx="1">
                  <c:v>25.1</c:v>
                </c:pt>
                <c:pt idx="2">
                  <c:v>25</c:v>
                </c:pt>
                <c:pt idx="3">
                  <c:v>16.004999999999999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7-4D49-8A03-4D27E52F6946}"/>
            </c:ext>
          </c:extLst>
        </c:ser>
        <c:ser>
          <c:idx val="1"/>
          <c:order val="1"/>
          <c:tx>
            <c:strRef>
              <c:f>'General Analyses'!$C$3</c:f>
              <c:strCache>
                <c:ptCount val="1"/>
                <c:pt idx="0">
                  <c:v>Soma de Average 2022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53-4A30-99B1-8D940A8C488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3-4A30-99B1-8D940A8C48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53-4A30-99B1-8D940A8C488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53-4A30-99B1-8D940A8C488D}"/>
              </c:ext>
            </c:extLst>
          </c:dPt>
          <c:dLbls>
            <c:spPr>
              <a:solidFill>
                <a:srgbClr val="0070C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Analyses'!$C$4:$C$8</c:f>
              <c:numCache>
                <c:formatCode>_-[$R$-416]\ * #,##0.00_-;\-[$R$-416]\ * #,##0.00_-;_-[$R$-416]\ * "-"??_-;_-@_-</c:formatCode>
                <c:ptCount val="4"/>
                <c:pt idx="0">
                  <c:v>81.447499999999991</c:v>
                </c:pt>
                <c:pt idx="1">
                  <c:v>28.720000000000002</c:v>
                </c:pt>
                <c:pt idx="2">
                  <c:v>29.157142857142855</c:v>
                </c:pt>
                <c:pt idx="3">
                  <c:v>21.502083333333331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7-4D49-8A03-4D27E52F6946}"/>
            </c:ext>
          </c:extLst>
        </c:ser>
        <c:ser>
          <c:idx val="2"/>
          <c:order val="2"/>
          <c:tx>
            <c:strRef>
              <c:f>'General Analyses'!$D$3</c:f>
              <c:strCache>
                <c:ptCount val="1"/>
                <c:pt idx="0">
                  <c:v>Soma de Maximun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Analyses'!$D$4:$D$8</c:f>
              <c:numCache>
                <c:formatCode>_-[$R$-416]\ * #,##0.00_-;\-[$R$-416]\ * #,##0.00_-;_-[$R$-416]\ * "-"??_-;_-@_-</c:formatCode>
                <c:ptCount val="4"/>
                <c:pt idx="0">
                  <c:v>105.39</c:v>
                </c:pt>
                <c:pt idx="1">
                  <c:v>32.340000000000003</c:v>
                </c:pt>
                <c:pt idx="2">
                  <c:v>37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7-4D49-8A03-4D27E52F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726895"/>
        <c:axId val="450730639"/>
      </c:barChart>
      <c:lineChart>
        <c:grouping val="standard"/>
        <c:varyColors val="0"/>
        <c:ser>
          <c:idx val="3"/>
          <c:order val="3"/>
          <c:tx>
            <c:strRef>
              <c:f>'General Analyses'!$E$3</c:f>
              <c:strCache>
                <c:ptCount val="1"/>
                <c:pt idx="0">
                  <c:v>Soma de Standard deviation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Analyses'!$E$4:$E$8</c:f>
              <c:numCache>
                <c:formatCode>_-[$R$-416]\ * #,##0.00_-;\-[$R$-416]\ * #,##0.00_-;_-[$R$-416]\ * "-"??_-;_-@_-</c:formatCode>
                <c:ptCount val="4"/>
                <c:pt idx="0">
                  <c:v>33.859808217117894</c:v>
                </c:pt>
                <c:pt idx="1">
                  <c:v>5.1194530957906368</c:v>
                </c:pt>
                <c:pt idx="2">
                  <c:v>4.9075391466793867</c:v>
                </c:pt>
                <c:pt idx="3">
                  <c:v>2.1648390424486865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7-4D49-8A03-4D27E52F6946}"/>
            </c:ext>
          </c:extLst>
        </c:ser>
        <c:ser>
          <c:idx val="4"/>
          <c:order val="4"/>
          <c:tx>
            <c:strRef>
              <c:f>'General Analyses'!$F$3</c:f>
              <c:strCache>
                <c:ptCount val="1"/>
                <c:pt idx="0">
                  <c:v>Soma de Average 2021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Analyses'!$F$4:$F$8</c:f>
              <c:numCache>
                <c:formatCode>_-[$R$-416]\ * #,##0.00_-;\-[$R$-416]\ * #,##0.00_-;_-[$R$-416]\ * "-"??_-;_-@_-</c:formatCode>
                <c:ptCount val="4"/>
                <c:pt idx="0">
                  <c:v>62.33</c:v>
                </c:pt>
                <c:pt idx="1">
                  <c:v>29.96</c:v>
                </c:pt>
                <c:pt idx="2">
                  <c:v>21.886000000000003</c:v>
                </c:pt>
                <c:pt idx="3">
                  <c:v>19.962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7-4D49-8A03-4D27E52F6946}"/>
            </c:ext>
          </c:extLst>
        </c:ser>
        <c:ser>
          <c:idx val="6"/>
          <c:order val="6"/>
          <c:tx>
            <c:strRef>
              <c:f>'General Analyses'!$H$3</c:f>
              <c:strCache>
                <c:ptCount val="1"/>
                <c:pt idx="0">
                  <c:v>Soma de Price List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'General Analyses'!$A$4:$A$8</c:f>
              <c:strCache>
                <c:ptCount val="4"/>
                <c:pt idx="0">
                  <c:v>J3D</c:v>
                </c:pt>
                <c:pt idx="1">
                  <c:v>JTT</c:v>
                </c:pt>
                <c:pt idx="2">
                  <c:v>ST</c:v>
                </c:pt>
                <c:pt idx="3">
                  <c:v>TT-VP</c:v>
                </c:pt>
              </c:strCache>
            </c:strRef>
          </c:cat>
          <c:val>
            <c:numRef>
              <c:f>'General Analyses'!$H$4:$H$8</c:f>
              <c:numCache>
                <c:formatCode>General</c:formatCode>
                <c:ptCount val="4"/>
                <c:pt idx="3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57-4D49-8A03-4D27E52F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26895"/>
        <c:axId val="450730639"/>
      </c:lineChart>
      <c:catAx>
        <c:axId val="4507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0639"/>
        <c:crosses val="autoZero"/>
        <c:auto val="1"/>
        <c:lblAlgn val="ctr"/>
        <c:lblOffset val="100"/>
        <c:noMultiLvlLbl val="0"/>
      </c:catAx>
      <c:valAx>
        <c:axId val="4507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6895"/>
        <c:crosses val="autoZero"/>
        <c:crossBetween val="between"/>
      </c:valAx>
      <c:valAx>
        <c:axId val="1392494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7039"/>
        <c:crosses val="max"/>
        <c:crossBetween val="between"/>
      </c:valAx>
      <c:catAx>
        <c:axId val="139251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249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[price_2022.xlsx]% Variation!Tabela dinâmica1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layout>
            <c:manualLayout>
              <c:x val="-2.4308718427138091E-3"/>
              <c:y val="-2.4436810880730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Variation'!$B$3</c:f>
              <c:strCache>
                <c:ptCount val="1"/>
                <c:pt idx="0">
                  <c:v>Soma de Average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5-9641-9B95-AE9E316636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F-4F4B-BCAE-22B64EC30E0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1DF-4F4B-BCAE-22B64EC30E0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1DF-4F4B-BCAE-22B64EC30E0A}"/>
              </c:ext>
            </c:extLst>
          </c:dPt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'% Variation'!$A$4:$A$9</c:f>
              <c:multiLvlStrCache>
                <c:ptCount val="3"/>
                <c:lvl>
                  <c:pt idx="0">
                    <c:v>JMD</c:v>
                  </c:pt>
                  <c:pt idx="1">
                    <c:v>MUG</c:v>
                  </c:pt>
                  <c:pt idx="2">
                    <c:v>TTI</c:v>
                  </c:pt>
                </c:lvl>
                <c:lvl>
                  <c:pt idx="0">
                    <c:v>JACTO</c:v>
                  </c:pt>
                  <c:pt idx="1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'% Variation'!$B$4:$B$9</c:f>
              <c:numCache>
                <c:formatCode>_-"R$"\ * #,##0.00_-;\-"R$"\ * #,##0.00_-;_-"R$"\ * "-"??_-;_-@_-</c:formatCode>
                <c:ptCount val="3"/>
                <c:pt idx="0">
                  <c:v>105.39</c:v>
                </c:pt>
                <c:pt idx="1">
                  <c:v>70.614999999999995</c:v>
                </c:pt>
                <c:pt idx="2">
                  <c:v>50.789285714285704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F-4F4B-BCAE-22B64EC3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8967456"/>
        <c:axId val="1948967872"/>
      </c:barChart>
      <c:lineChart>
        <c:grouping val="standard"/>
        <c:varyColors val="0"/>
        <c:ser>
          <c:idx val="1"/>
          <c:order val="1"/>
          <c:tx>
            <c:strRef>
              <c:f>'% Variation'!$C$3</c:f>
              <c:strCache>
                <c:ptCount val="1"/>
                <c:pt idx="0">
                  <c:v>Soma de Average 2021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'% Variation'!$A$4:$A$9</c:f>
              <c:multiLvlStrCache>
                <c:ptCount val="3"/>
                <c:lvl>
                  <c:pt idx="0">
                    <c:v>JMD</c:v>
                  </c:pt>
                  <c:pt idx="1">
                    <c:v>MUG</c:v>
                  </c:pt>
                  <c:pt idx="2">
                    <c:v>TTI</c:v>
                  </c:pt>
                </c:lvl>
                <c:lvl>
                  <c:pt idx="0">
                    <c:v>JACTO</c:v>
                  </c:pt>
                  <c:pt idx="1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'% Variation'!$C$4:$C$9</c:f>
              <c:numCache>
                <c:formatCode>_-"R$"\ * #,##0.00_-;\-"R$"\ * #,##0.00_-;_-"R$"\ * "-"??_-;_-@_-</c:formatCode>
                <c:ptCount val="3"/>
                <c:pt idx="0">
                  <c:v>129.12</c:v>
                </c:pt>
                <c:pt idx="1">
                  <c:v>42.928571428571431</c:v>
                </c:pt>
                <c:pt idx="2">
                  <c:v>71.103333333333339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F-4F4B-BCAE-22B64EC3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967456"/>
        <c:axId val="1948967872"/>
      </c:lineChart>
      <c:lineChart>
        <c:grouping val="standard"/>
        <c:varyColors val="0"/>
        <c:ser>
          <c:idx val="2"/>
          <c:order val="2"/>
          <c:tx>
            <c:strRef>
              <c:f>'% Variation'!$D$3</c:f>
              <c:strCache>
                <c:ptCount val="1"/>
                <c:pt idx="0">
                  <c:v>Soma de Price % - Variation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'% Variation'!$A$4:$A$9</c:f>
              <c:multiLvlStrCache>
                <c:ptCount val="3"/>
                <c:lvl>
                  <c:pt idx="0">
                    <c:v>JMD</c:v>
                  </c:pt>
                  <c:pt idx="1">
                    <c:v>MUG</c:v>
                  </c:pt>
                  <c:pt idx="2">
                    <c:v>TTI</c:v>
                  </c:pt>
                </c:lvl>
                <c:lvl>
                  <c:pt idx="0">
                    <c:v>JACTO</c:v>
                  </c:pt>
                  <c:pt idx="1">
                    <c:v>MAGNOJET</c:v>
                  </c:pt>
                  <c:pt idx="2">
                    <c:v>TEEJET </c:v>
                  </c:pt>
                </c:lvl>
              </c:multiLvlStrCache>
            </c:multiLvlStrRef>
          </c:cat>
          <c:val>
            <c:numRef>
              <c:f>'% Variation'!$D$4:$D$9</c:f>
              <c:numCache>
                <c:formatCode>0.00%</c:formatCode>
                <c:ptCount val="3"/>
                <c:pt idx="0">
                  <c:v>1.0750439490893753</c:v>
                </c:pt>
                <c:pt idx="1">
                  <c:v>0.39035229590042914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F-4F4B-BCAE-22B64EC3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29232"/>
        <c:axId val="2092832976"/>
      </c:lineChart>
      <c:catAx>
        <c:axId val="19489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7872"/>
        <c:crosses val="autoZero"/>
        <c:auto val="1"/>
        <c:lblAlgn val="ctr"/>
        <c:lblOffset val="100"/>
        <c:noMultiLvlLbl val="0"/>
      </c:catAx>
      <c:valAx>
        <c:axId val="1948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7456"/>
        <c:crosses val="autoZero"/>
        <c:crossBetween val="between"/>
      </c:valAx>
      <c:valAx>
        <c:axId val="2092832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29232"/>
        <c:crosses val="max"/>
        <c:crossBetween val="between"/>
      </c:valAx>
      <c:catAx>
        <c:axId val="20928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83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38099</xdr:rowOff>
    </xdr:from>
    <xdr:to>
      <xdr:col>6</xdr:col>
      <xdr:colOff>600074</xdr:colOff>
      <xdr:row>36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370C92-E3E7-379C-53D2-5B086A78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61912</xdr:rowOff>
    </xdr:from>
    <xdr:to>
      <xdr:col>6</xdr:col>
      <xdr:colOff>190500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40693-26A7-08F0-AC3C-DB1E64440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12</xdr:row>
      <xdr:rowOff>19050</xdr:rowOff>
    </xdr:from>
    <xdr:to>
      <xdr:col>3</xdr:col>
      <xdr:colOff>342899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84A10C-CC96-4439-F180-88D8C3B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114300</xdr:rowOff>
    </xdr:from>
    <xdr:to>
      <xdr:col>19</xdr:col>
      <xdr:colOff>209549</xdr:colOff>
      <xdr:row>34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07F6F-68A6-C31A-70FD-0E5A6DBD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152400</xdr:rowOff>
    </xdr:from>
    <xdr:to>
      <xdr:col>21</xdr:col>
      <xdr:colOff>238125</xdr:colOff>
      <xdr:row>23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00A49-A74C-157E-4901-6E07FF6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omeskle/Desktop/TeeJet%2001-03-2022/Teejet%20Back%20up%2029-05-2020/Teejet/Marketing/Shopping%20Price%20-%20TeeJet/Shopping%20Price%20-%20TeeJet/Estudo%20de%20Pre&#231;o%202021/Shopping%20Price%20-%20TeeJet(1-2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Planilha3"/>
      <sheetName val="Planilha1"/>
      <sheetName val="Sheet1"/>
      <sheetName val="Shopping Price - TeeJet(1-27)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, Kleber" refreshedDate="44700.372240393517" createdVersion="7" refreshedVersion="7" minRefreshableVersion="3" recordCount="25" xr:uid="{B49036A4-E891-4D95-AAA9-38D5D8225A3E}">
  <cacheSource type="worksheet">
    <worksheetSource ref="A1:E1048576" sheet="Planilha3"/>
  </cacheSource>
  <cacheFields count="5">
    <cacheField name="Manufacturer" numFmtId="0">
      <sharedItems containsBlank="1" count="4">
        <s v="TEEJET "/>
        <s v="MAGNOJET"/>
        <s v="JACTO"/>
        <m/>
      </sharedItems>
    </cacheField>
    <cacheField name="Comparative" numFmtId="0">
      <sharedItems containsBlank="1"/>
    </cacheField>
    <cacheField name="Family" numFmtId="0">
      <sharedItems containsBlank="1" count="24">
        <s v="TXA"/>
        <s v="MGA"/>
        <s v="MAG"/>
        <s v="JÁ"/>
        <s v="ATR"/>
        <s v="XR-VK"/>
        <s v="BD"/>
        <s v="AXI"/>
        <s v="TT-VP"/>
        <s v="ST"/>
        <s v="J3D"/>
        <s v="JTT"/>
        <s v="TTJ60"/>
        <s v="ST-D"/>
        <s v="AIXR-VK"/>
        <s v="AD-IA"/>
        <s v="AVI"/>
        <s v="CVI"/>
        <s v="TTI"/>
        <s v="MUG"/>
        <s v="JMD"/>
        <s v="APTJ"/>
        <s v="STIA"/>
        <m/>
      </sharedItems>
    </cacheField>
    <cacheField name="Group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Average 2022" numFmtId="0">
      <sharedItems containsString="0" containsBlank="1" containsNumber="1" minValue="11.574285714285713" maxValue="105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, Kleber" refreshedDate="44705.489772685185" createdVersion="7" refreshedVersion="7" minRefreshableVersion="3" recordCount="24" xr:uid="{FAC622EF-C47F-4106-9067-D2161105B834}">
  <cacheSource type="worksheet">
    <worksheetSource ref="A1:AR1048576" sheet="Base 2 - Ajustado Média"/>
  </cacheSource>
  <cacheFields count="44">
    <cacheField name="Manufacturer" numFmtId="0">
      <sharedItems containsBlank="1" count="4">
        <s v="TEEJET "/>
        <s v="MAGNOJET"/>
        <s v="JACTO"/>
        <m/>
      </sharedItems>
    </cacheField>
    <cacheField name="Comparative" numFmtId="0">
      <sharedItems containsBlank="1"/>
    </cacheField>
    <cacheField name="Family" numFmtId="0">
      <sharedItems containsBlank="1" count="25">
        <s v="TXA"/>
        <s v="XR-VK"/>
        <s v="TT-VP"/>
        <s v="TTJ60"/>
        <s v="AIXR-VK"/>
        <s v="TTI"/>
        <s v="APTJ"/>
        <s v="BD"/>
        <s v="MGA"/>
        <s v="MAG"/>
        <s v="ST"/>
        <s v="ST-D"/>
        <s v="AD-IA"/>
        <s v="STIA"/>
        <s v="MUG"/>
        <s v="AXI"/>
        <s v="JA"/>
        <s v="ATR"/>
        <s v="J3D"/>
        <s v="JTT"/>
        <s v="AVI"/>
        <s v="CVI"/>
        <s v="JMD"/>
        <m/>
        <s v="JÁ" u="1"/>
      </sharedItems>
    </cacheField>
    <cacheField name="Group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Amosta 0 ( Manual)" numFmtId="0">
      <sharedItems containsString="0" containsBlank="1" containsNumber="1" minValue="11" maxValue="105.39"/>
    </cacheField>
    <cacheField name="Coamo/ Coopercitrus" numFmtId="0">
      <sharedItems containsString="0" containsBlank="1" containsNumber="1" minValue="20.91" maxValue="35"/>
    </cacheField>
    <cacheField name="Amostra 1" numFmtId="164">
      <sharedItems containsString="0" containsBlank="1" containsNumber="1" minValue="11.51" maxValue="55.004999999999995"/>
    </cacheField>
    <cacheField name="Amostra 2" numFmtId="164">
      <sharedItems containsString="0" containsBlank="1" containsNumber="1" minValue="10.51" maxValue="105.39"/>
    </cacheField>
    <cacheField name="Amostra 3" numFmtId="164">
      <sharedItems containsString="0" containsBlank="1" containsNumber="1" minValue="11" maxValue="105.39"/>
    </cacheField>
    <cacheField name="Amostra 4" numFmtId="164">
      <sharedItems containsString="0" containsBlank="1" containsNumber="1" minValue="20.005000000000003" maxValue="40.004999999999995"/>
    </cacheField>
    <cacheField name="Amostra 5" numFmtId="164">
      <sharedItems containsString="0" containsBlank="1" containsNumber="1" minValue="18.005000000000003" maxValue="60"/>
    </cacheField>
    <cacheField name="Amostra 6" numFmtId="164">
      <sharedItems containsString="0" containsBlank="1" containsNumber="1" minValue="18.005000000000003" maxValue="60"/>
    </cacheField>
    <cacheField name="Amostra 7" numFmtId="164">
      <sharedItems containsString="0" containsBlank="1" containsNumber="1" containsInteger="1" minValue="23" maxValue="41"/>
    </cacheField>
    <cacheField name="Amostra 8" numFmtId="164">
      <sharedItems containsString="0" containsBlank="1" containsNumber="1" minValue="23" maxValue="49.504999999999995"/>
    </cacheField>
    <cacheField name="Amostra 9" numFmtId="164">
      <sharedItems containsString="0" containsBlank="1" containsNumber="1" minValue="22.005000000000003" maxValue="46.504999999999995"/>
    </cacheField>
    <cacheField name="Amostra 10" numFmtId="164">
      <sharedItems containsString="0" containsBlank="1" containsNumber="1" minValue="20.005000000000003" maxValue="45"/>
    </cacheField>
    <cacheField name="Amostra 11" numFmtId="164">
      <sharedItems containsString="0" containsBlank="1" containsNumber="1" minValue="20.005000000000003" maxValue="45"/>
    </cacheField>
    <cacheField name="Amostra 12" numFmtId="164">
      <sharedItems containsString="0" containsBlank="1" containsNumber="1" minValue="9" maxValue="57.504999999999995"/>
    </cacheField>
    <cacheField name="Amostra 13" numFmtId="164">
      <sharedItems containsString="0" containsBlank="1" containsNumber="1" minValue="13" maxValue="65.004999999999995"/>
    </cacheField>
    <cacheField name="Amostra 14" numFmtId="164">
      <sharedItems containsString="0" containsBlank="1" containsNumber="1" minValue="18.005000000000003" maxValue="60"/>
    </cacheField>
    <cacheField name="Amostra 15" numFmtId="164">
      <sharedItems containsString="0" containsBlank="1" containsNumber="1" minValue="23" maxValue="49.504999999999995"/>
    </cacheField>
    <cacheField name="Amostra 16" numFmtId="164">
      <sharedItems containsString="0" containsBlank="1" containsNumber="1" minValue="23" maxValue="49.504999999999995"/>
    </cacheField>
    <cacheField name="Amostra 17" numFmtId="164">
      <sharedItems containsString="0" containsBlank="1" containsNumber="1" minValue="23" maxValue="49.504999999999995"/>
    </cacheField>
    <cacheField name="Amostra 18" numFmtId="164">
      <sharedItems containsString="0" containsBlank="1" containsNumber="1" minValue="23" maxValue="49.504999999999995"/>
    </cacheField>
    <cacheField name="Amostra 19" numFmtId="164">
      <sharedItems containsString="0" containsBlank="1" containsNumber="1" minValue="23" maxValue="49.504999999999995"/>
    </cacheField>
    <cacheField name="Amostra 20" numFmtId="164">
      <sharedItems containsString="0" containsBlank="1" containsNumber="1" minValue="23" maxValue="49.504999999999995"/>
    </cacheField>
    <cacheField name="Amostra 21" numFmtId="164">
      <sharedItems containsString="0" containsBlank="1" containsNumber="1" minValue="23" maxValue="49.504999999999995"/>
    </cacheField>
    <cacheField name="Amostra 22" numFmtId="164">
      <sharedItems containsString="0" containsBlank="1" containsNumber="1" minValue="23" maxValue="49.504999999999995"/>
    </cacheField>
    <cacheField name="Amostra 23" numFmtId="164">
      <sharedItems containsString="0" containsBlank="1" containsNumber="1" minValue="23" maxValue="49.504999999999995"/>
    </cacheField>
    <cacheField name="Amostra 24" numFmtId="164">
      <sharedItems containsString="0" containsBlank="1" containsNumber="1" minValue="13" maxValue="35.004999999999995"/>
    </cacheField>
    <cacheField name="Amostra 25" numFmtId="164">
      <sharedItems containsString="0" containsBlank="1" containsNumber="1" minValue="15" maxValue="39.004999999999995"/>
    </cacheField>
    <cacheField name="Amostra 26" numFmtId="164">
      <sharedItems containsString="0" containsBlank="1" containsNumber="1" minValue="13" maxValue="90"/>
    </cacheField>
    <cacheField name="Amostra 27" numFmtId="164">
      <sharedItems containsString="0" containsBlank="1" containsNumber="1" containsInteger="1" minValue="23" maxValue="41"/>
    </cacheField>
    <cacheField name="Amostra 28" numFmtId="164">
      <sharedItems containsString="0" containsBlank="1" containsNumber="1" minValue="20.005000000000003" maxValue="60"/>
    </cacheField>
    <cacheField name="Amostra 29" numFmtId="164">
      <sharedItems containsString="0" containsBlank="1" containsNumber="1" minValue="16.004999999999999" maxValue="16.004999999999999"/>
    </cacheField>
    <cacheField name="Amostra 30" numFmtId="164">
      <sharedItems containsString="0" containsBlank="1" containsNumber="1" minValue="26.505000000000003" maxValue="26.505000000000003"/>
    </cacheField>
    <cacheField name="Cont. Samples" numFmtId="0">
      <sharedItems containsString="0" containsBlank="1" containsNumber="1" containsInteger="1" minValue="1" maxValue="24"/>
    </cacheField>
    <cacheField name="Average 2022" numFmtId="0">
      <sharedItems containsString="0" containsBlank="1" containsNumber="1" minValue="11.574285714285713" maxValue="105.39"/>
    </cacheField>
    <cacheField name="Maximun" numFmtId="0">
      <sharedItems containsString="0" containsBlank="1" containsNumber="1" minValue="13" maxValue="105.39"/>
    </cacheField>
    <cacheField name="Minimun" numFmtId="0">
      <sharedItems containsString="0" containsBlank="1" containsNumber="1" minValue="9" maxValue="105.39"/>
    </cacheField>
    <cacheField name="Standard deviation" numFmtId="0">
      <sharedItems containsBlank="1" containsMixedTypes="1" containsNumber="1" minValue="1.5379408001486641" maxValue="33.859808217117894"/>
    </cacheField>
    <cacheField name="Price List" numFmtId="0">
      <sharedItems containsString="0" containsBlank="1" containsNumber="1" minValue="19.190000000000001" maxValue="41.39"/>
    </cacheField>
    <cacheField name="Price % - Variation" numFmtId="0">
      <sharedItems containsString="0" containsBlank="1" containsNumber="1" minValue="-0.46891212583457048" maxValue="2.787888770467978"/>
    </cacheField>
    <cacheField name="Average 2021" numFmtId="0">
      <sharedItems containsString="0" containsBlank="1" containsNumber="1" minValue="0" maxValue="129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, Kleber" refreshedDate="44705.489828935184" createdVersion="7" refreshedVersion="7" minRefreshableVersion="3" recordCount="23" xr:uid="{FFA3044E-8A2C-411C-9A3D-2E48356F6C5F}">
  <cacheSource type="worksheet">
    <worksheetSource name="Tabela2"/>
  </cacheSource>
  <cacheFields count="44">
    <cacheField name="Manufacturer" numFmtId="0">
      <sharedItems/>
    </cacheField>
    <cacheField name="Comparative" numFmtId="0">
      <sharedItems/>
    </cacheField>
    <cacheField name="Family" numFmtId="0">
      <sharedItems count="24">
        <s v="TXA"/>
        <s v="XR-VK"/>
        <s v="TT-VP"/>
        <s v="TTJ60"/>
        <s v="AIXR-VK"/>
        <s v="TTI"/>
        <s v="APTJ"/>
        <s v="BD"/>
        <s v="MGA"/>
        <s v="MAG"/>
        <s v="ST"/>
        <s v="ST-D"/>
        <s v="AD-IA"/>
        <s v="STIA"/>
        <s v="MUG"/>
        <s v="AXI"/>
        <s v="JA"/>
        <s v="ATR"/>
        <s v="J3D"/>
        <s v="JTT"/>
        <s v="AVI"/>
        <s v="CVI"/>
        <s v="JMD"/>
        <s v="JÁ" u="1"/>
      </sharedItems>
    </cacheField>
    <cacheField name="Group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mosta 0 ( Manual)" numFmtId="164">
      <sharedItems containsString="0" containsBlank="1" containsNumber="1" minValue="11" maxValue="105.39"/>
    </cacheField>
    <cacheField name="Coamo/ Coopercitrus" numFmtId="164">
      <sharedItems containsString="0" containsBlank="1" containsNumber="1" minValue="20.91" maxValue="35"/>
    </cacheField>
    <cacheField name="Amostra 1" numFmtId="164">
      <sharedItems containsString="0" containsBlank="1" containsNumber="1" minValue="11.51" maxValue="55.004999999999995"/>
    </cacheField>
    <cacheField name="Amostra 2" numFmtId="164">
      <sharedItems containsString="0" containsBlank="1" containsNumber="1" minValue="10.51" maxValue="105.39"/>
    </cacheField>
    <cacheField name="Amostra 3" numFmtId="164">
      <sharedItems containsString="0" containsBlank="1" containsNumber="1" minValue="11" maxValue="105.39"/>
    </cacheField>
    <cacheField name="Amostra 4" numFmtId="164">
      <sharedItems containsString="0" containsBlank="1" containsNumber="1" minValue="20.005000000000003" maxValue="40.004999999999995"/>
    </cacheField>
    <cacheField name="Amostra 5" numFmtId="164">
      <sharedItems containsString="0" containsBlank="1" containsNumber="1" minValue="18.005000000000003" maxValue="60"/>
    </cacheField>
    <cacheField name="Amostra 6" numFmtId="164">
      <sharedItems containsString="0" containsBlank="1" containsNumber="1" minValue="18.005000000000003" maxValue="60"/>
    </cacheField>
    <cacheField name="Amostra 7" numFmtId="164">
      <sharedItems containsString="0" containsBlank="1" containsNumber="1" containsInteger="1" minValue="23" maxValue="41"/>
    </cacheField>
    <cacheField name="Amostra 8" numFmtId="164">
      <sharedItems containsString="0" containsBlank="1" containsNumber="1" minValue="23" maxValue="49.504999999999995"/>
    </cacheField>
    <cacheField name="Amostra 9" numFmtId="164">
      <sharedItems containsString="0" containsBlank="1" containsNumber="1" minValue="22.005000000000003" maxValue="46.504999999999995"/>
    </cacheField>
    <cacheField name="Amostra 10" numFmtId="164">
      <sharedItems containsString="0" containsBlank="1" containsNumber="1" minValue="20.005000000000003" maxValue="45"/>
    </cacheField>
    <cacheField name="Amostra 11" numFmtId="164">
      <sharedItems containsString="0" containsBlank="1" containsNumber="1" minValue="20.005000000000003" maxValue="45"/>
    </cacheField>
    <cacheField name="Amostra 12" numFmtId="164">
      <sharedItems containsString="0" containsBlank="1" containsNumber="1" minValue="9" maxValue="57.504999999999995"/>
    </cacheField>
    <cacheField name="Amostra 13" numFmtId="164">
      <sharedItems containsString="0" containsBlank="1" containsNumber="1" minValue="13" maxValue="65.004999999999995"/>
    </cacheField>
    <cacheField name="Amostra 14" numFmtId="164">
      <sharedItems containsString="0" containsBlank="1" containsNumber="1" minValue="18.005000000000003" maxValue="60"/>
    </cacheField>
    <cacheField name="Amostra 15" numFmtId="164">
      <sharedItems containsString="0" containsBlank="1" containsNumber="1" minValue="23" maxValue="49.504999999999995"/>
    </cacheField>
    <cacheField name="Amostra 16" numFmtId="164">
      <sharedItems containsString="0" containsBlank="1" containsNumber="1" minValue="23" maxValue="49.504999999999995"/>
    </cacheField>
    <cacheField name="Amostra 17" numFmtId="164">
      <sharedItems containsString="0" containsBlank="1" containsNumber="1" minValue="23" maxValue="49.504999999999995"/>
    </cacheField>
    <cacheField name="Amostra 18" numFmtId="164">
      <sharedItems containsString="0" containsBlank="1" containsNumber="1" minValue="23" maxValue="49.504999999999995"/>
    </cacheField>
    <cacheField name="Amostra 19" numFmtId="164">
      <sharedItems containsString="0" containsBlank="1" containsNumber="1" minValue="23" maxValue="49.504999999999995"/>
    </cacheField>
    <cacheField name="Amostra 20" numFmtId="164">
      <sharedItems containsString="0" containsBlank="1" containsNumber="1" minValue="23" maxValue="49.504999999999995"/>
    </cacheField>
    <cacheField name="Amostra 21" numFmtId="164">
      <sharedItems containsString="0" containsBlank="1" containsNumber="1" minValue="23" maxValue="49.504999999999995"/>
    </cacheField>
    <cacheField name="Amostra 22" numFmtId="164">
      <sharedItems containsString="0" containsBlank="1" containsNumber="1" minValue="23" maxValue="49.504999999999995"/>
    </cacheField>
    <cacheField name="Amostra 23" numFmtId="164">
      <sharedItems containsString="0" containsBlank="1" containsNumber="1" minValue="23" maxValue="49.504999999999995"/>
    </cacheField>
    <cacheField name="Amostra 24" numFmtId="164">
      <sharedItems containsString="0" containsBlank="1" containsNumber="1" minValue="13" maxValue="35.004999999999995"/>
    </cacheField>
    <cacheField name="Amostra 25" numFmtId="164">
      <sharedItems containsString="0" containsBlank="1" containsNumber="1" minValue="15" maxValue="39.004999999999995"/>
    </cacheField>
    <cacheField name="Amostra 26" numFmtId="164">
      <sharedItems containsString="0" containsBlank="1" containsNumber="1" minValue="13" maxValue="90"/>
    </cacheField>
    <cacheField name="Amostra 27" numFmtId="164">
      <sharedItems containsString="0" containsBlank="1" containsNumber="1" containsInteger="1" minValue="23" maxValue="41"/>
    </cacheField>
    <cacheField name="Amostra 28" numFmtId="164">
      <sharedItems containsString="0" containsBlank="1" containsNumber="1" minValue="20.005000000000003" maxValue="60"/>
    </cacheField>
    <cacheField name="Amostra 29" numFmtId="164">
      <sharedItems containsString="0" containsBlank="1" containsNumber="1" minValue="16.004999999999999" maxValue="16.004999999999999"/>
    </cacheField>
    <cacheField name="Amostra 30" numFmtId="164">
      <sharedItems containsString="0" containsBlank="1" containsNumber="1" minValue="26.505000000000003" maxValue="26.505000000000003"/>
    </cacheField>
    <cacheField name="Cont. Samples" numFmtId="0">
      <sharedItems containsSemiMixedTypes="0" containsString="0" containsNumber="1" containsInteger="1" minValue="1" maxValue="24"/>
    </cacheField>
    <cacheField name="Average 2022" numFmtId="164">
      <sharedItems containsSemiMixedTypes="0" containsString="0" containsNumber="1" minValue="11.574285714285713" maxValue="105.39"/>
    </cacheField>
    <cacheField name="Maximun" numFmtId="164">
      <sharedItems containsSemiMixedTypes="0" containsString="0" containsNumber="1" minValue="13" maxValue="105.39"/>
    </cacheField>
    <cacheField name="Minimun" numFmtId="164">
      <sharedItems containsSemiMixedTypes="0" containsString="0" containsNumber="1" minValue="9" maxValue="105.39"/>
    </cacheField>
    <cacheField name="Standard deviation" numFmtId="166">
      <sharedItems containsMixedTypes="1" containsNumber="1" minValue="1.5379408001486641" maxValue="33.859808217117894"/>
    </cacheField>
    <cacheField name="Price List" numFmtId="0">
      <sharedItems containsString="0" containsBlank="1" containsNumber="1" minValue="19.190000000000001" maxValue="41.39"/>
    </cacheField>
    <cacheField name="Price % - Variation" numFmtId="9">
      <sharedItems containsSemiMixedTypes="0" containsString="0" containsNumber="1" minValue="-0.46891212583457048" maxValue="2.787888770467978"/>
    </cacheField>
    <cacheField name="Average 2021" numFmtId="0">
      <sharedItems containsSemiMixedTypes="0" containsString="0" containsNumber="1" minValue="0" maxValue="129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, Kleber" refreshedDate="44706.35260578704" createdVersion="7" refreshedVersion="7" minRefreshableVersion="3" recordCount="42" xr:uid="{767B450C-F477-4B50-82CE-65B832F2473E}">
  <cacheSource type="worksheet">
    <worksheetSource ref="A1:BD1048576" sheet="Geral"/>
  </cacheSource>
  <cacheFields count="56">
    <cacheField name="ID" numFmtId="0">
      <sharedItems containsString="0" containsBlank="1" containsNumber="1" containsInteger="1" minValue="5" maxValue="45"/>
    </cacheField>
    <cacheField name="Hora de início" numFmtId="0">
      <sharedItems containsNonDate="0" containsDate="1" containsString="0" containsBlank="1" minDate="2022-03-30T15:10:19" maxDate="2022-05-14T13:36:44"/>
    </cacheField>
    <cacheField name="Hora de conclusão" numFmtId="0">
      <sharedItems containsNonDate="0" containsDate="1" containsString="0" containsBlank="1" minDate="2022-03-30T15:21:11" maxDate="2022-05-14T13:41:07"/>
    </cacheField>
    <cacheField name="Email" numFmtId="0">
      <sharedItems containsBlank="1"/>
    </cacheField>
    <cacheField name="Nome" numFmtId="0">
      <sharedItems containsBlank="1" count="8">
        <s v="Cristiano Machado"/>
        <s v="Maxwel Oliveira"/>
        <s v="Guilherme Goncalves"/>
        <s v="Julio Cezar Jesus Gomes"/>
        <s v="Dener Vinicius Aquino Santos"/>
        <s v="Bruno Henrique Crepaldi"/>
        <s v="Helder Zucckini"/>
        <m/>
      </sharedItems>
    </cacheField>
    <cacheField name="Idioma" numFmtId="0">
      <sharedItems containsBlank="1"/>
    </cacheField>
    <cacheField name="Nome2" numFmtId="0">
      <sharedItems containsBlank="1" count="8">
        <s v="Cristiano Machado"/>
        <s v="Max Oliveira"/>
        <s v="Guilherme Gonçalves"/>
        <s v="Julio Gomes"/>
        <s v="Dener Santos"/>
        <s v="Bruno Crepaldi"/>
        <s v="Helder Zucckini"/>
        <m/>
      </sharedItems>
    </cacheField>
    <cacheField name="Nome do revendedor que esta visitando (Dealer). Ex. MacCampo" numFmtId="0">
      <sharedItems containsBlank="1"/>
    </cacheField>
    <cacheField name="O Cliente que esta visitando já é um revendedor TeeJet?" numFmtId="0">
      <sharedItems containsBlank="1"/>
    </cacheField>
    <cacheField name="Em qual Estado brasileiro está sediada a empresa visitada?" numFmtId="0">
      <sharedItems containsBlank="1"/>
    </cacheField>
    <cacheField name="Território da TeeJet-BR onde está sediado o cliente" numFmtId="0">
      <sharedItems containsBlank="1" count="7">
        <s v="5LF (RS/SC)"/>
        <s v="5LG (PR)"/>
        <s v="5LI (MG+GO+NORDESTE)"/>
        <s v="5LH (MS+GO)"/>
        <s v="5LC (SP)"/>
        <s v="5LE (MATOPIBA + GO)"/>
        <m/>
      </sharedItems>
    </cacheField>
    <cacheField name="Cidade" numFmtId="0">
      <sharedItems containsBlank="1" count="27">
        <s v="Chapecó"/>
        <s v="Londrina"/>
        <s v="Uberlandia"/>
        <s v="São Gotardo"/>
        <s v="Goiânia"/>
        <s v="Vianópolis Goiás"/>
        <s v="Chapadão do Céu "/>
        <s v="Palotina"/>
        <s v="Toledo"/>
        <s v="Maringá "/>
        <s v="São Pedro do Ivaí "/>
        <s v="BELO HORIZONTE"/>
        <s v="kk"/>
        <s v="Araras"/>
        <s v="UBERABA"/>
        <s v="FRUTAL"/>
        <s v="PATOS DE MINAS"/>
        <s v="CATALÃO"/>
        <s v="ITUIUTABA"/>
        <s v="ARAGUARI"/>
        <s v="PATROCINIO"/>
        <s v="Luis Eduardo Magalhães"/>
        <s v="Rio Verde "/>
        <s v="Amambai "/>
        <s v="Goiatuba "/>
        <s v="Edeia"/>
        <m/>
      </sharedItems>
    </cacheField>
    <cacheField name="Quais marcas de Pontas de Pulverização a Revenda mantém em estoque?" numFmtId="0">
      <sharedItems containsBlank="1" count="9">
        <s v="TeeJet;"/>
        <s v="TeeJet;Jacto;"/>
        <s v="TeeJet;Hypro;"/>
        <s v="Hypro;"/>
        <s v="TeeJet;Jacto;Magnojet;"/>
        <s v="Magnojet;"/>
        <s v="TeeJet;Hypro;Magnojet;"/>
        <s v="Magnojet;Jacto;"/>
        <m/>
      </sharedItems>
    </cacheField>
    <cacheField name="Telefone e Nome de um Contato na Empresa Revendedora (Dealer)" numFmtId="0">
      <sharedItems containsBlank="1" count="34">
        <s v="Teste"/>
        <s v="(11) 964891846"/>
        <s v="Protásio 34998359798"/>
        <s v="Jeykson 34999845901"/>
        <s v="Eliane 62996136430"/>
        <s v="Paulo 62998473625"/>
        <s v="66 97237803"/>
        <s v="44991065578 Mateucci"/>
        <s v="4598500255 Matheus "/>
        <s v="44999616755 Zé Marcos "/>
        <s v="4396586631 Elisson"/>
        <s v="FABIANO 21982071332"/>
        <s v="kk"/>
        <s v="FABIANO 021982071332"/>
        <s v="19 35420497. Lu"/>
        <s v="21982071332"/>
        <s v="JUNIOR 62982345266"/>
        <s v="ALLAN 34998205370"/>
        <s v="VICENTE 34999737020"/>
        <s v="JULIANO 34999696018"/>
        <s v="WILIAN 34999225369"/>
        <s v="VILSON 64999471066"/>
        <s v="JUNIOR 34998171807"/>
        <s v="FRANCISCO 34999167300"/>
        <s v="CLODOALDO 34999381976"/>
        <s v="JEVERSON 34998926058"/>
        <s v=" ROSICO 6232726666"/>
        <s v="ANDRE 3432109127"/>
        <s v="Murilo Paladino 77 9.99695795"/>
        <s v="06436111722"/>
        <s v="06734815366"/>
        <s v="Agripecas "/>
        <s v="34921655"/>
        <m/>
      </sharedItems>
    </cacheField>
    <cacheField name="Valor em reais do TX´s / TXA´s" numFmtId="0">
      <sharedItems containsBlank="1" count="6">
        <s v="19,01 a 21,00"/>
        <s v="17,01 a 19,00"/>
        <s v="&gt; 23,00"/>
        <s v="21,01 a 23,00"/>
        <m/>
        <s v="15,01 a 17,00"/>
      </sharedItems>
    </cacheField>
    <cacheField name="Valor em reais do XR-VK" numFmtId="0">
      <sharedItems containsBlank="1" count="5">
        <s v="17,01 a 19,00"/>
        <s v="19,01 a 21,00"/>
        <s v="&gt; 23,00"/>
        <m/>
        <s v="15,01 a 17,00"/>
      </sharedItems>
    </cacheField>
    <cacheField name="Valor em reais do TT-VP" numFmtId="0">
      <sharedItems containsBlank="1" count="6">
        <s v="19,01 a 21,00"/>
        <s v="21,01 a 23,00"/>
        <s v="&gt; 23,00"/>
        <s v="17,01 a 19,00"/>
        <m/>
        <s v="15,01 a 17,00"/>
      </sharedItems>
    </cacheField>
    <cacheField name="Valor em reais do TTJ60" numFmtId="0">
      <sharedItems containsBlank="1" count="7">
        <s v="21,01 a 23,00"/>
        <s v="&gt; 25,01"/>
        <s v="&gt; 25,00"/>
        <s v="23,01 a 25,00"/>
        <m/>
        <s v="17,01 a 19,00"/>
        <s v="19,01 a 21,00"/>
      </sharedItems>
    </cacheField>
    <cacheField name="Valor em reais do AIXR-VK" numFmtId="0">
      <sharedItems containsBlank="1" count="7">
        <s v="39,01 a 41,00"/>
        <s v="37,01 a 39,00"/>
        <m/>
        <s v="&gt; 41,00"/>
        <s v="35,01 a 37,00"/>
        <s v="&lt; 33,00"/>
        <s v="33,01 a 35,00"/>
      </sharedItems>
    </cacheField>
    <cacheField name="Valor em reais do TTI" numFmtId="0">
      <sharedItems containsBlank="1" count="5">
        <s v="48,01 a 51,00"/>
        <s v="45,01 a 48,00"/>
        <m/>
        <s v="&gt; 60,00"/>
        <s v="&lt; 45,00"/>
      </sharedItems>
    </cacheField>
    <cacheField name="Valor em reais do APTJ (PWM)" numFmtId="0">
      <sharedItems containsBlank="1" count="4">
        <m/>
        <s v="60,01 a 65,00"/>
        <s v="&gt; 80,00"/>
        <s v="55,01 a 60,00"/>
      </sharedItems>
    </cacheField>
    <cacheField name="BD (similar ao XR-VK)" numFmtId="0">
      <sharedItems containsBlank="1" count="4">
        <s v="15,01 a 17,00"/>
        <s v="&lt; 15,00"/>
        <m/>
        <s v="17,01 a 19,00"/>
      </sharedItems>
    </cacheField>
    <cacheField name="MGA (similar ao TXA)" numFmtId="0">
      <sharedItems containsBlank="1" count="5">
        <s v="11,01 a 12,00"/>
        <s v="10,01 a 11,00"/>
        <m/>
        <s v="&lt; 9,00"/>
        <s v="&gt; 13,00"/>
      </sharedItems>
    </cacheField>
    <cacheField name="MAG (similar ao TXA)" numFmtId="0">
      <sharedItems containsBlank="1" count="4">
        <s v="23,01 a 25,00"/>
        <m/>
        <s v="&lt; 19,00"/>
        <s v="19,01 a 21,00"/>
      </sharedItems>
    </cacheField>
    <cacheField name="ST (similar ao TT)" numFmtId="0">
      <sharedItems containsBlank="1" count="5">
        <s v="25,01 a 28,00"/>
        <s v="34,01 a 37,00"/>
        <m/>
        <s v="&lt; 25,00"/>
        <s v="&gt; 37,00"/>
      </sharedItems>
    </cacheField>
    <cacheField name="ST-D (similar ao TTJ60)" numFmtId="0">
      <sharedItems containsBlank="1" count="5">
        <s v="28,01 a 31,00"/>
        <s v="34,01 a 37,00"/>
        <m/>
        <s v="&lt; 28,00"/>
        <s v="&gt; 40,00"/>
      </sharedItems>
    </cacheField>
    <cacheField name="AD-IA (similar ao AIXR/AI -VK)" numFmtId="0">
      <sharedItems containsBlank="1" count="4">
        <m/>
        <s v="34,01 a 36,00"/>
        <s v="38,01 a 40,00"/>
        <s v="&gt; 40,00"/>
      </sharedItems>
    </cacheField>
    <cacheField name="STIA (similar ao AITTJ)" numFmtId="0">
      <sharedItems containsBlank="1" count="3">
        <s v="37,01 a 40,00"/>
        <s v="40,01 a 43,00"/>
        <m/>
      </sharedItems>
    </cacheField>
    <cacheField name="MUG (similar ao TTI)" numFmtId="0">
      <sharedItems containsBlank="1" count="4">
        <s v="50,01 a 60,00"/>
        <s v="60,01 a 70,00"/>
        <m/>
        <s v="&gt; 90,00"/>
      </sharedItems>
    </cacheField>
    <cacheField name="AXI (similar ao XR-VK)" numFmtId="0">
      <sharedItems containsBlank="1" count="2">
        <m/>
        <s v="20.01 a 22.00"/>
      </sharedItems>
    </cacheField>
    <cacheField name="JA (similar ao TXA)" numFmtId="0">
      <sharedItems containsBlank="1" count="2">
        <m/>
        <s v="18.01 a 20.00"/>
      </sharedItems>
    </cacheField>
    <cacheField name="ATR (similar ao TXR)" numFmtId="0">
      <sharedItems containsBlank="1" count="2">
        <m/>
        <s v="20.01 a 24.00"/>
      </sharedItems>
    </cacheField>
    <cacheField name="J3D (similar ao TT)" numFmtId="0">
      <sharedItems containsBlank="1" count="2">
        <m/>
        <s v="55.01 a 60.00"/>
      </sharedItems>
    </cacheField>
    <cacheField name="JTT (TT com o nome Jacto)" numFmtId="0">
      <sharedItems containsBlank="1" count="2">
        <m/>
        <s v="17.01 a 19.00"/>
      </sharedItems>
    </cacheField>
    <cacheField name="AVI (similar ao AIXR-VK)" numFmtId="0">
      <sharedItems containsBlank="1" count="2">
        <m/>
        <s v="65.01 a 70.00"/>
      </sharedItems>
    </cacheField>
    <cacheField name="CVI (similar ao AIXR-VK)" numFmtId="0">
      <sharedItems containsBlank="1" count="2">
        <m/>
        <s v="65.01 a 75.00"/>
      </sharedItems>
    </cacheField>
    <cacheField name="JMD (similar ao TTI)" numFmtId="0">
      <sharedItems containsBlank="1" count="2">
        <m/>
        <s v="&lt; 55.00"/>
      </sharedItems>
    </cacheField>
    <cacheField name="INSERIR:_x000a_-SIGLA DO MODELO DA PONTA DE PULVERIZAÇÃO_x000a_-NOME DO FABRICANTE_x000a_-PREÇO ENCONTRADO_x000a__x000a_Ex: GRD120-025 / HYPRO / R$37,50" numFmtId="0">
      <sharedItems containsBlank="1"/>
    </cacheField>
    <cacheField name="Quais materiais/ferramentas você apresentou/utilizou para o cliente durante essa visita" numFmtId="0">
      <sharedItems containsBlank="1"/>
    </cacheField>
    <cacheField name="Potencial do cliente como influenciador em T.A. na região" numFmtId="0">
      <sharedItems containsBlank="1"/>
    </cacheField>
    <cacheField name="Conhecimento técnico e valorização da importância das Pontas de Pulverização" numFmtId="0">
      <sharedItems containsBlank="1"/>
    </cacheField>
    <cacheField name="Interesse dos gestores e funcionários da revenda pelas Pontas TJ" numFmtId="0">
      <sharedItems containsBlank="1"/>
    </cacheField>
    <cacheField name="Chance de crescimento da marca TeeJet neste cliente" numFmtId="0">
      <sharedItems containsBlank="1"/>
    </cacheField>
    <cacheField name="Relevância deste cliente na região onde está a  sediada a revenda" numFmtId="0">
      <sharedItems containsBlank="1"/>
    </cacheField>
    <cacheField name="Probabilidade do Cliente efetivar uma Compra após essa visita" numFmtId="0">
      <sharedItems containsBlank="1"/>
    </cacheField>
    <cacheField name="TeeJet" numFmtId="0">
      <sharedItems containsBlank="1" count="3">
        <s v="Excelente"/>
        <s v="Bom"/>
        <m/>
      </sharedItems>
    </cacheField>
    <cacheField name="Hypro" numFmtId="0">
      <sharedItems containsBlank="1"/>
    </cacheField>
    <cacheField name="Jacto2" numFmtId="0">
      <sharedItems containsBlank="1"/>
    </cacheField>
    <cacheField name="Magnojet2" numFmtId="0">
      <sharedItems containsBlank="1"/>
    </cacheField>
    <cacheField name="TeeJet2" numFmtId="0">
      <sharedItems containsBlank="1"/>
    </cacheField>
    <cacheField name="Hypro2" numFmtId="0">
      <sharedItems containsBlank="1"/>
    </cacheField>
    <cacheField name="Jacto3" numFmtId="0">
      <sharedItems containsBlank="1"/>
    </cacheField>
    <cacheField name="Magnojet3" numFmtId="0">
      <sharedItems containsBlank="1"/>
    </cacheField>
    <cacheField name="Qual o nível de satisfação do cliente após sua visita?" numFmtId="0">
      <sharedItems containsString="0" containsBlank="1" containsNumber="1" containsInteger="1" minValue="4" maxValue="10"/>
    </cacheField>
    <cacheField name="Insira suas Sugestões e Comentários referentes a essa pesquisa de mercado" numFmtId="0">
      <sharedItems containsBlank="1"/>
    </cacheField>
    <cacheField name="Quanto essa pesquisa contribuiu para sua avaliação sobre a visita ao seu cliente?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, Kleber" refreshedDate="44714.481913078707" createdVersion="8" refreshedVersion="8" minRefreshableVersion="3" recordCount="23" xr:uid="{A6BC0B97-3661-4FFD-9C46-107502405814}">
  <cacheSource type="worksheet">
    <worksheetSource name="Tabela25"/>
  </cacheSource>
  <cacheFields count="12">
    <cacheField name="Manufacturer" numFmtId="0">
      <sharedItems count="3">
        <s v="TEEJET "/>
        <s v="MAGNOJET"/>
        <s v="JACTO"/>
      </sharedItems>
    </cacheField>
    <cacheField name="Comparative" numFmtId="0">
      <sharedItems/>
    </cacheField>
    <cacheField name="Family" numFmtId="0">
      <sharedItems count="23">
        <s v="TXA"/>
        <s v="XR-VK"/>
        <s v="TT-VP"/>
        <s v="TTJ60"/>
        <s v="AIXR-VK"/>
        <s v="TTI"/>
        <s v="APTJ"/>
        <s v="BD"/>
        <s v="MGA"/>
        <s v="MAG"/>
        <s v="ST"/>
        <s v="ST-D"/>
        <s v="AD-IA"/>
        <s v="STIA"/>
        <s v="MUG"/>
        <s v="AXI"/>
        <s v="JA"/>
        <s v="ATR"/>
        <s v="J3D"/>
        <s v="JTT"/>
        <s v="AVI"/>
        <s v="CVI"/>
        <s v="JMD"/>
      </sharedItems>
    </cacheField>
    <cacheField name="Group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verage 2022" numFmtId="164">
      <sharedItems containsSemiMixedTypes="0" containsString="0" containsNumber="1" minValue="11.574285714285713" maxValue="105.39"/>
    </cacheField>
    <cacheField name="Average 2021" numFmtId="0">
      <sharedItems containsSemiMixedTypes="0" containsString="0" containsNumber="1" minValue="0" maxValue="129.12"/>
    </cacheField>
    <cacheField name="Web- Canal Agrícola 2021" numFmtId="164">
      <sharedItems containsString="0" containsBlank="1" containsNumber="1" minValue="9.42" maxValue="76.540000000000006"/>
    </cacheField>
    <cacheField name="Web- Canal Agrícola 2022" numFmtId="164">
      <sharedItems containsBlank="1" containsMixedTypes="1" containsNumber="1" minValue="11" maxValue="78.06"/>
    </cacheField>
    <cacheField name="Web - DRS Pulverizadores " numFmtId="164">
      <sharedItems containsString="0" containsBlank="1" containsNumber="1" minValue="9.58" maxValue="55.5"/>
    </cacheField>
    <cacheField name="Web - Jacto Parts" numFmtId="0">
      <sharedItems containsString="0" containsBlank="1" containsNumber="1" minValue="23.12" maxValue="105.39"/>
    </cacheField>
    <cacheField name="% Variation - Canal Web" numFmtId="9">
      <sharedItems containsSemiMixedTypes="0" containsString="0" containsNumber="1" minValue="-0.6807893209518282" maxValue="0"/>
    </cacheField>
    <cacheField name="% Variation - Market" numFmtId="9">
      <sharedItems containsSemiMixedTypes="0" containsString="0" containsNumber="1" minValue="-0.46891212583457048" maxValue="2.78788877046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Valor em reais do TX´s / TXA´s"/>
    <x v="0"/>
    <x v="0"/>
    <n v="21.79354166666667"/>
  </r>
  <r>
    <x v="1"/>
    <s v="MGA (similar ao TXA)"/>
    <x v="1"/>
    <x v="0"/>
    <n v="21.733750000000001"/>
  </r>
  <r>
    <x v="1"/>
    <s v="MAG (similar ao TXA)"/>
    <x v="2"/>
    <x v="0"/>
    <n v="11.574285714285713"/>
  </r>
  <r>
    <x v="2"/>
    <s v="JA (similar ao TXA)"/>
    <x v="3"/>
    <x v="0"/>
    <n v="21.0625"/>
  </r>
  <r>
    <x v="2"/>
    <s v="ATR (similar ao TXR)"/>
    <x v="4"/>
    <x v="0"/>
    <n v="36.32"/>
  </r>
  <r>
    <x v="0"/>
    <s v="Valor em reais do XR-VK"/>
    <x v="5"/>
    <x v="1"/>
    <n v="22.418571428571429"/>
  </r>
  <r>
    <x v="1"/>
    <s v="BD (similar ao XR-VK)"/>
    <x v="6"/>
    <x v="1"/>
    <n v="15.186875000000001"/>
  </r>
  <r>
    <x v="2"/>
    <s v="AXI (similar ao XR-VK)"/>
    <x v="7"/>
    <x v="1"/>
    <n v="25"/>
  </r>
  <r>
    <x v="0"/>
    <s v="Valor em reais do TT-VP"/>
    <x v="8"/>
    <x v="2"/>
    <n v="21.502083333333331"/>
  </r>
  <r>
    <x v="1"/>
    <s v="ST (similar ao TT)"/>
    <x v="9"/>
    <x v="2"/>
    <n v="29.157142857142855"/>
  </r>
  <r>
    <x v="2"/>
    <s v="J3D (similar ao TT)"/>
    <x v="10"/>
    <x v="2"/>
    <n v="81.447499999999991"/>
  </r>
  <r>
    <x v="2"/>
    <s v="JTT (TT com o nome Jacto)"/>
    <x v="11"/>
    <x v="2"/>
    <n v="28.720000000000002"/>
  </r>
  <r>
    <x v="0"/>
    <s v="Valor em reais do TTJ60"/>
    <x v="12"/>
    <x v="3"/>
    <n v="23.866136363636361"/>
  </r>
  <r>
    <x v="1"/>
    <s v="ST-D (similar ao TTJ60)"/>
    <x v="13"/>
    <x v="3"/>
    <n v="32.017999999999994"/>
  </r>
  <r>
    <x v="0"/>
    <s v="Valor em reais do AIXR-VK"/>
    <x v="14"/>
    <x v="4"/>
    <n v="38.906666666666666"/>
  </r>
  <r>
    <x v="1"/>
    <s v="AD-IA (similar ao AIXR/AI -VK)"/>
    <x v="15"/>
    <x v="4"/>
    <n v="37.214999999999996"/>
  </r>
  <r>
    <x v="2"/>
    <s v="AVI (similar ao AIXR-VK)"/>
    <x v="16"/>
    <x v="4"/>
    <n v="71.692499999999995"/>
  </r>
  <r>
    <x v="2"/>
    <s v="CVI (similar ao AIXR-VK)"/>
    <x v="17"/>
    <x v="4"/>
    <n v="81.342500000000001"/>
  </r>
  <r>
    <x v="0"/>
    <s v="Valor em reais do TTI"/>
    <x v="18"/>
    <x v="5"/>
    <n v="50.789285714285704"/>
  </r>
  <r>
    <x v="1"/>
    <s v="MUG (similar ao TTI)"/>
    <x v="19"/>
    <x v="5"/>
    <n v="70.614999999999995"/>
  </r>
  <r>
    <x v="2"/>
    <s v="JMD (similar ao TTI)"/>
    <x v="20"/>
    <x v="5"/>
    <n v="105.39"/>
  </r>
  <r>
    <x v="0"/>
    <s v="Valor em reais do APTJ (PWM)"/>
    <x v="21"/>
    <x v="6"/>
    <n v="66.67"/>
  </r>
  <r>
    <x v="1"/>
    <s v="STIA (similar ao AITTJ)"/>
    <x v="22"/>
    <x v="7"/>
    <n v="41.616666666666667"/>
  </r>
  <r>
    <x v="3"/>
    <m/>
    <x v="23"/>
    <x v="8"/>
    <m/>
  </r>
  <r>
    <x v="3"/>
    <m/>
    <x v="23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alor em reais do TX´s / TXA´s"/>
    <x v="0"/>
    <x v="0"/>
    <m/>
    <n v="20.91"/>
    <n v="20.005000000000003"/>
    <n v="18.005000000000003"/>
    <n v="23"/>
    <n v="23"/>
    <n v="20.005000000000003"/>
    <n v="20.005000000000003"/>
    <n v="23"/>
    <n v="23"/>
    <n v="23"/>
    <n v="22.005000000000003"/>
    <n v="22.005000000000003"/>
    <n v="16.004999999999999"/>
    <m/>
    <n v="20.005000000000003"/>
    <n v="23"/>
    <n v="23"/>
    <n v="23"/>
    <n v="23"/>
    <n v="23"/>
    <n v="23"/>
    <n v="23"/>
    <n v="23"/>
    <n v="23"/>
    <m/>
    <m/>
    <m/>
    <n v="23"/>
    <n v="20.005000000000003"/>
    <m/>
    <m/>
    <n v="24"/>
    <n v="21.79354166666667"/>
    <n v="23"/>
    <n v="16.004999999999999"/>
    <n v="1.9311769778887522"/>
    <n v="20.58"/>
    <n v="0"/>
    <n v="21.5275"/>
  </r>
  <r>
    <x v="0"/>
    <s v="Valor em reais do XR-VK"/>
    <x v="1"/>
    <x v="1"/>
    <n v="26.84"/>
    <m/>
    <n v="26.84"/>
    <n v="20.005000000000003"/>
    <n v="23"/>
    <m/>
    <n v="20.005000000000003"/>
    <n v="20.005000000000003"/>
    <m/>
    <n v="23"/>
    <n v="23"/>
    <m/>
    <m/>
    <m/>
    <m/>
    <n v="23"/>
    <m/>
    <m/>
    <m/>
    <m/>
    <n v="23"/>
    <n v="23"/>
    <n v="23"/>
    <n v="23"/>
    <n v="23"/>
    <m/>
    <m/>
    <m/>
    <m/>
    <n v="20.005000000000003"/>
    <m/>
    <m/>
    <n v="14"/>
    <n v="22.418571428571429"/>
    <n v="26.84"/>
    <n v="20.005000000000003"/>
    <n v="1.8788882029330212"/>
    <n v="21.26"/>
    <n v="0"/>
    <n v="34.683333333333337"/>
  </r>
  <r>
    <x v="0"/>
    <s v="Valor em reais do TT-VP"/>
    <x v="2"/>
    <x v="2"/>
    <m/>
    <m/>
    <n v="20.005000000000003"/>
    <n v="22.005000000000003"/>
    <n v="23"/>
    <n v="20.005000000000003"/>
    <n v="18.005000000000003"/>
    <n v="18.005000000000003"/>
    <n v="23"/>
    <n v="23"/>
    <n v="22.005000000000003"/>
    <n v="20.005000000000003"/>
    <n v="20.005000000000003"/>
    <n v="16.004999999999999"/>
    <m/>
    <n v="18.005000000000003"/>
    <n v="23"/>
    <n v="23"/>
    <n v="23"/>
    <n v="23"/>
    <n v="23"/>
    <n v="23"/>
    <n v="23"/>
    <n v="23"/>
    <n v="23"/>
    <m/>
    <m/>
    <m/>
    <n v="23"/>
    <n v="23"/>
    <m/>
    <m/>
    <n v="24"/>
    <n v="21.502083333333331"/>
    <n v="23"/>
    <n v="16.004999999999999"/>
    <n v="2.1648390424486865"/>
    <n v="19.190000000000001"/>
    <n v="0"/>
    <n v="19.962"/>
  </r>
  <r>
    <x v="0"/>
    <s v="Valor em reais do TTJ60"/>
    <x v="3"/>
    <x v="3"/>
    <m/>
    <n v="23.48"/>
    <n v="22.005000000000003"/>
    <n v="25.01"/>
    <n v="25"/>
    <n v="24.005000000000003"/>
    <n v="22.005000000000003"/>
    <n v="22.005000000000003"/>
    <n v="25"/>
    <n v="24.005000000000003"/>
    <n v="24.005000000000003"/>
    <m/>
    <m/>
    <n v="18.005000000000003"/>
    <m/>
    <n v="20.005000000000003"/>
    <n v="25"/>
    <n v="25"/>
    <n v="25"/>
    <n v="25"/>
    <n v="25"/>
    <n v="25"/>
    <n v="25"/>
    <n v="25"/>
    <n v="25"/>
    <m/>
    <m/>
    <m/>
    <n v="25"/>
    <n v="24.005000000000003"/>
    <m/>
    <m/>
    <n v="22"/>
    <n v="23.866136363636361"/>
    <n v="25.01"/>
    <n v="18.005000000000003"/>
    <n v="1.9082040495725801"/>
    <n v="23.03"/>
    <n v="0"/>
    <n v="21.994"/>
  </r>
  <r>
    <x v="0"/>
    <s v="Valor em reais do AIXR-VK"/>
    <x v="4"/>
    <x v="4"/>
    <m/>
    <n v="35"/>
    <n v="40.004999999999995"/>
    <n v="40.004999999999995"/>
    <n v="38.004999999999995"/>
    <n v="40.004999999999995"/>
    <m/>
    <m/>
    <n v="41"/>
    <n v="36.004999999999995"/>
    <n v="36.004999999999995"/>
    <n v="33"/>
    <n v="33"/>
    <n v="34.004999999999995"/>
    <m/>
    <m/>
    <n v="41"/>
    <n v="41"/>
    <n v="41"/>
    <n v="41"/>
    <n v="41"/>
    <n v="41"/>
    <n v="41"/>
    <n v="41"/>
    <n v="41"/>
    <m/>
    <m/>
    <m/>
    <n v="41"/>
    <n v="36.004999999999995"/>
    <m/>
    <m/>
    <n v="21"/>
    <n v="38.906666666666666"/>
    <n v="41"/>
    <n v="33"/>
    <n v="2.9299937428829663"/>
    <n v="29.95"/>
    <n v="0"/>
    <n v="38"/>
  </r>
  <r>
    <x v="0"/>
    <s v="Valor em reais do TTI"/>
    <x v="5"/>
    <x v="5"/>
    <n v="59.78"/>
    <m/>
    <n v="49.504999999999995"/>
    <n v="49.504999999999995"/>
    <n v="46.504999999999995"/>
    <m/>
    <n v="60"/>
    <n v="60"/>
    <m/>
    <n v="49.504999999999995"/>
    <n v="46.504999999999995"/>
    <n v="45"/>
    <n v="45"/>
    <n v="49.504999999999995"/>
    <m/>
    <n v="60"/>
    <n v="49.504999999999995"/>
    <n v="49.504999999999995"/>
    <n v="49.504999999999995"/>
    <n v="49.504999999999995"/>
    <n v="49.504999999999995"/>
    <n v="49.504999999999995"/>
    <n v="49.504999999999995"/>
    <n v="49.504999999999995"/>
    <n v="49.504999999999995"/>
    <m/>
    <m/>
    <m/>
    <m/>
    <n v="60"/>
    <m/>
    <m/>
    <n v="21"/>
    <n v="50.789285714285704"/>
    <n v="60"/>
    <n v="45"/>
    <n v="4.8194033047967384"/>
    <n v="41.39"/>
    <n v="0"/>
    <n v="71.103333333333339"/>
  </r>
  <r>
    <x v="0"/>
    <s v="Valor em reais do APTJ (PWM)"/>
    <x v="6"/>
    <x v="6"/>
    <m/>
    <m/>
    <m/>
    <n v="62.504999999999995"/>
    <n v="80"/>
    <m/>
    <m/>
    <m/>
    <m/>
    <m/>
    <m/>
    <m/>
    <m/>
    <n v="57.504999999999995"/>
    <m/>
    <m/>
    <m/>
    <m/>
    <m/>
    <m/>
    <m/>
    <m/>
    <m/>
    <m/>
    <m/>
    <m/>
    <m/>
    <m/>
    <m/>
    <m/>
    <m/>
    <m/>
    <n v="3"/>
    <n v="66.67"/>
    <n v="80"/>
    <n v="57.504999999999995"/>
    <n v="11.811717698963172"/>
    <m/>
    <n v="0"/>
    <n v="0"/>
  </r>
  <r>
    <x v="1"/>
    <s v="BD (similar ao XR-VK)"/>
    <x v="7"/>
    <x v="1"/>
    <n v="11.48"/>
    <m/>
    <n v="16.004999999999999"/>
    <n v="15"/>
    <n v="11.48"/>
    <m/>
    <m/>
    <m/>
    <m/>
    <m/>
    <m/>
    <m/>
    <m/>
    <n v="15"/>
    <n v="15"/>
    <m/>
    <m/>
    <m/>
    <m/>
    <m/>
    <m/>
    <m/>
    <m/>
    <m/>
    <m/>
    <m/>
    <n v="15"/>
    <n v="18.005000000000003"/>
    <m/>
    <m/>
    <n v="16.004999999999999"/>
    <m/>
    <n v="8"/>
    <n v="15.186875000000001"/>
    <n v="18.005000000000003"/>
    <n v="11.48"/>
    <n v="1.8189909634190005"/>
    <m/>
    <n v="-0.32257614860128719"/>
    <n v="11.25"/>
  </r>
  <r>
    <x v="1"/>
    <s v="MGA (similar ao TXA)"/>
    <x v="8"/>
    <x v="0"/>
    <n v="24.83"/>
    <m/>
    <n v="24.01"/>
    <n v="24.01"/>
    <n v="24.83"/>
    <m/>
    <m/>
    <m/>
    <m/>
    <m/>
    <m/>
    <m/>
    <m/>
    <n v="19"/>
    <n v="24.01"/>
    <m/>
    <m/>
    <m/>
    <m/>
    <m/>
    <m/>
    <m/>
    <m/>
    <m/>
    <m/>
    <n v="19"/>
    <n v="19"/>
    <n v="20.010000000000002"/>
    <m/>
    <m/>
    <m/>
    <m/>
    <n v="8"/>
    <n v="21.733750000000001"/>
    <n v="24.83"/>
    <n v="19"/>
    <n v="2.6865322177749675"/>
    <m/>
    <n v="-2.7435497901711304E-3"/>
    <n v="19.29"/>
  </r>
  <r>
    <x v="1"/>
    <s v="MAG (similar ao TXA)"/>
    <x v="9"/>
    <x v="0"/>
    <n v="11"/>
    <m/>
    <n v="11.51"/>
    <n v="10.51"/>
    <n v="11"/>
    <m/>
    <m/>
    <m/>
    <m/>
    <m/>
    <m/>
    <m/>
    <m/>
    <n v="9"/>
    <n v="13"/>
    <m/>
    <m/>
    <m/>
    <m/>
    <m/>
    <m/>
    <m/>
    <m/>
    <m/>
    <m/>
    <n v="13"/>
    <m/>
    <n v="13"/>
    <m/>
    <m/>
    <m/>
    <m/>
    <n v="7"/>
    <n v="11.574285714285713"/>
    <n v="13"/>
    <n v="9"/>
    <n v="1.5379408001486641"/>
    <m/>
    <n v="-0.46891212583457048"/>
    <n v="11.78"/>
  </r>
  <r>
    <x v="1"/>
    <s v="ST (similar ao TT)"/>
    <x v="10"/>
    <x v="2"/>
    <n v="27.08"/>
    <m/>
    <n v="26.505000000000003"/>
    <n v="35.504999999999995"/>
    <n v="27.08"/>
    <m/>
    <m/>
    <m/>
    <m/>
    <m/>
    <m/>
    <m/>
    <m/>
    <m/>
    <n v="25"/>
    <m/>
    <m/>
    <m/>
    <m/>
    <m/>
    <m/>
    <m/>
    <m/>
    <m/>
    <m/>
    <n v="26.505000000000003"/>
    <m/>
    <n v="37"/>
    <m/>
    <m/>
    <m/>
    <n v="26.505000000000003"/>
    <n v="7"/>
    <n v="29.157142857142855"/>
    <n v="37"/>
    <n v="25"/>
    <n v="4.9075391466793867"/>
    <m/>
    <n v="0.35601478262073166"/>
    <n v="21.886000000000003"/>
  </r>
  <r>
    <x v="1"/>
    <s v="ST-D (similar ao TTJ60)"/>
    <x v="11"/>
    <x v="3"/>
    <n v="27.08"/>
    <m/>
    <n v="29.505000000000003"/>
    <n v="35.504999999999995"/>
    <n v="27.08"/>
    <m/>
    <m/>
    <m/>
    <m/>
    <m/>
    <m/>
    <m/>
    <m/>
    <m/>
    <n v="28"/>
    <m/>
    <m/>
    <m/>
    <m/>
    <m/>
    <m/>
    <m/>
    <m/>
    <m/>
    <m/>
    <m/>
    <m/>
    <n v="40"/>
    <m/>
    <m/>
    <m/>
    <m/>
    <n v="5"/>
    <n v="32.017999999999994"/>
    <n v="40"/>
    <n v="27.08"/>
    <n v="5.538836294746436"/>
    <m/>
    <n v="0.34156612164439903"/>
    <n v="27.174999999999997"/>
  </r>
  <r>
    <x v="1"/>
    <s v="AD-IA (similar ao AIXR/AI -VK)"/>
    <x v="12"/>
    <x v="4"/>
    <n v="37.06"/>
    <m/>
    <m/>
    <m/>
    <n v="37.06"/>
    <m/>
    <m/>
    <m/>
    <m/>
    <m/>
    <m/>
    <m/>
    <m/>
    <m/>
    <n v="35.004999999999995"/>
    <m/>
    <m/>
    <m/>
    <m/>
    <m/>
    <m/>
    <m/>
    <m/>
    <m/>
    <m/>
    <n v="35.004999999999995"/>
    <n v="39.004999999999995"/>
    <n v="40"/>
    <m/>
    <m/>
    <m/>
    <m/>
    <n v="5"/>
    <n v="37.214999999999996"/>
    <n v="40"/>
    <n v="35.004999999999995"/>
    <n v="2.2777483399181757"/>
    <m/>
    <n v="-4.3480123372172809E-2"/>
    <n v="32.962500000000006"/>
  </r>
  <r>
    <x v="1"/>
    <s v="STIA (similar ao AITTJ)"/>
    <x v="13"/>
    <x v="7"/>
    <n v="44.84"/>
    <m/>
    <n v="38.504999999999995"/>
    <n v="41.504999999999995"/>
    <n v="44.84"/>
    <m/>
    <m/>
    <m/>
    <m/>
    <m/>
    <m/>
    <m/>
    <m/>
    <m/>
    <m/>
    <m/>
    <m/>
    <m/>
    <m/>
    <m/>
    <m/>
    <m/>
    <m/>
    <m/>
    <m/>
    <m/>
    <m/>
    <m/>
    <m/>
    <m/>
    <m/>
    <m/>
    <n v="3"/>
    <n v="41.616666666666667"/>
    <n v="44.84"/>
    <n v="38.504999999999995"/>
    <n v="3.168975912393996"/>
    <m/>
    <n v="0"/>
    <n v="0"/>
  </r>
  <r>
    <x v="1"/>
    <s v="MUG (similar ao TTI)"/>
    <x v="14"/>
    <x v="5"/>
    <n v="78.06"/>
    <m/>
    <n v="55.004999999999995"/>
    <n v="65.004999999999995"/>
    <n v="78.06"/>
    <m/>
    <m/>
    <m/>
    <m/>
    <m/>
    <m/>
    <m/>
    <m/>
    <m/>
    <n v="65.004999999999995"/>
    <m/>
    <m/>
    <m/>
    <m/>
    <m/>
    <m/>
    <m/>
    <m/>
    <m/>
    <m/>
    <m/>
    <m/>
    <n v="90"/>
    <m/>
    <m/>
    <m/>
    <m/>
    <n v="5"/>
    <n v="70.614999999999995"/>
    <n v="90"/>
    <n v="55.004999999999995"/>
    <n v="13.581444602839573"/>
    <m/>
    <n v="0.39035229590042914"/>
    <n v="42.928571428571431"/>
  </r>
  <r>
    <x v="2"/>
    <s v="AXI (similar ao XR-VK)"/>
    <x v="15"/>
    <x v="1"/>
    <n v="29.11"/>
    <n v="22"/>
    <m/>
    <n v="21.005000000000003"/>
    <n v="22"/>
    <n v="29.11"/>
    <m/>
    <m/>
    <m/>
    <m/>
    <m/>
    <m/>
    <m/>
    <m/>
    <m/>
    <m/>
    <m/>
    <m/>
    <m/>
    <m/>
    <m/>
    <m/>
    <m/>
    <m/>
    <m/>
    <m/>
    <m/>
    <m/>
    <m/>
    <m/>
    <m/>
    <m/>
    <n v="3"/>
    <n v="25"/>
    <n v="29.11"/>
    <n v="21.005000000000003"/>
    <n v="4.4202780832582365"/>
    <m/>
    <n v="0.11514688077486775"/>
    <n v="24.18"/>
  </r>
  <r>
    <x v="2"/>
    <s v="JA (similar ao TXA)"/>
    <x v="16"/>
    <x v="0"/>
    <n v="23.12"/>
    <m/>
    <m/>
    <n v="19.005000000000003"/>
    <n v="23.12"/>
    <m/>
    <m/>
    <m/>
    <m/>
    <m/>
    <m/>
    <m/>
    <m/>
    <m/>
    <m/>
    <m/>
    <m/>
    <m/>
    <m/>
    <m/>
    <m/>
    <m/>
    <m/>
    <m/>
    <m/>
    <m/>
    <m/>
    <m/>
    <m/>
    <m/>
    <m/>
    <m/>
    <n v="2"/>
    <n v="21.0625"/>
    <n v="23.12"/>
    <n v="19.005000000000003"/>
    <n v="2.9097444045826419"/>
    <m/>
    <n v="-3.3543958932787943E-2"/>
    <n v="16.872499999999999"/>
  </r>
  <r>
    <x v="2"/>
    <s v="ATR (similar ao TXR)"/>
    <x v="17"/>
    <x v="0"/>
    <n v="40.82"/>
    <n v="31.82"/>
    <m/>
    <n v="31.82"/>
    <n v="40.82"/>
    <m/>
    <m/>
    <m/>
    <m/>
    <m/>
    <m/>
    <m/>
    <m/>
    <m/>
    <m/>
    <m/>
    <m/>
    <m/>
    <m/>
    <m/>
    <m/>
    <m/>
    <m/>
    <m/>
    <m/>
    <m/>
    <m/>
    <m/>
    <m/>
    <m/>
    <m/>
    <m/>
    <n v="2"/>
    <n v="36.32"/>
    <n v="40.82"/>
    <n v="31.82"/>
    <n v="6.3639610306789631"/>
    <m/>
    <n v="0.66654876731447554"/>
    <n v="33.06"/>
  </r>
  <r>
    <x v="2"/>
    <s v="J3D (similar ao TT)"/>
    <x v="18"/>
    <x v="2"/>
    <n v="105.39"/>
    <m/>
    <m/>
    <n v="57.504999999999995"/>
    <n v="105.39"/>
    <m/>
    <m/>
    <m/>
    <m/>
    <m/>
    <m/>
    <m/>
    <m/>
    <m/>
    <m/>
    <m/>
    <m/>
    <m/>
    <m/>
    <m/>
    <m/>
    <m/>
    <m/>
    <m/>
    <m/>
    <m/>
    <m/>
    <m/>
    <m/>
    <m/>
    <m/>
    <m/>
    <n v="2"/>
    <n v="81.447499999999991"/>
    <n v="105.39"/>
    <n v="57.504999999999995"/>
    <n v="33.859808217117894"/>
    <m/>
    <n v="2.787888770467978"/>
    <n v="62.33"/>
  </r>
  <r>
    <x v="2"/>
    <s v="JTT (TT com o nome Jacto)"/>
    <x v="19"/>
    <x v="2"/>
    <n v="32.340000000000003"/>
    <n v="25.1"/>
    <m/>
    <n v="25.1"/>
    <n v="32.340000000000003"/>
    <m/>
    <m/>
    <m/>
    <m/>
    <m/>
    <m/>
    <m/>
    <m/>
    <m/>
    <m/>
    <m/>
    <m/>
    <m/>
    <m/>
    <m/>
    <m/>
    <m/>
    <m/>
    <m/>
    <m/>
    <m/>
    <m/>
    <m/>
    <m/>
    <m/>
    <m/>
    <m/>
    <n v="2"/>
    <n v="28.720000000000002"/>
    <n v="32.340000000000003"/>
    <n v="25.1"/>
    <n v="5.1194530957906368"/>
    <m/>
    <n v="0.33568452669315013"/>
    <n v="29.96"/>
  </r>
  <r>
    <x v="2"/>
    <s v="AVI (similar ao AIXR-VK)"/>
    <x v="20"/>
    <x v="4"/>
    <n v="75.88"/>
    <m/>
    <m/>
    <n v="67.504999999999995"/>
    <n v="75.88"/>
    <m/>
    <m/>
    <m/>
    <m/>
    <m/>
    <m/>
    <m/>
    <m/>
    <m/>
    <m/>
    <m/>
    <m/>
    <m/>
    <m/>
    <m/>
    <m/>
    <m/>
    <m/>
    <m/>
    <m/>
    <m/>
    <m/>
    <m/>
    <m/>
    <m/>
    <m/>
    <m/>
    <n v="2"/>
    <n v="71.692499999999995"/>
    <n v="75.88"/>
    <n v="67.504999999999995"/>
    <n v="5.9220192924373354"/>
    <m/>
    <n v="0.84267906100068535"/>
    <n v="70.319999999999993"/>
  </r>
  <r>
    <x v="2"/>
    <s v="CVI (similar ao AIXR-VK)"/>
    <x v="21"/>
    <x v="4"/>
    <n v="92.68"/>
    <m/>
    <m/>
    <n v="70.004999999999995"/>
    <n v="92.68"/>
    <m/>
    <m/>
    <m/>
    <m/>
    <m/>
    <m/>
    <m/>
    <m/>
    <m/>
    <m/>
    <m/>
    <m/>
    <m/>
    <m/>
    <m/>
    <m/>
    <m/>
    <m/>
    <m/>
    <m/>
    <m/>
    <m/>
    <m/>
    <m/>
    <m/>
    <m/>
    <m/>
    <n v="2"/>
    <n v="81.342500000000001"/>
    <n v="92.68"/>
    <n v="70.004999999999995"/>
    <n v="16.033646263405014"/>
    <m/>
    <n v="1.0907085332419466"/>
    <n v="78.734999999999999"/>
  </r>
  <r>
    <x v="2"/>
    <s v="JMD (similar ao TTI)"/>
    <x v="22"/>
    <x v="5"/>
    <n v="105.39"/>
    <m/>
    <m/>
    <n v="105.39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5.39"/>
    <n v="105.39"/>
    <n v="105.39"/>
    <e v="#DIV/0!"/>
    <m/>
    <n v="1.0750439490893753"/>
    <n v="129.12"/>
  </r>
  <r>
    <x v="3"/>
    <m/>
    <x v="23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TEEJET "/>
    <s v="Valor em reais do TX´s / TXA´s"/>
    <x v="0"/>
    <x v="0"/>
    <m/>
    <n v="20.91"/>
    <n v="20.005000000000003"/>
    <n v="18.005000000000003"/>
    <n v="23"/>
    <n v="23"/>
    <n v="20.005000000000003"/>
    <n v="20.005000000000003"/>
    <n v="23"/>
    <n v="23"/>
    <n v="23"/>
    <n v="22.005000000000003"/>
    <n v="22.005000000000003"/>
    <n v="16.004999999999999"/>
    <m/>
    <n v="20.005000000000003"/>
    <n v="23"/>
    <n v="23"/>
    <n v="23"/>
    <n v="23"/>
    <n v="23"/>
    <n v="23"/>
    <n v="23"/>
    <n v="23"/>
    <n v="23"/>
    <m/>
    <m/>
    <m/>
    <n v="23"/>
    <n v="20.005000000000003"/>
    <m/>
    <m/>
    <n v="24"/>
    <n v="21.79354166666667"/>
    <n v="23"/>
    <n v="16.004999999999999"/>
    <n v="1.9311769778887522"/>
    <n v="20.58"/>
    <n v="0"/>
    <n v="21.5275"/>
  </r>
  <r>
    <s v="TEEJET "/>
    <s v="Valor em reais do XR-VK"/>
    <x v="1"/>
    <x v="1"/>
    <n v="26.84"/>
    <m/>
    <n v="26.84"/>
    <n v="20.005000000000003"/>
    <n v="23"/>
    <m/>
    <n v="20.005000000000003"/>
    <n v="20.005000000000003"/>
    <m/>
    <n v="23"/>
    <n v="23"/>
    <m/>
    <m/>
    <m/>
    <m/>
    <n v="23"/>
    <m/>
    <m/>
    <m/>
    <m/>
    <n v="23"/>
    <n v="23"/>
    <n v="23"/>
    <n v="23"/>
    <n v="23"/>
    <m/>
    <m/>
    <m/>
    <m/>
    <n v="20.005000000000003"/>
    <m/>
    <m/>
    <n v="14"/>
    <n v="22.418571428571429"/>
    <n v="26.84"/>
    <n v="20.005000000000003"/>
    <n v="1.8788882029330212"/>
    <n v="21.26"/>
    <n v="0"/>
    <n v="34.683333333333337"/>
  </r>
  <r>
    <s v="TEEJET "/>
    <s v="Valor em reais do TT-VP"/>
    <x v="2"/>
    <x v="2"/>
    <m/>
    <m/>
    <n v="20.005000000000003"/>
    <n v="22.005000000000003"/>
    <n v="23"/>
    <n v="20.005000000000003"/>
    <n v="18.005000000000003"/>
    <n v="18.005000000000003"/>
    <n v="23"/>
    <n v="23"/>
    <n v="22.005000000000003"/>
    <n v="20.005000000000003"/>
    <n v="20.005000000000003"/>
    <n v="16.004999999999999"/>
    <m/>
    <n v="18.005000000000003"/>
    <n v="23"/>
    <n v="23"/>
    <n v="23"/>
    <n v="23"/>
    <n v="23"/>
    <n v="23"/>
    <n v="23"/>
    <n v="23"/>
    <n v="23"/>
    <m/>
    <m/>
    <m/>
    <n v="23"/>
    <n v="23"/>
    <m/>
    <m/>
    <n v="24"/>
    <n v="21.502083333333331"/>
    <n v="23"/>
    <n v="16.004999999999999"/>
    <n v="2.1648390424486865"/>
    <n v="19.190000000000001"/>
    <n v="0"/>
    <n v="19.962"/>
  </r>
  <r>
    <s v="TEEJET "/>
    <s v="Valor em reais do TTJ60"/>
    <x v="3"/>
    <x v="3"/>
    <m/>
    <n v="23.48"/>
    <n v="22.005000000000003"/>
    <n v="25.01"/>
    <n v="25"/>
    <n v="24.005000000000003"/>
    <n v="22.005000000000003"/>
    <n v="22.005000000000003"/>
    <n v="25"/>
    <n v="24.005000000000003"/>
    <n v="24.005000000000003"/>
    <m/>
    <m/>
    <n v="18.005000000000003"/>
    <m/>
    <n v="20.005000000000003"/>
    <n v="25"/>
    <n v="25"/>
    <n v="25"/>
    <n v="25"/>
    <n v="25"/>
    <n v="25"/>
    <n v="25"/>
    <n v="25"/>
    <n v="25"/>
    <m/>
    <m/>
    <m/>
    <n v="25"/>
    <n v="24.005000000000003"/>
    <m/>
    <m/>
    <n v="22"/>
    <n v="23.866136363636361"/>
    <n v="25.01"/>
    <n v="18.005000000000003"/>
    <n v="1.9082040495725801"/>
    <n v="23.03"/>
    <n v="0"/>
    <n v="21.994"/>
  </r>
  <r>
    <s v="TEEJET "/>
    <s v="Valor em reais do AIXR-VK"/>
    <x v="4"/>
    <x v="4"/>
    <m/>
    <n v="35"/>
    <n v="40.004999999999995"/>
    <n v="40.004999999999995"/>
    <n v="38.004999999999995"/>
    <n v="40.004999999999995"/>
    <m/>
    <m/>
    <n v="41"/>
    <n v="36.004999999999995"/>
    <n v="36.004999999999995"/>
    <n v="33"/>
    <n v="33"/>
    <n v="34.004999999999995"/>
    <m/>
    <m/>
    <n v="41"/>
    <n v="41"/>
    <n v="41"/>
    <n v="41"/>
    <n v="41"/>
    <n v="41"/>
    <n v="41"/>
    <n v="41"/>
    <n v="41"/>
    <m/>
    <m/>
    <m/>
    <n v="41"/>
    <n v="36.004999999999995"/>
    <m/>
    <m/>
    <n v="21"/>
    <n v="38.906666666666666"/>
    <n v="41"/>
    <n v="33"/>
    <n v="2.9299937428829663"/>
    <n v="29.95"/>
    <n v="0"/>
    <n v="38"/>
  </r>
  <r>
    <s v="TEEJET "/>
    <s v="Valor em reais do TTI"/>
    <x v="5"/>
    <x v="5"/>
    <n v="59.78"/>
    <m/>
    <n v="49.504999999999995"/>
    <n v="49.504999999999995"/>
    <n v="46.504999999999995"/>
    <m/>
    <n v="60"/>
    <n v="60"/>
    <m/>
    <n v="49.504999999999995"/>
    <n v="46.504999999999995"/>
    <n v="45"/>
    <n v="45"/>
    <n v="49.504999999999995"/>
    <m/>
    <n v="60"/>
    <n v="49.504999999999995"/>
    <n v="49.504999999999995"/>
    <n v="49.504999999999995"/>
    <n v="49.504999999999995"/>
    <n v="49.504999999999995"/>
    <n v="49.504999999999995"/>
    <n v="49.504999999999995"/>
    <n v="49.504999999999995"/>
    <n v="49.504999999999995"/>
    <m/>
    <m/>
    <m/>
    <m/>
    <n v="60"/>
    <m/>
    <m/>
    <n v="21"/>
    <n v="50.789285714285704"/>
    <n v="60"/>
    <n v="45"/>
    <n v="4.8194033047967384"/>
    <n v="41.39"/>
    <n v="0"/>
    <n v="71.103333333333339"/>
  </r>
  <r>
    <s v="TEEJET "/>
    <s v="Valor em reais do APTJ (PWM)"/>
    <x v="6"/>
    <x v="6"/>
    <m/>
    <m/>
    <m/>
    <n v="62.504999999999995"/>
    <n v="80"/>
    <m/>
    <m/>
    <m/>
    <m/>
    <m/>
    <m/>
    <m/>
    <m/>
    <n v="57.504999999999995"/>
    <m/>
    <m/>
    <m/>
    <m/>
    <m/>
    <m/>
    <m/>
    <m/>
    <m/>
    <m/>
    <m/>
    <m/>
    <m/>
    <m/>
    <m/>
    <m/>
    <m/>
    <m/>
    <n v="3"/>
    <n v="66.67"/>
    <n v="80"/>
    <n v="57.504999999999995"/>
    <n v="11.811717698963172"/>
    <m/>
    <n v="0"/>
    <n v="0"/>
  </r>
  <r>
    <s v="MAGNOJET"/>
    <s v="BD (similar ao XR-VK)"/>
    <x v="7"/>
    <x v="1"/>
    <n v="11.48"/>
    <m/>
    <n v="16.004999999999999"/>
    <n v="15"/>
    <n v="11.48"/>
    <m/>
    <m/>
    <m/>
    <m/>
    <m/>
    <m/>
    <m/>
    <m/>
    <n v="15"/>
    <n v="15"/>
    <m/>
    <m/>
    <m/>
    <m/>
    <m/>
    <m/>
    <m/>
    <m/>
    <m/>
    <m/>
    <m/>
    <n v="15"/>
    <n v="18.005000000000003"/>
    <m/>
    <m/>
    <n v="16.004999999999999"/>
    <m/>
    <n v="8"/>
    <n v="15.186875000000001"/>
    <n v="18.005000000000003"/>
    <n v="11.48"/>
    <n v="1.8189909634190005"/>
    <m/>
    <n v="-0.32257614860128719"/>
    <n v="11.25"/>
  </r>
  <r>
    <s v="MAGNOJET"/>
    <s v="MGA (similar ao TXA)"/>
    <x v="8"/>
    <x v="0"/>
    <n v="24.83"/>
    <m/>
    <n v="24.01"/>
    <n v="24.01"/>
    <n v="24.83"/>
    <m/>
    <m/>
    <m/>
    <m/>
    <m/>
    <m/>
    <m/>
    <m/>
    <n v="19"/>
    <n v="24.01"/>
    <m/>
    <m/>
    <m/>
    <m/>
    <m/>
    <m/>
    <m/>
    <m/>
    <m/>
    <m/>
    <n v="19"/>
    <n v="19"/>
    <n v="20.010000000000002"/>
    <m/>
    <m/>
    <m/>
    <m/>
    <n v="8"/>
    <n v="21.733750000000001"/>
    <n v="24.83"/>
    <n v="19"/>
    <n v="2.6865322177749675"/>
    <m/>
    <n v="-2.7435497901711304E-3"/>
    <n v="19.29"/>
  </r>
  <r>
    <s v="MAGNOJET"/>
    <s v="MAG (similar ao TXA)"/>
    <x v="9"/>
    <x v="0"/>
    <n v="11"/>
    <m/>
    <n v="11.51"/>
    <n v="10.51"/>
    <n v="11"/>
    <m/>
    <m/>
    <m/>
    <m/>
    <m/>
    <m/>
    <m/>
    <m/>
    <n v="9"/>
    <n v="13"/>
    <m/>
    <m/>
    <m/>
    <m/>
    <m/>
    <m/>
    <m/>
    <m/>
    <m/>
    <m/>
    <n v="13"/>
    <m/>
    <n v="13"/>
    <m/>
    <m/>
    <m/>
    <m/>
    <n v="7"/>
    <n v="11.574285714285713"/>
    <n v="13"/>
    <n v="9"/>
    <n v="1.5379408001486641"/>
    <m/>
    <n v="-0.46891212583457048"/>
    <n v="11.78"/>
  </r>
  <r>
    <s v="MAGNOJET"/>
    <s v="ST (similar ao TT)"/>
    <x v="10"/>
    <x v="2"/>
    <n v="27.08"/>
    <m/>
    <n v="26.505000000000003"/>
    <n v="35.504999999999995"/>
    <n v="27.08"/>
    <m/>
    <m/>
    <m/>
    <m/>
    <m/>
    <m/>
    <m/>
    <m/>
    <m/>
    <n v="25"/>
    <m/>
    <m/>
    <m/>
    <m/>
    <m/>
    <m/>
    <m/>
    <m/>
    <m/>
    <m/>
    <n v="26.505000000000003"/>
    <m/>
    <n v="37"/>
    <m/>
    <m/>
    <m/>
    <n v="26.505000000000003"/>
    <n v="7"/>
    <n v="29.157142857142855"/>
    <n v="37"/>
    <n v="25"/>
    <n v="4.9075391466793867"/>
    <m/>
    <n v="0.35601478262073166"/>
    <n v="21.886000000000003"/>
  </r>
  <r>
    <s v="MAGNOJET"/>
    <s v="ST-D (similar ao TTJ60)"/>
    <x v="11"/>
    <x v="3"/>
    <n v="27.08"/>
    <m/>
    <n v="29.505000000000003"/>
    <n v="35.504999999999995"/>
    <n v="27.08"/>
    <m/>
    <m/>
    <m/>
    <m/>
    <m/>
    <m/>
    <m/>
    <m/>
    <m/>
    <n v="28"/>
    <m/>
    <m/>
    <m/>
    <m/>
    <m/>
    <m/>
    <m/>
    <m/>
    <m/>
    <m/>
    <m/>
    <m/>
    <n v="40"/>
    <m/>
    <m/>
    <m/>
    <m/>
    <n v="5"/>
    <n v="32.017999999999994"/>
    <n v="40"/>
    <n v="27.08"/>
    <n v="5.538836294746436"/>
    <m/>
    <n v="0.34156612164439903"/>
    <n v="27.174999999999997"/>
  </r>
  <r>
    <s v="MAGNOJET"/>
    <s v="AD-IA (similar ao AIXR/AI -VK)"/>
    <x v="12"/>
    <x v="4"/>
    <n v="37.06"/>
    <m/>
    <m/>
    <m/>
    <n v="37.06"/>
    <m/>
    <m/>
    <m/>
    <m/>
    <m/>
    <m/>
    <m/>
    <m/>
    <m/>
    <n v="35.004999999999995"/>
    <m/>
    <m/>
    <m/>
    <m/>
    <m/>
    <m/>
    <m/>
    <m/>
    <m/>
    <m/>
    <n v="35.004999999999995"/>
    <n v="39.004999999999995"/>
    <n v="40"/>
    <m/>
    <m/>
    <m/>
    <m/>
    <n v="5"/>
    <n v="37.214999999999996"/>
    <n v="40"/>
    <n v="35.004999999999995"/>
    <n v="2.2777483399181757"/>
    <m/>
    <n v="-4.3480123372172809E-2"/>
    <n v="32.962500000000006"/>
  </r>
  <r>
    <s v="MAGNOJET"/>
    <s v="STIA (similar ao AITTJ)"/>
    <x v="13"/>
    <x v="7"/>
    <n v="44.84"/>
    <m/>
    <n v="38.504999999999995"/>
    <n v="41.504999999999995"/>
    <n v="44.84"/>
    <m/>
    <m/>
    <m/>
    <m/>
    <m/>
    <m/>
    <m/>
    <m/>
    <m/>
    <m/>
    <m/>
    <m/>
    <m/>
    <m/>
    <m/>
    <m/>
    <m/>
    <m/>
    <m/>
    <m/>
    <m/>
    <m/>
    <m/>
    <m/>
    <m/>
    <m/>
    <m/>
    <n v="3"/>
    <n v="41.616666666666667"/>
    <n v="44.84"/>
    <n v="38.504999999999995"/>
    <n v="3.168975912393996"/>
    <m/>
    <n v="0"/>
    <n v="0"/>
  </r>
  <r>
    <s v="MAGNOJET"/>
    <s v="MUG (similar ao TTI)"/>
    <x v="14"/>
    <x v="5"/>
    <n v="78.06"/>
    <m/>
    <n v="55.004999999999995"/>
    <n v="65.004999999999995"/>
    <n v="78.06"/>
    <m/>
    <m/>
    <m/>
    <m/>
    <m/>
    <m/>
    <m/>
    <m/>
    <m/>
    <n v="65.004999999999995"/>
    <m/>
    <m/>
    <m/>
    <m/>
    <m/>
    <m/>
    <m/>
    <m/>
    <m/>
    <m/>
    <m/>
    <m/>
    <n v="90"/>
    <m/>
    <m/>
    <m/>
    <m/>
    <n v="5"/>
    <n v="70.614999999999995"/>
    <n v="90"/>
    <n v="55.004999999999995"/>
    <n v="13.581444602839573"/>
    <m/>
    <n v="0.39035229590042914"/>
    <n v="42.928571428571431"/>
  </r>
  <r>
    <s v="JACTO"/>
    <s v="AXI (similar ao XR-VK)"/>
    <x v="15"/>
    <x v="1"/>
    <n v="29.11"/>
    <n v="22"/>
    <m/>
    <n v="21.005000000000003"/>
    <n v="22"/>
    <n v="29.11"/>
    <m/>
    <m/>
    <m/>
    <m/>
    <m/>
    <m/>
    <m/>
    <m/>
    <m/>
    <m/>
    <m/>
    <m/>
    <m/>
    <m/>
    <m/>
    <m/>
    <m/>
    <m/>
    <m/>
    <m/>
    <m/>
    <m/>
    <m/>
    <m/>
    <m/>
    <m/>
    <n v="3"/>
    <n v="25"/>
    <n v="29.11"/>
    <n v="21.005000000000003"/>
    <n v="4.4202780832582365"/>
    <m/>
    <n v="0.11514688077486775"/>
    <n v="24.18"/>
  </r>
  <r>
    <s v="JACTO"/>
    <s v="JA (similar ao TXA)"/>
    <x v="16"/>
    <x v="0"/>
    <n v="23.12"/>
    <m/>
    <m/>
    <n v="19.005000000000003"/>
    <n v="23.12"/>
    <m/>
    <m/>
    <m/>
    <m/>
    <m/>
    <m/>
    <m/>
    <m/>
    <m/>
    <m/>
    <m/>
    <m/>
    <m/>
    <m/>
    <m/>
    <m/>
    <m/>
    <m/>
    <m/>
    <m/>
    <m/>
    <m/>
    <m/>
    <m/>
    <m/>
    <m/>
    <m/>
    <n v="2"/>
    <n v="21.0625"/>
    <n v="23.12"/>
    <n v="19.005000000000003"/>
    <n v="2.9097444045826419"/>
    <m/>
    <n v="-3.3543958932787943E-2"/>
    <n v="16.872499999999999"/>
  </r>
  <r>
    <s v="JACTO"/>
    <s v="ATR (similar ao TXR)"/>
    <x v="17"/>
    <x v="0"/>
    <n v="40.82"/>
    <n v="31.82"/>
    <m/>
    <n v="31.82"/>
    <n v="40.82"/>
    <m/>
    <m/>
    <m/>
    <m/>
    <m/>
    <m/>
    <m/>
    <m/>
    <m/>
    <m/>
    <m/>
    <m/>
    <m/>
    <m/>
    <m/>
    <m/>
    <m/>
    <m/>
    <m/>
    <m/>
    <m/>
    <m/>
    <m/>
    <m/>
    <m/>
    <m/>
    <m/>
    <n v="2"/>
    <n v="36.32"/>
    <n v="40.82"/>
    <n v="31.82"/>
    <n v="6.3639610306789631"/>
    <m/>
    <n v="0.66654876731447554"/>
    <n v="33.06"/>
  </r>
  <r>
    <s v="JACTO"/>
    <s v="J3D (similar ao TT)"/>
    <x v="18"/>
    <x v="2"/>
    <n v="105.39"/>
    <m/>
    <m/>
    <n v="57.504999999999995"/>
    <n v="105.39"/>
    <m/>
    <m/>
    <m/>
    <m/>
    <m/>
    <m/>
    <m/>
    <m/>
    <m/>
    <m/>
    <m/>
    <m/>
    <m/>
    <m/>
    <m/>
    <m/>
    <m/>
    <m/>
    <m/>
    <m/>
    <m/>
    <m/>
    <m/>
    <m/>
    <m/>
    <m/>
    <m/>
    <n v="2"/>
    <n v="81.447499999999991"/>
    <n v="105.39"/>
    <n v="57.504999999999995"/>
    <n v="33.859808217117894"/>
    <m/>
    <n v="2.787888770467978"/>
    <n v="62.33"/>
  </r>
  <r>
    <s v="JACTO"/>
    <s v="JTT (TT com o nome Jacto)"/>
    <x v="19"/>
    <x v="2"/>
    <n v="32.340000000000003"/>
    <n v="25.1"/>
    <m/>
    <n v="25.1"/>
    <n v="32.340000000000003"/>
    <m/>
    <m/>
    <m/>
    <m/>
    <m/>
    <m/>
    <m/>
    <m/>
    <m/>
    <m/>
    <m/>
    <m/>
    <m/>
    <m/>
    <m/>
    <m/>
    <m/>
    <m/>
    <m/>
    <m/>
    <m/>
    <m/>
    <m/>
    <m/>
    <m/>
    <m/>
    <m/>
    <n v="2"/>
    <n v="28.720000000000002"/>
    <n v="32.340000000000003"/>
    <n v="25.1"/>
    <n v="5.1194530957906368"/>
    <m/>
    <n v="0.33568452669315013"/>
    <n v="29.96"/>
  </r>
  <r>
    <s v="JACTO"/>
    <s v="AVI (similar ao AIXR-VK)"/>
    <x v="20"/>
    <x v="4"/>
    <n v="75.88"/>
    <m/>
    <m/>
    <n v="67.504999999999995"/>
    <n v="75.88"/>
    <m/>
    <m/>
    <m/>
    <m/>
    <m/>
    <m/>
    <m/>
    <m/>
    <m/>
    <m/>
    <m/>
    <m/>
    <m/>
    <m/>
    <m/>
    <m/>
    <m/>
    <m/>
    <m/>
    <m/>
    <m/>
    <m/>
    <m/>
    <m/>
    <m/>
    <m/>
    <m/>
    <n v="2"/>
    <n v="71.692499999999995"/>
    <n v="75.88"/>
    <n v="67.504999999999995"/>
    <n v="5.9220192924373354"/>
    <m/>
    <n v="0.84267906100068535"/>
    <n v="70.319999999999993"/>
  </r>
  <r>
    <s v="JACTO"/>
    <s v="CVI (similar ao AIXR-VK)"/>
    <x v="21"/>
    <x v="4"/>
    <n v="92.68"/>
    <m/>
    <m/>
    <n v="70.004999999999995"/>
    <n v="92.68"/>
    <m/>
    <m/>
    <m/>
    <m/>
    <m/>
    <m/>
    <m/>
    <m/>
    <m/>
    <m/>
    <m/>
    <m/>
    <m/>
    <m/>
    <m/>
    <m/>
    <m/>
    <m/>
    <m/>
    <m/>
    <m/>
    <m/>
    <m/>
    <m/>
    <m/>
    <m/>
    <m/>
    <n v="2"/>
    <n v="81.342500000000001"/>
    <n v="92.68"/>
    <n v="70.004999999999995"/>
    <n v="16.033646263405014"/>
    <m/>
    <n v="1.0907085332419466"/>
    <n v="78.734999999999999"/>
  </r>
  <r>
    <s v="JACTO"/>
    <s v="JMD (similar ao TTI)"/>
    <x v="22"/>
    <x v="5"/>
    <n v="105.39"/>
    <m/>
    <m/>
    <n v="105.39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5.39"/>
    <n v="105.39"/>
    <n v="105.39"/>
    <e v="#DIV/0!"/>
    <m/>
    <n v="1.0750439490893753"/>
    <n v="129.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5"/>
    <d v="2022-03-30T15:10:19"/>
    <d v="2022-03-30T15:21:11"/>
    <s v="Cristiano.Machado@teejet.com"/>
    <x v="0"/>
    <m/>
    <x v="0"/>
    <s v="Teste"/>
    <s v="Sim, já é um cliente TeeJet"/>
    <s v="PR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s v="App - SpraySelect / SpraySaver;"/>
    <s v="40%-60%"/>
    <s v="40%-60%"/>
    <s v="60%-80%"/>
    <s v="60%-80%"/>
    <s v="40%-60%"/>
    <m/>
    <x v="0"/>
    <s v="Bom"/>
    <s v="Bom"/>
    <s v="Regular"/>
    <s v="Bom"/>
    <s v="Ruim"/>
    <s v="Bom"/>
    <s v="Bom"/>
    <m/>
    <s v="teste"/>
    <n v="8"/>
  </r>
  <r>
    <n v="6"/>
    <d v="2022-03-30T15:22:32"/>
    <d v="2022-03-30T15:38:13"/>
    <s v="max.oliveira@teejet.com"/>
    <x v="1"/>
    <m/>
    <x v="1"/>
    <s v="MacCampo"/>
    <s v="Sim, já é um cliente TeeJet"/>
    <s v="PR"/>
    <x v="1"/>
    <x v="1"/>
    <x v="1"/>
    <x v="1"/>
    <x v="1"/>
    <x v="1"/>
    <x v="1"/>
    <x v="1"/>
    <x v="0"/>
    <x v="0"/>
    <x v="1"/>
    <x v="1"/>
    <x v="1"/>
    <x v="0"/>
    <x v="1"/>
    <x v="1"/>
    <x v="0"/>
    <x v="1"/>
    <x v="1"/>
    <x v="1"/>
    <x v="1"/>
    <x v="1"/>
    <x v="1"/>
    <x v="1"/>
    <x v="1"/>
    <x v="1"/>
    <x v="1"/>
    <s v="AA, Micron, 40"/>
    <s v="SprayTank;Pontas Didáticas (maleta);Catalogo TJ / Landing Page / www.teejet.com;"/>
    <s v="40%-60%"/>
    <s v="60%-80%"/>
    <s v="&gt; 80%"/>
    <s v="40%-60%"/>
    <s v="60%-80%"/>
    <m/>
    <x v="0"/>
    <s v="Péssimo"/>
    <s v="Péssimo"/>
    <s v="Péssimo"/>
    <s v="Excelente"/>
    <s v="Regular"/>
    <s v="Regular"/>
    <m/>
    <m/>
    <s v="..."/>
    <n v="10"/>
  </r>
  <r>
    <n v="7"/>
    <d v="2022-04-07T20:31:00"/>
    <d v="2022-04-07T20:38:51"/>
    <s v="Guilherme.Goncalves@teejet.com"/>
    <x v="2"/>
    <s v="Português (Brasil)‎"/>
    <x v="2"/>
    <s v="Dusiqueira"/>
    <s v="Sim, já é um cliente TeeJet"/>
    <s v="MG"/>
    <x v="2"/>
    <x v="2"/>
    <x v="0"/>
    <x v="2"/>
    <x v="2"/>
    <x v="2"/>
    <x v="2"/>
    <x v="2"/>
    <x v="1"/>
    <x v="1"/>
    <x v="2"/>
    <x v="2"/>
    <x v="2"/>
    <x v="1"/>
    <x v="2"/>
    <x v="2"/>
    <x v="0"/>
    <x v="2"/>
    <x v="2"/>
    <x v="0"/>
    <x v="0"/>
    <x v="0"/>
    <x v="0"/>
    <x v="0"/>
    <x v="0"/>
    <x v="0"/>
    <x v="0"/>
    <m/>
    <s v="SprayTank;Guia de Bolso;Pontas Didáticas (maleta);App - SpraySelect / SpraySaver;Catalogo TJ / Landing Page / www.teejet.com;PowerPoint / Excel / WhatsApp;"/>
    <s v="40%-60%"/>
    <s v="60%-80%"/>
    <s v="&gt; 80%"/>
    <s v="60%-80%"/>
    <s v="40%-60%"/>
    <s v="40%-60%"/>
    <x v="0"/>
    <m/>
    <m/>
    <m/>
    <s v="Excelente"/>
    <m/>
    <m/>
    <m/>
    <n v="9"/>
    <s v="Cliente com bom potencial de aumentar a pulverização dos produtos TJ no Triângulo Mineiro."/>
    <n v="9"/>
  </r>
  <r>
    <n v="8"/>
    <d v="2022-04-07T20:38:56"/>
    <d v="2022-04-07T20:48:06"/>
    <s v="Guilherme.Goncalves@teejet.com"/>
    <x v="2"/>
    <s v="Português (Brasil)‎"/>
    <x v="2"/>
    <s v="Auto Peças Silva"/>
    <s v="Sim, já é um cliente TeeJet"/>
    <s v="MG"/>
    <x v="2"/>
    <x v="3"/>
    <x v="0"/>
    <x v="3"/>
    <x v="2"/>
    <x v="3"/>
    <x v="0"/>
    <x v="3"/>
    <x v="0"/>
    <x v="2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App - SpraySelect / SpraySaver;Catalogo TJ / Landing Page / www.teejet.com;"/>
    <s v="20%-40%"/>
    <s v="40%-60%"/>
    <s v="40%-60%"/>
    <s v="20%-40%"/>
    <s v="20%-40%"/>
    <s v="20%-40%"/>
    <x v="1"/>
    <m/>
    <m/>
    <m/>
    <s v="Bom"/>
    <m/>
    <m/>
    <m/>
    <n v="7"/>
    <s v="Cliente faz vendas casadas e preza por preço e não qualidade"/>
    <n v="8"/>
  </r>
  <r>
    <n v="9"/>
    <d v="2022-04-07T20:48:08"/>
    <d v="2022-04-07T20:56:17"/>
    <s v="Guilherme.Goncalves@teejet.com"/>
    <x v="2"/>
    <s v="Português (Brasil)‎"/>
    <x v="2"/>
    <s v="Casa do Pica Pau"/>
    <s v="Sim, já é um cliente TeeJet"/>
    <s v="GO"/>
    <x v="2"/>
    <x v="4"/>
    <x v="0"/>
    <x v="4"/>
    <x v="0"/>
    <x v="1"/>
    <x v="3"/>
    <x v="0"/>
    <x v="2"/>
    <x v="3"/>
    <x v="0"/>
    <x v="2"/>
    <x v="2"/>
    <x v="1"/>
    <x v="2"/>
    <x v="2"/>
    <x v="0"/>
    <x v="2"/>
    <x v="2"/>
    <x v="0"/>
    <x v="0"/>
    <x v="0"/>
    <x v="0"/>
    <x v="0"/>
    <x v="0"/>
    <x v="0"/>
    <x v="0"/>
    <m/>
    <s v="SprayTank;Guia de Bolso;Pontas Didáticas (maleta);App - SpraySelect / SpraySaver;Catalogo TJ / Landing Page / www.teejet.com;PowerPoint / Excel / WhatsApp;"/>
    <s v="60%-80%"/>
    <s v="20%-40%"/>
    <s v="40%-60%"/>
    <s v="60%-80%"/>
    <s v="&gt; 80%"/>
    <s v="40%-60%"/>
    <x v="0"/>
    <m/>
    <m/>
    <m/>
    <s v="Bom"/>
    <m/>
    <m/>
    <m/>
    <n v="9"/>
    <s v="Cliente com pouco conhecimento, e nem todos os gestores acreditam no potencial do nosso produto."/>
    <n v="9"/>
  </r>
  <r>
    <n v="10"/>
    <d v="2022-04-07T20:56:19"/>
    <d v="2022-04-07T21:00:58"/>
    <s v="Guilherme.Goncalves@teejet.com"/>
    <x v="2"/>
    <s v="Português (Brasil)‎"/>
    <x v="2"/>
    <s v="Casa do Pica Pau"/>
    <s v="Sim, já é um cliente TeeJet"/>
    <s v="GO"/>
    <x v="2"/>
    <x v="5"/>
    <x v="0"/>
    <x v="5"/>
    <x v="0"/>
    <x v="1"/>
    <x v="3"/>
    <x v="0"/>
    <x v="2"/>
    <x v="3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App - SpraySelect / SpraySaver;Catalogo TJ / Landing Page / www.teejet.com;"/>
    <s v="40%-60%"/>
    <s v="20%-40%"/>
    <s v="20%-40%"/>
    <s v="40%-60%"/>
    <s v="40%-60%"/>
    <s v="20%-40%"/>
    <x v="1"/>
    <m/>
    <m/>
    <m/>
    <s v="Bom"/>
    <m/>
    <m/>
    <m/>
    <n v="7"/>
    <s v="Gestor recém contratado, ainda não comprou bem a ideia de vender pontas, acha complexo e arriscado."/>
    <n v="8"/>
  </r>
  <r>
    <n v="11"/>
    <d v="2022-04-07T23:42:27"/>
    <d v="2022-04-07T23:58:44"/>
    <s v="Julio.Gomes@teejet.com"/>
    <x v="3"/>
    <s v="Português (Brasil)‎"/>
    <x v="3"/>
    <s v="Júlio Gomes "/>
    <s v="Sim, já é um cliente TeeJet"/>
    <s v="GO"/>
    <x v="3"/>
    <x v="6"/>
    <x v="2"/>
    <x v="6"/>
    <x v="2"/>
    <x v="3"/>
    <x v="2"/>
    <x v="2"/>
    <x v="3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3D"/>
    <s v="SprayTank;Guia de Bolso;App - SpraySelect / SpraySaver;Catalogo TJ / Landing Page / www.teejet.com;PowerPoint / Excel / WhatsApp;"/>
    <s v="&gt; 80%"/>
    <s v="60%-80%"/>
    <s v="40%-60%"/>
    <s v="&gt; 80%"/>
    <s v="&gt; 80%"/>
    <s v="&gt; 80%"/>
    <x v="0"/>
    <s v="Bom"/>
    <m/>
    <m/>
    <s v="Bom"/>
    <s v="Regular"/>
    <m/>
    <m/>
    <n v="9"/>
    <s v="Está pesquisar nos instiga a analisar de forma técnica e profunda as características comerciais de nossos clientes, desta forma poderemos concentrar nossas energias de forma totalmente eficiente "/>
    <n v="9"/>
  </r>
  <r>
    <n v="12"/>
    <d v="2022-04-08T09:12:16"/>
    <d v="2022-04-08T09:18:37"/>
    <s v="Dener.Santos@teejet.com"/>
    <x v="4"/>
    <s v="Português (Brasil)‎"/>
    <x v="4"/>
    <s v="MA Máquinas "/>
    <s v="Sim, já é um cliente TeeJet"/>
    <s v="PR"/>
    <x v="1"/>
    <x v="7"/>
    <x v="0"/>
    <x v="7"/>
    <x v="2"/>
    <x v="2"/>
    <x v="2"/>
    <x v="3"/>
    <x v="4"/>
    <x v="0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"/>
    <s v="20%-40%"/>
    <s v="20%-40%"/>
    <s v="20%-40%"/>
    <s v="&lt; 20%"/>
    <s v="&gt; 80%"/>
    <s v="&gt; 80%"/>
    <x v="1"/>
    <m/>
    <m/>
    <m/>
    <s v="Bom"/>
    <m/>
    <m/>
    <m/>
    <n v="8"/>
    <s v="Formulário preenchido "/>
    <n v="2"/>
  </r>
  <r>
    <n v="13"/>
    <d v="2022-04-08T09:18:42"/>
    <d v="2022-04-08T09:23:38"/>
    <s v="Dener.Santos@teejet.com"/>
    <x v="4"/>
    <s v="Português (Brasil)‎"/>
    <x v="4"/>
    <s v="MA Máquinas "/>
    <s v="Sim, já é um cliente TeeJet"/>
    <s v="PR"/>
    <x v="1"/>
    <x v="8"/>
    <x v="0"/>
    <x v="8"/>
    <x v="2"/>
    <x v="2"/>
    <x v="1"/>
    <x v="3"/>
    <x v="4"/>
    <x v="1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"/>
    <s v="20%-40%"/>
    <s v="20%-40%"/>
    <s v="20%-40%"/>
    <s v="20%-40%"/>
    <s v="&gt; 80%"/>
    <s v="&gt; 80%"/>
    <x v="1"/>
    <m/>
    <m/>
    <m/>
    <s v="Bom"/>
    <m/>
    <m/>
    <m/>
    <n v="8"/>
    <s v="Formulário preenchido "/>
    <n v="2"/>
  </r>
  <r>
    <n v="14"/>
    <d v="2022-04-08T09:24:12"/>
    <d v="2022-04-08T09:28:27"/>
    <s v="Dener.Santos@teejet.com"/>
    <x v="4"/>
    <s v="Português (Brasil)‎"/>
    <x v="4"/>
    <s v="COCAMAR MÁQUINAS "/>
    <s v="Sim, já é um cliente TeeJet"/>
    <s v="PR"/>
    <x v="1"/>
    <x v="9"/>
    <x v="0"/>
    <x v="9"/>
    <x v="3"/>
    <x v="3"/>
    <x v="0"/>
    <x v="4"/>
    <x v="5"/>
    <x v="4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"/>
    <s v="20%-40%"/>
    <s v="20%-40%"/>
    <s v="&lt; 20%"/>
    <s v="20%-40%"/>
    <s v="&gt; 80%"/>
    <s v="&lt; 20%"/>
    <x v="1"/>
    <m/>
    <m/>
    <m/>
    <s v="Bom"/>
    <m/>
    <m/>
    <m/>
    <n v="7"/>
    <s v="Formulário preenchido "/>
    <n v="2"/>
  </r>
  <r>
    <n v="15"/>
    <d v="2022-04-08T09:28:30"/>
    <d v="2022-04-08T09:33:19"/>
    <s v="Dener.Santos@teejet.com"/>
    <x v="4"/>
    <s v="Português (Brasil)‎"/>
    <x v="4"/>
    <s v="COCAMAR MÁQUINAS "/>
    <s v="Sim, já é um cliente TeeJet"/>
    <s v="PR"/>
    <x v="1"/>
    <x v="10"/>
    <x v="0"/>
    <x v="10"/>
    <x v="3"/>
    <x v="3"/>
    <x v="0"/>
    <x v="4"/>
    <x v="5"/>
    <x v="4"/>
    <x v="0"/>
    <x v="2"/>
    <x v="2"/>
    <x v="1"/>
    <x v="2"/>
    <x v="2"/>
    <x v="0"/>
    <x v="2"/>
    <x v="2"/>
    <x v="0"/>
    <x v="0"/>
    <x v="0"/>
    <x v="0"/>
    <x v="0"/>
    <x v="0"/>
    <x v="0"/>
    <x v="0"/>
    <m/>
    <s v="Guia de Bolso;"/>
    <s v="20%-40%"/>
    <s v="20%-40%"/>
    <s v="20%-40%"/>
    <s v="20%-40%"/>
    <s v="&gt; 80%"/>
    <s v="&lt; 20%"/>
    <x v="1"/>
    <m/>
    <m/>
    <m/>
    <s v="Bom"/>
    <m/>
    <m/>
    <m/>
    <n v="7"/>
    <s v="Formulário preenchido "/>
    <n v="2"/>
  </r>
  <r>
    <n v="16"/>
    <d v="2022-04-08T09:38:17"/>
    <d v="2022-04-08T09:38:27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3D100-02/ HYPRO/ R$ 50,89"/>
    <s v="Catalogo TJ / Landing Page / www.teejet.com;"/>
    <s v="60%-80%"/>
    <s v="60%-80%"/>
    <s v="60%-80%"/>
    <s v="60%-80%"/>
    <s v="60%-80%"/>
    <s v="60%-80%"/>
    <x v="1"/>
    <m/>
    <m/>
    <m/>
    <s v="Bom"/>
    <m/>
    <m/>
    <m/>
    <n v="8"/>
    <s v="COMAM JA FOI CLIENTE NO PASSADO, IREMOS RETOMAR A PARCERIA."/>
    <n v="9"/>
  </r>
  <r>
    <n v="17"/>
    <d v="2022-04-08T09:38:32"/>
    <d v="2022-04-08T09:40:00"/>
    <s v="Bruno.Crepaldi@teejet.com"/>
    <x v="5"/>
    <s v="Português (Brasil)‎"/>
    <x v="5"/>
    <s v="JB "/>
    <s v="Sim, já é um cliente TeeJet"/>
    <s v="SC"/>
    <x v="4"/>
    <x v="12"/>
    <x v="0"/>
    <x v="12"/>
    <x v="5"/>
    <x v="4"/>
    <x v="5"/>
    <x v="5"/>
    <x v="6"/>
    <x v="0"/>
    <x v="3"/>
    <x v="1"/>
    <x v="3"/>
    <x v="2"/>
    <x v="2"/>
    <x v="2"/>
    <x v="0"/>
    <x v="2"/>
    <x v="2"/>
    <x v="0"/>
    <x v="0"/>
    <x v="0"/>
    <x v="0"/>
    <x v="0"/>
    <x v="0"/>
    <x v="0"/>
    <x v="0"/>
    <s v="jjjj"/>
    <s v="Pontas Didáticas (maleta);"/>
    <s v="&gt; 80%"/>
    <s v="&lt; 20%"/>
    <s v="&lt; 20%"/>
    <s v="&lt; 20%"/>
    <s v="&lt; 20%"/>
    <s v="&lt; 20%"/>
    <x v="1"/>
    <m/>
    <m/>
    <m/>
    <m/>
    <m/>
    <m/>
    <m/>
    <n v="10"/>
    <s v="h"/>
    <n v="5"/>
  </r>
  <r>
    <n v="18"/>
    <d v="2022-04-08T09:38:29"/>
    <d v="2022-04-08T09:41:41"/>
    <s v="Guilherme.Goncalves@teejet.com"/>
    <x v="2"/>
    <s v="Português (Brasil)‎"/>
    <x v="2"/>
    <s v="COMAM"/>
    <s v="Sim, já é um cliente TeeJet"/>
    <s v="MG"/>
    <x v="2"/>
    <x v="11"/>
    <x v="3"/>
    <x v="13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GA110-03/ HYPRO/ R$ 28,89"/>
    <s v="Catalogo TJ / Landing Page / www.teejet.com;"/>
    <s v="60%-80%"/>
    <s v="60%-80%"/>
    <s v="60%-80%"/>
    <s v="60%-80%"/>
    <s v="60%-80%"/>
    <s v="60%-80%"/>
    <x v="1"/>
    <m/>
    <m/>
    <m/>
    <s v="Bom"/>
    <m/>
    <m/>
    <m/>
    <n v="8"/>
    <s v="COMAM JA FOI CLIENTE NOSSO NO PASSADO, IREMOS RETOMAR A PARCERIA"/>
    <n v="7"/>
  </r>
  <r>
    <n v="19"/>
    <d v="2022-04-08T09:41:43"/>
    <d v="2022-04-08T09:47:55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GRD120-025/ HAYPRO/ R$ 38,98"/>
    <s v="Catalogo TJ / Landing Page / www.teejet.com;"/>
    <s v="60%-80%"/>
    <s v="60%-80%"/>
    <s v="60%-80%"/>
    <s v="60%-80%"/>
    <s v="60%-80%"/>
    <s v="60%-80%"/>
    <x v="1"/>
    <m/>
    <m/>
    <m/>
    <s v="Bom"/>
    <m/>
    <m/>
    <m/>
    <n v="8"/>
    <s v="COMAM JA FOI CLIENTE NOSSO NO PASSADO, IREMOS RETOMAR A PARCERIA."/>
    <n v="7"/>
  </r>
  <r>
    <n v="20"/>
    <d v="2022-04-08T09:47:57"/>
    <d v="2022-04-08T09:50:46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HF140-10/ HYPRO/ R$ 54,89"/>
    <s v="Catalogo TJ / Landing Page / www.teejet.com;"/>
    <s v="60%-80%"/>
    <s v="60%-80%"/>
    <s v="60%-80%"/>
    <s v="60%-80%"/>
    <s v="60%-80%"/>
    <s v="60%-80%"/>
    <x v="1"/>
    <m/>
    <m/>
    <m/>
    <s v="Bom"/>
    <m/>
    <m/>
    <m/>
    <n v="8"/>
    <s v="COMAM JA FOI CLIENTE NOSSO NO PASSADO, IREMOS RETOMAR A PARCERIA."/>
    <n v="8"/>
  </r>
  <r>
    <n v="21"/>
    <d v="2022-04-08T09:50:48"/>
    <d v="2022-04-08T09:53:37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GAT110-02/ HYPRO/ R$ 59,89"/>
    <s v="Catalogo TJ / Landing Page / www.teejet.com;"/>
    <s v="60%-80%"/>
    <s v="60%-80%"/>
    <s v="60%-80%"/>
    <s v="60%-80%"/>
    <s v="60%-80%"/>
    <s v="60%-80%"/>
    <x v="1"/>
    <m/>
    <m/>
    <m/>
    <s v="Bom"/>
    <m/>
    <m/>
    <m/>
    <n v="8"/>
    <s v="COMAM JA FOI NOSSO CLIENTE NO PASSADO, IREMOS RETOMAR A PARCERIA."/>
    <n v="7"/>
  </r>
  <r>
    <n v="22"/>
    <d v="2022-04-08T09:53:39"/>
    <d v="2022-04-08T09:58:00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30HCX2/ HYPRO/ R$ 84,89/ PACOTE 10 UNIDADES"/>
    <s v="Catalogo TJ / Landing Page / www.teejet.com;"/>
    <s v="60%-80%"/>
    <s v="60%-80%"/>
    <s v="60%-80%"/>
    <s v="60%-80%"/>
    <s v="60%-80%"/>
    <s v="60%-80%"/>
    <x v="0"/>
    <s v="Bom"/>
    <m/>
    <m/>
    <s v="Bom"/>
    <s v="Bom"/>
    <m/>
    <m/>
    <n v="8"/>
    <s v="COMAM JA FOI NOSSO CLIENTE, IREMOS RETOMAR A PARCERIA"/>
    <n v="7"/>
  </r>
  <r>
    <n v="23"/>
    <d v="2022-04-08T09:58:02"/>
    <d v="2022-04-08T10:02:01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ULDM130-03/ HYPRO/ R$ 72,89"/>
    <s v="Catalogo TJ / Landing Page / www.teejet.com;"/>
    <s v="60%-80%"/>
    <s v="60%-80%"/>
    <s v="60%-80%"/>
    <s v="60%-80%"/>
    <s v="60%-80%"/>
    <s v="60%-80%"/>
    <x v="0"/>
    <s v="Bom"/>
    <m/>
    <m/>
    <s v="Excelente"/>
    <s v="Bom"/>
    <m/>
    <m/>
    <n v="8"/>
    <s v="COMAM JA FOI NOSSO CLIENTE, ITEMOS RETOMAR A PARCERIA."/>
    <n v="7"/>
  </r>
  <r>
    <n v="24"/>
    <d v="2022-04-08T09:43:45"/>
    <d v="2022-04-08T10:03:05"/>
    <s v="Helder.zucckini@teejet.com"/>
    <x v="6"/>
    <s v="Português (Brasil)‎"/>
    <x v="6"/>
    <s v="Agrimax"/>
    <s v="Sim, já é um cliente TeeJet"/>
    <s v="SP"/>
    <x v="4"/>
    <x v="13"/>
    <x v="4"/>
    <x v="14"/>
    <x v="4"/>
    <x v="3"/>
    <x v="4"/>
    <x v="4"/>
    <x v="2"/>
    <x v="2"/>
    <x v="0"/>
    <x v="1"/>
    <x v="4"/>
    <x v="0"/>
    <x v="3"/>
    <x v="3"/>
    <x v="1"/>
    <x v="2"/>
    <x v="1"/>
    <x v="0"/>
    <x v="0"/>
    <x v="0"/>
    <x v="0"/>
    <x v="0"/>
    <x v="0"/>
    <x v="0"/>
    <x v="0"/>
    <m/>
    <s v="Guia de Bolso;App - SpraySelect / SpraySaver;"/>
    <s v="&lt; 20%"/>
    <s v="20%-40%"/>
    <s v="20%-40%"/>
    <s v="20%-40%"/>
    <s v="40%-60%"/>
    <s v="&lt; 20%"/>
    <x v="1"/>
    <m/>
    <m/>
    <m/>
    <s v="Regular"/>
    <m/>
    <m/>
    <m/>
    <n v="4"/>
    <s v="Muito longa "/>
    <n v="4"/>
  </r>
  <r>
    <n v="25"/>
    <d v="2022-04-08T10:02:03"/>
    <d v="2022-04-08T10:05:10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FC-ULDM130-025/ HYPRO/ R$ 87,89 CONJUNTO COMPLETO"/>
    <s v="Catalogo TJ / Landing Page / www.teejet.com;"/>
    <s v="60%-80%"/>
    <s v="60%-80%"/>
    <s v="60%-80%"/>
    <s v="60%-80%"/>
    <s v="60%-80%"/>
    <s v="60%-80%"/>
    <x v="0"/>
    <s v="Bom"/>
    <m/>
    <m/>
    <s v="Excelente"/>
    <s v="Bom"/>
    <m/>
    <m/>
    <n v="8"/>
    <s v="COMAM JA FOI NOSSO CLIENTE, IREMOS RETOMAR A PARCERIA."/>
    <n v="7"/>
  </r>
  <r>
    <n v="26"/>
    <d v="2022-04-08T10:05:12"/>
    <d v="2022-04-08T10:12:05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XT024/ HYPRO/ R$ 619,89 INOX"/>
    <s v="Catalogo TJ / Landing Page / www.teejet.com;"/>
    <s v="60%-80%"/>
    <s v="60%-80%"/>
    <s v="60%-80%"/>
    <s v="60%-80%"/>
    <s v="60%-80%"/>
    <s v="60%-80%"/>
    <x v="0"/>
    <s v="Bom"/>
    <m/>
    <m/>
    <s v="Excelente"/>
    <s v="Bom"/>
    <m/>
    <m/>
    <n v="8"/>
    <s v="COMAM JA FOI NOSSO CLIENTE NO PASSADO, IREMOS RETOMAR A PARCERIA."/>
    <n v="7"/>
  </r>
  <r>
    <n v="27"/>
    <d v="2022-04-08T10:12:06"/>
    <d v="2022-04-08T10:15:51"/>
    <s v="Guilherme.Goncalves@teejet.com"/>
    <x v="2"/>
    <s v="Português (Brasil)‎"/>
    <x v="2"/>
    <s v="COMAM"/>
    <s v="Sim, já é um cliente TeeJet"/>
    <s v="MG"/>
    <x v="2"/>
    <x v="11"/>
    <x v="3"/>
    <x v="15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FC-XT024/ HYPRO/ R$ 349,89 POLIACETAL"/>
    <s v="Catalogo TJ / Landing Page / www.teejet.com;"/>
    <s v="60%-80%"/>
    <s v="60%-80%"/>
    <s v="60%-80%"/>
    <s v="60%-80%"/>
    <s v="60%-80%"/>
    <s v="60%-80%"/>
    <x v="0"/>
    <s v="Bom"/>
    <m/>
    <m/>
    <s v="Excelente"/>
    <s v="Bom"/>
    <m/>
    <m/>
    <n v="8"/>
    <s v="COMAM JA FOI NOSSO CLIENTE NO PASSADO, IREMOS RETOMAR A PARCERIA."/>
    <n v="7"/>
  </r>
  <r>
    <n v="28"/>
    <d v="2022-04-08T10:15:53"/>
    <d v="2022-04-08T10:19:53"/>
    <s v="Guilherme.Goncalves@teejet.com"/>
    <x v="2"/>
    <s v="Português (Brasil)‎"/>
    <x v="2"/>
    <s v="COMAM"/>
    <s v="Sim, já é um cliente TeeJet"/>
    <s v="MG"/>
    <x v="2"/>
    <x v="11"/>
    <x v="3"/>
    <x v="11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ULD120-02/ HYPRO/ R$ 27,89; FC-ULD120-02/ HYPRO/ R$ 43,89 CONJUNTO COMPLETO"/>
    <s v="Catalogo TJ / Landing Page / www.teejet.com;"/>
    <s v="60%-80%"/>
    <s v="60%-80%"/>
    <s v="60%-80%"/>
    <s v="60%-80%"/>
    <s v="60%-80%"/>
    <s v="60%-80%"/>
    <x v="0"/>
    <s v="Bom"/>
    <m/>
    <m/>
    <s v="Excelente"/>
    <s v="Bom"/>
    <m/>
    <m/>
    <n v="8"/>
    <s v="COMAM JA FOI NOSSO CLIENTE NO PASSADO, IREMOS RETOMAR A PARCERIA"/>
    <n v="7"/>
  </r>
  <r>
    <n v="29"/>
    <d v="2022-04-08T10:19:55"/>
    <d v="2022-04-08T10:26:21"/>
    <s v="Guilherme.Goncalves@teejet.com"/>
    <x v="2"/>
    <s v="Português (Brasil)‎"/>
    <x v="2"/>
    <s v="SPRAYERCOM"/>
    <s v="Sim, já é um cliente TeeJet"/>
    <s v="MG"/>
    <x v="2"/>
    <x v="4"/>
    <x v="0"/>
    <x v="16"/>
    <x v="0"/>
    <x v="2"/>
    <x v="3"/>
    <x v="6"/>
    <x v="2"/>
    <x v="3"/>
    <x v="0"/>
    <x v="2"/>
    <x v="2"/>
    <x v="1"/>
    <x v="2"/>
    <x v="2"/>
    <x v="0"/>
    <x v="2"/>
    <x v="2"/>
    <x v="0"/>
    <x v="0"/>
    <x v="0"/>
    <x v="0"/>
    <x v="0"/>
    <x v="0"/>
    <x v="0"/>
    <x v="0"/>
    <s v="AIXRVP11002/ TEEJET/ R$ 54,70"/>
    <s v="Guia de Bolso;App - SpraySelect / SpraySaver;Catalogo TJ / Landing Page / www.teejet.com;"/>
    <s v="20%-40%"/>
    <s v="20%-40%"/>
    <s v="40%-60%"/>
    <s v="40%-60%"/>
    <s v="20%-40%"/>
    <s v="20%-40%"/>
    <x v="0"/>
    <m/>
    <m/>
    <m/>
    <s v="Excelente"/>
    <m/>
    <m/>
    <m/>
    <n v="8"/>
    <s v="E-COMMERCE NÃO ESTIMULAMOS MUITO ESSE PERFIL DE CLIENTE."/>
    <n v="7"/>
  </r>
  <r>
    <n v="30"/>
    <d v="2022-04-08T10:26:23"/>
    <d v="2022-04-08T10:32:17"/>
    <s v="Guilherme.Goncalves@teejet.com"/>
    <x v="2"/>
    <s v="Português (Brasil)‎"/>
    <x v="2"/>
    <s v="MAQNELSON"/>
    <s v="Sim, já é um cliente TeeJet"/>
    <s v="MG"/>
    <x v="2"/>
    <x v="2"/>
    <x v="0"/>
    <x v="17"/>
    <x v="2"/>
    <x v="3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CAPA 114441A1/ TEEJET/ R$ 9,94"/>
    <s v="SprayTank;Guia de Bolso;Pontas Didáticas (maleta);App - SpraySelect / SpraySaver;Catalogo TJ / Landing Page / www.teejet.com;PowerPoint / Excel / WhatsApp;"/>
    <s v="&gt; 80%"/>
    <s v="20%-40%"/>
    <s v="40%-60%"/>
    <s v="&gt; 80%"/>
    <s v="&gt; 80%"/>
    <s v="20%-40%"/>
    <x v="0"/>
    <s v="Regular"/>
    <m/>
    <m/>
    <s v="Excelente"/>
    <s v="Bom"/>
    <m/>
    <m/>
    <n v="9"/>
    <s v="CLIENTE COM ALTO POTENCIAL DE CRESCIMENTO."/>
    <n v="9"/>
  </r>
  <r>
    <n v="31"/>
    <d v="2022-04-08T10:32:20"/>
    <d v="2022-04-08T10:37:18"/>
    <s v="Guilherme.Goncalves@teejet.com"/>
    <x v="2"/>
    <s v="Português (Brasil)‎"/>
    <x v="2"/>
    <s v="MAQNELSON"/>
    <s v="Sim, já é um cliente TeeJet"/>
    <s v="MG"/>
    <x v="2"/>
    <x v="14"/>
    <x v="0"/>
    <x v="18"/>
    <x v="2"/>
    <x v="3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m/>
    <s v="SprayTank;Guia de Bolso;Pontas Didáticas (maleta);Catalogo TJ / Landing Page / www.teejet.com;App - SpraySelect / SpraySaver;PowerPoint / Excel / WhatsApp;"/>
    <s v="&gt; 80%"/>
    <s v="20%-40%"/>
    <s v="20%-40%"/>
    <s v="60%-80%"/>
    <s v="60%-80%"/>
    <s v="20%-40%"/>
    <x v="1"/>
    <s v="Regular"/>
    <m/>
    <m/>
    <s v="Bom"/>
    <s v="Regular"/>
    <m/>
    <m/>
    <n v="8"/>
    <s v="GERENTE DE PEÇAS E VENDEDORES AINDA NÃO VEEM O GRANDE POTENCIAL DE VENDER TJ"/>
    <n v="9"/>
  </r>
  <r>
    <n v="32"/>
    <d v="2022-04-08T10:41:04"/>
    <d v="2022-04-08T10:41:07"/>
    <s v="Guilherme.Goncalves@teejet.com"/>
    <x v="2"/>
    <s v="Português (Brasil)‎"/>
    <x v="2"/>
    <s v="MAQNELSON"/>
    <s v="Sim, já é um cliente TeeJet"/>
    <s v="MG"/>
    <x v="2"/>
    <x v="15"/>
    <x v="0"/>
    <x v="19"/>
    <x v="2"/>
    <x v="3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CAPA 114443A1/ TEEJET/ 11,08"/>
    <s v="SprayTank;Guia de Bolso;Pontas Didáticas (maleta);App - SpraySelect / SpraySaver;Catalogo TJ / Landing Page / www.teejet.com;PowerPoint / Excel / WhatsApp;"/>
    <s v="&gt; 80%"/>
    <s v="40%-60%"/>
    <s v="40%-60%"/>
    <s v="&gt; 80%"/>
    <s v="&gt; 80%"/>
    <s v="20%-40%"/>
    <x v="0"/>
    <s v="Regular"/>
    <m/>
    <m/>
    <s v="Excelente"/>
    <s v="Regular"/>
    <m/>
    <m/>
    <n v="9"/>
    <s v="GERENTE MAIS INTERESSADO QUE OS DEMAIS DO  GRUPO."/>
    <n v="9"/>
  </r>
  <r>
    <n v="33"/>
    <d v="2022-04-08T10:41:09"/>
    <d v="2022-04-08T10:44:42"/>
    <s v="Guilherme.Goncalves@teejet.com"/>
    <x v="2"/>
    <s v="Português (Brasil)‎"/>
    <x v="2"/>
    <s v="MAQNELSON"/>
    <s v="Sim, já é um cliente TeeJet"/>
    <s v="MG"/>
    <x v="2"/>
    <x v="16"/>
    <x v="0"/>
    <x v="20"/>
    <x v="2"/>
    <x v="3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FILTRO 8079PP100/ TEEJET/ R$ 11,35"/>
    <s v="SprayTank;Guia de Bolso;Pontas Didáticas (maleta);App - SpraySelect / SpraySaver;Catalogo TJ / Landing Page / www.teejet.com;PowerPoint / Excel / WhatsApp;"/>
    <s v="&gt; 80%"/>
    <s v="40%-60%"/>
    <s v="40%-60%"/>
    <s v="&gt; 80%"/>
    <s v="&gt; 80%"/>
    <s v="20%-40%"/>
    <x v="0"/>
    <s v="Regular"/>
    <m/>
    <m/>
    <s v="Excelente"/>
    <s v="Regular"/>
    <m/>
    <m/>
    <n v="8"/>
    <s v="EXCELENTE REGIAO PARA CRESCIMENTO DA TJ"/>
    <n v="8"/>
  </r>
  <r>
    <n v="34"/>
    <d v="2022-04-08T10:44:43"/>
    <d v="2022-04-08T10:48:17"/>
    <s v="Guilherme.Goncalves@teejet.com"/>
    <x v="2"/>
    <s v="Português (Brasil)‎"/>
    <x v="2"/>
    <s v="MAQNELSON"/>
    <s v="Sim, já é um cliente TeeJet"/>
    <s v="GO"/>
    <x v="2"/>
    <x v="17"/>
    <x v="0"/>
    <x v="21"/>
    <x v="2"/>
    <x v="2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PAPEL SENSIVEL 203011N/ TEEJET/ R$ 393,18"/>
    <s v="SprayTank;Guia de Bolso;Pontas Didáticas (maleta);App - SpraySelect / SpraySaver;Catalogo TJ / Landing Page / www.teejet.com;PowerPoint / Excel / WhatsApp;"/>
    <s v="&gt; 80%"/>
    <s v="60%-80%"/>
    <s v="60%-80%"/>
    <s v="&gt; 80%"/>
    <s v="&gt; 80%"/>
    <s v="20%-40%"/>
    <x v="0"/>
    <s v="Regular"/>
    <m/>
    <m/>
    <s v="Excelente"/>
    <s v="Regular"/>
    <m/>
    <m/>
    <n v="9"/>
    <s v="REGIÃO MUITO RICA EM AGRICULTURA E GESTOR QUER CRESCER NA VENDA DE TJ"/>
    <n v="8"/>
  </r>
  <r>
    <n v="35"/>
    <d v="2022-04-08T10:48:20"/>
    <d v="2022-04-08T10:52:15"/>
    <s v="Guilherme.Goncalves@teejet.com"/>
    <x v="2"/>
    <s v="Português (Brasil)‎"/>
    <x v="2"/>
    <s v="MAQNELSON"/>
    <s v="Sim, já é um cliente TeeJet"/>
    <s v="MG"/>
    <x v="2"/>
    <x v="18"/>
    <x v="0"/>
    <x v="22"/>
    <x v="2"/>
    <x v="2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ESCOVA DE LIMPEZA CP20016NY/ TEEJET/ R$ 76,10"/>
    <s v="SprayTank;Guia de Bolso;Pontas Didáticas (maleta);App - SpraySelect / SpraySaver;Catalogo TJ / Landing Page / www.teejet.com;PowerPoint / Excel / WhatsApp;"/>
    <s v="60%-80%"/>
    <s v="40%-60%"/>
    <s v="40%-60%"/>
    <s v="60%-80%"/>
    <s v="60%-80%"/>
    <s v="20%-40%"/>
    <x v="0"/>
    <s v="Regular"/>
    <m/>
    <m/>
    <s v="Excelente"/>
    <s v="Regular"/>
    <m/>
    <m/>
    <n v="8"/>
    <s v="REGIÃO QUE PODE SER BEM EXPLORADA, FALTA GESTOR E VENDEDORES COMPRAR A IDEIA."/>
    <n v="8"/>
  </r>
  <r>
    <n v="36"/>
    <d v="2022-04-08T10:52:18"/>
    <d v="2022-04-08T10:56:29"/>
    <s v="Guilherme.Goncalves@teejet.com"/>
    <x v="2"/>
    <s v="Português (Brasil)‎"/>
    <x v="2"/>
    <s v="MAQNELSON "/>
    <s v="Sim, já é um cliente TeeJet"/>
    <s v="MG"/>
    <x v="2"/>
    <x v="19"/>
    <x v="0"/>
    <x v="23"/>
    <x v="2"/>
    <x v="2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JARRA CP24034APP/ TEEJET/ R$ 335,75"/>
    <s v="SprayTank;Guia de Bolso;Pontas Didáticas (maleta);App - SpraySelect / SpraySaver;Catalogo TJ / Landing Page / www.teejet.com;PowerPoint / Excel / WhatsApp;"/>
    <s v="&gt; 80%"/>
    <s v="20%-40%"/>
    <s v="20%-40%"/>
    <s v="60%-80%"/>
    <s v="&gt; 80%"/>
    <s v="20%-40%"/>
    <x v="1"/>
    <s v="Regular"/>
    <m/>
    <m/>
    <s v="Bom"/>
    <s v="Regular"/>
    <m/>
    <m/>
    <n v="8"/>
    <s v="GERENTE E VENDEDORES PRECISAM ENXERGAR O POTENCIAL E QUERER VENDER TJ"/>
    <n v="8"/>
  </r>
  <r>
    <n v="37"/>
    <d v="2022-04-08T10:56:31"/>
    <d v="2022-04-08T11:00:02"/>
    <s v="Guilherme.Goncalves@teejet.com"/>
    <x v="2"/>
    <s v="Português (Brasil)‎"/>
    <x v="2"/>
    <s v="MAQNELSON"/>
    <s v="Sim, já é um cliente TeeJet"/>
    <s v="MG"/>
    <x v="2"/>
    <x v="20"/>
    <x v="0"/>
    <x v="24"/>
    <x v="2"/>
    <x v="2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FILTRO 8079PP50/ TEEJET/ R$ 11,35"/>
    <s v="SprayTank;Guia de Bolso;Pontas Didáticas (maleta);App - SpraySelect / SpraySaver;Catalogo TJ / Landing Page / www.teejet.com;PowerPoint / Excel / WhatsApp;"/>
    <s v="&gt; 80%"/>
    <s v="60%-80%"/>
    <s v="60%-80%"/>
    <s v="&gt; 80%"/>
    <s v="&gt; 80%"/>
    <s v="40%-60%"/>
    <x v="0"/>
    <s v="Regular"/>
    <m/>
    <m/>
    <s v="Excelente"/>
    <s v="Regular"/>
    <m/>
    <m/>
    <n v="9"/>
    <s v="GESTOR QUER MUITO QUE TJ CRESÇA NA REGIÃO, ELE COBRA MUITO DO TIME DELE."/>
    <n v="9"/>
  </r>
  <r>
    <n v="38"/>
    <d v="2022-04-08T11:00:04"/>
    <d v="2022-04-08T11:04:29"/>
    <s v="Guilherme.Goncalves@teejet.com"/>
    <x v="2"/>
    <s v="Português (Brasil)‎"/>
    <x v="2"/>
    <s v="MAQNELSON"/>
    <s v="Sim, já é um cliente TeeJet"/>
    <s v="MG"/>
    <x v="2"/>
    <x v="3"/>
    <x v="0"/>
    <x v="25"/>
    <x v="2"/>
    <x v="2"/>
    <x v="2"/>
    <x v="2"/>
    <x v="3"/>
    <x v="0"/>
    <x v="0"/>
    <x v="2"/>
    <x v="2"/>
    <x v="1"/>
    <x v="2"/>
    <x v="2"/>
    <x v="0"/>
    <x v="2"/>
    <x v="2"/>
    <x v="0"/>
    <x v="0"/>
    <x v="0"/>
    <x v="0"/>
    <x v="0"/>
    <x v="0"/>
    <x v="0"/>
    <x v="0"/>
    <s v="CAPA 114441A1/ TEEJET/ R$ 9,94"/>
    <s v="SprayTank;Guia de Bolso;Pontas Didáticas (maleta);App - SpraySelect / SpraySaver;PowerPoint / Excel / WhatsApp;Catalogo TJ / Landing Page / www.teejet.com;"/>
    <s v="&gt; 80%"/>
    <s v="40%-60%"/>
    <s v="40%-60%"/>
    <s v="&gt; 80%"/>
    <s v="&gt; 80%"/>
    <s v="20%-40%"/>
    <x v="0"/>
    <s v="Regular"/>
    <m/>
    <m/>
    <s v="Excelente"/>
    <s v="Regular"/>
    <m/>
    <m/>
    <n v="8"/>
    <s v="GRANDE POTENCIAL DE ATUAR EM HF NA REGIÃO."/>
    <n v="8"/>
  </r>
  <r>
    <n v="39"/>
    <d v="2022-04-08T11:04:33"/>
    <d v="2022-04-08T11:22:14"/>
    <s v="Guilherme.Goncalves@teejet.com"/>
    <x v="2"/>
    <s v="Português (Brasil)‎"/>
    <x v="2"/>
    <s v="A CAMARGO"/>
    <s v="Sim, já é um cliente TeeJet"/>
    <s v="GO"/>
    <x v="2"/>
    <x v="4"/>
    <x v="5"/>
    <x v="26"/>
    <x v="4"/>
    <x v="3"/>
    <x v="4"/>
    <x v="4"/>
    <x v="2"/>
    <x v="2"/>
    <x v="0"/>
    <x v="2"/>
    <x v="4"/>
    <x v="2"/>
    <x v="0"/>
    <x v="2"/>
    <x v="1"/>
    <x v="2"/>
    <x v="2"/>
    <x v="0"/>
    <x v="0"/>
    <x v="0"/>
    <x v="0"/>
    <x v="0"/>
    <x v="0"/>
    <x v="0"/>
    <x v="0"/>
    <m/>
    <s v="App - SpraySelect / SpraySaver;Catalogo TJ / Landing Page / www.teejet.com;"/>
    <s v="60%-80%"/>
    <s v="40%-60%"/>
    <s v="40%-60%"/>
    <s v="60%-80%"/>
    <s v="&gt; 80%"/>
    <s v="40%-60%"/>
    <x v="0"/>
    <m/>
    <m/>
    <s v="Bom"/>
    <s v="Bom"/>
    <m/>
    <m/>
    <s v="Bom"/>
    <n v="8"/>
    <s v="CLIENTE FEZ CADASTRO, MAS NÃO DEU SINAL VERDE SOBRE PEDIDO INICIAL E TREINAMENTO DO TIME."/>
    <n v="8"/>
  </r>
  <r>
    <n v="40"/>
    <d v="2022-04-08T11:50:31"/>
    <d v="2022-04-08T11:50:33"/>
    <s v="Guilherme.Goncalves@teejet.com"/>
    <x v="2"/>
    <s v="Português (Brasil)‎"/>
    <x v="2"/>
    <s v="UNIPARTS"/>
    <s v="Sim, já é um cliente TeeJet"/>
    <s v="MG"/>
    <x v="2"/>
    <x v="2"/>
    <x v="5"/>
    <x v="27"/>
    <x v="4"/>
    <x v="3"/>
    <x v="4"/>
    <x v="4"/>
    <x v="2"/>
    <x v="2"/>
    <x v="0"/>
    <x v="1"/>
    <x v="2"/>
    <x v="2"/>
    <x v="2"/>
    <x v="2"/>
    <x v="2"/>
    <x v="2"/>
    <x v="2"/>
    <x v="0"/>
    <x v="0"/>
    <x v="0"/>
    <x v="0"/>
    <x v="0"/>
    <x v="0"/>
    <x v="0"/>
    <x v="0"/>
    <m/>
    <s v="Guia de Bolso;App - SpraySelect / SpraySaver;Catalogo TJ / Landing Page / www.teejet.com;"/>
    <s v="40%-60%"/>
    <s v="20%-40%"/>
    <s v="20%-40%"/>
    <s v="40%-60%"/>
    <s v="40%-60%"/>
    <s v="20%-40%"/>
    <x v="1"/>
    <m/>
    <m/>
    <s v="Bom"/>
    <s v="Bom"/>
    <m/>
    <m/>
    <s v="Excelente"/>
    <n v="7"/>
    <s v="CLIENTE VALORIZA MENOR PREÇO E NAO QUALIDADE"/>
    <n v="8"/>
  </r>
  <r>
    <n v="41"/>
    <d v="2022-04-08T15:53:13"/>
    <d v="2022-04-08T16:00:49"/>
    <s v="Bruno.Crepaldi@teejet.com"/>
    <x v="5"/>
    <s v="Português (Brasil)‎"/>
    <x v="5"/>
    <s v="JB pulverização"/>
    <s v="Sim, já é um cliente TeeJet"/>
    <s v="BA"/>
    <x v="5"/>
    <x v="21"/>
    <x v="6"/>
    <x v="28"/>
    <x v="4"/>
    <x v="3"/>
    <x v="4"/>
    <x v="4"/>
    <x v="2"/>
    <x v="2"/>
    <x v="0"/>
    <x v="3"/>
    <x v="4"/>
    <x v="3"/>
    <x v="4"/>
    <x v="4"/>
    <x v="3"/>
    <x v="2"/>
    <x v="3"/>
    <x v="0"/>
    <x v="0"/>
    <x v="0"/>
    <x v="0"/>
    <x v="0"/>
    <x v="0"/>
    <x v="0"/>
    <x v="0"/>
    <s v="3D- Hypro-R$ 52,85"/>
    <s v="Guia de Bolso;Catalogo TJ / Landing Page / www.teejet.com;PowerPoint / Excel / WhatsApp;"/>
    <s v="&gt; 80%"/>
    <s v="&gt; 80%"/>
    <s v="60%-80%"/>
    <s v="20%-40%"/>
    <s v="&gt; 80%"/>
    <s v="&gt; 80%"/>
    <x v="0"/>
    <s v="Excelente"/>
    <m/>
    <s v="Bom"/>
    <s v="Bom"/>
    <s v="Regular"/>
    <m/>
    <s v="Regular"/>
    <n v="8"/>
    <s v="Foca muito em TeeJet pois é demanda de mercado, aparentemente maior interesse em outras marcas "/>
    <n v="8"/>
  </r>
  <r>
    <n v="42"/>
    <d v="2022-05-14T12:59:04"/>
    <d v="2022-05-14T13:23:36"/>
    <s v="Julio.Gomes@teejet.com"/>
    <x v="3"/>
    <s v="Português (Brasil)‎"/>
    <x v="3"/>
    <s v="Iguaçu máquinas "/>
    <s v="Sim, já é um cliente TeeJet"/>
    <s v="GO"/>
    <x v="3"/>
    <x v="22"/>
    <x v="2"/>
    <x v="29"/>
    <x v="2"/>
    <x v="3"/>
    <x v="2"/>
    <x v="2"/>
    <x v="3"/>
    <x v="2"/>
    <x v="0"/>
    <x v="2"/>
    <x v="2"/>
    <x v="1"/>
    <x v="2"/>
    <x v="2"/>
    <x v="0"/>
    <x v="2"/>
    <x v="2"/>
    <x v="0"/>
    <x v="0"/>
    <x v="0"/>
    <x v="0"/>
    <x v="0"/>
    <x v="0"/>
    <x v="0"/>
    <x v="0"/>
    <s v="GRD"/>
    <s v="Guia de Bolso;SprayTank;Pontas Didáticas (maleta);App - SpraySelect / SpraySaver;"/>
    <s v="60%-80%"/>
    <s v="&gt; 80%"/>
    <s v="&gt; 80%"/>
    <s v="&gt; 80%"/>
    <s v="&gt; 80%"/>
    <s v="&gt; 80%"/>
    <x v="0"/>
    <m/>
    <m/>
    <m/>
    <s v="Bom"/>
    <m/>
    <m/>
    <m/>
    <n v="9"/>
    <s v="programa de brindes aos clientes"/>
    <n v="8"/>
  </r>
  <r>
    <n v="43"/>
    <d v="2022-05-14T13:24:40"/>
    <d v="2022-05-14T13:31:17"/>
    <s v="Julio.Gomes@teejet.com"/>
    <x v="3"/>
    <s v="Português (Brasil)‎"/>
    <x v="3"/>
    <s v="Como "/>
    <s v="Sim, já é um cliente TeeJet"/>
    <s v="MS"/>
    <x v="3"/>
    <x v="23"/>
    <x v="0"/>
    <x v="30"/>
    <x v="0"/>
    <x v="1"/>
    <x v="2"/>
    <x v="3"/>
    <x v="4"/>
    <x v="3"/>
    <x v="0"/>
    <x v="2"/>
    <x v="2"/>
    <x v="1"/>
    <x v="2"/>
    <x v="2"/>
    <x v="0"/>
    <x v="2"/>
    <x v="2"/>
    <x v="0"/>
    <x v="0"/>
    <x v="0"/>
    <x v="0"/>
    <x v="0"/>
    <x v="0"/>
    <x v="0"/>
    <x v="0"/>
    <m/>
    <s v="SprayTank;Guia de Bolso;Pontas Didáticas (maleta);App - SpraySelect / SpraySaver;Catalogo TJ / Landing Page / www.teejet.com;"/>
    <s v="40%-60%"/>
    <s v="60%-80%"/>
    <s v="60%-80%"/>
    <s v="&gt; 80%"/>
    <s v="&gt; 80%"/>
    <s v="60%-80%"/>
    <x v="0"/>
    <m/>
    <m/>
    <m/>
    <s v="Bom"/>
    <m/>
    <m/>
    <m/>
    <n v="8"/>
    <s v="Política de brindes "/>
    <n v="8"/>
  </r>
  <r>
    <n v="44"/>
    <d v="2022-05-14T13:31:56"/>
    <d v="2022-05-14T13:35:58"/>
    <s v="Julio.Gomes@teejet.com"/>
    <x v="3"/>
    <s v="Português (Brasil)‎"/>
    <x v="3"/>
    <s v="Alessandro"/>
    <s v="Sim, já é um cliente TeeJet"/>
    <s v="GO"/>
    <x v="3"/>
    <x v="24"/>
    <x v="0"/>
    <x v="31"/>
    <x v="4"/>
    <x v="3"/>
    <x v="4"/>
    <x v="4"/>
    <x v="2"/>
    <x v="2"/>
    <x v="0"/>
    <x v="0"/>
    <x v="2"/>
    <x v="1"/>
    <x v="2"/>
    <x v="2"/>
    <x v="0"/>
    <x v="2"/>
    <x v="2"/>
    <x v="0"/>
    <x v="0"/>
    <x v="0"/>
    <x v="0"/>
    <x v="0"/>
    <x v="0"/>
    <x v="0"/>
    <x v="0"/>
    <m/>
    <s v="Guia de Bolso;App - SpraySelect / SpraySaver;"/>
    <s v="40%-60%"/>
    <s v="40%-60%"/>
    <s v="40%-60%"/>
    <s v="40%-60%"/>
    <s v="40%-60%"/>
    <s v="40%-60%"/>
    <x v="1"/>
    <m/>
    <m/>
    <m/>
    <s v="Excelente"/>
    <m/>
    <m/>
    <m/>
    <n v="8"/>
    <s v="Política de brindes"/>
    <n v="8"/>
  </r>
  <r>
    <n v="45"/>
    <d v="2022-05-14T13:36:44"/>
    <d v="2022-05-14T13:41:07"/>
    <s v="Julio.Gomes@teejet.com"/>
    <x v="3"/>
    <s v="Português (Brasil)‎"/>
    <x v="3"/>
    <s v="Casemaq"/>
    <s v="Sim, já é um cliente TeeJet"/>
    <s v="GO"/>
    <x v="3"/>
    <x v="25"/>
    <x v="7"/>
    <x v="32"/>
    <x v="4"/>
    <x v="3"/>
    <x v="4"/>
    <x v="4"/>
    <x v="2"/>
    <x v="2"/>
    <x v="0"/>
    <x v="2"/>
    <x v="2"/>
    <x v="1"/>
    <x v="0"/>
    <x v="2"/>
    <x v="0"/>
    <x v="2"/>
    <x v="2"/>
    <x v="0"/>
    <x v="0"/>
    <x v="0"/>
    <x v="0"/>
    <x v="0"/>
    <x v="0"/>
    <x v="0"/>
    <x v="0"/>
    <m/>
    <s v="Guia de Bolso;App - SpraySelect / SpraySaver;Catalogo TJ / Landing Page / www.teejet.com;"/>
    <s v="40%-60%"/>
    <s v="40%-60%"/>
    <s v="40%-60%"/>
    <s v="60%-80%"/>
    <s v="40%-60%"/>
    <s v="40%-60%"/>
    <x v="1"/>
    <m/>
    <m/>
    <m/>
    <s v="Bom"/>
    <m/>
    <m/>
    <m/>
    <n v="8"/>
    <s v=" Brindes "/>
    <n v="8"/>
  </r>
  <r>
    <m/>
    <m/>
    <m/>
    <m/>
    <x v="7"/>
    <m/>
    <x v="7"/>
    <m/>
    <m/>
    <m/>
    <x v="6"/>
    <x v="26"/>
    <x v="8"/>
    <x v="33"/>
    <x v="4"/>
    <x v="3"/>
    <x v="4"/>
    <x v="4"/>
    <x v="2"/>
    <x v="2"/>
    <x v="0"/>
    <x v="2"/>
    <x v="2"/>
    <x v="1"/>
    <x v="2"/>
    <x v="2"/>
    <x v="0"/>
    <x v="2"/>
    <x v="2"/>
    <x v="0"/>
    <x v="0"/>
    <x v="0"/>
    <x v="0"/>
    <x v="0"/>
    <x v="0"/>
    <x v="0"/>
    <x v="0"/>
    <m/>
    <m/>
    <m/>
    <m/>
    <m/>
    <m/>
    <m/>
    <m/>
    <x v="2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Valor em reais do TX´s / TXA´s"/>
    <x v="0"/>
    <x v="0"/>
    <n v="21.79354166666667"/>
    <n v="21.5275"/>
    <n v="23.24"/>
    <n v="34.46"/>
    <m/>
    <m/>
    <n v="0"/>
    <n v="0"/>
  </r>
  <r>
    <x v="0"/>
    <s v="Valor em reais do XR-VK"/>
    <x v="1"/>
    <x v="1"/>
    <n v="22.418571428571429"/>
    <n v="34.683333333333337"/>
    <n v="42.24"/>
    <n v="27.18"/>
    <m/>
    <m/>
    <n v="0"/>
    <n v="0"/>
  </r>
  <r>
    <x v="0"/>
    <s v="Valor em reais do TT-VP"/>
    <x v="2"/>
    <x v="2"/>
    <n v="21.502083333333331"/>
    <n v="19.962"/>
    <n v="21.47"/>
    <n v="32.15"/>
    <m/>
    <m/>
    <n v="0"/>
    <n v="0"/>
  </r>
  <r>
    <x v="0"/>
    <s v="Valor em reais do TTJ60"/>
    <x v="3"/>
    <x v="3"/>
    <n v="23.866136363636361"/>
    <n v="21.994"/>
    <n v="20.36"/>
    <n v="41.17"/>
    <m/>
    <m/>
    <n v="0"/>
    <n v="0"/>
  </r>
  <r>
    <x v="0"/>
    <s v="Valor em reais do AIXR-VK"/>
    <x v="4"/>
    <x v="4"/>
    <n v="38.906666666666666"/>
    <n v="38"/>
    <n v="61.75"/>
    <s v="-"/>
    <m/>
    <m/>
    <n v="0"/>
    <n v="0"/>
  </r>
  <r>
    <x v="0"/>
    <s v="Valor em reais do TTI"/>
    <x v="5"/>
    <x v="5"/>
    <n v="50.789285714285704"/>
    <n v="71.103333333333339"/>
    <n v="76.540000000000006"/>
    <n v="59.78"/>
    <m/>
    <m/>
    <n v="0"/>
    <n v="0"/>
  </r>
  <r>
    <x v="0"/>
    <s v="Valor em reais do APTJ (PWM)"/>
    <x v="6"/>
    <x v="6"/>
    <n v="66.67"/>
    <n v="0"/>
    <m/>
    <s v="-"/>
    <m/>
    <m/>
    <n v="0"/>
    <n v="0"/>
  </r>
  <r>
    <x v="1"/>
    <s v="BD (similar ao XR-VK)"/>
    <x v="7"/>
    <x v="1"/>
    <n v="15.186875000000001"/>
    <n v="11.25"/>
    <n v="10.27"/>
    <n v="11.48"/>
    <n v="9.9600000000000009"/>
    <m/>
    <n v="-0.57763061074319355"/>
    <n v="-0.32257614860128719"/>
  </r>
  <r>
    <x v="1"/>
    <s v="MGA (similar ao TXA)"/>
    <x v="8"/>
    <x v="0"/>
    <n v="21.733750000000001"/>
    <n v="19.29"/>
    <n v="19.32"/>
    <n v="24.83"/>
    <n v="21.54"/>
    <m/>
    <n v="-0.27945443993035413"/>
    <n v="-2.7435497901711304E-3"/>
  </r>
  <r>
    <x v="1"/>
    <s v="MAG (similar ao TXA)"/>
    <x v="9"/>
    <x v="0"/>
    <n v="11.574285714285713"/>
    <n v="11.78"/>
    <n v="9.42"/>
    <n v="11"/>
    <n v="9.58"/>
    <m/>
    <n v="-0.6807893209518282"/>
    <n v="-0.46891212583457048"/>
  </r>
  <r>
    <x v="1"/>
    <s v="ST (similar ao TT)"/>
    <x v="10"/>
    <x v="2"/>
    <n v="29.157142857142855"/>
    <n v="21.886000000000003"/>
    <n v="21.06"/>
    <n v="27.08"/>
    <n v="27.8"/>
    <m/>
    <n v="-0.15769828926905133"/>
    <n v="0.35601478262073166"/>
  </r>
  <r>
    <x v="1"/>
    <s v="ST-D (similar ao TTJ60)"/>
    <x v="11"/>
    <x v="3"/>
    <n v="32.017999999999994"/>
    <n v="27.174999999999997"/>
    <n v="27.9"/>
    <n v="35.86"/>
    <n v="29.1"/>
    <m/>
    <n v="-0.12897741073597285"/>
    <n v="0.34156612164439903"/>
  </r>
  <r>
    <x v="1"/>
    <s v="AD-IA (similar ao AIXR/AI -VK)"/>
    <x v="12"/>
    <x v="4"/>
    <n v="37.214999999999996"/>
    <n v="32.962500000000006"/>
    <n v="31.7"/>
    <n v="37.06"/>
    <n v="32.200000000000003"/>
    <m/>
    <n v="0"/>
    <n v="-4.3480123372172809E-2"/>
  </r>
  <r>
    <x v="1"/>
    <s v="STIA (similar ao AITTJ)"/>
    <x v="13"/>
    <x v="7"/>
    <n v="41.616666666666667"/>
    <n v="0"/>
    <m/>
    <n v="44.84"/>
    <n v="38.869999999999997"/>
    <m/>
    <n v="0"/>
    <n v="0"/>
  </r>
  <r>
    <x v="1"/>
    <s v="MUG (similar ao TTI)"/>
    <x v="14"/>
    <x v="5"/>
    <n v="70.614999999999995"/>
    <n v="42.928571428571431"/>
    <m/>
    <n v="78.06"/>
    <n v="55.5"/>
    <m/>
    <n v="0"/>
    <n v="0.39035229590042914"/>
  </r>
  <r>
    <x v="2"/>
    <s v="AXI (similar ao XR-VK)"/>
    <x v="15"/>
    <x v="1"/>
    <n v="25"/>
    <n v="24.18"/>
    <m/>
    <m/>
    <m/>
    <n v="29.11"/>
    <n v="0"/>
    <n v="0.11514688077486775"/>
  </r>
  <r>
    <x v="2"/>
    <s v="JA (similar ao TXA)"/>
    <x v="16"/>
    <x v="0"/>
    <n v="21.0625"/>
    <n v="16.872499999999999"/>
    <m/>
    <m/>
    <m/>
    <n v="23.12"/>
    <n v="0"/>
    <n v="-3.3543958932787943E-2"/>
  </r>
  <r>
    <x v="2"/>
    <s v="ATR (similar ao TXR)"/>
    <x v="17"/>
    <x v="0"/>
    <n v="36.32"/>
    <n v="33.06"/>
    <m/>
    <m/>
    <m/>
    <n v="40.82"/>
    <n v="0"/>
    <n v="0.66654876731447554"/>
  </r>
  <r>
    <x v="2"/>
    <s v="J3D (similar ao TT)"/>
    <x v="18"/>
    <x v="2"/>
    <n v="81.447499999999991"/>
    <n v="62.33"/>
    <m/>
    <m/>
    <m/>
    <n v="105.39"/>
    <n v="0"/>
    <n v="2.787888770467978"/>
  </r>
  <r>
    <x v="2"/>
    <s v="JTT (TT com o nome Jacto)"/>
    <x v="19"/>
    <x v="2"/>
    <n v="28.720000000000002"/>
    <n v="29.96"/>
    <m/>
    <m/>
    <m/>
    <n v="32.340000000000003"/>
    <n v="0"/>
    <n v="0.33568452669315013"/>
  </r>
  <r>
    <x v="2"/>
    <s v="AVI (similar ao AIXR-VK)"/>
    <x v="20"/>
    <x v="4"/>
    <n v="71.692499999999995"/>
    <n v="70.319999999999993"/>
    <m/>
    <m/>
    <m/>
    <n v="75.88"/>
    <n v="0"/>
    <n v="0.84267906100068535"/>
  </r>
  <r>
    <x v="2"/>
    <s v="CVI (similar ao AIXR-VK)"/>
    <x v="21"/>
    <x v="4"/>
    <n v="81.342500000000001"/>
    <n v="78.734999999999999"/>
    <m/>
    <m/>
    <m/>
    <n v="92.68"/>
    <n v="0"/>
    <n v="1.0907085332419466"/>
  </r>
  <r>
    <x v="2"/>
    <s v="JMD (similar ao TTI)"/>
    <x v="22"/>
    <x v="5"/>
    <n v="105.39"/>
    <n v="129.12"/>
    <m/>
    <m/>
    <m/>
    <n v="105.39"/>
    <n v="0"/>
    <n v="1.0750439490893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D971-5B9F-4D91-9B1C-DE24F36542CC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6">
    <pivotField showAll="0"/>
    <pivotField showAll="0"/>
    <pivotField showAll="0"/>
    <pivotField showAll="0"/>
    <pivotField dataField="1" showAll="0">
      <items count="9">
        <item x="5"/>
        <item x="0"/>
        <item x="4"/>
        <item x="2"/>
        <item x="6"/>
        <item x="3"/>
        <item x="1"/>
        <item x="7"/>
        <item t="default"/>
      </items>
    </pivotField>
    <pivotField showAll="0"/>
    <pivotField showAll="0">
      <items count="9">
        <item x="5"/>
        <item x="0"/>
        <item x="4"/>
        <item x="2"/>
        <item x="6"/>
        <item x="3"/>
        <item x="1"/>
        <item x="7"/>
        <item t="default"/>
      </items>
    </pivotField>
    <pivotField showAll="0"/>
    <pivotField showAll="0"/>
    <pivotField showAll="0"/>
    <pivotField showAll="0"/>
    <pivotField showAll="0">
      <items count="28">
        <item x="23"/>
        <item x="19"/>
        <item x="13"/>
        <item x="11"/>
        <item x="17"/>
        <item x="6"/>
        <item x="0"/>
        <item x="25"/>
        <item x="15"/>
        <item x="4"/>
        <item x="24"/>
        <item x="18"/>
        <item x="12"/>
        <item x="1"/>
        <item x="21"/>
        <item x="9"/>
        <item x="7"/>
        <item x="16"/>
        <item x="20"/>
        <item x="22"/>
        <item x="3"/>
        <item x="10"/>
        <item x="8"/>
        <item x="14"/>
        <item x="2"/>
        <item x="5"/>
        <item x="26"/>
        <item t="default"/>
      </items>
    </pivotField>
    <pivotField axis="axisRow" showAll="0" sortType="descending">
      <items count="10">
        <item h="1" x="8"/>
        <item x="4"/>
        <item x="1"/>
        <item x="6"/>
        <item x="2"/>
        <item x="0"/>
        <item x="7"/>
        <item x="5"/>
        <item x="3"/>
        <item t="default"/>
      </items>
    </pivotField>
    <pivotField showAll="0">
      <items count="35">
        <item x="26"/>
        <item x="1"/>
        <item x="29"/>
        <item x="30"/>
        <item x="14"/>
        <item x="15"/>
        <item x="32"/>
        <item x="10"/>
        <item x="7"/>
        <item x="9"/>
        <item x="8"/>
        <item x="6"/>
        <item x="31"/>
        <item x="17"/>
        <item x="27"/>
        <item x="24"/>
        <item x="4"/>
        <item x="13"/>
        <item x="11"/>
        <item x="23"/>
        <item x="25"/>
        <item x="3"/>
        <item x="19"/>
        <item x="22"/>
        <item x="16"/>
        <item x="12"/>
        <item x="28"/>
        <item x="5"/>
        <item x="2"/>
        <item x="0"/>
        <item x="18"/>
        <item x="21"/>
        <item x="2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N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938AD-E1FA-4D60-B7E9-E82E4BDE08F5}" name="Tabela dinâmica2" cacheId="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">
  <location ref="A3:F8" firstHeaderRow="0" firstDataRow="1" firstDataCol="1" rowPageCount="1" colPageCount="1"/>
  <pivotFields count="12">
    <pivotField axis="axisRow" showAll="0" defaultSubtotal="0">
      <items count="3">
        <item h="1" x="2"/>
        <item x="1"/>
        <item x="0"/>
      </items>
    </pivotField>
    <pivotField showAll="0"/>
    <pivotField axis="axisRow" showAll="0">
      <items count="24">
        <item x="12"/>
        <item x="4"/>
        <item x="6"/>
        <item x="17"/>
        <item x="20"/>
        <item x="15"/>
        <item x="7"/>
        <item x="21"/>
        <item x="18"/>
        <item x="16"/>
        <item x="22"/>
        <item x="19"/>
        <item x="9"/>
        <item x="8"/>
        <item x="14"/>
        <item x="10"/>
        <item x="11"/>
        <item x="13"/>
        <item x="5"/>
        <item x="3"/>
        <item x="2"/>
        <item x="0"/>
        <item x="1"/>
        <item t="default"/>
      </items>
    </pivotField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dataField="1" numFmtId="164" showAll="0"/>
    <pivotField dataField="1" showAll="0"/>
    <pivotField dataField="1" showAll="0"/>
    <pivotField dataField="1" showAll="0"/>
    <pivotField dataField="1" showAll="0"/>
    <pivotField showAll="0"/>
    <pivotField numFmtId="9" showAll="0"/>
    <pivotField numFmtId="9" showAll="0"/>
  </pivotFields>
  <rowFields count="2">
    <field x="0"/>
    <field x="2"/>
  </rowFields>
  <rowItems count="5">
    <i>
      <x v="1"/>
    </i>
    <i r="1">
      <x v="12"/>
    </i>
    <i r="1">
      <x v="13"/>
    </i>
    <i>
      <x v="2"/>
    </i>
    <i r="1">
      <x v="2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oma de Web - DRS Pulverizadores " fld="8" baseField="0" baseItem="0"/>
    <dataField name="Soma de Web- Canal Agrícola 2021" fld="6" baseField="0" baseItem="0"/>
    <dataField name="Soma de Web- Canal Agrícola 2022" fld="7" baseField="2" baseItem="12"/>
    <dataField name="Soma de Average 2021" fld="5" baseField="0" baseItem="0"/>
    <dataField name="Soma de Average 2022" fld="4" baseField="0" baseItem="0"/>
  </dataFields>
  <formats count="1">
    <format dxfId="2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5AC85-CBC9-4D8E-A0E3-C310310C05C1}" name="Tabela dinâmica15" cacheId="9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">
  <location ref="A4:E6" firstHeaderRow="0" firstDataRow="1" firstDataCol="1" rowPageCount="2" colPageCount="1"/>
  <pivotFields count="12">
    <pivotField axis="axisPage" multipleItemSelectionAllowed="1" showAll="0">
      <items count="4">
        <item h="1" x="2"/>
        <item x="1"/>
        <item x="0"/>
        <item t="default"/>
      </items>
    </pivotField>
    <pivotField showAll="0"/>
    <pivotField axis="axisRow" showAll="0">
      <items count="24">
        <item x="12"/>
        <item x="4"/>
        <item x="6"/>
        <item x="17"/>
        <item x="20"/>
        <item x="15"/>
        <item x="7"/>
        <item x="21"/>
        <item x="18"/>
        <item x="16"/>
        <item x="22"/>
        <item x="19"/>
        <item x="9"/>
        <item x="8"/>
        <item x="14"/>
        <item x="10"/>
        <item x="11"/>
        <item x="13"/>
        <item x="5"/>
        <item x="3"/>
        <item x="2"/>
        <item x="0"/>
        <item x="1"/>
        <item t="default"/>
      </items>
    </pivotField>
    <pivotField axis="axisPage" multipleItemSelectionAllowed="1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numFmtId="164" showAll="0"/>
    <pivotField showAll="0"/>
    <pivotField dataField="1" showAll="0"/>
    <pivotField dataField="1" showAll="0"/>
    <pivotField showAll="0"/>
    <pivotField showAll="0"/>
    <pivotField dataField="1" numFmtId="9" showAll="0"/>
    <pivotField dataField="1" numFmtId="9" showAll="0"/>
  </pivotFields>
  <rowFields count="1">
    <field x="2"/>
  </rowFields>
  <rowItems count="2">
    <i>
      <x v="15"/>
    </i>
    <i>
      <x v="2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oma de Web- Canal Agrícola 2021" fld="6" baseField="0" baseItem="0" numFmtId="164"/>
    <dataField name="Soma de Web- Canal Agrícola 2022" fld="7" baseField="2" baseItem="12" numFmtId="164"/>
    <dataField name="Soma de % Variation - Canal Web" fld="10" baseField="0" baseItem="0" numFmtId="9"/>
    <dataField name="Soma de % Variation - Market" fld="11" baseField="0" baseItem="0" numFmtId="9"/>
  </dataFields>
  <formats count="6"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A2D99-A6DB-4941-9CC2-B8EE2E42522C}" name="Tabela dinâmica1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X11" firstHeaderRow="0" firstDataRow="1" firstDataCol="1"/>
  <pivotFields count="5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4"/>
        <item x="5"/>
        <item x="0"/>
        <item x="1"/>
        <item x="3"/>
        <item x="2"/>
        <item x="6"/>
        <item t="default"/>
      </items>
    </pivotField>
    <pivotField showAll="0">
      <items count="28">
        <item x="23"/>
        <item x="19"/>
        <item x="13"/>
        <item x="11"/>
        <item x="17"/>
        <item x="6"/>
        <item x="0"/>
        <item x="25"/>
        <item x="15"/>
        <item x="4"/>
        <item x="24"/>
        <item x="18"/>
        <item x="12"/>
        <item x="1"/>
        <item x="21"/>
        <item x="9"/>
        <item x="7"/>
        <item x="16"/>
        <item x="20"/>
        <item x="22"/>
        <item x="3"/>
        <item x="10"/>
        <item x="8"/>
        <item x="14"/>
        <item x="2"/>
        <item x="5"/>
        <item x="26"/>
        <item t="default"/>
      </items>
    </pivotField>
    <pivotField showAll="0"/>
    <pivotField showAll="0"/>
    <pivotField dataField="1" showAll="0">
      <items count="7">
        <item x="2"/>
        <item x="5"/>
        <item x="1"/>
        <item x="0"/>
        <item x="3"/>
        <item x="4"/>
        <item t="default"/>
      </items>
    </pivotField>
    <pivotField dataField="1" showAll="0">
      <items count="6">
        <item x="2"/>
        <item x="4"/>
        <item x="0"/>
        <item x="1"/>
        <item x="3"/>
        <item t="default"/>
      </items>
    </pivotField>
    <pivotField dataField="1" showAll="0">
      <items count="7">
        <item x="2"/>
        <item x="5"/>
        <item x="3"/>
        <item x="0"/>
        <item x="1"/>
        <item x="4"/>
        <item t="default"/>
      </items>
    </pivotField>
    <pivotField dataField="1" showAll="0">
      <items count="8">
        <item x="2"/>
        <item x="1"/>
        <item x="5"/>
        <item x="6"/>
        <item x="0"/>
        <item x="3"/>
        <item x="4"/>
        <item t="default"/>
      </items>
    </pivotField>
    <pivotField dataField="1" showAll="0">
      <items count="8">
        <item x="5"/>
        <item x="3"/>
        <item x="6"/>
        <item x="4"/>
        <item x="1"/>
        <item x="0"/>
        <item x="2"/>
        <item t="default"/>
      </items>
    </pivotField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  <pivotField dataField="1" showAll="0">
      <items count="5">
        <item x="1"/>
        <item x="0"/>
        <item x="3"/>
        <item x="2"/>
        <item t="default"/>
      </items>
    </pivotField>
    <pivotField dataField="1" showAll="0">
      <items count="6">
        <item x="3"/>
        <item x="4"/>
        <item x="1"/>
        <item x="0"/>
        <item x="2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dataField="1" showAll="0">
      <items count="6">
        <item x="3"/>
        <item x="4"/>
        <item x="0"/>
        <item x="1"/>
        <item x="2"/>
        <item t="default"/>
      </items>
    </pivotField>
    <pivotField dataField="1" showAll="0">
      <items count="6">
        <item x="3"/>
        <item x="4"/>
        <item x="0"/>
        <item x="1"/>
        <item x="2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dataFields count="23">
    <dataField name="Contagem de Valor em reais do TX´s / TXA´s" fld="14" subtotal="count" baseField="0" baseItem="0"/>
    <dataField name="Contagem de Valor em reais do XR-VK" fld="15" subtotal="count" baseField="0" baseItem="0"/>
    <dataField name="Contagem de Valor em reais do TT-VP" fld="16" subtotal="count" baseField="0" baseItem="0"/>
    <dataField name="Contagem de Valor em reais do TTJ60" fld="17" subtotal="count" baseField="0" baseItem="0"/>
    <dataField name="Contagem de BD (similar ao XR-VK)" fld="21" subtotal="count" baseField="0" baseItem="0"/>
    <dataField name="Contagem de CVI (similar ao AIXR-VK)" fld="35" subtotal="count" baseField="0" baseItem="0"/>
    <dataField name="Contagem de AVI (similar ao AIXR-VK)" fld="34" subtotal="count" baseField="0" baseItem="0"/>
    <dataField name="Contagem de J3D (similar ao TT)" fld="32" subtotal="count" baseField="0" baseItem="0"/>
    <dataField name="Contagem de JMD (similar ao TTI)" fld="36" subtotal="count" baseField="0" baseItem="0"/>
    <dataField name="Contagem de STIA (similar ao AITTJ)" fld="27" subtotal="count" baseField="0" baseItem="0"/>
    <dataField name="Contagem de JTT (TT com o nome Jacto)" fld="33" subtotal="count" baseField="0" baseItem="0"/>
    <dataField name="Contagem de JA (similar ao TXA)" fld="30" subtotal="count" baseField="0" baseItem="0"/>
    <dataField name="Contagem de Valor em reais do AIXR-VK" fld="18" subtotal="count" baseField="0" baseItem="0"/>
    <dataField name="Contagem de ATR (similar ao TXR)" fld="31" subtotal="count" baseField="0" baseItem="0"/>
    <dataField name="Contagem de MUG (similar ao TTI)" fld="28" subtotal="count" baseField="0" baseItem="0"/>
    <dataField name="Contagem de AXI (similar ao XR-VK)" fld="29" subtotal="count" baseField="0" baseItem="0"/>
    <dataField name="Contagem de AD-IA (similar ao AIXR/AI -VK)" fld="26" subtotal="count" baseField="0" baseItem="0"/>
    <dataField name="Contagem de ST-D (similar ao TTJ60)" fld="25" subtotal="count" baseField="0" baseItem="0"/>
    <dataField name="Contagem de ST (similar ao TT)" fld="24" subtotal="count" baseField="0" baseItem="0"/>
    <dataField name="Contagem de MAG (similar ao TXA)" fld="23" subtotal="count" baseField="0" baseItem="0"/>
    <dataField name="Contagem de Valor em reais do TTI" fld="19" subtotal="count" baseField="0" baseItem="0"/>
    <dataField name="Contagem de Valor em reais do APTJ (PWM)" fld="20" subtotal="count" baseField="0" baseItem="0"/>
    <dataField name="Contagem de MGA (similar ao TXA)" fld="22" subtotal="count" baseField="0" baseItem="0"/>
  </dataFields>
  <chartFormats count="1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10" count="1" selected="0">
            <x v="6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3"/>
          </reference>
          <reference field="10" count="1" selected="0">
            <x v="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3"/>
          </reference>
          <reference field="10" count="1" selected="0">
            <x v="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3"/>
          </reference>
          <reference field="10" count="1" selected="0">
            <x v="3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3"/>
          </reference>
          <reference field="10" count="1" selected="0">
            <x v="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10" count="1" selected="0">
            <x v="5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10" count="1" selected="0">
            <x v="6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4"/>
          </reference>
          <reference field="10" count="1" selected="0">
            <x v="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4"/>
          </reference>
          <reference field="10" count="1" selected="0">
            <x v="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4"/>
          </reference>
          <reference field="10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4"/>
          </reference>
          <reference field="10" count="1" selected="0">
            <x v="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4"/>
          </reference>
          <reference field="10" count="1" selected="0">
            <x v="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4"/>
          </reference>
          <reference field="10" count="1" selected="0">
            <x v="5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4"/>
          </reference>
          <reference field="10" count="1" selected="0">
            <x v="6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5"/>
          </reference>
          <reference field="10" count="1" selected="0">
            <x v="0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5"/>
          </reference>
          <reference field="10" count="1" selected="0">
            <x v="1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5"/>
          </reference>
          <reference field="10" count="1" selected="0">
            <x v="2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5"/>
          </reference>
          <reference field="10" count="1" selected="0">
            <x v="3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5"/>
          </reference>
          <reference field="10" count="1" selected="0">
            <x v="4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5"/>
          </reference>
          <reference field="10" count="1" selected="0">
            <x v="5"/>
          </reference>
        </references>
      </pivotArea>
    </chartFormat>
    <chartFormat chart="0" format="64">
      <pivotArea type="data" outline="0" fieldPosition="0">
        <references count="2">
          <reference field="4294967294" count="1" selected="0">
            <x v="5"/>
          </reference>
          <reference field="10" count="1" selected="0">
            <x v="6"/>
          </reference>
        </references>
      </pivotArea>
    </chartFormat>
    <chartFormat chart="0" format="65">
      <pivotArea type="data" outline="0" fieldPosition="0">
        <references count="2">
          <reference field="4294967294" count="1" selected="0">
            <x v="6"/>
          </reference>
          <reference field="10" count="1" selected="0">
            <x v="0"/>
          </reference>
        </references>
      </pivotArea>
    </chartFormat>
    <chartFormat chart="0" format="66">
      <pivotArea type="data" outline="0" fieldPosition="0">
        <references count="2">
          <reference field="4294967294" count="1" selected="0">
            <x v="6"/>
          </reference>
          <reference field="10" count="1" selected="0">
            <x v="1"/>
          </reference>
        </references>
      </pivotArea>
    </chartFormat>
    <chartFormat chart="0" format="67">
      <pivotArea type="data" outline="0" fieldPosition="0">
        <references count="2">
          <reference field="4294967294" count="1" selected="0">
            <x v="6"/>
          </reference>
          <reference field="10" count="1" selected="0">
            <x v="2"/>
          </reference>
        </references>
      </pivotArea>
    </chartFormat>
    <chartFormat chart="0" format="68">
      <pivotArea type="data" outline="0" fieldPosition="0">
        <references count="2">
          <reference field="4294967294" count="1" selected="0">
            <x v="6"/>
          </reference>
          <reference field="10" count="1" selected="0">
            <x v="3"/>
          </reference>
        </references>
      </pivotArea>
    </chartFormat>
    <chartFormat chart="0" format="69">
      <pivotArea type="data" outline="0" fieldPosition="0">
        <references count="2">
          <reference field="4294967294" count="1" selected="0">
            <x v="6"/>
          </reference>
          <reference field="10" count="1" selected="0">
            <x v="4"/>
          </reference>
        </references>
      </pivotArea>
    </chartFormat>
    <chartFormat chart="0" format="70">
      <pivotArea type="data" outline="0" fieldPosition="0">
        <references count="2">
          <reference field="4294967294" count="1" selected="0">
            <x v="6"/>
          </reference>
          <reference field="10" count="1" selected="0">
            <x v="5"/>
          </reference>
        </references>
      </pivotArea>
    </chartFormat>
    <chartFormat chart="0" format="71">
      <pivotArea type="data" outline="0" fieldPosition="0">
        <references count="2">
          <reference field="4294967294" count="1" selected="0">
            <x v="6"/>
          </reference>
          <reference field="10" count="1" selected="0">
            <x v="6"/>
          </reference>
        </references>
      </pivotArea>
    </chartFormat>
    <chartFormat chart="0" format="72">
      <pivotArea type="data" outline="0" fieldPosition="0">
        <references count="2">
          <reference field="4294967294" count="1" selected="0">
            <x v="7"/>
          </reference>
          <reference field="10" count="1" selected="0">
            <x v="0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7"/>
          </reference>
          <reference field="10" count="1" selected="0">
            <x v="1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7"/>
          </reference>
          <reference field="10" count="1" selected="0">
            <x v="2"/>
          </reference>
        </references>
      </pivotArea>
    </chartFormat>
    <chartFormat chart="0" format="75">
      <pivotArea type="data" outline="0" fieldPosition="0">
        <references count="2">
          <reference field="4294967294" count="1" selected="0">
            <x v="7"/>
          </reference>
          <reference field="10" count="1" selected="0">
            <x v="3"/>
          </reference>
        </references>
      </pivotArea>
    </chartFormat>
    <chartFormat chart="0" format="76">
      <pivotArea type="data" outline="0" fieldPosition="0">
        <references count="2">
          <reference field="4294967294" count="1" selected="0">
            <x v="7"/>
          </reference>
          <reference field="10" count="1" selected="0">
            <x v="4"/>
          </reference>
        </references>
      </pivotArea>
    </chartFormat>
    <chartFormat chart="0" format="77">
      <pivotArea type="data" outline="0" fieldPosition="0">
        <references count="2">
          <reference field="4294967294" count="1" selected="0">
            <x v="7"/>
          </reference>
          <reference field="10" count="1" selected="0">
            <x v="5"/>
          </reference>
        </references>
      </pivotArea>
    </chartFormat>
    <chartFormat chart="0" format="78">
      <pivotArea type="data" outline="0" fieldPosition="0">
        <references count="2">
          <reference field="4294967294" count="1" selected="0">
            <x v="7"/>
          </reference>
          <reference field="10" count="1" selected="0">
            <x v="6"/>
          </reference>
        </references>
      </pivotArea>
    </chartFormat>
    <chartFormat chart="0" format="79">
      <pivotArea type="data" outline="0" fieldPosition="0">
        <references count="2">
          <reference field="4294967294" count="1" selected="0">
            <x v="8"/>
          </reference>
          <reference field="10" count="1" selected="0">
            <x v="0"/>
          </reference>
        </references>
      </pivotArea>
    </chartFormat>
    <chartFormat chart="0" format="80">
      <pivotArea type="data" outline="0" fieldPosition="0">
        <references count="2">
          <reference field="4294967294" count="1" selected="0">
            <x v="8"/>
          </reference>
          <reference field="10" count="1" selected="0">
            <x v="1"/>
          </reference>
        </references>
      </pivotArea>
    </chartFormat>
    <chartFormat chart="0" format="81">
      <pivotArea type="data" outline="0" fieldPosition="0">
        <references count="2">
          <reference field="4294967294" count="1" selected="0">
            <x v="8"/>
          </reference>
          <reference field="10" count="1" selected="0">
            <x v="2"/>
          </reference>
        </references>
      </pivotArea>
    </chartFormat>
    <chartFormat chart="0" format="82">
      <pivotArea type="data" outline="0" fieldPosition="0">
        <references count="2">
          <reference field="4294967294" count="1" selected="0">
            <x v="8"/>
          </reference>
          <reference field="10" count="1" selected="0">
            <x v="3"/>
          </reference>
        </references>
      </pivotArea>
    </chartFormat>
    <chartFormat chart="0" format="83">
      <pivotArea type="data" outline="0" fieldPosition="0">
        <references count="2">
          <reference field="4294967294" count="1" selected="0">
            <x v="8"/>
          </reference>
          <reference field="10" count="1" selected="0">
            <x v="4"/>
          </reference>
        </references>
      </pivotArea>
    </chartFormat>
    <chartFormat chart="0" format="84">
      <pivotArea type="data" outline="0" fieldPosition="0">
        <references count="2">
          <reference field="4294967294" count="1" selected="0">
            <x v="8"/>
          </reference>
          <reference field="10" count="1" selected="0">
            <x v="5"/>
          </reference>
        </references>
      </pivotArea>
    </chartFormat>
    <chartFormat chart="0" format="85">
      <pivotArea type="data" outline="0" fieldPosition="0">
        <references count="2">
          <reference field="4294967294" count="1" selected="0">
            <x v="8"/>
          </reference>
          <reference field="10" count="1" selected="0">
            <x v="6"/>
          </reference>
        </references>
      </pivotArea>
    </chartFormat>
    <chartFormat chart="0" format="86">
      <pivotArea type="data" outline="0" fieldPosition="0">
        <references count="2">
          <reference field="4294967294" count="1" selected="0">
            <x v="9"/>
          </reference>
          <reference field="10" count="1" selected="0">
            <x v="0"/>
          </reference>
        </references>
      </pivotArea>
    </chartFormat>
    <chartFormat chart="0" format="87">
      <pivotArea type="data" outline="0" fieldPosition="0">
        <references count="2">
          <reference field="4294967294" count="1" selected="0">
            <x v="9"/>
          </reference>
          <reference field="10" count="1" selected="0">
            <x v="1"/>
          </reference>
        </references>
      </pivotArea>
    </chartFormat>
    <chartFormat chart="0" format="88">
      <pivotArea type="data" outline="0" fieldPosition="0">
        <references count="2">
          <reference field="4294967294" count="1" selected="0">
            <x v="9"/>
          </reference>
          <reference field="10" count="1" selected="0">
            <x v="2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9"/>
          </reference>
          <reference field="10" count="1" selected="0">
            <x v="3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9"/>
          </reference>
          <reference field="10" count="1" selected="0">
            <x v="4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9"/>
          </reference>
          <reference field="10" count="1" selected="0">
            <x v="5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9"/>
          </reference>
          <reference field="10" count="1" selected="0">
            <x v="6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10"/>
          </reference>
          <reference field="10" count="1" selected="0">
            <x v="0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10"/>
          </reference>
          <reference field="10" count="1" selected="0">
            <x v="1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10"/>
          </reference>
          <reference field="10" count="1" selected="0">
            <x v="2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10"/>
          </reference>
          <reference field="10" count="1" selected="0">
            <x v="3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10"/>
          </reference>
          <reference field="10" count="1" selected="0">
            <x v="4"/>
          </reference>
        </references>
      </pivotArea>
    </chartFormat>
    <chartFormat chart="0" format="98">
      <pivotArea type="data" outline="0" fieldPosition="0">
        <references count="2">
          <reference field="4294967294" count="1" selected="0">
            <x v="10"/>
          </reference>
          <reference field="10" count="1" selected="0">
            <x v="5"/>
          </reference>
        </references>
      </pivotArea>
    </chartFormat>
    <chartFormat chart="0" format="99">
      <pivotArea type="data" outline="0" fieldPosition="0">
        <references count="2">
          <reference field="4294967294" count="1" selected="0">
            <x v="10"/>
          </reference>
          <reference field="10" count="1" selected="0">
            <x v="6"/>
          </reference>
        </references>
      </pivotArea>
    </chartFormat>
    <chartFormat chart="0" format="100">
      <pivotArea type="data" outline="0" fieldPosition="0">
        <references count="2">
          <reference field="4294967294" count="1" selected="0">
            <x v="11"/>
          </reference>
          <reference field="10" count="1" selected="0">
            <x v="0"/>
          </reference>
        </references>
      </pivotArea>
    </chartFormat>
    <chartFormat chart="0" format="101">
      <pivotArea type="data" outline="0" fieldPosition="0">
        <references count="2">
          <reference field="4294967294" count="1" selected="0">
            <x v="11"/>
          </reference>
          <reference field="10" count="1" selected="0">
            <x v="1"/>
          </reference>
        </references>
      </pivotArea>
    </chartFormat>
    <chartFormat chart="0" format="102">
      <pivotArea type="data" outline="0" fieldPosition="0">
        <references count="2">
          <reference field="4294967294" count="1" selected="0">
            <x v="11"/>
          </reference>
          <reference field="10" count="1" selected="0">
            <x v="2"/>
          </reference>
        </references>
      </pivotArea>
    </chartFormat>
    <chartFormat chart="0" format="103">
      <pivotArea type="data" outline="0" fieldPosition="0">
        <references count="2">
          <reference field="4294967294" count="1" selected="0">
            <x v="11"/>
          </reference>
          <reference field="10" count="1" selected="0">
            <x v="3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11"/>
          </reference>
          <reference field="10" count="1" selected="0">
            <x v="4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11"/>
          </reference>
          <reference field="10" count="1" selected="0">
            <x v="5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11"/>
          </reference>
          <reference field="10" count="1" selected="0">
            <x v="6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12"/>
          </reference>
          <reference field="10" count="1" selected="0">
            <x v="0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12"/>
          </reference>
          <reference field="10" count="1" selected="0">
            <x v="1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12"/>
          </reference>
          <reference field="10" count="1" selected="0">
            <x v="2"/>
          </reference>
        </references>
      </pivotArea>
    </chartFormat>
    <chartFormat chart="0" format="110">
      <pivotArea type="data" outline="0" fieldPosition="0">
        <references count="2">
          <reference field="4294967294" count="1" selected="0">
            <x v="12"/>
          </reference>
          <reference field="10" count="1" selected="0">
            <x v="3"/>
          </reference>
        </references>
      </pivotArea>
    </chartFormat>
    <chartFormat chart="0" format="111">
      <pivotArea type="data" outline="0" fieldPosition="0">
        <references count="2">
          <reference field="4294967294" count="1" selected="0">
            <x v="12"/>
          </reference>
          <reference field="10" count="1" selected="0">
            <x v="4"/>
          </reference>
        </references>
      </pivotArea>
    </chartFormat>
    <chartFormat chart="0" format="112">
      <pivotArea type="data" outline="0" fieldPosition="0">
        <references count="2">
          <reference field="4294967294" count="1" selected="0">
            <x v="12"/>
          </reference>
          <reference field="10" count="1" selected="0">
            <x v="5"/>
          </reference>
        </references>
      </pivotArea>
    </chartFormat>
    <chartFormat chart="0" format="113">
      <pivotArea type="data" outline="0" fieldPosition="0">
        <references count="2">
          <reference field="4294967294" count="1" selected="0">
            <x v="12"/>
          </reference>
          <reference field="10" count="1" selected="0">
            <x v="6"/>
          </reference>
        </references>
      </pivotArea>
    </chartFormat>
    <chartFormat chart="0" format="114">
      <pivotArea type="data" outline="0" fieldPosition="0">
        <references count="2">
          <reference field="4294967294" count="1" selected="0">
            <x v="13"/>
          </reference>
          <reference field="10" count="1" selected="0">
            <x v="0"/>
          </reference>
        </references>
      </pivotArea>
    </chartFormat>
    <chartFormat chart="0" format="115">
      <pivotArea type="data" outline="0" fieldPosition="0">
        <references count="2">
          <reference field="4294967294" count="1" selected="0">
            <x v="13"/>
          </reference>
          <reference field="10" count="1" selected="0">
            <x v="1"/>
          </reference>
        </references>
      </pivotArea>
    </chartFormat>
    <chartFormat chart="0" format="116">
      <pivotArea type="data" outline="0" fieldPosition="0">
        <references count="2">
          <reference field="4294967294" count="1" selected="0">
            <x v="13"/>
          </reference>
          <reference field="10" count="1" selected="0">
            <x v="2"/>
          </reference>
        </references>
      </pivotArea>
    </chartFormat>
    <chartFormat chart="0" format="117">
      <pivotArea type="data" outline="0" fieldPosition="0">
        <references count="2">
          <reference field="4294967294" count="1" selected="0">
            <x v="13"/>
          </reference>
          <reference field="10" count="1" selected="0">
            <x v="3"/>
          </reference>
        </references>
      </pivotArea>
    </chartFormat>
    <chartFormat chart="0" format="118">
      <pivotArea type="data" outline="0" fieldPosition="0">
        <references count="2">
          <reference field="4294967294" count="1" selected="0">
            <x v="13"/>
          </reference>
          <reference field="10" count="1" selected="0">
            <x v="4"/>
          </reference>
        </references>
      </pivotArea>
    </chartFormat>
    <chartFormat chart="0" format="119">
      <pivotArea type="data" outline="0" fieldPosition="0">
        <references count="2">
          <reference field="4294967294" count="1" selected="0">
            <x v="13"/>
          </reference>
          <reference field="10" count="1" selected="0">
            <x v="5"/>
          </reference>
        </references>
      </pivotArea>
    </chartFormat>
    <chartFormat chart="0" format="120">
      <pivotArea type="data" outline="0" fieldPosition="0">
        <references count="2">
          <reference field="4294967294" count="1" selected="0">
            <x v="13"/>
          </reference>
          <reference field="10" count="1" selected="0">
            <x v="6"/>
          </reference>
        </references>
      </pivotArea>
    </chartFormat>
    <chartFormat chart="0" format="121">
      <pivotArea type="data" outline="0" fieldPosition="0">
        <references count="2">
          <reference field="4294967294" count="1" selected="0">
            <x v="14"/>
          </reference>
          <reference field="10" count="1" selected="0">
            <x v="0"/>
          </reference>
        </references>
      </pivotArea>
    </chartFormat>
    <chartFormat chart="0" format="122">
      <pivotArea type="data" outline="0" fieldPosition="0">
        <references count="2">
          <reference field="4294967294" count="1" selected="0">
            <x v="14"/>
          </reference>
          <reference field="10" count="1" selected="0">
            <x v="1"/>
          </reference>
        </references>
      </pivotArea>
    </chartFormat>
    <chartFormat chart="0" format="123">
      <pivotArea type="data" outline="0" fieldPosition="0">
        <references count="2">
          <reference field="4294967294" count="1" selected="0">
            <x v="14"/>
          </reference>
          <reference field="10" count="1" selected="0">
            <x v="2"/>
          </reference>
        </references>
      </pivotArea>
    </chartFormat>
    <chartFormat chart="0" format="124">
      <pivotArea type="data" outline="0" fieldPosition="0">
        <references count="2">
          <reference field="4294967294" count="1" selected="0">
            <x v="14"/>
          </reference>
          <reference field="10" count="1" selected="0">
            <x v="3"/>
          </reference>
        </references>
      </pivotArea>
    </chartFormat>
    <chartFormat chart="0" format="125">
      <pivotArea type="data" outline="0" fieldPosition="0">
        <references count="2">
          <reference field="4294967294" count="1" selected="0">
            <x v="14"/>
          </reference>
          <reference field="10" count="1" selected="0">
            <x v="4"/>
          </reference>
        </references>
      </pivotArea>
    </chartFormat>
    <chartFormat chart="0" format="126">
      <pivotArea type="data" outline="0" fieldPosition="0">
        <references count="2">
          <reference field="4294967294" count="1" selected="0">
            <x v="14"/>
          </reference>
          <reference field="10" count="1" selected="0">
            <x v="5"/>
          </reference>
        </references>
      </pivotArea>
    </chartFormat>
    <chartFormat chart="0" format="127">
      <pivotArea type="data" outline="0" fieldPosition="0">
        <references count="2">
          <reference field="4294967294" count="1" selected="0">
            <x v="14"/>
          </reference>
          <reference field="10" count="1" selected="0">
            <x v="6"/>
          </reference>
        </references>
      </pivotArea>
    </chartFormat>
    <chartFormat chart="0" format="128">
      <pivotArea type="data" outline="0" fieldPosition="0">
        <references count="2">
          <reference field="4294967294" count="1" selected="0">
            <x v="15"/>
          </reference>
          <reference field="10" count="1" selected="0">
            <x v="0"/>
          </reference>
        </references>
      </pivotArea>
    </chartFormat>
    <chartFormat chart="0" format="129">
      <pivotArea type="data" outline="0" fieldPosition="0">
        <references count="2">
          <reference field="4294967294" count="1" selected="0">
            <x v="15"/>
          </reference>
          <reference field="10" count="1" selected="0">
            <x v="1"/>
          </reference>
        </references>
      </pivotArea>
    </chartFormat>
    <chartFormat chart="0" format="130">
      <pivotArea type="data" outline="0" fieldPosition="0">
        <references count="2">
          <reference field="4294967294" count="1" selected="0">
            <x v="15"/>
          </reference>
          <reference field="10" count="1" selected="0">
            <x v="2"/>
          </reference>
        </references>
      </pivotArea>
    </chartFormat>
    <chartFormat chart="0" format="131">
      <pivotArea type="data" outline="0" fieldPosition="0">
        <references count="2">
          <reference field="4294967294" count="1" selected="0">
            <x v="15"/>
          </reference>
          <reference field="10" count="1" selected="0">
            <x v="3"/>
          </reference>
        </references>
      </pivotArea>
    </chartFormat>
    <chartFormat chart="0" format="132">
      <pivotArea type="data" outline="0" fieldPosition="0">
        <references count="2">
          <reference field="4294967294" count="1" selected="0">
            <x v="15"/>
          </reference>
          <reference field="10" count="1" selected="0">
            <x v="4"/>
          </reference>
        </references>
      </pivotArea>
    </chartFormat>
    <chartFormat chart="0" format="133">
      <pivotArea type="data" outline="0" fieldPosition="0">
        <references count="2">
          <reference field="4294967294" count="1" selected="0">
            <x v="15"/>
          </reference>
          <reference field="10" count="1" selected="0">
            <x v="5"/>
          </reference>
        </references>
      </pivotArea>
    </chartFormat>
    <chartFormat chart="0" format="134">
      <pivotArea type="data" outline="0" fieldPosition="0">
        <references count="2">
          <reference field="4294967294" count="1" selected="0">
            <x v="15"/>
          </reference>
          <reference field="10" count="1" selected="0">
            <x v="6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16"/>
          </reference>
          <reference field="10" count="1" selected="0">
            <x v="0"/>
          </reference>
        </references>
      </pivotArea>
    </chartFormat>
    <chartFormat chart="0" format="136">
      <pivotArea type="data" outline="0" fieldPosition="0">
        <references count="2">
          <reference field="4294967294" count="1" selected="0">
            <x v="16"/>
          </reference>
          <reference field="10" count="1" selected="0">
            <x v="1"/>
          </reference>
        </references>
      </pivotArea>
    </chartFormat>
    <chartFormat chart="0" format="137">
      <pivotArea type="data" outline="0" fieldPosition="0">
        <references count="2">
          <reference field="4294967294" count="1" selected="0">
            <x v="16"/>
          </reference>
          <reference field="10" count="1" selected="0">
            <x v="2"/>
          </reference>
        </references>
      </pivotArea>
    </chartFormat>
    <chartFormat chart="0" format="138">
      <pivotArea type="data" outline="0" fieldPosition="0">
        <references count="2">
          <reference field="4294967294" count="1" selected="0">
            <x v="16"/>
          </reference>
          <reference field="10" count="1" selected="0">
            <x v="3"/>
          </reference>
        </references>
      </pivotArea>
    </chartFormat>
    <chartFormat chart="0" format="139">
      <pivotArea type="data" outline="0" fieldPosition="0">
        <references count="2">
          <reference field="4294967294" count="1" selected="0">
            <x v="16"/>
          </reference>
          <reference field="10" count="1" selected="0">
            <x v="4"/>
          </reference>
        </references>
      </pivotArea>
    </chartFormat>
    <chartFormat chart="0" format="140">
      <pivotArea type="data" outline="0" fieldPosition="0">
        <references count="2">
          <reference field="4294967294" count="1" selected="0">
            <x v="16"/>
          </reference>
          <reference field="10" count="1" selected="0">
            <x v="5"/>
          </reference>
        </references>
      </pivotArea>
    </chartFormat>
    <chartFormat chart="0" format="141">
      <pivotArea type="data" outline="0" fieldPosition="0">
        <references count="2">
          <reference field="4294967294" count="1" selected="0">
            <x v="16"/>
          </reference>
          <reference field="10" count="1" selected="0">
            <x v="6"/>
          </reference>
        </references>
      </pivotArea>
    </chartFormat>
    <chartFormat chart="0" format="142">
      <pivotArea type="data" outline="0" fieldPosition="0">
        <references count="2">
          <reference field="4294967294" count="1" selected="0">
            <x v="17"/>
          </reference>
          <reference field="10" count="1" selected="0">
            <x v="0"/>
          </reference>
        </references>
      </pivotArea>
    </chartFormat>
    <chartFormat chart="0" format="143">
      <pivotArea type="data" outline="0" fieldPosition="0">
        <references count="2">
          <reference field="4294967294" count="1" selected="0">
            <x v="17"/>
          </reference>
          <reference field="10" count="1" selected="0">
            <x v="1"/>
          </reference>
        </references>
      </pivotArea>
    </chartFormat>
    <chartFormat chart="0" format="144">
      <pivotArea type="data" outline="0" fieldPosition="0">
        <references count="2">
          <reference field="4294967294" count="1" selected="0">
            <x v="17"/>
          </reference>
          <reference field="10" count="1" selected="0">
            <x v="2"/>
          </reference>
        </references>
      </pivotArea>
    </chartFormat>
    <chartFormat chart="0" format="145">
      <pivotArea type="data" outline="0" fieldPosition="0">
        <references count="2">
          <reference field="4294967294" count="1" selected="0">
            <x v="17"/>
          </reference>
          <reference field="10" count="1" selected="0">
            <x v="3"/>
          </reference>
        </references>
      </pivotArea>
    </chartFormat>
    <chartFormat chart="0" format="146">
      <pivotArea type="data" outline="0" fieldPosition="0">
        <references count="2">
          <reference field="4294967294" count="1" selected="0">
            <x v="17"/>
          </reference>
          <reference field="10" count="1" selected="0">
            <x v="4"/>
          </reference>
        </references>
      </pivotArea>
    </chartFormat>
    <chartFormat chart="0" format="147">
      <pivotArea type="data" outline="0" fieldPosition="0">
        <references count="2">
          <reference field="4294967294" count="1" selected="0">
            <x v="17"/>
          </reference>
          <reference field="10" count="1" selected="0">
            <x v="5"/>
          </reference>
        </references>
      </pivotArea>
    </chartFormat>
    <chartFormat chart="0" format="148">
      <pivotArea type="data" outline="0" fieldPosition="0">
        <references count="2">
          <reference field="4294967294" count="1" selected="0">
            <x v="17"/>
          </reference>
          <reference field="10" count="1" selected="0">
            <x v="6"/>
          </reference>
        </references>
      </pivotArea>
    </chartFormat>
    <chartFormat chart="0" format="149">
      <pivotArea type="data" outline="0" fieldPosition="0">
        <references count="2">
          <reference field="4294967294" count="1" selected="0">
            <x v="18"/>
          </reference>
          <reference field="10" count="1" selected="0">
            <x v="0"/>
          </reference>
        </references>
      </pivotArea>
    </chartFormat>
    <chartFormat chart="0" format="150">
      <pivotArea type="data" outline="0" fieldPosition="0">
        <references count="2">
          <reference field="4294967294" count="1" selected="0">
            <x v="18"/>
          </reference>
          <reference field="10" count="1" selected="0">
            <x v="1"/>
          </reference>
        </references>
      </pivotArea>
    </chartFormat>
    <chartFormat chart="0" format="151">
      <pivotArea type="data" outline="0" fieldPosition="0">
        <references count="2">
          <reference field="4294967294" count="1" selected="0">
            <x v="18"/>
          </reference>
          <reference field="10" count="1" selected="0">
            <x v="2"/>
          </reference>
        </references>
      </pivotArea>
    </chartFormat>
    <chartFormat chart="0" format="152">
      <pivotArea type="data" outline="0" fieldPosition="0">
        <references count="2">
          <reference field="4294967294" count="1" selected="0">
            <x v="18"/>
          </reference>
          <reference field="10" count="1" selected="0">
            <x v="3"/>
          </reference>
        </references>
      </pivotArea>
    </chartFormat>
    <chartFormat chart="0" format="153">
      <pivotArea type="data" outline="0" fieldPosition="0">
        <references count="2">
          <reference field="4294967294" count="1" selected="0">
            <x v="18"/>
          </reference>
          <reference field="10" count="1" selected="0">
            <x v="4"/>
          </reference>
        </references>
      </pivotArea>
    </chartFormat>
    <chartFormat chart="0" format="154">
      <pivotArea type="data" outline="0" fieldPosition="0">
        <references count="2">
          <reference field="4294967294" count="1" selected="0">
            <x v="18"/>
          </reference>
          <reference field="10" count="1" selected="0">
            <x v="5"/>
          </reference>
        </references>
      </pivotArea>
    </chartFormat>
    <chartFormat chart="0" format="155">
      <pivotArea type="data" outline="0" fieldPosition="0">
        <references count="2">
          <reference field="4294967294" count="1" selected="0">
            <x v="18"/>
          </reference>
          <reference field="10" count="1" selected="0">
            <x v="6"/>
          </reference>
        </references>
      </pivotArea>
    </chartFormat>
    <chartFormat chart="0" format="156">
      <pivotArea type="data" outline="0" fieldPosition="0">
        <references count="2">
          <reference field="4294967294" count="1" selected="0">
            <x v="19"/>
          </reference>
          <reference field="10" count="1" selected="0">
            <x v="0"/>
          </reference>
        </references>
      </pivotArea>
    </chartFormat>
    <chartFormat chart="0" format="157">
      <pivotArea type="data" outline="0" fieldPosition="0">
        <references count="2">
          <reference field="4294967294" count="1" selected="0">
            <x v="19"/>
          </reference>
          <reference field="10" count="1" selected="0">
            <x v="1"/>
          </reference>
        </references>
      </pivotArea>
    </chartFormat>
    <chartFormat chart="0" format="158">
      <pivotArea type="data" outline="0" fieldPosition="0">
        <references count="2">
          <reference field="4294967294" count="1" selected="0">
            <x v="19"/>
          </reference>
          <reference field="10" count="1" selected="0">
            <x v="2"/>
          </reference>
        </references>
      </pivotArea>
    </chartFormat>
    <chartFormat chart="0" format="159">
      <pivotArea type="data" outline="0" fieldPosition="0">
        <references count="2">
          <reference field="4294967294" count="1" selected="0">
            <x v="19"/>
          </reference>
          <reference field="10" count="1" selected="0">
            <x v="3"/>
          </reference>
        </references>
      </pivotArea>
    </chartFormat>
    <chartFormat chart="0" format="160">
      <pivotArea type="data" outline="0" fieldPosition="0">
        <references count="2">
          <reference field="4294967294" count="1" selected="0">
            <x v="19"/>
          </reference>
          <reference field="10" count="1" selected="0">
            <x v="4"/>
          </reference>
        </references>
      </pivotArea>
    </chartFormat>
    <chartFormat chart="0" format="161">
      <pivotArea type="data" outline="0" fieldPosition="0">
        <references count="2">
          <reference field="4294967294" count="1" selected="0">
            <x v="19"/>
          </reference>
          <reference field="10" count="1" selected="0">
            <x v="5"/>
          </reference>
        </references>
      </pivotArea>
    </chartFormat>
    <chartFormat chart="0" format="162">
      <pivotArea type="data" outline="0" fieldPosition="0">
        <references count="2">
          <reference field="4294967294" count="1" selected="0">
            <x v="19"/>
          </reference>
          <reference field="10" count="1" selected="0">
            <x v="6"/>
          </reference>
        </references>
      </pivotArea>
    </chartFormat>
    <chartFormat chart="0" format="163">
      <pivotArea type="data" outline="0" fieldPosition="0">
        <references count="2">
          <reference field="4294967294" count="1" selected="0">
            <x v="20"/>
          </reference>
          <reference field="10" count="1" selected="0">
            <x v="0"/>
          </reference>
        </references>
      </pivotArea>
    </chartFormat>
    <chartFormat chart="0" format="164">
      <pivotArea type="data" outline="0" fieldPosition="0">
        <references count="2">
          <reference field="4294967294" count="1" selected="0">
            <x v="20"/>
          </reference>
          <reference field="10" count="1" selected="0">
            <x v="1"/>
          </reference>
        </references>
      </pivotArea>
    </chartFormat>
    <chartFormat chart="0" format="165">
      <pivotArea type="data" outline="0" fieldPosition="0">
        <references count="2">
          <reference field="4294967294" count="1" selected="0">
            <x v="20"/>
          </reference>
          <reference field="10" count="1" selected="0">
            <x v="2"/>
          </reference>
        </references>
      </pivotArea>
    </chartFormat>
    <chartFormat chart="0" format="166">
      <pivotArea type="data" outline="0" fieldPosition="0">
        <references count="2">
          <reference field="4294967294" count="1" selected="0">
            <x v="20"/>
          </reference>
          <reference field="10" count="1" selected="0">
            <x v="3"/>
          </reference>
        </references>
      </pivotArea>
    </chartFormat>
    <chartFormat chart="0" format="167">
      <pivotArea type="data" outline="0" fieldPosition="0">
        <references count="2">
          <reference field="4294967294" count="1" selected="0">
            <x v="20"/>
          </reference>
          <reference field="10" count="1" selected="0">
            <x v="4"/>
          </reference>
        </references>
      </pivotArea>
    </chartFormat>
    <chartFormat chart="0" format="168">
      <pivotArea type="data" outline="0" fieldPosition="0">
        <references count="2">
          <reference field="4294967294" count="1" selected="0">
            <x v="20"/>
          </reference>
          <reference field="10" count="1" selected="0">
            <x v="5"/>
          </reference>
        </references>
      </pivotArea>
    </chartFormat>
    <chartFormat chart="0" format="169">
      <pivotArea type="data" outline="0" fieldPosition="0">
        <references count="2">
          <reference field="4294967294" count="1" selected="0">
            <x v="20"/>
          </reference>
          <reference field="10" count="1" selected="0">
            <x v="6"/>
          </reference>
        </references>
      </pivotArea>
    </chartFormat>
    <chartFormat chart="0" format="170">
      <pivotArea type="data" outline="0" fieldPosition="0">
        <references count="2">
          <reference field="4294967294" count="1" selected="0">
            <x v="21"/>
          </reference>
          <reference field="10" count="1" selected="0">
            <x v="0"/>
          </reference>
        </references>
      </pivotArea>
    </chartFormat>
    <chartFormat chart="0" format="171">
      <pivotArea type="data" outline="0" fieldPosition="0">
        <references count="2">
          <reference field="4294967294" count="1" selected="0">
            <x v="21"/>
          </reference>
          <reference field="10" count="1" selected="0">
            <x v="1"/>
          </reference>
        </references>
      </pivotArea>
    </chartFormat>
    <chartFormat chart="0" format="172">
      <pivotArea type="data" outline="0" fieldPosition="0">
        <references count="2">
          <reference field="4294967294" count="1" selected="0">
            <x v="21"/>
          </reference>
          <reference field="10" count="1" selected="0">
            <x v="2"/>
          </reference>
        </references>
      </pivotArea>
    </chartFormat>
    <chartFormat chart="0" format="173">
      <pivotArea type="data" outline="0" fieldPosition="0">
        <references count="2">
          <reference field="4294967294" count="1" selected="0">
            <x v="21"/>
          </reference>
          <reference field="10" count="1" selected="0">
            <x v="3"/>
          </reference>
        </references>
      </pivotArea>
    </chartFormat>
    <chartFormat chart="0" format="174">
      <pivotArea type="data" outline="0" fieldPosition="0">
        <references count="2">
          <reference field="4294967294" count="1" selected="0">
            <x v="21"/>
          </reference>
          <reference field="10" count="1" selected="0">
            <x v="4"/>
          </reference>
        </references>
      </pivotArea>
    </chartFormat>
    <chartFormat chart="0" format="175">
      <pivotArea type="data" outline="0" fieldPosition="0">
        <references count="2">
          <reference field="4294967294" count="1" selected="0">
            <x v="21"/>
          </reference>
          <reference field="10" count="1" selected="0">
            <x v="5"/>
          </reference>
        </references>
      </pivotArea>
    </chartFormat>
    <chartFormat chart="0" format="176">
      <pivotArea type="data" outline="0" fieldPosition="0">
        <references count="2">
          <reference field="4294967294" count="1" selected="0">
            <x v="21"/>
          </reference>
          <reference field="10" count="1" selected="0">
            <x v="6"/>
          </reference>
        </references>
      </pivotArea>
    </chartFormat>
    <chartFormat chart="0" format="177">
      <pivotArea type="data" outline="0" fieldPosition="0">
        <references count="2">
          <reference field="4294967294" count="1" selected="0">
            <x v="22"/>
          </reference>
          <reference field="10" count="1" selected="0">
            <x v="0"/>
          </reference>
        </references>
      </pivotArea>
    </chartFormat>
    <chartFormat chart="0" format="178">
      <pivotArea type="data" outline="0" fieldPosition="0">
        <references count="2">
          <reference field="4294967294" count="1" selected="0">
            <x v="22"/>
          </reference>
          <reference field="10" count="1" selected="0">
            <x v="1"/>
          </reference>
        </references>
      </pivotArea>
    </chartFormat>
    <chartFormat chart="0" format="179">
      <pivotArea type="data" outline="0" fieldPosition="0">
        <references count="2">
          <reference field="4294967294" count="1" selected="0">
            <x v="22"/>
          </reference>
          <reference field="10" count="1" selected="0">
            <x v="2"/>
          </reference>
        </references>
      </pivotArea>
    </chartFormat>
    <chartFormat chart="0" format="180">
      <pivotArea type="data" outline="0" fieldPosition="0">
        <references count="2">
          <reference field="4294967294" count="1" selected="0">
            <x v="22"/>
          </reference>
          <reference field="10" count="1" selected="0">
            <x v="3"/>
          </reference>
        </references>
      </pivotArea>
    </chartFormat>
    <chartFormat chart="0" format="181">
      <pivotArea type="data" outline="0" fieldPosition="0">
        <references count="2">
          <reference field="4294967294" count="1" selected="0">
            <x v="22"/>
          </reference>
          <reference field="10" count="1" selected="0">
            <x v="4"/>
          </reference>
        </references>
      </pivotArea>
    </chartFormat>
    <chartFormat chart="0" format="182">
      <pivotArea type="data" outline="0" fieldPosition="0">
        <references count="2">
          <reference field="4294967294" count="1" selected="0">
            <x v="22"/>
          </reference>
          <reference field="10" count="1" selected="0">
            <x v="5"/>
          </reference>
        </references>
      </pivotArea>
    </chartFormat>
    <chartFormat chart="0" format="183">
      <pivotArea type="data" outline="0" fieldPosition="0">
        <references count="2">
          <reference field="4294967294" count="1" selected="0">
            <x v="22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BDD92-2CDE-461A-B5F3-9105EC20FE1D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3:H8" firstHeaderRow="0" firstDataRow="1" firstDataCol="1" rowPageCount="1" colPageCount="1"/>
  <pivotFields count="44">
    <pivotField showAll="0"/>
    <pivotField showAll="0"/>
    <pivotField axis="axisRow" showAll="0" sortType="ascending">
      <items count="25">
        <item x="12"/>
        <item x="4"/>
        <item x="6"/>
        <item x="17"/>
        <item x="20"/>
        <item x="15"/>
        <item x="7"/>
        <item x="21"/>
        <item x="18"/>
        <item x="16"/>
        <item m="1" x="23"/>
        <item x="22"/>
        <item x="19"/>
        <item x="9"/>
        <item x="8"/>
        <item x="14"/>
        <item x="10"/>
        <item x="11"/>
        <item x="13"/>
        <item x="5"/>
        <item x="3"/>
        <item x="2"/>
        <item x="0"/>
        <item x="1"/>
        <item t="default"/>
      </items>
    </pivotField>
    <pivotField axis="axisPage" multipleItemSelectionAllowed="1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4" showAll="0"/>
    <pivotField dataField="1" numFmtId="164" showAll="0"/>
    <pivotField dataField="1" numFmtId="164" showAll="0"/>
    <pivotField dataField="1" showAll="0"/>
    <pivotField dataField="1" showAll="0"/>
    <pivotField numFmtId="9" showAll="0"/>
    <pivotField dataField="1" showAll="0"/>
  </pivotFields>
  <rowFields count="1">
    <field x="2"/>
  </rowFields>
  <rowItems count="5">
    <i>
      <x v="8"/>
    </i>
    <i>
      <x v="12"/>
    </i>
    <i>
      <x v="16"/>
    </i>
    <i>
      <x v="2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hier="-1"/>
  </pageFields>
  <dataFields count="7">
    <dataField name="Soma de Minimun" fld="39" baseField="0" baseItem="0" numFmtId="167"/>
    <dataField name="Soma de Average 2022" fld="37" baseField="0" baseItem="0" numFmtId="167"/>
    <dataField name="Soma de Maximun" fld="38" baseField="0" baseItem="0" numFmtId="167"/>
    <dataField name="Soma de Standard deviation" fld="40" baseField="0" baseItem="0" numFmtId="167"/>
    <dataField name="Soma de Average 2021" fld="43" baseField="0" baseItem="0" numFmtId="167"/>
    <dataField name="Soma de Cont. Samples" fld="36" baseField="0" baseItem="0"/>
    <dataField name="Soma de Price List" fld="41" baseField="0" baseItem="0"/>
  </dataFields>
  <formats count="1">
    <format dxfId="10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4"/>
          </reference>
          <reference field="2" count="1" selected="0">
            <x v="1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C1AA8-D9AF-4B6C-A133-53619DE841E9}" name="Tabela dinâmica1" cacheId="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7" indent="0" outline="1" outlineData="1" multipleFieldFilters="0" chartFormat="1">
  <location ref="A3:D9" firstHeaderRow="0" firstDataRow="1" firstDataCol="1" rowPageCount="1" colPageCount="1"/>
  <pivotFields count="44"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6">
        <item x="12"/>
        <item x="4"/>
        <item x="6"/>
        <item x="17"/>
        <item x="20"/>
        <item x="15"/>
        <item x="7"/>
        <item x="21"/>
        <item x="18"/>
        <item m="1" x="24"/>
        <item x="22"/>
        <item x="19"/>
        <item x="9"/>
        <item x="8"/>
        <item x="14"/>
        <item x="10"/>
        <item x="11"/>
        <item x="13"/>
        <item x="5"/>
        <item x="3"/>
        <item x="2"/>
        <item x="0"/>
        <item x="1"/>
        <item x="23"/>
        <item x="16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2"/>
  </rowFields>
  <rowItems count="6">
    <i>
      <x/>
    </i>
    <i r="1">
      <x v="10"/>
    </i>
    <i>
      <x v="1"/>
    </i>
    <i r="1">
      <x v="14"/>
    </i>
    <i>
      <x v="2"/>
    </i>
    <i r="1">
      <x v="18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oma de Average 2022" fld="37" baseField="0" baseItem="0" numFmtId="168"/>
    <dataField name="Soma de Average 2021" fld="43" baseField="0" baseItem="0"/>
    <dataField name="Soma de Price % - Variation" fld="42" baseField="0" baseItem="0" numFmtId="10"/>
  </dataFields>
  <formats count="10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0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2" count="8">
            <x v="3"/>
            <x v="4"/>
            <x v="5"/>
            <x v="7"/>
            <x v="8"/>
            <x v="9"/>
            <x v="10"/>
            <x v="11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2" count="8">
            <x v="0"/>
            <x v="6"/>
            <x v="12"/>
            <x v="13"/>
            <x v="14"/>
            <x v="15"/>
            <x v="16"/>
            <x v="17"/>
          </reference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2" count="7">
            <x v="1"/>
            <x v="2"/>
            <x v="18"/>
            <x v="19"/>
            <x v="20"/>
            <x v="21"/>
            <x v="22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8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1F063-DC68-46D7-8A5E-3C5194AC29AF}" name="Tabela dinâmica7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44:B47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3">
    <i>
      <x v="10"/>
    </i>
    <i>
      <x v="14"/>
    </i>
    <i>
      <x v="18"/>
    </i>
  </rowItems>
  <colItems count="1">
    <i/>
  </colItems>
  <pageFields count="1">
    <pageField fld="3" hier="-1"/>
  </pageFields>
  <dataFields count="1">
    <dataField name="Soma de Average 2022" fld="4" showDataAs="percentDiff" baseField="2" baseItem="1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E2476-3521-4124-9E49-AF1030E156D7}" name="Tabela dinâmica2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14:B17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3">
    <i>
      <x v="5"/>
    </i>
    <i>
      <x v="6"/>
    </i>
    <i>
      <x v="22"/>
    </i>
  </rowItems>
  <colItems count="1">
    <i/>
  </colItems>
  <pageFields count="1">
    <pageField fld="3" hier="-1"/>
  </pageFields>
  <dataFields count="1">
    <dataField name="Soma de Average 2022" fld="4" showDataAs="percentDiff" baseField="2" baseItem="2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A3D94-2F01-4649-B534-4DA44DFAAE0B}" name="Tabela dinâmica9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56:B57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t="default"/>
      </items>
    </pivotField>
    <pivotField dataField="1" showAll="0"/>
  </pivotFields>
  <rowFields count="1">
    <field x="2"/>
  </rowFields>
  <rowItems count="1">
    <i>
      <x v="17"/>
    </i>
  </rowItems>
  <colItems count="1">
    <i/>
  </colItems>
  <pageFields count="1">
    <pageField fld="3" hier="-1"/>
  </pageFields>
  <dataFields count="1">
    <dataField name="Soma de Average 2022" fld="4" showDataAs="percentDiff" baseField="2" baseItem="1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B3A64-EBC0-4E58-BCA6-BCEF887A95DA}" name="Tabela dinâmica6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36:B40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4"/>
    </i>
    <i>
      <x v="7"/>
    </i>
  </rowItems>
  <colItems count="1">
    <i/>
  </colItems>
  <pageFields count="1">
    <pageField fld="3" hier="-1"/>
  </pageFields>
  <dataFields count="1">
    <dataField name="Soma de Average 2022" fld="4" showDataAs="percentDiff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623A6-6A63-4611-AD5C-4CFA6DB8289E}" name="Tabela dinâmica3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21:B25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4">
    <i>
      <x v="8"/>
    </i>
    <i>
      <x v="11"/>
    </i>
    <i>
      <x v="15"/>
    </i>
    <i>
      <x v="20"/>
    </i>
  </rowItems>
  <colItems count="1">
    <i/>
  </colItems>
  <pageFields count="1">
    <pageField fld="3" hier="-1"/>
  </pageFields>
  <dataFields count="1">
    <dataField name="Soma de Average 2022" fld="4" showDataAs="percentDiff" baseField="2" baseItem="2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B2129-2822-4AF0-BD34-72E70C787D4A}" name="Tabela dinâmica4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29:B31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h="1" x="2"/>
        <item x="3"/>
        <item h="1" x="4"/>
        <item h="1"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2">
    <i>
      <x v="16"/>
    </i>
    <i>
      <x v="19"/>
    </i>
  </rowItems>
  <colItems count="1">
    <i/>
  </colItems>
  <pageFields count="1">
    <pageField fld="3" hier="-1"/>
  </pageFields>
  <dataFields count="1">
    <dataField name="Soma de Average 2022" fld="4" showDataAs="percentDiff" baseField="2" baseItem="1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9B5BB-C77B-4480-9A0A-5E92DB21A50B}" name="Tabela dinâmica8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>
  <location ref="A51:B52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t="default"/>
      </items>
    </pivotField>
    <pivotField dataField="1" showAll="0"/>
  </pivotFields>
  <rowFields count="1">
    <field x="2"/>
  </rowFields>
  <rowItems count="1">
    <i>
      <x v="2"/>
    </i>
  </rowItems>
  <colItems count="1">
    <i/>
  </colItems>
  <pageFields count="1">
    <pageField fld="3" hier="-1"/>
  </pageFields>
  <dataFields count="1">
    <dataField name="Soma de Average 2022" fld="4" showDataAs="percentDiff" baseField="2" baseItem="1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163CE-E77C-4453-91EB-2205FD05D39B}" name="Tabela dinâmica1" cacheId="5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 chartFormat="1">
  <location ref="A3:B8" firstHeaderRow="1" firstDataRow="1" firstDataCol="1" rowPageCount="1" colPageCount="1"/>
  <pivotFields count="5"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25">
        <item x="15"/>
        <item x="14"/>
        <item x="21"/>
        <item x="4"/>
        <item x="16"/>
        <item x="7"/>
        <item x="6"/>
        <item x="17"/>
        <item x="10"/>
        <item x="3"/>
        <item x="20"/>
        <item x="11"/>
        <item x="2"/>
        <item x="1"/>
        <item x="19"/>
        <item x="9"/>
        <item x="13"/>
        <item x="22"/>
        <item x="18"/>
        <item x="12"/>
        <item x="8"/>
        <item x="0"/>
        <item x="5"/>
        <item x="23"/>
        <item t="default"/>
      </items>
    </pivotField>
    <pivotField axis="axisPage" multipleItemSelectionAllowed="1" showAll="0">
      <items count="10"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dataField="1" showAll="0"/>
  </pivotFields>
  <rowFields count="1">
    <field x="2"/>
  </rowFields>
  <rowItems count="5">
    <i>
      <x v="3"/>
    </i>
    <i>
      <x v="9"/>
    </i>
    <i>
      <x v="12"/>
    </i>
    <i>
      <x v="13"/>
    </i>
    <i>
      <x v="21"/>
    </i>
  </rowItems>
  <colItems count="1">
    <i/>
  </colItems>
  <pageFields count="1">
    <pageField fld="3" hier="-1"/>
  </pageFields>
  <dataFields count="1">
    <dataField name="Soma de Average 2022" fld="4" showDataAs="percentDiff" baseField="2" baseItem="21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D42" totalsRowShown="0">
  <autoFilter ref="A1:BD42" xr:uid="{00000000-0009-0000-0100-000001000000}"/>
  <tableColumns count="56">
    <tableColumn id="1" xr3:uid="{00000000-0010-0000-0000-000001000000}" name="ID" dataDxfId="128"/>
    <tableColumn id="2" xr3:uid="{00000000-0010-0000-0000-000002000000}" name="Hora de início" dataDxfId="127"/>
    <tableColumn id="3" xr3:uid="{00000000-0010-0000-0000-000003000000}" name="Hora de conclusão" dataDxfId="126"/>
    <tableColumn id="4" xr3:uid="{00000000-0010-0000-0000-000004000000}" name="Email" dataDxfId="125"/>
    <tableColumn id="5" xr3:uid="{00000000-0010-0000-0000-000005000000}" name="Nome" dataDxfId="124"/>
    <tableColumn id="6" xr3:uid="{00000000-0010-0000-0000-000006000000}" name="Idioma" dataDxfId="123"/>
    <tableColumn id="7" xr3:uid="{00000000-0010-0000-0000-000007000000}" name="Nome2" dataDxfId="122"/>
    <tableColumn id="8" xr3:uid="{00000000-0010-0000-0000-000008000000}" name="Nome do revendedor que esta visitando (Dealer). Ex. MacCampo" dataDxfId="121"/>
    <tableColumn id="9" xr3:uid="{00000000-0010-0000-0000-000009000000}" name="O Cliente que esta visitando já é um revendedor TeeJet?" dataDxfId="120"/>
    <tableColumn id="10" xr3:uid="{00000000-0010-0000-0000-00000A000000}" name="Em qual Estado brasileiro está sediada a empresa visitada?" dataDxfId="119"/>
    <tableColumn id="11" xr3:uid="{00000000-0010-0000-0000-00000B000000}" name="Território da TeeJet-BR onde está sediado o cliente" dataDxfId="118"/>
    <tableColumn id="12" xr3:uid="{00000000-0010-0000-0000-00000C000000}" name="Cidade" dataDxfId="117"/>
    <tableColumn id="13" xr3:uid="{00000000-0010-0000-0000-00000D000000}" name="Quais marcas de Pontas de Pulverização a Revenda mantém em estoque?" dataDxfId="116"/>
    <tableColumn id="14" xr3:uid="{00000000-0010-0000-0000-00000E000000}" name="Telefone e Nome de um Contato na Empresa Revendedora (Dealer)" dataDxfId="115"/>
    <tableColumn id="15" xr3:uid="{00000000-0010-0000-0000-00000F000000}" name=" TXA" dataDxfId="114"/>
    <tableColumn id="16" xr3:uid="{00000000-0010-0000-0000-000010000000}" name="XR-VK" dataDxfId="113"/>
    <tableColumn id="17" xr3:uid="{00000000-0010-0000-0000-000011000000}" name="TT-VP" dataDxfId="112"/>
    <tableColumn id="18" xr3:uid="{00000000-0010-0000-0000-000012000000}" name="TTJ60" dataDxfId="111"/>
    <tableColumn id="19" xr3:uid="{00000000-0010-0000-0000-000013000000}" name="AIXR-VK" dataDxfId="110"/>
    <tableColumn id="20" xr3:uid="{00000000-0010-0000-0000-000014000000}" name="TTI" dataDxfId="109"/>
    <tableColumn id="21" xr3:uid="{00000000-0010-0000-0000-000015000000}" name="APTJ " dataDxfId="108"/>
    <tableColumn id="22" xr3:uid="{00000000-0010-0000-0000-000016000000}" name="BD" dataDxfId="107"/>
    <tableColumn id="23" xr3:uid="{00000000-0010-0000-0000-000017000000}" name="MAG" dataDxfId="106"/>
    <tableColumn id="24" xr3:uid="{00000000-0010-0000-0000-000018000000}" name="MGA" dataDxfId="105"/>
    <tableColumn id="25" xr3:uid="{00000000-0010-0000-0000-000019000000}" name="ST" dataDxfId="104"/>
    <tableColumn id="26" xr3:uid="{00000000-0010-0000-0000-00001A000000}" name="ST-D " dataDxfId="103"/>
    <tableColumn id="27" xr3:uid="{00000000-0010-0000-0000-00001B000000}" name="AD-IA" dataDxfId="102"/>
    <tableColumn id="28" xr3:uid="{00000000-0010-0000-0000-00001C000000}" name="STIA" dataDxfId="101"/>
    <tableColumn id="29" xr3:uid="{00000000-0010-0000-0000-00001D000000}" name="MUG" dataDxfId="100"/>
    <tableColumn id="30" xr3:uid="{00000000-0010-0000-0000-00001E000000}" name="AXI" dataDxfId="99"/>
    <tableColumn id="31" xr3:uid="{00000000-0010-0000-0000-00001F000000}" name="JA" dataDxfId="98"/>
    <tableColumn id="32" xr3:uid="{00000000-0010-0000-0000-000020000000}" name="ATR" dataDxfId="97"/>
    <tableColumn id="33" xr3:uid="{00000000-0010-0000-0000-000021000000}" name="J3D " dataDxfId="96"/>
    <tableColumn id="34" xr3:uid="{00000000-0010-0000-0000-000022000000}" name="JTT" dataDxfId="95"/>
    <tableColumn id="35" xr3:uid="{00000000-0010-0000-0000-000023000000}" name="AVI" dataDxfId="94"/>
    <tableColumn id="36" xr3:uid="{00000000-0010-0000-0000-000024000000}" name="CVI" dataDxfId="93"/>
    <tableColumn id="37" xr3:uid="{00000000-0010-0000-0000-000025000000}" name="JMD" dataDxfId="92"/>
    <tableColumn id="38" xr3:uid="{00000000-0010-0000-0000-000026000000}" name="INSERIR:_x000a_-SIGLA DO MODELO DA PONTA DE PULVERIZAÇÃO_x000a_-NOME DO FABRICANTE_x000a_-PREÇO ENCONTRADO_x000a__x000a_Ex: GRD120-025 / HYPRO / R$37,50" dataDxfId="91"/>
    <tableColumn id="39" xr3:uid="{00000000-0010-0000-0000-000027000000}" name="Quais materiais/ferramentas você apresentou/utilizou para o cliente durante essa visita" dataDxfId="90"/>
    <tableColumn id="40" xr3:uid="{00000000-0010-0000-0000-000028000000}" name="Potencial do cliente como influenciador em T.A. na região" dataDxfId="89"/>
    <tableColumn id="41" xr3:uid="{00000000-0010-0000-0000-000029000000}" name="Conhecimento técnico e valorização da importância das Pontas de Pulverização" dataDxfId="88"/>
    <tableColumn id="42" xr3:uid="{00000000-0010-0000-0000-00002A000000}" name="Interesse dos gestores e funcionários da revenda pelas Pontas TJ" dataDxfId="87"/>
    <tableColumn id="43" xr3:uid="{00000000-0010-0000-0000-00002B000000}" name="Chance de crescimento da marca TeeJet neste cliente" dataDxfId="86"/>
    <tableColumn id="44" xr3:uid="{00000000-0010-0000-0000-00002C000000}" name="Relevância deste cliente na região onde está a  sediada a revenda" dataDxfId="85"/>
    <tableColumn id="45" xr3:uid="{00000000-0010-0000-0000-00002D000000}" name="Probabilidade do Cliente efetivar uma Compra após essa visita" dataDxfId="84"/>
    <tableColumn id="46" xr3:uid="{00000000-0010-0000-0000-00002E000000}" name="TeeJet" dataDxfId="83"/>
    <tableColumn id="47" xr3:uid="{00000000-0010-0000-0000-00002F000000}" name="Hypro" dataDxfId="82"/>
    <tableColumn id="48" xr3:uid="{00000000-0010-0000-0000-000030000000}" name="Jacto2" dataDxfId="81"/>
    <tableColumn id="49" xr3:uid="{00000000-0010-0000-0000-000031000000}" name="Magnojet2" dataDxfId="80"/>
    <tableColumn id="50" xr3:uid="{00000000-0010-0000-0000-000032000000}" name="TeeJet2" dataDxfId="79"/>
    <tableColumn id="51" xr3:uid="{00000000-0010-0000-0000-000033000000}" name="Hypro2" dataDxfId="78"/>
    <tableColumn id="52" xr3:uid="{00000000-0010-0000-0000-000034000000}" name="Jacto3" dataDxfId="77"/>
    <tableColumn id="53" xr3:uid="{00000000-0010-0000-0000-000035000000}" name="Magnojet3" dataDxfId="76"/>
    <tableColumn id="54" xr3:uid="{00000000-0010-0000-0000-000036000000}" name="Qual o nível de satisfação do cliente após sua visita?" dataDxfId="75"/>
    <tableColumn id="55" xr3:uid="{00000000-0010-0000-0000-000037000000}" name="Insira suas Sugestões e Comentários referentes a essa pesquisa de mercado" dataDxfId="74"/>
    <tableColumn id="56" xr3:uid="{00000000-0010-0000-0000-000038000000}" name="Quanto essa pesquisa contribuiu para sua avaliação sobre a visita ao seu cliente?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3EE2F-59AA-4FCC-B2CC-2927BEE9BD39}" name="Tabela2" displayName="Tabela2" ref="A1:AR24" totalsRowShown="0" headerRowDxfId="72">
  <autoFilter ref="A1:AR24" xr:uid="{2A33EE2F-59AA-4FCC-B2CC-2927BEE9BD39}"/>
  <tableColumns count="44">
    <tableColumn id="1" xr3:uid="{41B72ED2-0096-4E35-A141-39B8848682E6}" name="Manufacturer"/>
    <tableColumn id="2" xr3:uid="{54E9565B-6A7B-4878-BC4F-806E1B6833FA}" name="Comparative" dataDxfId="71"/>
    <tableColumn id="3" xr3:uid="{CFA94C6C-459A-4E17-A52B-E379F20F7A67}" name="Family" dataDxfId="70"/>
    <tableColumn id="4" xr3:uid="{1AD03C02-8302-4024-A796-A6E6F8A0724B}" name="Group" dataDxfId="69"/>
    <tableColumn id="42" xr3:uid="{18059D4E-684C-41E1-A27A-65784688BF15}" name="Amosta 0 ( Manual)" dataDxfId="68"/>
    <tableColumn id="43" xr3:uid="{3D6296EB-9644-45A7-BBDC-976804276050}" name="Coamo/ Coopercitrus" dataDxfId="67"/>
    <tableColumn id="5" xr3:uid="{470351B7-4D7B-476E-B043-935D129627E7}" name="Amostra 1" dataDxfId="66"/>
    <tableColumn id="6" xr3:uid="{9E861D66-A2F7-4289-BC2F-7E59513C901F}" name="Amostra 2" dataDxfId="65"/>
    <tableColumn id="7" xr3:uid="{637F78EB-EDC4-42AE-80C7-08103AB63F25}" name="Amostra 3" dataDxfId="64"/>
    <tableColumn id="8" xr3:uid="{BF827883-46DB-4D01-AAD5-59C5F7D0DD39}" name="Amostra 4" dataDxfId="63"/>
    <tableColumn id="9" xr3:uid="{C3B343F0-B789-407E-8443-23D975F3E24E}" name="Amostra 5" dataDxfId="62"/>
    <tableColumn id="10" xr3:uid="{351FF1D3-07FA-427E-BA7A-614149D4A212}" name="Amostra 6" dataDxfId="61"/>
    <tableColumn id="11" xr3:uid="{CAFEEEEC-F324-45AE-A08B-9F10E6EADE8E}" name="Amostra 7" dataDxfId="60"/>
    <tableColumn id="12" xr3:uid="{187B2209-89B6-4FAD-BF27-727EA8DA0AF4}" name="Amostra 8" dataDxfId="59"/>
    <tableColumn id="13" xr3:uid="{8B3733A4-6926-4318-B699-B276CA37ACE2}" name="Amostra 9" dataDxfId="58"/>
    <tableColumn id="14" xr3:uid="{565314A2-37D0-46A4-83B6-ECFDF80D089F}" name="Amostra 10" dataDxfId="57"/>
    <tableColumn id="15" xr3:uid="{FAE99AA8-D1FD-49DA-ADB5-80ADDB2FAB7D}" name="Amostra 11" dataDxfId="56"/>
    <tableColumn id="16" xr3:uid="{745CCCA1-C71D-4AF1-941C-9C74D9C5234B}" name="Amostra 12" dataDxfId="55"/>
    <tableColumn id="17" xr3:uid="{FAB65A8B-BCD4-4CA9-8683-502EFE71F3F9}" name="Amostra 13" dataDxfId="54"/>
    <tableColumn id="18" xr3:uid="{D1B72B24-49FE-425E-ADE2-E4F9D7AED9D6}" name="Amostra 14" dataDxfId="53"/>
    <tableColumn id="19" xr3:uid="{A84B7EA0-61B3-45B6-8AE4-9841271E4A97}" name="Amostra 15" dataDxfId="52"/>
    <tableColumn id="20" xr3:uid="{E12E692E-EADD-4F1E-AC47-09397E92FA1E}" name="Amostra 16" dataDxfId="51"/>
    <tableColumn id="21" xr3:uid="{A4F12F9A-79B3-4B49-B1E8-A5A55E3025E4}" name="Amostra 17" dataDxfId="50"/>
    <tableColumn id="22" xr3:uid="{8695F70D-5C7A-4FB2-827A-9262405C9380}" name="Amostra 18" dataDxfId="49"/>
    <tableColumn id="23" xr3:uid="{A66CF67A-AD27-41F5-B820-09B193CD39F7}" name="Amostra 19" dataDxfId="48"/>
    <tableColumn id="24" xr3:uid="{588CF941-0988-48A1-96AC-83FF9A8BD544}" name="Amostra 20" dataDxfId="47"/>
    <tableColumn id="25" xr3:uid="{5BBA3294-32BD-4F0F-9289-04AB23E2791E}" name="Amostra 21" dataDxfId="46"/>
    <tableColumn id="26" xr3:uid="{2A10774F-BEF6-4773-AF49-75F4FE1740FB}" name="Amostra 22" dataDxfId="45"/>
    <tableColumn id="27" xr3:uid="{A9602800-00F7-4239-A101-0E032DD7CD21}" name="Amostra 23" dataDxfId="44"/>
    <tableColumn id="28" xr3:uid="{971B46E7-3BBF-4265-BDAF-D76E376FC9EF}" name="Amostra 24" dataDxfId="43"/>
    <tableColumn id="29" xr3:uid="{B936ED18-2822-4DF6-B4A5-27BFF10042A0}" name="Amostra 25" dataDxfId="42"/>
    <tableColumn id="30" xr3:uid="{0C296AB7-28FA-4034-A1A5-D0E8D0CFE2FF}" name="Amostra 26" dataDxfId="41"/>
    <tableColumn id="31" xr3:uid="{D669B7D2-6578-4864-B7F6-9E4B42307B6F}" name="Amostra 27" dataDxfId="40"/>
    <tableColumn id="32" xr3:uid="{8041142B-D616-4C96-8FB0-277E5B28359D}" name="Amostra 28" dataDxfId="39"/>
    <tableColumn id="33" xr3:uid="{A006E508-6520-48E5-BF53-3E4C8F7BE8B8}" name="Amostra 29" dataDxfId="38"/>
    <tableColumn id="34" xr3:uid="{B484AA49-B25A-48D0-97ED-F8ED4C6A47F1}" name="Amostra 30" dataDxfId="37"/>
    <tableColumn id="35" xr3:uid="{D57F3812-07E2-45C8-9022-6897D8B80C3D}" name="Cont. Samples">
      <calculatedColumnFormula>COUNT(G2:AJ2)</calculatedColumnFormula>
    </tableColumn>
    <tableColumn id="36" xr3:uid="{B0DC9AAB-6141-455E-9F1D-04634C9F3BA5}" name="Average 2022" dataDxfId="36">
      <calculatedColumnFormula>AVERAGE(G2:AJ2)</calculatedColumnFormula>
    </tableColumn>
    <tableColumn id="37" xr3:uid="{B2E29617-7561-47BD-AABF-5EE68346BCCA}" name="Maximun" dataDxfId="35">
      <calculatedColumnFormula>MAX(G2:AJ2)</calculatedColumnFormula>
    </tableColumn>
    <tableColumn id="38" xr3:uid="{E14CA7BE-4FF6-4FE0-9F7D-79858798D01C}" name="Minimun" dataDxfId="34">
      <calculatedColumnFormula>MIN(G2:AJ2)</calculatedColumnFormula>
    </tableColumn>
    <tableColumn id="39" xr3:uid="{D83B007F-22C2-45E0-BB9B-574EB2204D99}" name="Standard deviation"/>
    <tableColumn id="41" xr3:uid="{47A7D5FE-7C02-4CD1-B6B5-4CD57AEB675A}" name="Price List"/>
    <tableColumn id="44" xr3:uid="{F686B445-D236-495A-857C-91974F75D3E3}" name="Price % - Variation" dataDxfId="33"/>
    <tableColumn id="40" xr3:uid="{9900EAD8-625C-47F4-B7ED-4E6D389588E5}" name="Average 2021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71370-35D5-40D8-9FFB-8BBF80EADD50}" name="Tabela25" displayName="Tabela25" ref="A1:M24" totalsRowShown="0" headerRowDxfId="31">
  <autoFilter ref="A1:M24" xr:uid="{09171370-35D5-40D8-9FFB-8BBF80EADD50}"/>
  <tableColumns count="13">
    <tableColumn id="1" xr3:uid="{EBF6F9C3-1040-492B-8331-8D85B113E1E8}" name="Manufacturer"/>
    <tableColumn id="2" xr3:uid="{38583817-8C67-4FD1-AA65-72180CE427B6}" name="Comparative" dataDxfId="30"/>
    <tableColumn id="3" xr3:uid="{186AFF1F-0DB3-4914-BD5E-04C68D01E6A9}" name="Family" dataDxfId="29"/>
    <tableColumn id="4" xr3:uid="{199F1F58-04B3-4C0B-AAF1-6DCCAA92F555}" name="Group" dataDxfId="28"/>
    <tableColumn id="36" xr3:uid="{A6FB45AC-C558-4F60-A27D-DD04AB681D3D}" name="Average 2022" dataDxfId="27"/>
    <tableColumn id="40" xr3:uid="{CCAF3583-B842-4FD0-B365-5B744124CF53}" name="Average 2021" dataDxfId="26"/>
    <tableColumn id="10" xr3:uid="{FAB8A4E8-1670-4EA2-88CD-C753CEDA1AB8}" name="Web- Canal Agrícola 2021" dataDxfId="25"/>
    <tableColumn id="5" xr3:uid="{921BD788-434C-460D-9B7C-C4E6E9E73C6E}" name="Web- Canal Agrícola 2022"/>
    <tableColumn id="6" xr3:uid="{30B82C72-ED49-4BAC-9AEA-22BCB57CC8DD}" name="Web - DRS Pulverizadores "/>
    <tableColumn id="11" xr3:uid="{E368E571-D113-4991-9EEE-86E34761CE34}" name="Web - Herbicat 2022" dataDxfId="24"/>
    <tableColumn id="7" xr3:uid="{084F7CF9-1396-4B60-9E2B-1B286216C191}" name="Web - Jacto Parts"/>
    <tableColumn id="8" xr3:uid="{E25FF382-949A-4EDE-8D9C-00A97B0E6804}" name="% Variation - Canal Web"/>
    <tableColumn id="9" xr3:uid="{9A2BB23D-8533-4769-A7C4-D83AC77EBE18}" name="% Variation - Market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2B41B-A230-444D-8180-6283BA298F34}" name="Tabela26" displayName="Tabela26" ref="A1:E24" totalsRowShown="0" headerRowDxfId="15">
  <autoFilter ref="A1:E24" xr:uid="{6682B41B-A230-444D-8180-6283BA298F34}"/>
  <sortState ref="A2:E24">
    <sortCondition ref="D1:D24"/>
  </sortState>
  <tableColumns count="5">
    <tableColumn id="1" xr3:uid="{423F0386-144E-47A8-B1AE-80B9B74C7164}" name="Manufacturer"/>
    <tableColumn id="2" xr3:uid="{DC49B4E6-54BF-4EF2-A6E0-7DE6778E071F}" name="Comparative" dataDxfId="14"/>
    <tableColumn id="3" xr3:uid="{86B515C2-8351-4885-AF17-C7EE892C62BC}" name="Family" dataDxfId="13"/>
    <tableColumn id="4" xr3:uid="{3FAE9141-10E5-449C-80A0-E13472099BA7}" name="Group" dataDxfId="12"/>
    <tableColumn id="36" xr3:uid="{EB75E005-7727-43A1-8AAB-128F5031A29C}" name="Average 2022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6DE8-DD84-44BC-8590-C0ED6C7B1980}">
  <dimension ref="A3:B12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2.6640625" bestFit="1" customWidth="1"/>
    <col min="2" max="2" width="18.83203125" bestFit="1" customWidth="1"/>
    <col min="3" max="3" width="10.83203125" bestFit="1" customWidth="1"/>
    <col min="4" max="9" width="22.83203125" bestFit="1" customWidth="1"/>
    <col min="10" max="10" width="10.6640625" bestFit="1" customWidth="1"/>
  </cols>
  <sheetData>
    <row r="3" spans="1:2" x14ac:dyDescent="0.2">
      <c r="A3" s="4" t="s">
        <v>390</v>
      </c>
      <c r="B3" t="s">
        <v>423</v>
      </c>
    </row>
    <row r="4" spans="1:2" x14ac:dyDescent="0.2">
      <c r="A4" s="5" t="s">
        <v>212</v>
      </c>
      <c r="B4" s="3">
        <v>1</v>
      </c>
    </row>
    <row r="5" spans="1:2" x14ac:dyDescent="0.2">
      <c r="A5" s="5" t="s">
        <v>90</v>
      </c>
      <c r="B5" s="3">
        <v>1</v>
      </c>
    </row>
    <row r="6" spans="1:2" x14ac:dyDescent="0.2">
      <c r="A6" s="5" t="s">
        <v>283</v>
      </c>
      <c r="B6" s="3">
        <v>1</v>
      </c>
    </row>
    <row r="7" spans="1:2" x14ac:dyDescent="0.2">
      <c r="A7" s="5" t="s">
        <v>149</v>
      </c>
      <c r="B7" s="3">
        <v>2</v>
      </c>
    </row>
    <row r="8" spans="1:2" x14ac:dyDescent="0.2">
      <c r="A8" s="5" t="s">
        <v>63</v>
      </c>
      <c r="B8" s="3">
        <v>22</v>
      </c>
    </row>
    <row r="9" spans="1:2" x14ac:dyDescent="0.2">
      <c r="A9" s="5" t="s">
        <v>309</v>
      </c>
      <c r="B9" s="3">
        <v>1</v>
      </c>
    </row>
    <row r="10" spans="1:2" x14ac:dyDescent="0.2">
      <c r="A10" s="5" t="s">
        <v>271</v>
      </c>
      <c r="B10" s="3">
        <v>2</v>
      </c>
    </row>
    <row r="11" spans="1:2" x14ac:dyDescent="0.2">
      <c r="A11" s="5" t="s">
        <v>176</v>
      </c>
      <c r="B11" s="3">
        <v>11</v>
      </c>
    </row>
    <row r="12" spans="1:2" x14ac:dyDescent="0.2">
      <c r="A12" s="5" t="s">
        <v>391</v>
      </c>
      <c r="B12" s="3">
        <v>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60CC-D067-45B7-AC4A-855609D44817}">
  <dimension ref="A1:I24"/>
  <sheetViews>
    <sheetView showGridLines="0" workbookViewId="0">
      <selection activeCell="J36" sqref="J36"/>
    </sheetView>
  </sheetViews>
  <sheetFormatPr baseColWidth="10" defaultColWidth="8.83203125" defaultRowHeight="15" x14ac:dyDescent="0.2"/>
  <cols>
    <col min="1" max="1" width="14.5" customWidth="1"/>
    <col min="2" max="2" width="28.5" bestFit="1" customWidth="1"/>
    <col min="3" max="3" width="8.83203125" customWidth="1"/>
    <col min="4" max="4" width="8.33203125" customWidth="1"/>
    <col min="5" max="5" width="16" customWidth="1"/>
    <col min="9" max="9" width="10.6640625" bestFit="1" customWidth="1"/>
  </cols>
  <sheetData>
    <row r="1" spans="1:9" x14ac:dyDescent="0.2">
      <c r="A1" t="s">
        <v>343</v>
      </c>
      <c r="B1" t="s">
        <v>347</v>
      </c>
      <c r="C1" t="s">
        <v>342</v>
      </c>
      <c r="D1" t="s">
        <v>370</v>
      </c>
      <c r="E1" s="11" t="s">
        <v>387</v>
      </c>
    </row>
    <row r="2" spans="1:9" x14ac:dyDescent="0.2">
      <c r="A2" t="s">
        <v>344</v>
      </c>
      <c r="B2" s="6" t="s">
        <v>14</v>
      </c>
      <c r="C2" s="9" t="s">
        <v>348</v>
      </c>
      <c r="D2" s="10">
        <v>1</v>
      </c>
      <c r="E2" s="14">
        <v>21.79354166666667</v>
      </c>
    </row>
    <row r="3" spans="1:9" x14ac:dyDescent="0.2">
      <c r="A3" t="s">
        <v>345</v>
      </c>
      <c r="B3" s="6" t="s">
        <v>22</v>
      </c>
      <c r="C3" s="9" t="s">
        <v>355</v>
      </c>
      <c r="D3" s="10">
        <v>1</v>
      </c>
      <c r="E3" s="14">
        <v>21.733750000000001</v>
      </c>
      <c r="I3" s="11"/>
    </row>
    <row r="4" spans="1:9" x14ac:dyDescent="0.2">
      <c r="A4" t="s">
        <v>345</v>
      </c>
      <c r="B4" s="6" t="s">
        <v>23</v>
      </c>
      <c r="C4" s="9" t="s">
        <v>356</v>
      </c>
      <c r="D4" s="10">
        <v>1</v>
      </c>
      <c r="E4" s="14">
        <v>11.574285714285713</v>
      </c>
    </row>
    <row r="5" spans="1:9" x14ac:dyDescent="0.2">
      <c r="A5" t="s">
        <v>346</v>
      </c>
      <c r="B5" s="6" t="s">
        <v>30</v>
      </c>
      <c r="C5" s="9" t="s">
        <v>363</v>
      </c>
      <c r="D5" s="10">
        <v>1</v>
      </c>
      <c r="E5" s="14">
        <v>21.0625</v>
      </c>
      <c r="I5" s="11"/>
    </row>
    <row r="6" spans="1:9" x14ac:dyDescent="0.2">
      <c r="A6" t="s">
        <v>346</v>
      </c>
      <c r="B6" s="6" t="s">
        <v>31</v>
      </c>
      <c r="C6" s="9" t="s">
        <v>364</v>
      </c>
      <c r="D6" s="10">
        <v>1</v>
      </c>
      <c r="E6" s="14">
        <v>36.32</v>
      </c>
    </row>
    <row r="7" spans="1:9" x14ac:dyDescent="0.2">
      <c r="A7" t="s">
        <v>344</v>
      </c>
      <c r="B7" s="6" t="s">
        <v>15</v>
      </c>
      <c r="C7" s="9" t="s">
        <v>350</v>
      </c>
      <c r="D7" s="10">
        <v>2</v>
      </c>
      <c r="E7" s="14">
        <v>22.418571428571429</v>
      </c>
    </row>
    <row r="8" spans="1:9" x14ac:dyDescent="0.2">
      <c r="A8" t="s">
        <v>345</v>
      </c>
      <c r="B8" s="6" t="s">
        <v>21</v>
      </c>
      <c r="C8" s="9" t="s">
        <v>354</v>
      </c>
      <c r="D8" s="10">
        <v>2</v>
      </c>
      <c r="E8" s="14">
        <v>15.186875000000001</v>
      </c>
    </row>
    <row r="9" spans="1:9" x14ac:dyDescent="0.2">
      <c r="A9" t="s">
        <v>346</v>
      </c>
      <c r="B9" s="6" t="s">
        <v>29</v>
      </c>
      <c r="C9" s="9" t="s">
        <v>362</v>
      </c>
      <c r="D9" s="10">
        <v>2</v>
      </c>
      <c r="E9" s="14">
        <v>25</v>
      </c>
    </row>
    <row r="10" spans="1:9" x14ac:dyDescent="0.2">
      <c r="A10" t="s">
        <v>344</v>
      </c>
      <c r="B10" s="6" t="s">
        <v>16</v>
      </c>
      <c r="C10" s="9" t="s">
        <v>351</v>
      </c>
      <c r="D10" s="10">
        <v>3</v>
      </c>
      <c r="E10" s="14">
        <v>21.502083333333331</v>
      </c>
    </row>
    <row r="11" spans="1:9" x14ac:dyDescent="0.2">
      <c r="A11" t="s">
        <v>345</v>
      </c>
      <c r="B11" s="6" t="s">
        <v>24</v>
      </c>
      <c r="C11" s="9" t="s">
        <v>357</v>
      </c>
      <c r="D11" s="10">
        <v>3</v>
      </c>
      <c r="E11" s="14">
        <v>29.157142857142855</v>
      </c>
    </row>
    <row r="12" spans="1:9" x14ac:dyDescent="0.2">
      <c r="A12" t="s">
        <v>346</v>
      </c>
      <c r="B12" s="6" t="s">
        <v>32</v>
      </c>
      <c r="C12" s="9" t="s">
        <v>365</v>
      </c>
      <c r="D12" s="10">
        <v>3</v>
      </c>
      <c r="E12" s="14">
        <v>81.447499999999991</v>
      </c>
    </row>
    <row r="13" spans="1:9" x14ac:dyDescent="0.2">
      <c r="A13" t="s">
        <v>346</v>
      </c>
      <c r="B13" s="6" t="s">
        <v>33</v>
      </c>
      <c r="C13" s="9" t="s">
        <v>366</v>
      </c>
      <c r="D13" s="10">
        <v>3</v>
      </c>
      <c r="E13" s="14">
        <v>28.720000000000002</v>
      </c>
    </row>
    <row r="14" spans="1:9" x14ac:dyDescent="0.2">
      <c r="A14" t="s">
        <v>344</v>
      </c>
      <c r="B14" s="6" t="s">
        <v>17</v>
      </c>
      <c r="C14" s="9" t="s">
        <v>352</v>
      </c>
      <c r="D14" s="10">
        <v>4</v>
      </c>
      <c r="E14" s="14">
        <v>23.866136363636361</v>
      </c>
    </row>
    <row r="15" spans="1:9" x14ac:dyDescent="0.2">
      <c r="A15" t="s">
        <v>345</v>
      </c>
      <c r="B15" s="6" t="s">
        <v>25</v>
      </c>
      <c r="C15" s="9" t="s">
        <v>358</v>
      </c>
      <c r="D15" s="10">
        <v>4</v>
      </c>
      <c r="E15" s="14">
        <v>32.017999999999994</v>
      </c>
    </row>
    <row r="16" spans="1:9" x14ac:dyDescent="0.2">
      <c r="A16" t="s">
        <v>344</v>
      </c>
      <c r="B16" s="6" t="s">
        <v>18</v>
      </c>
      <c r="C16" s="9" t="s">
        <v>371</v>
      </c>
      <c r="D16" s="10">
        <v>5</v>
      </c>
      <c r="E16" s="14">
        <v>38.906666666666666</v>
      </c>
    </row>
    <row r="17" spans="1:9" x14ac:dyDescent="0.2">
      <c r="A17" t="s">
        <v>345</v>
      </c>
      <c r="B17" s="6" t="s">
        <v>26</v>
      </c>
      <c r="C17" s="9" t="s">
        <v>359</v>
      </c>
      <c r="D17" s="10">
        <v>5</v>
      </c>
      <c r="E17" s="14">
        <v>37.214999999999996</v>
      </c>
    </row>
    <row r="18" spans="1:9" x14ac:dyDescent="0.2">
      <c r="A18" t="s">
        <v>346</v>
      </c>
      <c r="B18" s="6" t="s">
        <v>34</v>
      </c>
      <c r="C18" s="9" t="s">
        <v>367</v>
      </c>
      <c r="D18" s="10">
        <v>5</v>
      </c>
      <c r="E18" s="14">
        <v>71.692499999999995</v>
      </c>
    </row>
    <row r="19" spans="1:9" x14ac:dyDescent="0.2">
      <c r="A19" t="s">
        <v>346</v>
      </c>
      <c r="B19" s="6" t="s">
        <v>35</v>
      </c>
      <c r="C19" s="9" t="s">
        <v>368</v>
      </c>
      <c r="D19" s="10">
        <v>5</v>
      </c>
      <c r="E19" s="14">
        <v>81.342500000000001</v>
      </c>
    </row>
    <row r="20" spans="1:9" x14ac:dyDescent="0.2">
      <c r="A20" t="s">
        <v>344</v>
      </c>
      <c r="B20" s="6" t="s">
        <v>19</v>
      </c>
      <c r="C20" s="9" t="s">
        <v>349</v>
      </c>
      <c r="D20" s="10">
        <v>6</v>
      </c>
      <c r="E20" s="14">
        <v>50.789285714285704</v>
      </c>
    </row>
    <row r="21" spans="1:9" x14ac:dyDescent="0.2">
      <c r="A21" t="s">
        <v>345</v>
      </c>
      <c r="B21" s="6" t="s">
        <v>28</v>
      </c>
      <c r="C21" s="9" t="s">
        <v>361</v>
      </c>
      <c r="D21" s="10">
        <v>6</v>
      </c>
      <c r="E21" s="14">
        <v>70.614999999999995</v>
      </c>
    </row>
    <row r="22" spans="1:9" x14ac:dyDescent="0.2">
      <c r="A22" t="s">
        <v>346</v>
      </c>
      <c r="B22" s="6" t="s">
        <v>36</v>
      </c>
      <c r="C22" s="9" t="s">
        <v>369</v>
      </c>
      <c r="D22" s="10">
        <v>6</v>
      </c>
      <c r="E22" s="14">
        <v>105.39</v>
      </c>
      <c r="I22" s="11"/>
    </row>
    <row r="23" spans="1:9" x14ac:dyDescent="0.2">
      <c r="A23" t="s">
        <v>344</v>
      </c>
      <c r="B23" s="6" t="s">
        <v>20</v>
      </c>
      <c r="C23" s="9" t="s">
        <v>353</v>
      </c>
      <c r="D23" s="10">
        <v>7</v>
      </c>
      <c r="E23" s="14">
        <v>66.67</v>
      </c>
    </row>
    <row r="24" spans="1:9" x14ac:dyDescent="0.2">
      <c r="A24" t="s">
        <v>345</v>
      </c>
      <c r="B24" s="6" t="s">
        <v>27</v>
      </c>
      <c r="C24" s="9" t="s">
        <v>360</v>
      </c>
      <c r="D24" s="10">
        <v>8</v>
      </c>
      <c r="E24" s="14">
        <v>41.616666666666667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1FFE-6DB0-4C8B-9DA8-D1D135DE49D3}">
  <dimension ref="A3:X11"/>
  <sheetViews>
    <sheetView showGridLines="0" workbookViewId="0">
      <selection activeCell="D32" sqref="D32"/>
    </sheetView>
  </sheetViews>
  <sheetFormatPr baseColWidth="10" defaultColWidth="8.83203125" defaultRowHeight="15" x14ac:dyDescent="0.2"/>
  <cols>
    <col min="1" max="1" width="22.6640625" bestFit="1" customWidth="1"/>
    <col min="2" max="2" width="40.5" bestFit="1" customWidth="1"/>
    <col min="3" max="3" width="35.33203125" bestFit="1" customWidth="1"/>
    <col min="4" max="4" width="35" bestFit="1" customWidth="1"/>
    <col min="5" max="5" width="34.5" bestFit="1" customWidth="1"/>
    <col min="6" max="6" width="32.5" bestFit="1" customWidth="1"/>
    <col min="7" max="7" width="35.1640625" bestFit="1" customWidth="1"/>
    <col min="8" max="8" width="35.33203125" bestFit="1" customWidth="1"/>
    <col min="9" max="9" width="29.6640625" bestFit="1" customWidth="1"/>
    <col min="10" max="10" width="31.1640625" bestFit="1" customWidth="1"/>
    <col min="11" max="11" width="33.1640625" bestFit="1" customWidth="1"/>
    <col min="12" max="12" width="36.6640625" bestFit="1" customWidth="1"/>
    <col min="13" max="13" width="30.1640625" bestFit="1" customWidth="1"/>
    <col min="14" max="14" width="37.1640625" bestFit="1" customWidth="1"/>
    <col min="15" max="15" width="31.5" bestFit="1" customWidth="1"/>
    <col min="16" max="16" width="32" bestFit="1" customWidth="1"/>
    <col min="17" max="17" width="33.1640625" bestFit="1" customWidth="1"/>
    <col min="18" max="18" width="40.5" bestFit="1" customWidth="1"/>
    <col min="19" max="19" width="33.5" bestFit="1" customWidth="1"/>
    <col min="20" max="20" width="28.5" bestFit="1" customWidth="1"/>
    <col min="21" max="21" width="32.6640625" bestFit="1" customWidth="1"/>
    <col min="22" max="22" width="32.33203125" bestFit="1" customWidth="1"/>
    <col min="23" max="23" width="41" bestFit="1" customWidth="1"/>
    <col min="24" max="24" width="32.6640625" bestFit="1" customWidth="1"/>
  </cols>
  <sheetData>
    <row r="3" spans="1:24" x14ac:dyDescent="0.2">
      <c r="A3" s="4" t="s">
        <v>390</v>
      </c>
      <c r="B3" t="s">
        <v>400</v>
      </c>
      <c r="C3" t="s">
        <v>401</v>
      </c>
      <c r="D3" t="s">
        <v>402</v>
      </c>
      <c r="E3" t="s">
        <v>422</v>
      </c>
      <c r="F3" t="s">
        <v>419</v>
      </c>
      <c r="G3" t="s">
        <v>421</v>
      </c>
      <c r="H3" t="s">
        <v>418</v>
      </c>
      <c r="I3" t="s">
        <v>416</v>
      </c>
      <c r="J3" t="s">
        <v>420</v>
      </c>
      <c r="K3" t="s">
        <v>417</v>
      </c>
      <c r="L3" t="s">
        <v>415</v>
      </c>
      <c r="M3" t="s">
        <v>414</v>
      </c>
      <c r="N3" t="s">
        <v>403</v>
      </c>
      <c r="O3" t="s">
        <v>413</v>
      </c>
      <c r="P3" t="s">
        <v>411</v>
      </c>
      <c r="Q3" t="s">
        <v>412</v>
      </c>
      <c r="R3" t="s">
        <v>410</v>
      </c>
      <c r="S3" t="s">
        <v>409</v>
      </c>
      <c r="T3" t="s">
        <v>408</v>
      </c>
      <c r="U3" t="s">
        <v>407</v>
      </c>
      <c r="V3" t="s">
        <v>404</v>
      </c>
      <c r="W3" t="s">
        <v>406</v>
      </c>
      <c r="X3" t="s">
        <v>405</v>
      </c>
    </row>
    <row r="4" spans="1:24" x14ac:dyDescent="0.2">
      <c r="A4" s="5" t="s">
        <v>186</v>
      </c>
      <c r="B4" s="3">
        <v>1</v>
      </c>
      <c r="C4" s="3">
        <v>1</v>
      </c>
      <c r="D4" s="3">
        <v>1</v>
      </c>
      <c r="E4" s="3">
        <v>1</v>
      </c>
      <c r="F4" s="3">
        <v>2</v>
      </c>
      <c r="G4" s="3"/>
      <c r="H4" s="3"/>
      <c r="I4" s="3"/>
      <c r="J4" s="3"/>
      <c r="K4" s="3"/>
      <c r="L4" s="3"/>
      <c r="M4" s="3"/>
      <c r="N4" s="3">
        <v>1</v>
      </c>
      <c r="O4" s="3"/>
      <c r="P4" s="3">
        <v>1</v>
      </c>
      <c r="Q4" s="3"/>
      <c r="R4" s="3">
        <v>1</v>
      </c>
      <c r="S4" s="3">
        <v>1</v>
      </c>
      <c r="T4" s="3">
        <v>1</v>
      </c>
      <c r="U4" s="3">
        <v>2</v>
      </c>
      <c r="V4" s="3">
        <v>1</v>
      </c>
      <c r="W4" s="3">
        <v>1</v>
      </c>
      <c r="X4" s="3">
        <v>2</v>
      </c>
    </row>
    <row r="5" spans="1:24" x14ac:dyDescent="0.2">
      <c r="A5" s="5" t="s">
        <v>281</v>
      </c>
      <c r="B5" s="3"/>
      <c r="C5" s="3"/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>
        <v>1</v>
      </c>
      <c r="S5" s="3">
        <v>1</v>
      </c>
      <c r="T5" s="3">
        <v>1</v>
      </c>
      <c r="U5" s="3">
        <v>1</v>
      </c>
      <c r="V5" s="3"/>
      <c r="W5" s="3"/>
      <c r="X5" s="3">
        <v>1</v>
      </c>
    </row>
    <row r="6" spans="1:24" x14ac:dyDescent="0.2">
      <c r="A6" s="5" t="s">
        <v>61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/>
      <c r="H6" s="3"/>
      <c r="I6" s="3"/>
      <c r="J6" s="3"/>
      <c r="K6" s="3">
        <v>1</v>
      </c>
      <c r="L6" s="3"/>
      <c r="M6" s="3"/>
      <c r="N6" s="3">
        <v>1</v>
      </c>
      <c r="O6" s="3"/>
      <c r="P6" s="3">
        <v>1</v>
      </c>
      <c r="Q6" s="3"/>
      <c r="R6" s="3"/>
      <c r="S6" s="3">
        <v>1</v>
      </c>
      <c r="T6" s="3">
        <v>1</v>
      </c>
      <c r="U6" s="3">
        <v>1</v>
      </c>
      <c r="V6" s="3">
        <v>1</v>
      </c>
      <c r="W6" s="3"/>
      <c r="X6" s="3">
        <v>1</v>
      </c>
    </row>
    <row r="7" spans="1:24" x14ac:dyDescent="0.2">
      <c r="A7" s="5" t="s">
        <v>88</v>
      </c>
      <c r="B7" s="3">
        <v>5</v>
      </c>
      <c r="C7" s="3">
        <v>3</v>
      </c>
      <c r="D7" s="3">
        <v>5</v>
      </c>
      <c r="E7" s="3">
        <v>3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5</v>
      </c>
      <c r="O7" s="3">
        <v>1</v>
      </c>
      <c r="P7" s="3">
        <v>1</v>
      </c>
      <c r="Q7" s="3">
        <v>1</v>
      </c>
      <c r="R7" s="3"/>
      <c r="S7" s="3">
        <v>1</v>
      </c>
      <c r="T7" s="3">
        <v>1</v>
      </c>
      <c r="U7" s="3">
        <v>1</v>
      </c>
      <c r="V7" s="3">
        <v>5</v>
      </c>
      <c r="W7" s="3">
        <v>1</v>
      </c>
      <c r="X7" s="3">
        <v>1</v>
      </c>
    </row>
    <row r="8" spans="1:24" x14ac:dyDescent="0.2">
      <c r="A8" s="5" t="s">
        <v>147</v>
      </c>
      <c r="B8" s="3">
        <v>3</v>
      </c>
      <c r="C8" s="3">
        <v>1</v>
      </c>
      <c r="D8" s="3">
        <v>3</v>
      </c>
      <c r="E8" s="3">
        <v>3</v>
      </c>
      <c r="F8" s="3">
        <v>1</v>
      </c>
      <c r="G8" s="3"/>
      <c r="H8" s="3"/>
      <c r="I8" s="3"/>
      <c r="J8" s="3"/>
      <c r="K8" s="3"/>
      <c r="L8" s="3"/>
      <c r="M8" s="3"/>
      <c r="N8" s="3">
        <v>3</v>
      </c>
      <c r="O8" s="3"/>
      <c r="P8" s="3"/>
      <c r="Q8" s="3"/>
      <c r="R8" s="3"/>
      <c r="S8" s="3"/>
      <c r="T8" s="3">
        <v>1</v>
      </c>
      <c r="U8" s="3"/>
      <c r="V8" s="3">
        <v>1</v>
      </c>
      <c r="W8" s="3"/>
      <c r="X8" s="3"/>
    </row>
    <row r="9" spans="1:24" x14ac:dyDescent="0.2">
      <c r="A9" s="5" t="s">
        <v>118</v>
      </c>
      <c r="B9" s="3">
        <v>14</v>
      </c>
      <c r="C9" s="3">
        <v>9</v>
      </c>
      <c r="D9" s="3">
        <v>14</v>
      </c>
      <c r="E9" s="3">
        <v>14</v>
      </c>
      <c r="F9" s="3">
        <v>1</v>
      </c>
      <c r="G9" s="3"/>
      <c r="H9" s="3"/>
      <c r="I9" s="3"/>
      <c r="J9" s="3"/>
      <c r="K9" s="3"/>
      <c r="L9" s="3"/>
      <c r="M9" s="3"/>
      <c r="N9" s="3">
        <v>11</v>
      </c>
      <c r="O9" s="3"/>
      <c r="P9" s="3"/>
      <c r="Q9" s="3"/>
      <c r="R9" s="3">
        <v>2</v>
      </c>
      <c r="S9" s="3"/>
      <c r="T9" s="3">
        <v>1</v>
      </c>
      <c r="U9" s="3">
        <v>2</v>
      </c>
      <c r="V9" s="3">
        <v>13</v>
      </c>
      <c r="W9" s="3">
        <v>1</v>
      </c>
      <c r="X9" s="3">
        <v>1</v>
      </c>
    </row>
    <row r="10" spans="1:24" x14ac:dyDescent="0.2">
      <c r="A10" s="5" t="s">
        <v>399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5" t="s">
        <v>391</v>
      </c>
      <c r="B11" s="3">
        <v>24</v>
      </c>
      <c r="C11" s="3">
        <v>15</v>
      </c>
      <c r="D11" s="3">
        <v>24</v>
      </c>
      <c r="E11" s="3">
        <v>22</v>
      </c>
      <c r="F11" s="3">
        <v>7</v>
      </c>
      <c r="G11" s="3">
        <v>1</v>
      </c>
      <c r="H11" s="3">
        <v>1</v>
      </c>
      <c r="I11" s="3">
        <v>1</v>
      </c>
      <c r="J11" s="3">
        <v>1</v>
      </c>
      <c r="K11" s="3">
        <v>2</v>
      </c>
      <c r="L11" s="3">
        <v>1</v>
      </c>
      <c r="M11" s="3">
        <v>1</v>
      </c>
      <c r="N11" s="3">
        <v>21</v>
      </c>
      <c r="O11" s="3">
        <v>1</v>
      </c>
      <c r="P11" s="3">
        <v>4</v>
      </c>
      <c r="Q11" s="3">
        <v>1</v>
      </c>
      <c r="R11" s="3">
        <v>4</v>
      </c>
      <c r="S11" s="3">
        <v>4</v>
      </c>
      <c r="T11" s="3">
        <v>6</v>
      </c>
      <c r="U11" s="3">
        <v>7</v>
      </c>
      <c r="V11" s="3">
        <v>21</v>
      </c>
      <c r="W11" s="3">
        <v>3</v>
      </c>
      <c r="X11" s="3">
        <v>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384B-8293-47EA-96C9-BB9BD762E357}">
  <dimension ref="A1:H8"/>
  <sheetViews>
    <sheetView showGridLines="0" zoomScaleNormal="100" workbookViewId="0">
      <selection activeCell="K6" sqref="K6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1" bestFit="1" customWidth="1"/>
    <col min="4" max="4" width="17.6640625" bestFit="1" customWidth="1"/>
    <col min="5" max="5" width="26.33203125" bestFit="1" customWidth="1"/>
    <col min="6" max="6" width="21" bestFit="1" customWidth="1"/>
    <col min="7" max="7" width="22" bestFit="1" customWidth="1"/>
    <col min="8" max="8" width="17" bestFit="1" customWidth="1"/>
  </cols>
  <sheetData>
    <row r="1" spans="1:8" x14ac:dyDescent="0.2">
      <c r="A1" s="4" t="s">
        <v>370</v>
      </c>
      <c r="B1" s="5">
        <v>3</v>
      </c>
    </row>
    <row r="3" spans="1:8" x14ac:dyDescent="0.2">
      <c r="A3" s="4" t="s">
        <v>390</v>
      </c>
      <c r="B3" t="s">
        <v>376</v>
      </c>
      <c r="C3" t="s">
        <v>389</v>
      </c>
      <c r="D3" t="s">
        <v>377</v>
      </c>
      <c r="E3" t="s">
        <v>379</v>
      </c>
      <c r="F3" t="s">
        <v>392</v>
      </c>
      <c r="G3" t="s">
        <v>378</v>
      </c>
      <c r="H3" t="s">
        <v>394</v>
      </c>
    </row>
    <row r="4" spans="1:8" x14ac:dyDescent="0.2">
      <c r="A4" s="5" t="s">
        <v>365</v>
      </c>
      <c r="B4" s="17">
        <v>57.504999999999995</v>
      </c>
      <c r="C4" s="17">
        <v>81.447499999999991</v>
      </c>
      <c r="D4" s="17">
        <v>105.39</v>
      </c>
      <c r="E4" s="17">
        <v>33.859808217117894</v>
      </c>
      <c r="F4" s="17">
        <v>62.33</v>
      </c>
      <c r="G4" s="3">
        <v>2</v>
      </c>
      <c r="H4" s="3"/>
    </row>
    <row r="5" spans="1:8" x14ac:dyDescent="0.2">
      <c r="A5" s="5" t="s">
        <v>366</v>
      </c>
      <c r="B5" s="17">
        <v>25.1</v>
      </c>
      <c r="C5" s="17">
        <v>28.720000000000002</v>
      </c>
      <c r="D5" s="17">
        <v>32.340000000000003</v>
      </c>
      <c r="E5" s="17">
        <v>5.1194530957906368</v>
      </c>
      <c r="F5" s="17">
        <v>29.96</v>
      </c>
      <c r="G5" s="3">
        <v>2</v>
      </c>
      <c r="H5" s="3"/>
    </row>
    <row r="6" spans="1:8" x14ac:dyDescent="0.2">
      <c r="A6" s="5" t="s">
        <v>357</v>
      </c>
      <c r="B6" s="17">
        <v>25</v>
      </c>
      <c r="C6" s="17">
        <v>29.157142857142855</v>
      </c>
      <c r="D6" s="17">
        <v>37</v>
      </c>
      <c r="E6" s="17">
        <v>4.9075391466793867</v>
      </c>
      <c r="F6" s="17">
        <v>21.886000000000003</v>
      </c>
      <c r="G6" s="3">
        <v>7</v>
      </c>
      <c r="H6" s="3"/>
    </row>
    <row r="7" spans="1:8" x14ac:dyDescent="0.2">
      <c r="A7" s="5" t="s">
        <v>351</v>
      </c>
      <c r="B7" s="17">
        <v>16.004999999999999</v>
      </c>
      <c r="C7" s="17">
        <v>21.502083333333331</v>
      </c>
      <c r="D7" s="17">
        <v>23</v>
      </c>
      <c r="E7" s="17">
        <v>2.1648390424486865</v>
      </c>
      <c r="F7" s="17">
        <v>19.962</v>
      </c>
      <c r="G7" s="3">
        <v>24</v>
      </c>
      <c r="H7" s="3">
        <v>19.190000000000001</v>
      </c>
    </row>
    <row r="8" spans="1:8" x14ac:dyDescent="0.2">
      <c r="A8" s="5" t="s">
        <v>391</v>
      </c>
      <c r="B8" s="17">
        <v>123.60999999999999</v>
      </c>
      <c r="C8" s="17">
        <v>160.82672619047617</v>
      </c>
      <c r="D8" s="17">
        <v>197.73000000000002</v>
      </c>
      <c r="E8" s="17">
        <v>46.051639502036601</v>
      </c>
      <c r="F8" s="17">
        <v>134.13799999999998</v>
      </c>
      <c r="G8" s="3">
        <v>35</v>
      </c>
      <c r="H8" s="3">
        <v>19.190000000000001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212E-6387-46C6-945F-958002A4F281}">
  <dimension ref="A1:D31"/>
  <sheetViews>
    <sheetView showGridLines="0" workbookViewId="0">
      <selection activeCell="J29" sqref="J29"/>
    </sheetView>
  </sheetViews>
  <sheetFormatPr baseColWidth="10" defaultColWidth="8.83203125" defaultRowHeight="15" x14ac:dyDescent="0.2"/>
  <cols>
    <col min="1" max="1" width="18" bestFit="1" customWidth="1"/>
    <col min="2" max="3" width="22.5" style="11" bestFit="1" customWidth="1"/>
    <col min="4" max="4" width="25.6640625" style="19" bestFit="1" customWidth="1"/>
  </cols>
  <sheetData>
    <row r="1" spans="1:4" x14ac:dyDescent="0.2">
      <c r="A1" s="4" t="s">
        <v>370</v>
      </c>
      <c r="B1" s="21">
        <v>6</v>
      </c>
    </row>
    <row r="3" spans="1:4" x14ac:dyDescent="0.2">
      <c r="A3" s="4" t="s">
        <v>390</v>
      </c>
      <c r="B3" s="14" t="s">
        <v>389</v>
      </c>
      <c r="C3" s="14" t="s">
        <v>392</v>
      </c>
      <c r="D3" t="s">
        <v>398</v>
      </c>
    </row>
    <row r="4" spans="1:4" x14ac:dyDescent="0.2">
      <c r="A4" s="5" t="s">
        <v>346</v>
      </c>
      <c r="B4" s="14">
        <v>105.39</v>
      </c>
      <c r="C4" s="14">
        <v>129.12</v>
      </c>
      <c r="D4" s="16">
        <v>1.0750439490893753</v>
      </c>
    </row>
    <row r="5" spans="1:4" x14ac:dyDescent="0.2">
      <c r="A5" s="20" t="s">
        <v>369</v>
      </c>
      <c r="B5" s="14">
        <v>105.39</v>
      </c>
      <c r="C5" s="14">
        <v>129.12</v>
      </c>
      <c r="D5" s="16">
        <v>1.0750439490893753</v>
      </c>
    </row>
    <row r="6" spans="1:4" x14ac:dyDescent="0.2">
      <c r="A6" s="5" t="s">
        <v>345</v>
      </c>
      <c r="B6" s="14">
        <v>70.614999999999995</v>
      </c>
      <c r="C6" s="14">
        <v>42.928571428571431</v>
      </c>
      <c r="D6" s="16">
        <v>0.39035229590042914</v>
      </c>
    </row>
    <row r="7" spans="1:4" x14ac:dyDescent="0.2">
      <c r="A7" s="20" t="s">
        <v>361</v>
      </c>
      <c r="B7" s="14">
        <v>70.614999999999995</v>
      </c>
      <c r="C7" s="14">
        <v>42.928571428571431</v>
      </c>
      <c r="D7" s="16">
        <v>0.39035229590042914</v>
      </c>
    </row>
    <row r="8" spans="1:4" x14ac:dyDescent="0.2">
      <c r="A8" s="5" t="s">
        <v>344</v>
      </c>
      <c r="B8" s="14">
        <v>50.789285714285704</v>
      </c>
      <c r="C8" s="14">
        <v>71.103333333333339</v>
      </c>
      <c r="D8" s="16">
        <v>0</v>
      </c>
    </row>
    <row r="9" spans="1:4" x14ac:dyDescent="0.2">
      <c r="A9" s="20" t="s">
        <v>349</v>
      </c>
      <c r="B9" s="14">
        <v>50.789285714285704</v>
      </c>
      <c r="C9" s="14">
        <v>71.103333333333339</v>
      </c>
      <c r="D9" s="16">
        <v>0</v>
      </c>
    </row>
    <row r="10" spans="1:4" x14ac:dyDescent="0.2">
      <c r="B10"/>
      <c r="C10"/>
      <c r="D10"/>
    </row>
    <row r="11" spans="1:4" x14ac:dyDescent="0.2">
      <c r="B11"/>
      <c r="C11"/>
      <c r="D11"/>
    </row>
    <row r="12" spans="1:4" x14ac:dyDescent="0.2">
      <c r="B12"/>
      <c r="C12"/>
      <c r="D12"/>
    </row>
    <row r="13" spans="1:4" x14ac:dyDescent="0.2">
      <c r="B13"/>
      <c r="C13"/>
      <c r="D13"/>
    </row>
    <row r="14" spans="1:4" x14ac:dyDescent="0.2">
      <c r="B14"/>
      <c r="C14"/>
      <c r="D14"/>
    </row>
    <row r="15" spans="1:4" x14ac:dyDescent="0.2">
      <c r="B15"/>
      <c r="C15"/>
      <c r="D15"/>
    </row>
    <row r="16" spans="1:4" x14ac:dyDescent="0.2">
      <c r="B16"/>
      <c r="C16"/>
      <c r="D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2"/>
  <sheetViews>
    <sheetView tabSelected="1" topLeftCell="R1" zoomScale="150" workbookViewId="0">
      <selection activeCell="X2" sqref="X2"/>
    </sheetView>
  </sheetViews>
  <sheetFormatPr baseColWidth="10" defaultColWidth="8.83203125" defaultRowHeight="15" x14ac:dyDescent="0.2"/>
  <cols>
    <col min="1" max="1" width="5.1640625" bestFit="1" customWidth="1"/>
    <col min="2" max="2" width="15.5" bestFit="1" customWidth="1"/>
    <col min="3" max="3" width="19.5" bestFit="1" customWidth="1"/>
    <col min="4" max="4" width="32.33203125" bestFit="1" customWidth="1"/>
    <col min="5" max="5" width="27.5" bestFit="1" customWidth="1"/>
    <col min="6" max="6" width="16.83203125" bestFit="1" customWidth="1"/>
    <col min="7" max="7" width="20.1640625" bestFit="1" customWidth="1"/>
    <col min="8" max="8" width="62.1640625" bestFit="1" customWidth="1"/>
    <col min="9" max="9" width="54.5" bestFit="1" customWidth="1"/>
    <col min="10" max="10" width="56.1640625" bestFit="1" customWidth="1"/>
    <col min="11" max="11" width="49.5" bestFit="1" customWidth="1"/>
    <col min="12" max="12" width="22.5" bestFit="1" customWidth="1"/>
    <col min="13" max="13" width="69.6640625" bestFit="1" customWidth="1"/>
    <col min="14" max="14" width="64.5" bestFit="1" customWidth="1"/>
    <col min="15" max="15" width="30.1640625" bestFit="1" customWidth="1"/>
    <col min="16" max="16" width="25" bestFit="1" customWidth="1"/>
    <col min="17" max="17" width="24.6640625" bestFit="1" customWidth="1"/>
    <col min="18" max="18" width="24.33203125" bestFit="1" customWidth="1"/>
    <col min="19" max="19" width="26.83203125" bestFit="1" customWidth="1"/>
    <col min="20" max="20" width="22" bestFit="1" customWidth="1"/>
    <col min="21" max="21" width="30.6640625" bestFit="1" customWidth="1"/>
    <col min="22" max="22" width="22.33203125" bestFit="1" customWidth="1"/>
    <col min="23" max="24" width="22.5" bestFit="1" customWidth="1"/>
    <col min="25" max="25" width="18.33203125" bestFit="1" customWidth="1"/>
    <col min="26" max="26" width="23.1640625" bestFit="1" customWidth="1"/>
    <col min="27" max="27" width="30.33203125" bestFit="1" customWidth="1"/>
    <col min="28" max="28" width="22.83203125" bestFit="1" customWidth="1"/>
    <col min="29" max="29" width="21.6640625" bestFit="1" customWidth="1"/>
    <col min="30" max="30" width="22.83203125" bestFit="1" customWidth="1"/>
    <col min="31" max="31" width="19.83203125" bestFit="1" customWidth="1"/>
    <col min="32" max="32" width="21.1640625" bestFit="1" customWidth="1"/>
    <col min="33" max="33" width="19.33203125" bestFit="1" customWidth="1"/>
    <col min="34" max="34" width="26.5" bestFit="1" customWidth="1"/>
    <col min="35" max="35" width="25" bestFit="1" customWidth="1"/>
    <col min="36" max="36" width="24.83203125" bestFit="1" customWidth="1"/>
    <col min="37" max="37" width="20.83203125" bestFit="1" customWidth="1"/>
    <col min="38" max="38" width="128.5" bestFit="1" customWidth="1"/>
    <col min="39" max="39" width="146.83203125" bestFit="1" customWidth="1"/>
    <col min="40" max="40" width="55.5" bestFit="1" customWidth="1"/>
    <col min="41" max="41" width="74.83203125" bestFit="1" customWidth="1"/>
    <col min="42" max="42" width="61.83203125" bestFit="1" customWidth="1"/>
    <col min="43" max="43" width="51.5" bestFit="1" customWidth="1"/>
    <col min="44" max="44" width="62.5" bestFit="1" customWidth="1"/>
    <col min="45" max="45" width="59.83203125" bestFit="1" customWidth="1"/>
    <col min="46" max="47" width="9.6640625" bestFit="1" customWidth="1"/>
    <col min="48" max="48" width="8.6640625" bestFit="1" customWidth="1"/>
    <col min="49" max="49" width="12.83203125" bestFit="1" customWidth="1"/>
    <col min="50" max="50" width="10.1640625" bestFit="1" customWidth="1"/>
    <col min="51" max="51" width="9.5" bestFit="1" customWidth="1"/>
    <col min="52" max="52" width="8.6640625" bestFit="1" customWidth="1"/>
    <col min="53" max="53" width="12.83203125" bestFit="1" customWidth="1"/>
    <col min="54" max="54" width="50.5" bestFit="1" customWidth="1"/>
    <col min="55" max="55" width="178.5" bestFit="1" customWidth="1"/>
    <col min="56" max="56" width="76.1640625" bestFit="1" customWidth="1"/>
  </cols>
  <sheetData>
    <row r="1" spans="1:5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438</v>
      </c>
      <c r="P1" s="3" t="s">
        <v>350</v>
      </c>
      <c r="Q1" s="3" t="s">
        <v>351</v>
      </c>
      <c r="R1" s="3" t="s">
        <v>352</v>
      </c>
      <c r="S1" s="3" t="s">
        <v>371</v>
      </c>
      <c r="T1" s="3" t="s">
        <v>349</v>
      </c>
      <c r="U1" s="3" t="s">
        <v>439</v>
      </c>
      <c r="V1" s="3" t="s">
        <v>354</v>
      </c>
      <c r="W1" s="3" t="s">
        <v>356</v>
      </c>
      <c r="X1" s="3" t="s">
        <v>355</v>
      </c>
      <c r="Y1" s="3" t="s">
        <v>357</v>
      </c>
      <c r="Z1" s="3" t="s">
        <v>440</v>
      </c>
      <c r="AA1" s="3" t="s">
        <v>359</v>
      </c>
      <c r="AB1" s="3" t="s">
        <v>360</v>
      </c>
      <c r="AC1" s="3" t="s">
        <v>361</v>
      </c>
      <c r="AD1" s="3" t="s">
        <v>362</v>
      </c>
      <c r="AE1" s="3" t="s">
        <v>385</v>
      </c>
      <c r="AF1" s="3" t="s">
        <v>364</v>
      </c>
      <c r="AG1" s="3" t="s">
        <v>441</v>
      </c>
      <c r="AH1" s="3" t="s">
        <v>366</v>
      </c>
      <c r="AI1" s="3" t="s">
        <v>367</v>
      </c>
      <c r="AJ1" s="3" t="s">
        <v>368</v>
      </c>
      <c r="AK1" s="3" t="s">
        <v>369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">
      <c r="A2">
        <v>5</v>
      </c>
      <c r="B2" s="1">
        <v>44650.632164351897</v>
      </c>
      <c r="C2" s="1">
        <v>44650.639710648102</v>
      </c>
      <c r="D2" s="3" t="s">
        <v>56</v>
      </c>
      <c r="E2" s="3" t="s">
        <v>57</v>
      </c>
      <c r="F2" s="3"/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58</v>
      </c>
      <c r="O2" s="3" t="s">
        <v>64</v>
      </c>
      <c r="P2" s="3" t="s">
        <v>65</v>
      </c>
      <c r="Q2" s="3" t="s">
        <v>64</v>
      </c>
      <c r="R2" s="3" t="s">
        <v>66</v>
      </c>
      <c r="S2" s="3" t="s">
        <v>67</v>
      </c>
      <c r="T2" s="3" t="s">
        <v>68</v>
      </c>
      <c r="U2" s="3"/>
      <c r="V2" s="3" t="s">
        <v>69</v>
      </c>
      <c r="W2" s="3" t="s">
        <v>70</v>
      </c>
      <c r="X2" s="3" t="s">
        <v>71</v>
      </c>
      <c r="Y2" s="3" t="s">
        <v>72</v>
      </c>
      <c r="Z2" s="3" t="s">
        <v>73</v>
      </c>
      <c r="AA2" s="3"/>
      <c r="AB2" s="3" t="s">
        <v>74</v>
      </c>
      <c r="AC2" s="3" t="s">
        <v>75</v>
      </c>
      <c r="AD2" s="3"/>
      <c r="AE2" s="3"/>
      <c r="AF2" s="3"/>
      <c r="AG2" s="3"/>
      <c r="AH2" s="3"/>
      <c r="AI2" s="3"/>
      <c r="AJ2" s="3"/>
      <c r="AK2" s="3"/>
      <c r="AL2" s="3"/>
      <c r="AM2" s="3" t="s">
        <v>76</v>
      </c>
      <c r="AN2" s="3" t="s">
        <v>77</v>
      </c>
      <c r="AO2" s="3" t="s">
        <v>77</v>
      </c>
      <c r="AP2" s="3" t="s">
        <v>78</v>
      </c>
      <c r="AQ2" s="3" t="s">
        <v>78</v>
      </c>
      <c r="AR2" s="3" t="s">
        <v>77</v>
      </c>
      <c r="AS2" s="3"/>
      <c r="AT2" s="3" t="s">
        <v>79</v>
      </c>
      <c r="AU2" s="3" t="s">
        <v>80</v>
      </c>
      <c r="AV2" s="3" t="s">
        <v>80</v>
      </c>
      <c r="AW2" s="3" t="s">
        <v>81</v>
      </c>
      <c r="AX2" s="3" t="s">
        <v>80</v>
      </c>
      <c r="AY2" s="3" t="s">
        <v>82</v>
      </c>
      <c r="AZ2" s="3" t="s">
        <v>80</v>
      </c>
      <c r="BA2" s="3" t="s">
        <v>80</v>
      </c>
      <c r="BC2" s="3" t="s">
        <v>83</v>
      </c>
      <c r="BD2">
        <v>8</v>
      </c>
    </row>
    <row r="3" spans="1:56" x14ac:dyDescent="0.2">
      <c r="A3">
        <v>6</v>
      </c>
      <c r="B3" s="1">
        <v>44650.640648148103</v>
      </c>
      <c r="C3" s="1">
        <v>44650.651539351798</v>
      </c>
      <c r="D3" s="3" t="s">
        <v>84</v>
      </c>
      <c r="E3" s="3" t="s">
        <v>85</v>
      </c>
      <c r="F3" s="3"/>
      <c r="G3" s="3" t="s">
        <v>86</v>
      </c>
      <c r="H3" s="3" t="s">
        <v>87</v>
      </c>
      <c r="I3" s="3" t="s">
        <v>59</v>
      </c>
      <c r="J3" s="3" t="s">
        <v>60</v>
      </c>
      <c r="K3" s="3" t="s">
        <v>88</v>
      </c>
      <c r="L3" s="3" t="s">
        <v>89</v>
      </c>
      <c r="M3" s="3" t="s">
        <v>90</v>
      </c>
      <c r="N3" s="3" t="s">
        <v>91</v>
      </c>
      <c r="O3" s="3" t="s">
        <v>65</v>
      </c>
      <c r="P3" s="3" t="s">
        <v>64</v>
      </c>
      <c r="Q3" s="3" t="s">
        <v>66</v>
      </c>
      <c r="R3" s="3" t="s">
        <v>92</v>
      </c>
      <c r="S3" s="3" t="s">
        <v>67</v>
      </c>
      <c r="T3" s="3" t="s">
        <v>68</v>
      </c>
      <c r="U3" s="3" t="s">
        <v>93</v>
      </c>
      <c r="V3" s="3" t="s">
        <v>94</v>
      </c>
      <c r="W3" s="3" t="s">
        <v>95</v>
      </c>
      <c r="X3" s="3" t="s">
        <v>71</v>
      </c>
      <c r="Y3" s="3" t="s">
        <v>96</v>
      </c>
      <c r="Z3" s="3" t="s">
        <v>96</v>
      </c>
      <c r="AA3" s="3"/>
      <c r="AB3" s="3" t="s">
        <v>97</v>
      </c>
      <c r="AC3" s="3" t="s">
        <v>98</v>
      </c>
      <c r="AD3" s="3" t="s">
        <v>99</v>
      </c>
      <c r="AE3" s="3" t="s">
        <v>100</v>
      </c>
      <c r="AF3" s="3" t="s">
        <v>101</v>
      </c>
      <c r="AG3" s="3" t="s">
        <v>102</v>
      </c>
      <c r="AH3" s="3" t="s">
        <v>103</v>
      </c>
      <c r="AI3" s="3" t="s">
        <v>104</v>
      </c>
      <c r="AJ3" s="3" t="s">
        <v>105</v>
      </c>
      <c r="AK3" s="3" t="s">
        <v>106</v>
      </c>
      <c r="AL3" s="3" t="s">
        <v>107</v>
      </c>
      <c r="AM3" s="3" t="s">
        <v>108</v>
      </c>
      <c r="AN3" s="3" t="s">
        <v>77</v>
      </c>
      <c r="AO3" s="3" t="s">
        <v>78</v>
      </c>
      <c r="AP3" s="3" t="s">
        <v>109</v>
      </c>
      <c r="AQ3" s="3" t="s">
        <v>77</v>
      </c>
      <c r="AR3" s="3" t="s">
        <v>78</v>
      </c>
      <c r="AS3" s="3"/>
      <c r="AT3" s="3" t="s">
        <v>79</v>
      </c>
      <c r="AU3" s="3" t="s">
        <v>110</v>
      </c>
      <c r="AV3" s="3" t="s">
        <v>110</v>
      </c>
      <c r="AW3" s="3" t="s">
        <v>110</v>
      </c>
      <c r="AX3" s="3" t="s">
        <v>79</v>
      </c>
      <c r="AY3" s="3" t="s">
        <v>81</v>
      </c>
      <c r="AZ3" s="3" t="s">
        <v>81</v>
      </c>
      <c r="BA3" s="3"/>
      <c r="BC3" s="3" t="s">
        <v>111</v>
      </c>
      <c r="BD3">
        <v>10</v>
      </c>
    </row>
    <row r="4" spans="1:56" x14ac:dyDescent="0.2">
      <c r="A4">
        <v>7</v>
      </c>
      <c r="B4" s="1">
        <v>44658.854861111096</v>
      </c>
      <c r="C4" s="1">
        <v>44658.860312500001</v>
      </c>
      <c r="D4" s="3" t="s">
        <v>112</v>
      </c>
      <c r="E4" s="3" t="s">
        <v>113</v>
      </c>
      <c r="F4" s="3" t="s">
        <v>114</v>
      </c>
      <c r="G4" s="3" t="s">
        <v>115</v>
      </c>
      <c r="H4" s="3" t="s">
        <v>116</v>
      </c>
      <c r="I4" s="3" t="s">
        <v>59</v>
      </c>
      <c r="J4" s="3" t="s">
        <v>117</v>
      </c>
      <c r="K4" s="3" t="s">
        <v>118</v>
      </c>
      <c r="L4" s="3" t="s">
        <v>119</v>
      </c>
      <c r="M4" s="3" t="s">
        <v>63</v>
      </c>
      <c r="N4" s="3" t="s">
        <v>120</v>
      </c>
      <c r="O4" s="3" t="s">
        <v>121</v>
      </c>
      <c r="P4" s="3" t="s">
        <v>121</v>
      </c>
      <c r="Q4" s="3" t="s">
        <v>121</v>
      </c>
      <c r="R4" s="3" t="s">
        <v>122</v>
      </c>
      <c r="S4" s="3" t="s">
        <v>123</v>
      </c>
      <c r="T4" s="3" t="s">
        <v>124</v>
      </c>
      <c r="U4" s="3" t="s">
        <v>125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126</v>
      </c>
      <c r="AN4" s="3" t="s">
        <v>77</v>
      </c>
      <c r="AO4" s="3" t="s">
        <v>78</v>
      </c>
      <c r="AP4" s="3" t="s">
        <v>109</v>
      </c>
      <c r="AQ4" s="3" t="s">
        <v>78</v>
      </c>
      <c r="AR4" s="3" t="s">
        <v>77</v>
      </c>
      <c r="AS4" s="3" t="s">
        <v>77</v>
      </c>
      <c r="AT4" s="3" t="s">
        <v>79</v>
      </c>
      <c r="AU4" s="3"/>
      <c r="AV4" s="3"/>
      <c r="AW4" s="3"/>
      <c r="AX4" s="3" t="s">
        <v>79</v>
      </c>
      <c r="AY4" s="3"/>
      <c r="AZ4" s="3"/>
      <c r="BA4" s="3"/>
      <c r="BB4">
        <v>9</v>
      </c>
      <c r="BC4" s="3" t="s">
        <v>127</v>
      </c>
      <c r="BD4">
        <v>9</v>
      </c>
    </row>
    <row r="5" spans="1:56" x14ac:dyDescent="0.2">
      <c r="A5">
        <v>8</v>
      </c>
      <c r="B5" s="1">
        <v>44658.860370370399</v>
      </c>
      <c r="C5" s="1">
        <v>44658.8667361111</v>
      </c>
      <c r="D5" s="3" t="s">
        <v>112</v>
      </c>
      <c r="E5" s="3" t="s">
        <v>113</v>
      </c>
      <c r="F5" s="3" t="s">
        <v>114</v>
      </c>
      <c r="G5" s="3" t="s">
        <v>115</v>
      </c>
      <c r="H5" s="3" t="s">
        <v>128</v>
      </c>
      <c r="I5" s="3" t="s">
        <v>59</v>
      </c>
      <c r="J5" s="3" t="s">
        <v>117</v>
      </c>
      <c r="K5" s="3" t="s">
        <v>118</v>
      </c>
      <c r="L5" s="3" t="s">
        <v>129</v>
      </c>
      <c r="M5" s="3" t="s">
        <v>63</v>
      </c>
      <c r="N5" s="3" t="s">
        <v>130</v>
      </c>
      <c r="O5" s="3" t="s">
        <v>121</v>
      </c>
      <c r="P5" s="3"/>
      <c r="Q5" s="3" t="s">
        <v>64</v>
      </c>
      <c r="R5" s="3" t="s">
        <v>71</v>
      </c>
      <c r="S5" s="3" t="s">
        <v>67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131</v>
      </c>
      <c r="AN5" s="3" t="s">
        <v>132</v>
      </c>
      <c r="AO5" s="3" t="s">
        <v>77</v>
      </c>
      <c r="AP5" s="3" t="s">
        <v>77</v>
      </c>
      <c r="AQ5" s="3" t="s">
        <v>132</v>
      </c>
      <c r="AR5" s="3" t="s">
        <v>132</v>
      </c>
      <c r="AS5" s="3" t="s">
        <v>132</v>
      </c>
      <c r="AT5" s="3" t="s">
        <v>80</v>
      </c>
      <c r="AU5" s="3"/>
      <c r="AV5" s="3"/>
      <c r="AW5" s="3"/>
      <c r="AX5" s="3" t="s">
        <v>80</v>
      </c>
      <c r="AY5" s="3"/>
      <c r="AZ5" s="3"/>
      <c r="BA5" s="3"/>
      <c r="BB5">
        <v>7</v>
      </c>
      <c r="BC5" s="3" t="s">
        <v>133</v>
      </c>
      <c r="BD5">
        <v>8</v>
      </c>
    </row>
    <row r="6" spans="1:56" x14ac:dyDescent="0.2">
      <c r="A6">
        <v>9</v>
      </c>
      <c r="B6" s="1">
        <v>44658.866759259297</v>
      </c>
      <c r="C6" s="1">
        <v>44658.872418981497</v>
      </c>
      <c r="D6" s="3" t="s">
        <v>112</v>
      </c>
      <c r="E6" s="3" t="s">
        <v>113</v>
      </c>
      <c r="F6" s="3" t="s">
        <v>114</v>
      </c>
      <c r="G6" s="3" t="s">
        <v>115</v>
      </c>
      <c r="H6" s="3" t="s">
        <v>134</v>
      </c>
      <c r="I6" s="3" t="s">
        <v>59</v>
      </c>
      <c r="J6" s="3" t="s">
        <v>135</v>
      </c>
      <c r="K6" s="3" t="s">
        <v>118</v>
      </c>
      <c r="L6" s="3" t="s">
        <v>136</v>
      </c>
      <c r="M6" s="3" t="s">
        <v>63</v>
      </c>
      <c r="N6" s="3" t="s">
        <v>137</v>
      </c>
      <c r="O6" s="3" t="s">
        <v>64</v>
      </c>
      <c r="P6" s="3" t="s">
        <v>64</v>
      </c>
      <c r="Q6" s="3" t="s">
        <v>65</v>
      </c>
      <c r="R6" s="3" t="s">
        <v>66</v>
      </c>
      <c r="S6" s="3"/>
      <c r="T6" s="3" t="s">
        <v>138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126</v>
      </c>
      <c r="AN6" s="3" t="s">
        <v>78</v>
      </c>
      <c r="AO6" s="3" t="s">
        <v>132</v>
      </c>
      <c r="AP6" s="3" t="s">
        <v>77</v>
      </c>
      <c r="AQ6" s="3" t="s">
        <v>78</v>
      </c>
      <c r="AR6" s="3" t="s">
        <v>109</v>
      </c>
      <c r="AS6" s="3" t="s">
        <v>77</v>
      </c>
      <c r="AT6" s="3" t="s">
        <v>79</v>
      </c>
      <c r="AU6" s="3"/>
      <c r="AV6" s="3"/>
      <c r="AW6" s="3"/>
      <c r="AX6" s="3" t="s">
        <v>80</v>
      </c>
      <c r="AY6" s="3"/>
      <c r="AZ6" s="3"/>
      <c r="BA6" s="3"/>
      <c r="BB6">
        <v>9</v>
      </c>
      <c r="BC6" s="3" t="s">
        <v>139</v>
      </c>
      <c r="BD6">
        <v>9</v>
      </c>
    </row>
    <row r="7" spans="1:56" x14ac:dyDescent="0.2">
      <c r="A7">
        <v>10</v>
      </c>
      <c r="B7" s="1">
        <v>44658.872442129599</v>
      </c>
      <c r="C7" s="1">
        <v>44658.8756712963</v>
      </c>
      <c r="D7" s="3" t="s">
        <v>112</v>
      </c>
      <c r="E7" s="3" t="s">
        <v>113</v>
      </c>
      <c r="F7" s="3" t="s">
        <v>114</v>
      </c>
      <c r="G7" s="3" t="s">
        <v>115</v>
      </c>
      <c r="H7" s="3" t="s">
        <v>134</v>
      </c>
      <c r="I7" s="3" t="s">
        <v>59</v>
      </c>
      <c r="J7" s="3" t="s">
        <v>135</v>
      </c>
      <c r="K7" s="3" t="s">
        <v>118</v>
      </c>
      <c r="L7" s="3" t="s">
        <v>140</v>
      </c>
      <c r="M7" s="3" t="s">
        <v>63</v>
      </c>
      <c r="N7" s="3" t="s">
        <v>141</v>
      </c>
      <c r="O7" s="3" t="s">
        <v>64</v>
      </c>
      <c r="P7" s="3" t="s">
        <v>64</v>
      </c>
      <c r="Q7" s="3" t="s">
        <v>65</v>
      </c>
      <c r="R7" s="3" t="s">
        <v>66</v>
      </c>
      <c r="S7" s="3"/>
      <c r="T7" s="3" t="s">
        <v>138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131</v>
      </c>
      <c r="AN7" s="3" t="s">
        <v>77</v>
      </c>
      <c r="AO7" s="3" t="s">
        <v>132</v>
      </c>
      <c r="AP7" s="3" t="s">
        <v>132</v>
      </c>
      <c r="AQ7" s="3" t="s">
        <v>77</v>
      </c>
      <c r="AR7" s="3" t="s">
        <v>77</v>
      </c>
      <c r="AS7" s="3" t="s">
        <v>132</v>
      </c>
      <c r="AT7" s="3" t="s">
        <v>80</v>
      </c>
      <c r="AU7" s="3"/>
      <c r="AV7" s="3"/>
      <c r="AW7" s="3"/>
      <c r="AX7" s="3" t="s">
        <v>80</v>
      </c>
      <c r="AY7" s="3"/>
      <c r="AZ7" s="3"/>
      <c r="BA7" s="3"/>
      <c r="BB7">
        <v>7</v>
      </c>
      <c r="BC7" s="3" t="s">
        <v>142</v>
      </c>
      <c r="BD7">
        <v>8</v>
      </c>
    </row>
    <row r="8" spans="1:56" x14ac:dyDescent="0.2">
      <c r="A8">
        <v>11</v>
      </c>
      <c r="B8" s="1">
        <v>44658.987812500003</v>
      </c>
      <c r="C8" s="1">
        <v>44658.999120370398</v>
      </c>
      <c r="D8" s="3" t="s">
        <v>143</v>
      </c>
      <c r="E8" s="3" t="s">
        <v>144</v>
      </c>
      <c r="F8" s="3" t="s">
        <v>114</v>
      </c>
      <c r="G8" s="3" t="s">
        <v>145</v>
      </c>
      <c r="H8" s="3" t="s">
        <v>146</v>
      </c>
      <c r="I8" s="3" t="s">
        <v>59</v>
      </c>
      <c r="J8" s="3" t="s">
        <v>135</v>
      </c>
      <c r="K8" s="3" t="s">
        <v>147</v>
      </c>
      <c r="L8" s="3" t="s">
        <v>148</v>
      </c>
      <c r="M8" s="3" t="s">
        <v>149</v>
      </c>
      <c r="N8" s="3" t="s">
        <v>150</v>
      </c>
      <c r="O8" s="3" t="s">
        <v>121</v>
      </c>
      <c r="P8" s="3"/>
      <c r="Q8" s="3" t="s">
        <v>121</v>
      </c>
      <c r="R8" s="3" t="s">
        <v>122</v>
      </c>
      <c r="S8" s="3" t="s">
        <v>151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 t="s">
        <v>152</v>
      </c>
      <c r="AM8" s="3" t="s">
        <v>153</v>
      </c>
      <c r="AN8" s="3" t="s">
        <v>109</v>
      </c>
      <c r="AO8" s="3" t="s">
        <v>78</v>
      </c>
      <c r="AP8" s="3" t="s">
        <v>77</v>
      </c>
      <c r="AQ8" s="3" t="s">
        <v>109</v>
      </c>
      <c r="AR8" s="3" t="s">
        <v>109</v>
      </c>
      <c r="AS8" s="3" t="s">
        <v>109</v>
      </c>
      <c r="AT8" s="3" t="s">
        <v>79</v>
      </c>
      <c r="AU8" s="3" t="s">
        <v>80</v>
      </c>
      <c r="AV8" s="3"/>
      <c r="AW8" s="3"/>
      <c r="AX8" s="3" t="s">
        <v>80</v>
      </c>
      <c r="AY8" s="3" t="s">
        <v>81</v>
      </c>
      <c r="AZ8" s="3"/>
      <c r="BA8" s="3"/>
      <c r="BB8">
        <v>9</v>
      </c>
      <c r="BC8" s="3" t="s">
        <v>154</v>
      </c>
      <c r="BD8">
        <v>9</v>
      </c>
    </row>
    <row r="9" spans="1:56" x14ac:dyDescent="0.2">
      <c r="A9">
        <v>12</v>
      </c>
      <c r="B9" s="1">
        <v>44659.383518518502</v>
      </c>
      <c r="C9" s="1">
        <v>44659.3879282407</v>
      </c>
      <c r="D9" s="3" t="s">
        <v>155</v>
      </c>
      <c r="E9" s="3" t="s">
        <v>156</v>
      </c>
      <c r="F9" s="3" t="s">
        <v>114</v>
      </c>
      <c r="G9" s="3" t="s">
        <v>157</v>
      </c>
      <c r="H9" s="3" t="s">
        <v>158</v>
      </c>
      <c r="I9" s="3" t="s">
        <v>59</v>
      </c>
      <c r="J9" s="3" t="s">
        <v>60</v>
      </c>
      <c r="K9" s="3" t="s">
        <v>88</v>
      </c>
      <c r="L9" s="3" t="s">
        <v>159</v>
      </c>
      <c r="M9" s="3" t="s">
        <v>63</v>
      </c>
      <c r="N9" s="3" t="s">
        <v>160</v>
      </c>
      <c r="O9" s="3" t="s">
        <v>121</v>
      </c>
      <c r="P9" s="3" t="s">
        <v>121</v>
      </c>
      <c r="Q9" s="3" t="s">
        <v>121</v>
      </c>
      <c r="R9" s="3" t="s">
        <v>71</v>
      </c>
      <c r="S9" s="3" t="s">
        <v>161</v>
      </c>
      <c r="T9" s="3" t="s">
        <v>68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162</v>
      </c>
      <c r="AN9" s="3" t="s">
        <v>132</v>
      </c>
      <c r="AO9" s="3" t="s">
        <v>132</v>
      </c>
      <c r="AP9" s="3" t="s">
        <v>132</v>
      </c>
      <c r="AQ9" s="3" t="s">
        <v>163</v>
      </c>
      <c r="AR9" s="3" t="s">
        <v>109</v>
      </c>
      <c r="AS9" s="3" t="s">
        <v>109</v>
      </c>
      <c r="AT9" s="3" t="s">
        <v>80</v>
      </c>
      <c r="AU9" s="3"/>
      <c r="AV9" s="3"/>
      <c r="AW9" s="3"/>
      <c r="AX9" s="3" t="s">
        <v>80</v>
      </c>
      <c r="AY9" s="3"/>
      <c r="AZ9" s="3"/>
      <c r="BA9" s="3"/>
      <c r="BB9">
        <v>8</v>
      </c>
      <c r="BC9" s="3" t="s">
        <v>164</v>
      </c>
      <c r="BD9">
        <v>2</v>
      </c>
    </row>
    <row r="10" spans="1:56" x14ac:dyDescent="0.2">
      <c r="A10">
        <v>13</v>
      </c>
      <c r="B10" s="1">
        <v>44659.387986111098</v>
      </c>
      <c r="C10" s="1">
        <v>44659.391412037003</v>
      </c>
      <c r="D10" s="3" t="s">
        <v>155</v>
      </c>
      <c r="E10" s="3" t="s">
        <v>156</v>
      </c>
      <c r="F10" s="3" t="s">
        <v>114</v>
      </c>
      <c r="G10" s="3" t="s">
        <v>157</v>
      </c>
      <c r="H10" s="3" t="s">
        <v>158</v>
      </c>
      <c r="I10" s="3" t="s">
        <v>59</v>
      </c>
      <c r="J10" s="3" t="s">
        <v>60</v>
      </c>
      <c r="K10" s="3" t="s">
        <v>88</v>
      </c>
      <c r="L10" s="3" t="s">
        <v>165</v>
      </c>
      <c r="M10" s="3" t="s">
        <v>63</v>
      </c>
      <c r="N10" s="3" t="s">
        <v>166</v>
      </c>
      <c r="O10" s="3" t="s">
        <v>121</v>
      </c>
      <c r="P10" s="3" t="s">
        <v>121</v>
      </c>
      <c r="Q10" s="3" t="s">
        <v>66</v>
      </c>
      <c r="R10" s="3" t="s">
        <v>71</v>
      </c>
      <c r="S10" s="3" t="s">
        <v>161</v>
      </c>
      <c r="T10" s="3" t="s">
        <v>124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162</v>
      </c>
      <c r="AN10" s="3" t="s">
        <v>132</v>
      </c>
      <c r="AO10" s="3" t="s">
        <v>132</v>
      </c>
      <c r="AP10" s="3" t="s">
        <v>132</v>
      </c>
      <c r="AQ10" s="3" t="s">
        <v>132</v>
      </c>
      <c r="AR10" s="3" t="s">
        <v>109</v>
      </c>
      <c r="AS10" s="3" t="s">
        <v>109</v>
      </c>
      <c r="AT10" s="3" t="s">
        <v>80</v>
      </c>
      <c r="AU10" s="3"/>
      <c r="AV10" s="3"/>
      <c r="AW10" s="3"/>
      <c r="AX10" s="3" t="s">
        <v>80</v>
      </c>
      <c r="AY10" s="3"/>
      <c r="AZ10" s="3"/>
      <c r="BA10" s="3"/>
      <c r="BB10">
        <v>8</v>
      </c>
      <c r="BC10" s="3" t="s">
        <v>164</v>
      </c>
      <c r="BD10">
        <v>2</v>
      </c>
    </row>
    <row r="11" spans="1:56" x14ac:dyDescent="0.2">
      <c r="A11">
        <v>14</v>
      </c>
      <c r="B11" s="1">
        <v>44659.391805555599</v>
      </c>
      <c r="C11" s="1">
        <v>44659.394756944399</v>
      </c>
      <c r="D11" s="3" t="s">
        <v>155</v>
      </c>
      <c r="E11" s="3" t="s">
        <v>156</v>
      </c>
      <c r="F11" s="3" t="s">
        <v>114</v>
      </c>
      <c r="G11" s="3" t="s">
        <v>157</v>
      </c>
      <c r="H11" s="3" t="s">
        <v>167</v>
      </c>
      <c r="I11" s="3" t="s">
        <v>59</v>
      </c>
      <c r="J11" s="3" t="s">
        <v>60</v>
      </c>
      <c r="K11" s="3" t="s">
        <v>88</v>
      </c>
      <c r="L11" s="3" t="s">
        <v>168</v>
      </c>
      <c r="M11" s="3" t="s">
        <v>63</v>
      </c>
      <c r="N11" s="3" t="s">
        <v>169</v>
      </c>
      <c r="O11" s="3" t="s">
        <v>66</v>
      </c>
      <c r="P11" s="3"/>
      <c r="Q11" s="3" t="s">
        <v>64</v>
      </c>
      <c r="R11" s="3"/>
      <c r="S11" s="3" t="s">
        <v>170</v>
      </c>
      <c r="T11" s="3" t="s">
        <v>171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162</v>
      </c>
      <c r="AN11" s="3" t="s">
        <v>132</v>
      </c>
      <c r="AO11" s="3" t="s">
        <v>132</v>
      </c>
      <c r="AP11" s="3" t="s">
        <v>163</v>
      </c>
      <c r="AQ11" s="3" t="s">
        <v>132</v>
      </c>
      <c r="AR11" s="3" t="s">
        <v>109</v>
      </c>
      <c r="AS11" s="3" t="s">
        <v>163</v>
      </c>
      <c r="AT11" s="3" t="s">
        <v>80</v>
      </c>
      <c r="AU11" s="3"/>
      <c r="AV11" s="3"/>
      <c r="AW11" s="3"/>
      <c r="AX11" s="3" t="s">
        <v>80</v>
      </c>
      <c r="AY11" s="3"/>
      <c r="AZ11" s="3"/>
      <c r="BA11" s="3"/>
      <c r="BB11">
        <v>7</v>
      </c>
      <c r="BC11" s="3" t="s">
        <v>164</v>
      </c>
      <c r="BD11">
        <v>2</v>
      </c>
    </row>
    <row r="12" spans="1:56" x14ac:dyDescent="0.2">
      <c r="A12">
        <v>15</v>
      </c>
      <c r="B12" s="1">
        <v>44659.394791666702</v>
      </c>
      <c r="C12" s="1">
        <v>44659.398136574098</v>
      </c>
      <c r="D12" s="3" t="s">
        <v>155</v>
      </c>
      <c r="E12" s="3" t="s">
        <v>156</v>
      </c>
      <c r="F12" s="3" t="s">
        <v>114</v>
      </c>
      <c r="G12" s="3" t="s">
        <v>157</v>
      </c>
      <c r="H12" s="3" t="s">
        <v>167</v>
      </c>
      <c r="I12" s="3" t="s">
        <v>59</v>
      </c>
      <c r="J12" s="3" t="s">
        <v>60</v>
      </c>
      <c r="K12" s="3" t="s">
        <v>88</v>
      </c>
      <c r="L12" s="3" t="s">
        <v>172</v>
      </c>
      <c r="M12" s="3" t="s">
        <v>63</v>
      </c>
      <c r="N12" s="3" t="s">
        <v>173</v>
      </c>
      <c r="O12" s="3" t="s">
        <v>66</v>
      </c>
      <c r="P12" s="3"/>
      <c r="Q12" s="3" t="s">
        <v>64</v>
      </c>
      <c r="R12" s="3"/>
      <c r="S12" s="3" t="s">
        <v>170</v>
      </c>
      <c r="T12" s="3" t="s">
        <v>171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162</v>
      </c>
      <c r="AN12" s="3" t="s">
        <v>132</v>
      </c>
      <c r="AO12" s="3" t="s">
        <v>132</v>
      </c>
      <c r="AP12" s="3" t="s">
        <v>132</v>
      </c>
      <c r="AQ12" s="3" t="s">
        <v>132</v>
      </c>
      <c r="AR12" s="3" t="s">
        <v>109</v>
      </c>
      <c r="AS12" s="3" t="s">
        <v>163</v>
      </c>
      <c r="AT12" s="3" t="s">
        <v>80</v>
      </c>
      <c r="AU12" s="3"/>
      <c r="AV12" s="3"/>
      <c r="AW12" s="3"/>
      <c r="AX12" s="3" t="s">
        <v>80</v>
      </c>
      <c r="AY12" s="3"/>
      <c r="AZ12" s="3"/>
      <c r="BA12" s="3"/>
      <c r="BB12">
        <v>7</v>
      </c>
      <c r="BC12" s="3" t="s">
        <v>164</v>
      </c>
      <c r="BD12">
        <v>2</v>
      </c>
    </row>
    <row r="13" spans="1:56" x14ac:dyDescent="0.2">
      <c r="A13">
        <v>16</v>
      </c>
      <c r="B13" s="1">
        <v>44659.401585648098</v>
      </c>
      <c r="C13" s="1">
        <v>44659.401701388902</v>
      </c>
      <c r="D13" s="3" t="s">
        <v>112</v>
      </c>
      <c r="E13" s="3" t="s">
        <v>113</v>
      </c>
      <c r="F13" s="3" t="s">
        <v>114</v>
      </c>
      <c r="G13" s="3" t="s">
        <v>115</v>
      </c>
      <c r="H13" s="3" t="s">
        <v>174</v>
      </c>
      <c r="I13" s="3" t="s">
        <v>59</v>
      </c>
      <c r="J13" s="3" t="s">
        <v>117</v>
      </c>
      <c r="K13" s="3" t="s">
        <v>118</v>
      </c>
      <c r="L13" s="3" t="s">
        <v>175</v>
      </c>
      <c r="M13" s="3" t="s">
        <v>176</v>
      </c>
      <c r="N13" s="3" t="s">
        <v>177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 t="s">
        <v>178</v>
      </c>
      <c r="AM13" s="3" t="s">
        <v>179</v>
      </c>
      <c r="AN13" s="3" t="s">
        <v>78</v>
      </c>
      <c r="AO13" s="3" t="s">
        <v>78</v>
      </c>
      <c r="AP13" s="3" t="s">
        <v>78</v>
      </c>
      <c r="AQ13" s="3" t="s">
        <v>78</v>
      </c>
      <c r="AR13" s="3" t="s">
        <v>78</v>
      </c>
      <c r="AS13" s="3" t="s">
        <v>78</v>
      </c>
      <c r="AT13" s="3" t="s">
        <v>80</v>
      </c>
      <c r="AU13" s="3"/>
      <c r="AV13" s="3"/>
      <c r="AW13" s="3"/>
      <c r="AX13" s="3" t="s">
        <v>80</v>
      </c>
      <c r="AY13" s="3"/>
      <c r="AZ13" s="3"/>
      <c r="BA13" s="3"/>
      <c r="BB13">
        <v>8</v>
      </c>
      <c r="BC13" s="3" t="s">
        <v>180</v>
      </c>
      <c r="BD13">
        <v>9</v>
      </c>
    </row>
    <row r="14" spans="1:56" x14ac:dyDescent="0.2">
      <c r="A14">
        <v>17</v>
      </c>
      <c r="B14" s="1">
        <v>44659.401759259301</v>
      </c>
      <c r="C14" s="1">
        <v>44659.402777777803</v>
      </c>
      <c r="D14" s="3" t="s">
        <v>181</v>
      </c>
      <c r="E14" s="3" t="s">
        <v>182</v>
      </c>
      <c r="F14" s="3" t="s">
        <v>114</v>
      </c>
      <c r="G14" s="3" t="s">
        <v>183</v>
      </c>
      <c r="H14" s="3" t="s">
        <v>184</v>
      </c>
      <c r="I14" s="3" t="s">
        <v>59</v>
      </c>
      <c r="J14" s="3" t="s">
        <v>185</v>
      </c>
      <c r="K14" s="3" t="s">
        <v>186</v>
      </c>
      <c r="L14" s="3" t="s">
        <v>187</v>
      </c>
      <c r="M14" s="3" t="s">
        <v>63</v>
      </c>
      <c r="N14" s="3" t="s">
        <v>187</v>
      </c>
      <c r="O14" s="3" t="s">
        <v>69</v>
      </c>
      <c r="P14" s="3" t="s">
        <v>69</v>
      </c>
      <c r="Q14" s="3" t="s">
        <v>69</v>
      </c>
      <c r="R14" s="3" t="s">
        <v>65</v>
      </c>
      <c r="S14" s="3" t="s">
        <v>188</v>
      </c>
      <c r="T14" s="3" t="s">
        <v>68</v>
      </c>
      <c r="U14" s="3" t="s">
        <v>189</v>
      </c>
      <c r="V14" s="3" t="s">
        <v>94</v>
      </c>
      <c r="W14" s="3" t="s">
        <v>190</v>
      </c>
      <c r="X14" s="3" t="s">
        <v>191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 t="s">
        <v>192</v>
      </c>
      <c r="AM14" s="3" t="s">
        <v>193</v>
      </c>
      <c r="AN14" s="3" t="s">
        <v>109</v>
      </c>
      <c r="AO14" s="3" t="s">
        <v>163</v>
      </c>
      <c r="AP14" s="3" t="s">
        <v>163</v>
      </c>
      <c r="AQ14" s="3" t="s">
        <v>163</v>
      </c>
      <c r="AR14" s="3" t="s">
        <v>163</v>
      </c>
      <c r="AS14" s="3" t="s">
        <v>163</v>
      </c>
      <c r="AT14" s="3" t="s">
        <v>80</v>
      </c>
      <c r="AU14" s="3"/>
      <c r="AV14" s="3"/>
      <c r="AW14" s="3"/>
      <c r="AX14" s="3"/>
      <c r="AY14" s="3"/>
      <c r="AZ14" s="3"/>
      <c r="BA14" s="3"/>
      <c r="BB14">
        <v>10</v>
      </c>
      <c r="BC14" s="3" t="s">
        <v>194</v>
      </c>
      <c r="BD14">
        <v>5</v>
      </c>
    </row>
    <row r="15" spans="1:56" x14ac:dyDescent="0.2">
      <c r="A15">
        <v>18</v>
      </c>
      <c r="B15" s="1">
        <v>44659.401724536998</v>
      </c>
      <c r="C15" s="1">
        <v>44659.403946759303</v>
      </c>
      <c r="D15" s="3" t="s">
        <v>112</v>
      </c>
      <c r="E15" s="3" t="s">
        <v>113</v>
      </c>
      <c r="F15" s="3" t="s">
        <v>114</v>
      </c>
      <c r="G15" s="3" t="s">
        <v>115</v>
      </c>
      <c r="H15" s="3" t="s">
        <v>174</v>
      </c>
      <c r="I15" s="3" t="s">
        <v>59</v>
      </c>
      <c r="J15" s="3" t="s">
        <v>117</v>
      </c>
      <c r="K15" s="3" t="s">
        <v>118</v>
      </c>
      <c r="L15" s="3" t="s">
        <v>175</v>
      </c>
      <c r="M15" s="3" t="s">
        <v>176</v>
      </c>
      <c r="N15" s="3" t="s">
        <v>195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 t="s">
        <v>196</v>
      </c>
      <c r="AM15" s="3" t="s">
        <v>179</v>
      </c>
      <c r="AN15" s="3" t="s">
        <v>78</v>
      </c>
      <c r="AO15" s="3" t="s">
        <v>78</v>
      </c>
      <c r="AP15" s="3" t="s">
        <v>78</v>
      </c>
      <c r="AQ15" s="3" t="s">
        <v>78</v>
      </c>
      <c r="AR15" s="3" t="s">
        <v>78</v>
      </c>
      <c r="AS15" s="3" t="s">
        <v>78</v>
      </c>
      <c r="AT15" s="3" t="s">
        <v>80</v>
      </c>
      <c r="AU15" s="3"/>
      <c r="AV15" s="3"/>
      <c r="AW15" s="3"/>
      <c r="AX15" s="3" t="s">
        <v>80</v>
      </c>
      <c r="AY15" s="3"/>
      <c r="AZ15" s="3"/>
      <c r="BA15" s="3"/>
      <c r="BB15">
        <v>8</v>
      </c>
      <c r="BC15" s="3" t="s">
        <v>197</v>
      </c>
      <c r="BD15">
        <v>7</v>
      </c>
    </row>
    <row r="16" spans="1:56" x14ac:dyDescent="0.2">
      <c r="A16">
        <v>19</v>
      </c>
      <c r="B16" s="1">
        <v>44659.403969907398</v>
      </c>
      <c r="C16" s="1">
        <v>44659.408275463</v>
      </c>
      <c r="D16" s="3" t="s">
        <v>112</v>
      </c>
      <c r="E16" s="3" t="s">
        <v>113</v>
      </c>
      <c r="F16" s="3" t="s">
        <v>114</v>
      </c>
      <c r="G16" s="3" t="s">
        <v>115</v>
      </c>
      <c r="H16" s="3" t="s">
        <v>174</v>
      </c>
      <c r="I16" s="3" t="s">
        <v>59</v>
      </c>
      <c r="J16" s="3" t="s">
        <v>117</v>
      </c>
      <c r="K16" s="3" t="s">
        <v>118</v>
      </c>
      <c r="L16" s="3" t="s">
        <v>175</v>
      </c>
      <c r="M16" s="3" t="s">
        <v>176</v>
      </c>
      <c r="N16" s="3" t="s">
        <v>177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 t="s">
        <v>198</v>
      </c>
      <c r="AM16" s="3" t="s">
        <v>179</v>
      </c>
      <c r="AN16" s="3" t="s">
        <v>78</v>
      </c>
      <c r="AO16" s="3" t="s">
        <v>78</v>
      </c>
      <c r="AP16" s="3" t="s">
        <v>78</v>
      </c>
      <c r="AQ16" s="3" t="s">
        <v>78</v>
      </c>
      <c r="AR16" s="3" t="s">
        <v>78</v>
      </c>
      <c r="AS16" s="3" t="s">
        <v>78</v>
      </c>
      <c r="AT16" s="3" t="s">
        <v>80</v>
      </c>
      <c r="AU16" s="3"/>
      <c r="AV16" s="3"/>
      <c r="AW16" s="3"/>
      <c r="AX16" s="3" t="s">
        <v>80</v>
      </c>
      <c r="AY16" s="3"/>
      <c r="AZ16" s="3"/>
      <c r="BA16" s="3"/>
      <c r="BB16">
        <v>8</v>
      </c>
      <c r="BC16" s="3" t="s">
        <v>199</v>
      </c>
      <c r="BD16">
        <v>7</v>
      </c>
    </row>
    <row r="17" spans="1:56" x14ac:dyDescent="0.2">
      <c r="A17">
        <v>20</v>
      </c>
      <c r="B17" s="1">
        <v>44659.408298611103</v>
      </c>
      <c r="C17" s="1">
        <v>44659.410254629598</v>
      </c>
      <c r="D17" s="3" t="s">
        <v>112</v>
      </c>
      <c r="E17" s="3" t="s">
        <v>113</v>
      </c>
      <c r="F17" s="3" t="s">
        <v>114</v>
      </c>
      <c r="G17" s="3" t="s">
        <v>115</v>
      </c>
      <c r="H17" s="3" t="s">
        <v>174</v>
      </c>
      <c r="I17" s="3" t="s">
        <v>59</v>
      </c>
      <c r="J17" s="3" t="s">
        <v>117</v>
      </c>
      <c r="K17" s="3" t="s">
        <v>118</v>
      </c>
      <c r="L17" s="3" t="s">
        <v>175</v>
      </c>
      <c r="M17" s="3" t="s">
        <v>176</v>
      </c>
      <c r="N17" s="3" t="s">
        <v>177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 t="s">
        <v>200</v>
      </c>
      <c r="AM17" s="3" t="s">
        <v>179</v>
      </c>
      <c r="AN17" s="3" t="s">
        <v>78</v>
      </c>
      <c r="AO17" s="3" t="s">
        <v>78</v>
      </c>
      <c r="AP17" s="3" t="s">
        <v>78</v>
      </c>
      <c r="AQ17" s="3" t="s">
        <v>78</v>
      </c>
      <c r="AR17" s="3" t="s">
        <v>78</v>
      </c>
      <c r="AS17" s="3" t="s">
        <v>78</v>
      </c>
      <c r="AT17" s="3" t="s">
        <v>80</v>
      </c>
      <c r="AU17" s="3"/>
      <c r="AV17" s="3"/>
      <c r="AW17" s="3"/>
      <c r="AX17" s="3" t="s">
        <v>80</v>
      </c>
      <c r="AY17" s="3"/>
      <c r="AZ17" s="3"/>
      <c r="BA17" s="3"/>
      <c r="BB17">
        <v>8</v>
      </c>
      <c r="BC17" s="3" t="s">
        <v>199</v>
      </c>
      <c r="BD17">
        <v>8</v>
      </c>
    </row>
    <row r="18" spans="1:56" x14ac:dyDescent="0.2">
      <c r="A18">
        <v>21</v>
      </c>
      <c r="B18" s="1">
        <v>44659.410277777803</v>
      </c>
      <c r="C18" s="1">
        <v>44659.412233796298</v>
      </c>
      <c r="D18" s="3" t="s">
        <v>112</v>
      </c>
      <c r="E18" s="3" t="s">
        <v>113</v>
      </c>
      <c r="F18" s="3" t="s">
        <v>114</v>
      </c>
      <c r="G18" s="3" t="s">
        <v>115</v>
      </c>
      <c r="H18" s="3" t="s">
        <v>174</v>
      </c>
      <c r="I18" s="3" t="s">
        <v>59</v>
      </c>
      <c r="J18" s="3" t="s">
        <v>117</v>
      </c>
      <c r="K18" s="3" t="s">
        <v>118</v>
      </c>
      <c r="L18" s="3" t="s">
        <v>175</v>
      </c>
      <c r="M18" s="3" t="s">
        <v>176</v>
      </c>
      <c r="N18" s="3" t="s">
        <v>177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 t="s">
        <v>201</v>
      </c>
      <c r="AM18" s="3" t="s">
        <v>179</v>
      </c>
      <c r="AN18" s="3" t="s">
        <v>78</v>
      </c>
      <c r="AO18" s="3" t="s">
        <v>78</v>
      </c>
      <c r="AP18" s="3" t="s">
        <v>78</v>
      </c>
      <c r="AQ18" s="3" t="s">
        <v>78</v>
      </c>
      <c r="AR18" s="3" t="s">
        <v>78</v>
      </c>
      <c r="AS18" s="3" t="s">
        <v>78</v>
      </c>
      <c r="AT18" s="3" t="s">
        <v>80</v>
      </c>
      <c r="AU18" s="3"/>
      <c r="AV18" s="3"/>
      <c r="AW18" s="3"/>
      <c r="AX18" s="3" t="s">
        <v>80</v>
      </c>
      <c r="AY18" s="3"/>
      <c r="AZ18" s="3"/>
      <c r="BA18" s="3"/>
      <c r="BB18">
        <v>8</v>
      </c>
      <c r="BC18" s="3" t="s">
        <v>202</v>
      </c>
      <c r="BD18">
        <v>7</v>
      </c>
    </row>
    <row r="19" spans="1:56" x14ac:dyDescent="0.2">
      <c r="A19">
        <v>22</v>
      </c>
      <c r="B19" s="1">
        <v>44659.412256944401</v>
      </c>
      <c r="C19" s="1">
        <v>44659.4152777778</v>
      </c>
      <c r="D19" s="3" t="s">
        <v>112</v>
      </c>
      <c r="E19" s="3" t="s">
        <v>113</v>
      </c>
      <c r="F19" s="3" t="s">
        <v>114</v>
      </c>
      <c r="G19" s="3" t="s">
        <v>115</v>
      </c>
      <c r="H19" s="3" t="s">
        <v>174</v>
      </c>
      <c r="I19" s="3" t="s">
        <v>59</v>
      </c>
      <c r="J19" s="3" t="s">
        <v>117</v>
      </c>
      <c r="K19" s="3" t="s">
        <v>118</v>
      </c>
      <c r="L19" s="3" t="s">
        <v>175</v>
      </c>
      <c r="M19" s="3" t="s">
        <v>176</v>
      </c>
      <c r="N19" s="3" t="s">
        <v>177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 t="s">
        <v>203</v>
      </c>
      <c r="AM19" s="3" t="s">
        <v>179</v>
      </c>
      <c r="AN19" s="3" t="s">
        <v>78</v>
      </c>
      <c r="AO19" s="3" t="s">
        <v>78</v>
      </c>
      <c r="AP19" s="3" t="s">
        <v>78</v>
      </c>
      <c r="AQ19" s="3" t="s">
        <v>78</v>
      </c>
      <c r="AR19" s="3" t="s">
        <v>78</v>
      </c>
      <c r="AS19" s="3" t="s">
        <v>78</v>
      </c>
      <c r="AT19" s="3" t="s">
        <v>79</v>
      </c>
      <c r="AU19" s="3" t="s">
        <v>80</v>
      </c>
      <c r="AV19" s="3"/>
      <c r="AW19" s="3"/>
      <c r="AX19" s="3" t="s">
        <v>80</v>
      </c>
      <c r="AY19" s="3" t="s">
        <v>80</v>
      </c>
      <c r="AZ19" s="3"/>
      <c r="BA19" s="3"/>
      <c r="BB19">
        <v>8</v>
      </c>
      <c r="BC19" s="3" t="s">
        <v>204</v>
      </c>
      <c r="BD19">
        <v>7</v>
      </c>
    </row>
    <row r="20" spans="1:56" x14ac:dyDescent="0.2">
      <c r="A20">
        <v>23</v>
      </c>
      <c r="B20" s="1">
        <v>44659.415300925903</v>
      </c>
      <c r="C20" s="1">
        <v>44659.418067129598</v>
      </c>
      <c r="D20" s="3" t="s">
        <v>112</v>
      </c>
      <c r="E20" s="3" t="s">
        <v>113</v>
      </c>
      <c r="F20" s="3" t="s">
        <v>114</v>
      </c>
      <c r="G20" s="3" t="s">
        <v>115</v>
      </c>
      <c r="H20" s="3" t="s">
        <v>174</v>
      </c>
      <c r="I20" s="3" t="s">
        <v>59</v>
      </c>
      <c r="J20" s="3" t="s">
        <v>117</v>
      </c>
      <c r="K20" s="3" t="s">
        <v>118</v>
      </c>
      <c r="L20" s="3" t="s">
        <v>175</v>
      </c>
      <c r="M20" s="3" t="s">
        <v>176</v>
      </c>
      <c r="N20" s="3" t="s">
        <v>177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 t="s">
        <v>205</v>
      </c>
      <c r="AM20" s="3" t="s">
        <v>179</v>
      </c>
      <c r="AN20" s="3" t="s">
        <v>78</v>
      </c>
      <c r="AO20" s="3" t="s">
        <v>78</v>
      </c>
      <c r="AP20" s="3" t="s">
        <v>78</v>
      </c>
      <c r="AQ20" s="3" t="s">
        <v>78</v>
      </c>
      <c r="AR20" s="3" t="s">
        <v>78</v>
      </c>
      <c r="AS20" s="3" t="s">
        <v>78</v>
      </c>
      <c r="AT20" s="3" t="s">
        <v>79</v>
      </c>
      <c r="AU20" s="3" t="s">
        <v>80</v>
      </c>
      <c r="AV20" s="3"/>
      <c r="AW20" s="3"/>
      <c r="AX20" s="3" t="s">
        <v>79</v>
      </c>
      <c r="AY20" s="3" t="s">
        <v>80</v>
      </c>
      <c r="AZ20" s="3"/>
      <c r="BA20" s="3"/>
      <c r="BB20">
        <v>8</v>
      </c>
      <c r="BC20" s="3" t="s">
        <v>206</v>
      </c>
      <c r="BD20">
        <v>7</v>
      </c>
    </row>
    <row r="21" spans="1:56" x14ac:dyDescent="0.2">
      <c r="A21">
        <v>24</v>
      </c>
      <c r="B21" s="1">
        <v>44659.405381944402</v>
      </c>
      <c r="C21" s="1">
        <v>44659.418807870403</v>
      </c>
      <c r="D21" s="3" t="s">
        <v>207</v>
      </c>
      <c r="E21" s="3" t="s">
        <v>208</v>
      </c>
      <c r="F21" s="3" t="s">
        <v>114</v>
      </c>
      <c r="G21" s="3" t="s">
        <v>208</v>
      </c>
      <c r="H21" s="3" t="s">
        <v>209</v>
      </c>
      <c r="I21" s="3" t="s">
        <v>59</v>
      </c>
      <c r="J21" s="3" t="s">
        <v>210</v>
      </c>
      <c r="K21" s="3" t="s">
        <v>186</v>
      </c>
      <c r="L21" s="3" t="s">
        <v>211</v>
      </c>
      <c r="M21" s="3" t="s">
        <v>212</v>
      </c>
      <c r="N21" s="3" t="s">
        <v>213</v>
      </c>
      <c r="O21" s="3"/>
      <c r="P21" s="3"/>
      <c r="Q21" s="3"/>
      <c r="R21" s="3"/>
      <c r="S21" s="3"/>
      <c r="T21" s="3"/>
      <c r="U21" s="3"/>
      <c r="V21" s="3" t="s">
        <v>94</v>
      </c>
      <c r="W21" s="3" t="s">
        <v>214</v>
      </c>
      <c r="X21" s="3" t="s">
        <v>71</v>
      </c>
      <c r="Y21" s="3" t="s">
        <v>215</v>
      </c>
      <c r="Z21" s="3" t="s">
        <v>216</v>
      </c>
      <c r="AA21" s="3" t="s">
        <v>217</v>
      </c>
      <c r="AB21" s="3"/>
      <c r="AC21" s="3" t="s">
        <v>98</v>
      </c>
      <c r="AD21" s="3"/>
      <c r="AE21" s="3"/>
      <c r="AF21" s="3"/>
      <c r="AG21" s="3"/>
      <c r="AH21" s="3"/>
      <c r="AI21" s="3"/>
      <c r="AJ21" s="3"/>
      <c r="AK21" s="3"/>
      <c r="AL21" s="3"/>
      <c r="AM21" s="3" t="s">
        <v>218</v>
      </c>
      <c r="AN21" s="3" t="s">
        <v>163</v>
      </c>
      <c r="AO21" s="3" t="s">
        <v>132</v>
      </c>
      <c r="AP21" s="3" t="s">
        <v>132</v>
      </c>
      <c r="AQ21" s="3" t="s">
        <v>132</v>
      </c>
      <c r="AR21" s="3" t="s">
        <v>77</v>
      </c>
      <c r="AS21" s="3" t="s">
        <v>163</v>
      </c>
      <c r="AT21" s="3" t="s">
        <v>80</v>
      </c>
      <c r="AU21" s="3"/>
      <c r="AV21" s="3"/>
      <c r="AW21" s="3"/>
      <c r="AX21" s="3" t="s">
        <v>81</v>
      </c>
      <c r="AY21" s="3"/>
      <c r="AZ21" s="3"/>
      <c r="BA21" s="3"/>
      <c r="BB21">
        <v>4</v>
      </c>
      <c r="BC21" s="3" t="s">
        <v>219</v>
      </c>
      <c r="BD21">
        <v>4</v>
      </c>
    </row>
    <row r="22" spans="1:56" x14ac:dyDescent="0.2">
      <c r="A22">
        <v>25</v>
      </c>
      <c r="B22" s="1">
        <v>44659.418090277803</v>
      </c>
      <c r="C22" s="1">
        <v>44659.4202546296</v>
      </c>
      <c r="D22" s="3" t="s">
        <v>112</v>
      </c>
      <c r="E22" s="3" t="s">
        <v>113</v>
      </c>
      <c r="F22" s="3" t="s">
        <v>114</v>
      </c>
      <c r="G22" s="3" t="s">
        <v>115</v>
      </c>
      <c r="H22" s="3" t="s">
        <v>174</v>
      </c>
      <c r="I22" s="3" t="s">
        <v>59</v>
      </c>
      <c r="J22" s="3" t="s">
        <v>117</v>
      </c>
      <c r="K22" s="3" t="s">
        <v>118</v>
      </c>
      <c r="L22" s="3" t="s">
        <v>175</v>
      </c>
      <c r="M22" s="3" t="s">
        <v>176</v>
      </c>
      <c r="N22" s="3" t="s">
        <v>177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 t="s">
        <v>220</v>
      </c>
      <c r="AM22" s="3" t="s">
        <v>179</v>
      </c>
      <c r="AN22" s="3" t="s">
        <v>78</v>
      </c>
      <c r="AO22" s="3" t="s">
        <v>78</v>
      </c>
      <c r="AP22" s="3" t="s">
        <v>78</v>
      </c>
      <c r="AQ22" s="3" t="s">
        <v>78</v>
      </c>
      <c r="AR22" s="3" t="s">
        <v>78</v>
      </c>
      <c r="AS22" s="3" t="s">
        <v>78</v>
      </c>
      <c r="AT22" s="3" t="s">
        <v>79</v>
      </c>
      <c r="AU22" s="3" t="s">
        <v>80</v>
      </c>
      <c r="AV22" s="3"/>
      <c r="AW22" s="3"/>
      <c r="AX22" s="3" t="s">
        <v>79</v>
      </c>
      <c r="AY22" s="3" t="s">
        <v>80</v>
      </c>
      <c r="AZ22" s="3"/>
      <c r="BA22" s="3"/>
      <c r="BB22">
        <v>8</v>
      </c>
      <c r="BC22" s="3" t="s">
        <v>221</v>
      </c>
      <c r="BD22">
        <v>7</v>
      </c>
    </row>
    <row r="23" spans="1:56" x14ac:dyDescent="0.2">
      <c r="A23">
        <v>26</v>
      </c>
      <c r="B23" s="1">
        <v>44659.420277777797</v>
      </c>
      <c r="C23" s="1">
        <v>44659.425057870401</v>
      </c>
      <c r="D23" s="3" t="s">
        <v>112</v>
      </c>
      <c r="E23" s="3" t="s">
        <v>113</v>
      </c>
      <c r="F23" s="3" t="s">
        <v>114</v>
      </c>
      <c r="G23" s="3" t="s">
        <v>115</v>
      </c>
      <c r="H23" s="3" t="s">
        <v>174</v>
      </c>
      <c r="I23" s="3" t="s">
        <v>59</v>
      </c>
      <c r="J23" s="3" t="s">
        <v>117</v>
      </c>
      <c r="K23" s="3" t="s">
        <v>118</v>
      </c>
      <c r="L23" s="3" t="s">
        <v>175</v>
      </c>
      <c r="M23" s="3" t="s">
        <v>176</v>
      </c>
      <c r="N23" s="3" t="s">
        <v>177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 t="s">
        <v>222</v>
      </c>
      <c r="AM23" s="3" t="s">
        <v>179</v>
      </c>
      <c r="AN23" s="3" t="s">
        <v>78</v>
      </c>
      <c r="AO23" s="3" t="s">
        <v>78</v>
      </c>
      <c r="AP23" s="3" t="s">
        <v>78</v>
      </c>
      <c r="AQ23" s="3" t="s">
        <v>78</v>
      </c>
      <c r="AR23" s="3" t="s">
        <v>78</v>
      </c>
      <c r="AS23" s="3" t="s">
        <v>78</v>
      </c>
      <c r="AT23" s="3" t="s">
        <v>79</v>
      </c>
      <c r="AU23" s="3" t="s">
        <v>80</v>
      </c>
      <c r="AV23" s="3"/>
      <c r="AW23" s="3"/>
      <c r="AX23" s="3" t="s">
        <v>79</v>
      </c>
      <c r="AY23" s="3" t="s">
        <v>80</v>
      </c>
      <c r="AZ23" s="3"/>
      <c r="BA23" s="3"/>
      <c r="BB23">
        <v>8</v>
      </c>
      <c r="BC23" s="3" t="s">
        <v>202</v>
      </c>
      <c r="BD23">
        <v>7</v>
      </c>
    </row>
    <row r="24" spans="1:56" x14ac:dyDescent="0.2">
      <c r="A24">
        <v>27</v>
      </c>
      <c r="B24" s="1">
        <v>44659.425069444398</v>
      </c>
      <c r="C24" s="1">
        <v>44659.427673611099</v>
      </c>
      <c r="D24" s="3" t="s">
        <v>112</v>
      </c>
      <c r="E24" s="3" t="s">
        <v>113</v>
      </c>
      <c r="F24" s="3" t="s">
        <v>114</v>
      </c>
      <c r="G24" s="3" t="s">
        <v>115</v>
      </c>
      <c r="H24" s="3" t="s">
        <v>174</v>
      </c>
      <c r="I24" s="3" t="s">
        <v>59</v>
      </c>
      <c r="J24" s="3" t="s">
        <v>117</v>
      </c>
      <c r="K24" s="3" t="s">
        <v>118</v>
      </c>
      <c r="L24" s="3" t="s">
        <v>175</v>
      </c>
      <c r="M24" s="3" t="s">
        <v>176</v>
      </c>
      <c r="N24" s="2" t="s">
        <v>223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 t="s">
        <v>224</v>
      </c>
      <c r="AM24" s="3" t="s">
        <v>179</v>
      </c>
      <c r="AN24" s="3" t="s">
        <v>78</v>
      </c>
      <c r="AO24" s="3" t="s">
        <v>78</v>
      </c>
      <c r="AP24" s="3" t="s">
        <v>78</v>
      </c>
      <c r="AQ24" s="3" t="s">
        <v>78</v>
      </c>
      <c r="AR24" s="3" t="s">
        <v>78</v>
      </c>
      <c r="AS24" s="3" t="s">
        <v>78</v>
      </c>
      <c r="AT24" s="3" t="s">
        <v>79</v>
      </c>
      <c r="AU24" s="3" t="s">
        <v>80</v>
      </c>
      <c r="AV24" s="3"/>
      <c r="AW24" s="3"/>
      <c r="AX24" s="3" t="s">
        <v>79</v>
      </c>
      <c r="AY24" s="3" t="s">
        <v>80</v>
      </c>
      <c r="AZ24" s="3"/>
      <c r="BA24" s="3"/>
      <c r="BB24">
        <v>8</v>
      </c>
      <c r="BC24" s="3" t="s">
        <v>202</v>
      </c>
      <c r="BD24">
        <v>7</v>
      </c>
    </row>
    <row r="25" spans="1:56" x14ac:dyDescent="0.2">
      <c r="A25">
        <v>28</v>
      </c>
      <c r="B25" s="1">
        <v>44659.427696759303</v>
      </c>
      <c r="C25" s="1">
        <v>44659.430474537003</v>
      </c>
      <c r="D25" s="3" t="s">
        <v>112</v>
      </c>
      <c r="E25" s="3" t="s">
        <v>113</v>
      </c>
      <c r="F25" s="3" t="s">
        <v>114</v>
      </c>
      <c r="G25" s="3" t="s">
        <v>115</v>
      </c>
      <c r="H25" s="3" t="s">
        <v>174</v>
      </c>
      <c r="I25" s="3" t="s">
        <v>59</v>
      </c>
      <c r="J25" s="3" t="s">
        <v>117</v>
      </c>
      <c r="K25" s="3" t="s">
        <v>118</v>
      </c>
      <c r="L25" s="3" t="s">
        <v>175</v>
      </c>
      <c r="M25" s="3" t="s">
        <v>176</v>
      </c>
      <c r="N25" s="3" t="s">
        <v>177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 t="s">
        <v>225</v>
      </c>
      <c r="AM25" s="3" t="s">
        <v>179</v>
      </c>
      <c r="AN25" s="3" t="s">
        <v>78</v>
      </c>
      <c r="AO25" s="3" t="s">
        <v>78</v>
      </c>
      <c r="AP25" s="3" t="s">
        <v>78</v>
      </c>
      <c r="AQ25" s="3" t="s">
        <v>78</v>
      </c>
      <c r="AR25" s="3" t="s">
        <v>78</v>
      </c>
      <c r="AS25" s="3" t="s">
        <v>78</v>
      </c>
      <c r="AT25" s="3" t="s">
        <v>79</v>
      </c>
      <c r="AU25" s="3" t="s">
        <v>80</v>
      </c>
      <c r="AV25" s="3"/>
      <c r="AW25" s="3"/>
      <c r="AX25" s="3" t="s">
        <v>79</v>
      </c>
      <c r="AY25" s="3" t="s">
        <v>80</v>
      </c>
      <c r="AZ25" s="3"/>
      <c r="BA25" s="3"/>
      <c r="BB25">
        <v>8</v>
      </c>
      <c r="BC25" s="3" t="s">
        <v>226</v>
      </c>
      <c r="BD25">
        <v>7</v>
      </c>
    </row>
    <row r="26" spans="1:56" x14ac:dyDescent="0.2">
      <c r="A26">
        <v>29</v>
      </c>
      <c r="B26" s="1">
        <v>44659.4304976852</v>
      </c>
      <c r="C26" s="1">
        <v>44659.434965277796</v>
      </c>
      <c r="D26" s="3" t="s">
        <v>112</v>
      </c>
      <c r="E26" s="3" t="s">
        <v>113</v>
      </c>
      <c r="F26" s="3" t="s">
        <v>114</v>
      </c>
      <c r="G26" s="3" t="s">
        <v>115</v>
      </c>
      <c r="H26" s="3" t="s">
        <v>227</v>
      </c>
      <c r="I26" s="3" t="s">
        <v>59</v>
      </c>
      <c r="J26" s="3" t="s">
        <v>117</v>
      </c>
      <c r="K26" s="3" t="s">
        <v>118</v>
      </c>
      <c r="L26" s="3" t="s">
        <v>228</v>
      </c>
      <c r="M26" s="3" t="s">
        <v>63</v>
      </c>
      <c r="N26" s="3" t="s">
        <v>229</v>
      </c>
      <c r="O26" s="3" t="s">
        <v>64</v>
      </c>
      <c r="P26" s="3" t="s">
        <v>121</v>
      </c>
      <c r="Q26" s="3" t="s">
        <v>65</v>
      </c>
      <c r="R26" s="3" t="s">
        <v>64</v>
      </c>
      <c r="S26" s="3"/>
      <c r="T26" s="3" t="s">
        <v>138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 t="s">
        <v>230</v>
      </c>
      <c r="AM26" s="3" t="s">
        <v>131</v>
      </c>
      <c r="AN26" s="3" t="s">
        <v>132</v>
      </c>
      <c r="AO26" s="3" t="s">
        <v>132</v>
      </c>
      <c r="AP26" s="3" t="s">
        <v>77</v>
      </c>
      <c r="AQ26" s="3" t="s">
        <v>77</v>
      </c>
      <c r="AR26" s="3" t="s">
        <v>132</v>
      </c>
      <c r="AS26" s="3" t="s">
        <v>132</v>
      </c>
      <c r="AT26" s="3" t="s">
        <v>79</v>
      </c>
      <c r="AU26" s="3"/>
      <c r="AV26" s="3"/>
      <c r="AW26" s="3"/>
      <c r="AX26" s="3" t="s">
        <v>79</v>
      </c>
      <c r="AY26" s="3"/>
      <c r="AZ26" s="3"/>
      <c r="BA26" s="3"/>
      <c r="BB26">
        <v>8</v>
      </c>
      <c r="BC26" s="3" t="s">
        <v>231</v>
      </c>
      <c r="BD26">
        <v>7</v>
      </c>
    </row>
    <row r="27" spans="1:56" x14ac:dyDescent="0.2">
      <c r="A27">
        <v>30</v>
      </c>
      <c r="B27" s="1">
        <v>44659.434988425899</v>
      </c>
      <c r="C27" s="1">
        <v>44659.439085648097</v>
      </c>
      <c r="D27" s="3" t="s">
        <v>112</v>
      </c>
      <c r="E27" s="3" t="s">
        <v>113</v>
      </c>
      <c r="F27" s="3" t="s">
        <v>114</v>
      </c>
      <c r="G27" s="3" t="s">
        <v>115</v>
      </c>
      <c r="H27" s="3" t="s">
        <v>232</v>
      </c>
      <c r="I27" s="3" t="s">
        <v>59</v>
      </c>
      <c r="J27" s="3" t="s">
        <v>117</v>
      </c>
      <c r="K27" s="3" t="s">
        <v>118</v>
      </c>
      <c r="L27" s="3" t="s">
        <v>233</v>
      </c>
      <c r="M27" s="3" t="s">
        <v>63</v>
      </c>
      <c r="N27" s="3" t="s">
        <v>234</v>
      </c>
      <c r="O27" s="3" t="s">
        <v>121</v>
      </c>
      <c r="P27" s="3"/>
      <c r="Q27" s="3" t="s">
        <v>121</v>
      </c>
      <c r="R27" s="3" t="s">
        <v>122</v>
      </c>
      <c r="S27" s="3" t="s">
        <v>151</v>
      </c>
      <c r="T27" s="3" t="s">
        <v>68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 t="s">
        <v>235</v>
      </c>
      <c r="AM27" s="3" t="s">
        <v>126</v>
      </c>
      <c r="AN27" s="3" t="s">
        <v>109</v>
      </c>
      <c r="AO27" s="3" t="s">
        <v>132</v>
      </c>
      <c r="AP27" s="3" t="s">
        <v>77</v>
      </c>
      <c r="AQ27" s="3" t="s">
        <v>109</v>
      </c>
      <c r="AR27" s="3" t="s">
        <v>109</v>
      </c>
      <c r="AS27" s="3" t="s">
        <v>132</v>
      </c>
      <c r="AT27" s="3" t="s">
        <v>79</v>
      </c>
      <c r="AU27" s="3" t="s">
        <v>81</v>
      </c>
      <c r="AV27" s="3"/>
      <c r="AW27" s="3"/>
      <c r="AX27" s="3" t="s">
        <v>79</v>
      </c>
      <c r="AY27" s="3" t="s">
        <v>80</v>
      </c>
      <c r="AZ27" s="3"/>
      <c r="BA27" s="3"/>
      <c r="BB27">
        <v>9</v>
      </c>
      <c r="BC27" s="3" t="s">
        <v>236</v>
      </c>
      <c r="BD27">
        <v>9</v>
      </c>
    </row>
    <row r="28" spans="1:56" x14ac:dyDescent="0.2">
      <c r="A28">
        <v>31</v>
      </c>
      <c r="B28" s="1">
        <v>44659.4391203704</v>
      </c>
      <c r="C28" s="1">
        <v>44659.4425694444</v>
      </c>
      <c r="D28" s="3" t="s">
        <v>112</v>
      </c>
      <c r="E28" s="3" t="s">
        <v>113</v>
      </c>
      <c r="F28" s="3" t="s">
        <v>114</v>
      </c>
      <c r="G28" s="3" t="s">
        <v>115</v>
      </c>
      <c r="H28" s="3" t="s">
        <v>232</v>
      </c>
      <c r="I28" s="3" t="s">
        <v>59</v>
      </c>
      <c r="J28" s="3" t="s">
        <v>117</v>
      </c>
      <c r="K28" s="3" t="s">
        <v>118</v>
      </c>
      <c r="L28" s="3" t="s">
        <v>237</v>
      </c>
      <c r="M28" s="3" t="s">
        <v>63</v>
      </c>
      <c r="N28" s="3" t="s">
        <v>238</v>
      </c>
      <c r="O28" s="3" t="s">
        <v>121</v>
      </c>
      <c r="P28" s="3"/>
      <c r="Q28" s="3" t="s">
        <v>121</v>
      </c>
      <c r="R28" s="3" t="s">
        <v>122</v>
      </c>
      <c r="S28" s="3" t="s">
        <v>151</v>
      </c>
      <c r="T28" s="3" t="s">
        <v>68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 t="s">
        <v>239</v>
      </c>
      <c r="AN28" s="3" t="s">
        <v>109</v>
      </c>
      <c r="AO28" s="3" t="s">
        <v>132</v>
      </c>
      <c r="AP28" s="3" t="s">
        <v>132</v>
      </c>
      <c r="AQ28" s="3" t="s">
        <v>78</v>
      </c>
      <c r="AR28" s="3" t="s">
        <v>78</v>
      </c>
      <c r="AS28" s="3" t="s">
        <v>132</v>
      </c>
      <c r="AT28" s="3" t="s">
        <v>80</v>
      </c>
      <c r="AU28" s="3" t="s">
        <v>81</v>
      </c>
      <c r="AV28" s="3"/>
      <c r="AW28" s="3"/>
      <c r="AX28" s="3" t="s">
        <v>80</v>
      </c>
      <c r="AY28" s="3" t="s">
        <v>81</v>
      </c>
      <c r="AZ28" s="3"/>
      <c r="BA28" s="3"/>
      <c r="BB28">
        <v>8</v>
      </c>
      <c r="BC28" s="3" t="s">
        <v>240</v>
      </c>
      <c r="BD28">
        <v>9</v>
      </c>
    </row>
    <row r="29" spans="1:56" x14ac:dyDescent="0.2">
      <c r="A29">
        <v>32</v>
      </c>
      <c r="B29" s="1">
        <v>44659.445185185199</v>
      </c>
      <c r="C29" s="1">
        <v>44659.4452199074</v>
      </c>
      <c r="D29" s="3" t="s">
        <v>112</v>
      </c>
      <c r="E29" s="3" t="s">
        <v>113</v>
      </c>
      <c r="F29" s="3" t="s">
        <v>114</v>
      </c>
      <c r="G29" s="3" t="s">
        <v>115</v>
      </c>
      <c r="H29" s="3" t="s">
        <v>232</v>
      </c>
      <c r="I29" s="3" t="s">
        <v>59</v>
      </c>
      <c r="J29" s="3" t="s">
        <v>117</v>
      </c>
      <c r="K29" s="3" t="s">
        <v>118</v>
      </c>
      <c r="L29" s="3" t="s">
        <v>241</v>
      </c>
      <c r="M29" s="3" t="s">
        <v>63</v>
      </c>
      <c r="N29" s="3" t="s">
        <v>242</v>
      </c>
      <c r="O29" s="3" t="s">
        <v>121</v>
      </c>
      <c r="P29" s="3"/>
      <c r="Q29" s="3" t="s">
        <v>121</v>
      </c>
      <c r="R29" s="3" t="s">
        <v>122</v>
      </c>
      <c r="S29" s="3" t="s">
        <v>151</v>
      </c>
      <c r="T29" s="3" t="s">
        <v>68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 t="s">
        <v>243</v>
      </c>
      <c r="AM29" s="3" t="s">
        <v>126</v>
      </c>
      <c r="AN29" s="3" t="s">
        <v>109</v>
      </c>
      <c r="AO29" s="3" t="s">
        <v>77</v>
      </c>
      <c r="AP29" s="3" t="s">
        <v>77</v>
      </c>
      <c r="AQ29" s="3" t="s">
        <v>109</v>
      </c>
      <c r="AR29" s="3" t="s">
        <v>109</v>
      </c>
      <c r="AS29" s="3" t="s">
        <v>132</v>
      </c>
      <c r="AT29" s="3" t="s">
        <v>79</v>
      </c>
      <c r="AU29" s="3" t="s">
        <v>81</v>
      </c>
      <c r="AV29" s="3"/>
      <c r="AW29" s="3"/>
      <c r="AX29" s="3" t="s">
        <v>79</v>
      </c>
      <c r="AY29" s="3" t="s">
        <v>81</v>
      </c>
      <c r="AZ29" s="3"/>
      <c r="BA29" s="3"/>
      <c r="BB29">
        <v>9</v>
      </c>
      <c r="BC29" s="3" t="s">
        <v>244</v>
      </c>
      <c r="BD29">
        <v>9</v>
      </c>
    </row>
    <row r="30" spans="1:56" x14ac:dyDescent="0.2">
      <c r="A30">
        <v>33</v>
      </c>
      <c r="B30" s="1">
        <v>44659.445243055598</v>
      </c>
      <c r="C30" s="1">
        <v>44659.447708333297</v>
      </c>
      <c r="D30" s="3" t="s">
        <v>112</v>
      </c>
      <c r="E30" s="3" t="s">
        <v>113</v>
      </c>
      <c r="F30" s="3" t="s">
        <v>114</v>
      </c>
      <c r="G30" s="3" t="s">
        <v>115</v>
      </c>
      <c r="H30" s="3" t="s">
        <v>232</v>
      </c>
      <c r="I30" s="3" t="s">
        <v>59</v>
      </c>
      <c r="J30" s="3" t="s">
        <v>117</v>
      </c>
      <c r="K30" s="3" t="s">
        <v>118</v>
      </c>
      <c r="L30" s="3" t="s">
        <v>245</v>
      </c>
      <c r="M30" s="3" t="s">
        <v>63</v>
      </c>
      <c r="N30" s="3" t="s">
        <v>246</v>
      </c>
      <c r="O30" s="3" t="s">
        <v>121</v>
      </c>
      <c r="P30" s="3"/>
      <c r="Q30" s="3" t="s">
        <v>121</v>
      </c>
      <c r="R30" s="3" t="s">
        <v>122</v>
      </c>
      <c r="S30" s="3" t="s">
        <v>151</v>
      </c>
      <c r="T30" s="3" t="s">
        <v>68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 t="s">
        <v>247</v>
      </c>
      <c r="AM30" s="3" t="s">
        <v>126</v>
      </c>
      <c r="AN30" s="3" t="s">
        <v>109</v>
      </c>
      <c r="AO30" s="3" t="s">
        <v>77</v>
      </c>
      <c r="AP30" s="3" t="s">
        <v>77</v>
      </c>
      <c r="AQ30" s="3" t="s">
        <v>109</v>
      </c>
      <c r="AR30" s="3" t="s">
        <v>109</v>
      </c>
      <c r="AS30" s="3" t="s">
        <v>132</v>
      </c>
      <c r="AT30" s="3" t="s">
        <v>79</v>
      </c>
      <c r="AU30" s="3" t="s">
        <v>81</v>
      </c>
      <c r="AV30" s="3"/>
      <c r="AW30" s="3"/>
      <c r="AX30" s="3" t="s">
        <v>79</v>
      </c>
      <c r="AY30" s="3" t="s">
        <v>81</v>
      </c>
      <c r="AZ30" s="3"/>
      <c r="BA30" s="3"/>
      <c r="BB30">
        <v>8</v>
      </c>
      <c r="BC30" s="3" t="s">
        <v>248</v>
      </c>
      <c r="BD30">
        <v>8</v>
      </c>
    </row>
    <row r="31" spans="1:56" x14ac:dyDescent="0.2">
      <c r="A31">
        <v>34</v>
      </c>
      <c r="B31" s="1">
        <v>44659.447719907403</v>
      </c>
      <c r="C31" s="1">
        <v>44659.450196759302</v>
      </c>
      <c r="D31" s="3" t="s">
        <v>112</v>
      </c>
      <c r="E31" s="3" t="s">
        <v>113</v>
      </c>
      <c r="F31" s="3" t="s">
        <v>114</v>
      </c>
      <c r="G31" s="3" t="s">
        <v>115</v>
      </c>
      <c r="H31" s="3" t="s">
        <v>232</v>
      </c>
      <c r="I31" s="3" t="s">
        <v>59</v>
      </c>
      <c r="J31" s="3" t="s">
        <v>135</v>
      </c>
      <c r="K31" s="3" t="s">
        <v>118</v>
      </c>
      <c r="L31" s="3" t="s">
        <v>249</v>
      </c>
      <c r="M31" s="3" t="s">
        <v>63</v>
      </c>
      <c r="N31" s="3" t="s">
        <v>250</v>
      </c>
      <c r="O31" s="3" t="s">
        <v>121</v>
      </c>
      <c r="P31" s="3" t="s">
        <v>121</v>
      </c>
      <c r="Q31" s="3" t="s">
        <v>121</v>
      </c>
      <c r="R31" s="3" t="s">
        <v>122</v>
      </c>
      <c r="S31" s="3" t="s">
        <v>151</v>
      </c>
      <c r="T31" s="3" t="s">
        <v>68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 t="s">
        <v>251</v>
      </c>
      <c r="AM31" s="3" t="s">
        <v>126</v>
      </c>
      <c r="AN31" s="3" t="s">
        <v>109</v>
      </c>
      <c r="AO31" s="3" t="s">
        <v>78</v>
      </c>
      <c r="AP31" s="3" t="s">
        <v>78</v>
      </c>
      <c r="AQ31" s="3" t="s">
        <v>109</v>
      </c>
      <c r="AR31" s="3" t="s">
        <v>109</v>
      </c>
      <c r="AS31" s="3" t="s">
        <v>132</v>
      </c>
      <c r="AT31" s="3" t="s">
        <v>79</v>
      </c>
      <c r="AU31" s="3" t="s">
        <v>81</v>
      </c>
      <c r="AV31" s="3"/>
      <c r="AW31" s="3"/>
      <c r="AX31" s="3" t="s">
        <v>79</v>
      </c>
      <c r="AY31" s="3" t="s">
        <v>81</v>
      </c>
      <c r="AZ31" s="3"/>
      <c r="BA31" s="3"/>
      <c r="BB31">
        <v>9</v>
      </c>
      <c r="BC31" s="3" t="s">
        <v>252</v>
      </c>
      <c r="BD31">
        <v>8</v>
      </c>
    </row>
    <row r="32" spans="1:56" x14ac:dyDescent="0.2">
      <c r="A32">
        <v>35</v>
      </c>
      <c r="B32" s="1">
        <v>44659.450231481504</v>
      </c>
      <c r="C32" s="1">
        <v>44659.452951388899</v>
      </c>
      <c r="D32" s="3" t="s">
        <v>112</v>
      </c>
      <c r="E32" s="3" t="s">
        <v>113</v>
      </c>
      <c r="F32" s="3" t="s">
        <v>114</v>
      </c>
      <c r="G32" s="3" t="s">
        <v>115</v>
      </c>
      <c r="H32" s="3" t="s">
        <v>232</v>
      </c>
      <c r="I32" s="3" t="s">
        <v>59</v>
      </c>
      <c r="J32" s="3" t="s">
        <v>117</v>
      </c>
      <c r="K32" s="3" t="s">
        <v>118</v>
      </c>
      <c r="L32" s="3" t="s">
        <v>253</v>
      </c>
      <c r="M32" s="3" t="s">
        <v>63</v>
      </c>
      <c r="N32" s="3" t="s">
        <v>254</v>
      </c>
      <c r="O32" s="3" t="s">
        <v>121</v>
      </c>
      <c r="P32" s="3" t="s">
        <v>121</v>
      </c>
      <c r="Q32" s="3" t="s">
        <v>121</v>
      </c>
      <c r="R32" s="3" t="s">
        <v>122</v>
      </c>
      <c r="S32" s="3" t="s">
        <v>151</v>
      </c>
      <c r="T32" s="3" t="s">
        <v>68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 t="s">
        <v>255</v>
      </c>
      <c r="AM32" s="3" t="s">
        <v>126</v>
      </c>
      <c r="AN32" s="3" t="s">
        <v>78</v>
      </c>
      <c r="AO32" s="3" t="s">
        <v>77</v>
      </c>
      <c r="AP32" s="3" t="s">
        <v>77</v>
      </c>
      <c r="AQ32" s="3" t="s">
        <v>78</v>
      </c>
      <c r="AR32" s="3" t="s">
        <v>78</v>
      </c>
      <c r="AS32" s="3" t="s">
        <v>132</v>
      </c>
      <c r="AT32" s="3" t="s">
        <v>79</v>
      </c>
      <c r="AU32" s="3" t="s">
        <v>81</v>
      </c>
      <c r="AV32" s="3"/>
      <c r="AW32" s="3"/>
      <c r="AX32" s="3" t="s">
        <v>79</v>
      </c>
      <c r="AY32" s="3" t="s">
        <v>81</v>
      </c>
      <c r="AZ32" s="3"/>
      <c r="BA32" s="3"/>
      <c r="BB32">
        <v>8</v>
      </c>
      <c r="BC32" s="3" t="s">
        <v>256</v>
      </c>
      <c r="BD32">
        <v>8</v>
      </c>
    </row>
    <row r="33" spans="1:56" x14ac:dyDescent="0.2">
      <c r="A33">
        <v>36</v>
      </c>
      <c r="B33" s="1">
        <v>44659.4529861111</v>
      </c>
      <c r="C33" s="1">
        <v>44659.455891203703</v>
      </c>
      <c r="D33" s="3" t="s">
        <v>112</v>
      </c>
      <c r="E33" s="3" t="s">
        <v>113</v>
      </c>
      <c r="F33" s="3" t="s">
        <v>114</v>
      </c>
      <c r="G33" s="3" t="s">
        <v>115</v>
      </c>
      <c r="H33" s="3" t="s">
        <v>257</v>
      </c>
      <c r="I33" s="3" t="s">
        <v>59</v>
      </c>
      <c r="J33" s="3" t="s">
        <v>117</v>
      </c>
      <c r="K33" s="3" t="s">
        <v>118</v>
      </c>
      <c r="L33" s="3" t="s">
        <v>258</v>
      </c>
      <c r="M33" s="3" t="s">
        <v>63</v>
      </c>
      <c r="N33" s="3" t="s">
        <v>259</v>
      </c>
      <c r="O33" s="3" t="s">
        <v>121</v>
      </c>
      <c r="P33" s="3" t="s">
        <v>121</v>
      </c>
      <c r="Q33" s="3" t="s">
        <v>121</v>
      </c>
      <c r="R33" s="3" t="s">
        <v>122</v>
      </c>
      <c r="S33" s="3" t="s">
        <v>151</v>
      </c>
      <c r="T33" s="3" t="s">
        <v>68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 t="s">
        <v>260</v>
      </c>
      <c r="AM33" s="3" t="s">
        <v>126</v>
      </c>
      <c r="AN33" s="3" t="s">
        <v>109</v>
      </c>
      <c r="AO33" s="3" t="s">
        <v>132</v>
      </c>
      <c r="AP33" s="3" t="s">
        <v>132</v>
      </c>
      <c r="AQ33" s="3" t="s">
        <v>78</v>
      </c>
      <c r="AR33" s="3" t="s">
        <v>109</v>
      </c>
      <c r="AS33" s="3" t="s">
        <v>132</v>
      </c>
      <c r="AT33" s="3" t="s">
        <v>80</v>
      </c>
      <c r="AU33" s="3" t="s">
        <v>81</v>
      </c>
      <c r="AV33" s="3"/>
      <c r="AW33" s="3"/>
      <c r="AX33" s="3" t="s">
        <v>80</v>
      </c>
      <c r="AY33" s="3" t="s">
        <v>81</v>
      </c>
      <c r="AZ33" s="3"/>
      <c r="BA33" s="3"/>
      <c r="BB33">
        <v>8</v>
      </c>
      <c r="BC33" s="3" t="s">
        <v>261</v>
      </c>
      <c r="BD33">
        <v>8</v>
      </c>
    </row>
    <row r="34" spans="1:56" x14ac:dyDescent="0.2">
      <c r="A34">
        <v>37</v>
      </c>
      <c r="B34" s="1">
        <v>44659.455914351798</v>
      </c>
      <c r="C34" s="1">
        <v>44659.458356481497</v>
      </c>
      <c r="D34" s="3" t="s">
        <v>112</v>
      </c>
      <c r="E34" s="3" t="s">
        <v>113</v>
      </c>
      <c r="F34" s="3" t="s">
        <v>114</v>
      </c>
      <c r="G34" s="3" t="s">
        <v>115</v>
      </c>
      <c r="H34" s="3" t="s">
        <v>232</v>
      </c>
      <c r="I34" s="3" t="s">
        <v>59</v>
      </c>
      <c r="J34" s="3" t="s">
        <v>117</v>
      </c>
      <c r="K34" s="3" t="s">
        <v>118</v>
      </c>
      <c r="L34" s="3" t="s">
        <v>262</v>
      </c>
      <c r="M34" s="3" t="s">
        <v>63</v>
      </c>
      <c r="N34" s="3" t="s">
        <v>263</v>
      </c>
      <c r="O34" s="3" t="s">
        <v>121</v>
      </c>
      <c r="P34" s="3" t="s">
        <v>121</v>
      </c>
      <c r="Q34" s="3" t="s">
        <v>121</v>
      </c>
      <c r="R34" s="3" t="s">
        <v>122</v>
      </c>
      <c r="S34" s="3" t="s">
        <v>151</v>
      </c>
      <c r="T34" s="3" t="s">
        <v>68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 t="s">
        <v>264</v>
      </c>
      <c r="AM34" s="3" t="s">
        <v>126</v>
      </c>
      <c r="AN34" s="3" t="s">
        <v>109</v>
      </c>
      <c r="AO34" s="3" t="s">
        <v>78</v>
      </c>
      <c r="AP34" s="3" t="s">
        <v>78</v>
      </c>
      <c r="AQ34" s="3" t="s">
        <v>109</v>
      </c>
      <c r="AR34" s="3" t="s">
        <v>109</v>
      </c>
      <c r="AS34" s="3" t="s">
        <v>77</v>
      </c>
      <c r="AT34" s="3" t="s">
        <v>79</v>
      </c>
      <c r="AU34" s="3" t="s">
        <v>81</v>
      </c>
      <c r="AV34" s="3"/>
      <c r="AW34" s="3"/>
      <c r="AX34" s="3" t="s">
        <v>79</v>
      </c>
      <c r="AY34" s="3" t="s">
        <v>81</v>
      </c>
      <c r="AZ34" s="3"/>
      <c r="BA34" s="3"/>
      <c r="BB34">
        <v>9</v>
      </c>
      <c r="BC34" s="3" t="s">
        <v>265</v>
      </c>
      <c r="BD34">
        <v>9</v>
      </c>
    </row>
    <row r="35" spans="1:56" x14ac:dyDescent="0.2">
      <c r="A35">
        <v>38</v>
      </c>
      <c r="B35" s="1">
        <v>44659.458379629599</v>
      </c>
      <c r="C35" s="1">
        <v>44659.461446759298</v>
      </c>
      <c r="D35" s="3" t="s">
        <v>112</v>
      </c>
      <c r="E35" s="3" t="s">
        <v>113</v>
      </c>
      <c r="F35" s="3" t="s">
        <v>114</v>
      </c>
      <c r="G35" s="3" t="s">
        <v>115</v>
      </c>
      <c r="H35" s="3" t="s">
        <v>232</v>
      </c>
      <c r="I35" s="3" t="s">
        <v>59</v>
      </c>
      <c r="J35" s="3" t="s">
        <v>117</v>
      </c>
      <c r="K35" s="3" t="s">
        <v>118</v>
      </c>
      <c r="L35" s="3" t="s">
        <v>266</v>
      </c>
      <c r="M35" s="3" t="s">
        <v>63</v>
      </c>
      <c r="N35" s="3" t="s">
        <v>267</v>
      </c>
      <c r="O35" s="3" t="s">
        <v>121</v>
      </c>
      <c r="P35" s="3" t="s">
        <v>121</v>
      </c>
      <c r="Q35" s="3" t="s">
        <v>121</v>
      </c>
      <c r="R35" s="3" t="s">
        <v>122</v>
      </c>
      <c r="S35" s="3" t="s">
        <v>151</v>
      </c>
      <c r="T35" s="3" t="s">
        <v>68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235</v>
      </c>
      <c r="AM35" s="3" t="s">
        <v>268</v>
      </c>
      <c r="AN35" s="3" t="s">
        <v>109</v>
      </c>
      <c r="AO35" s="3" t="s">
        <v>77</v>
      </c>
      <c r="AP35" s="3" t="s">
        <v>77</v>
      </c>
      <c r="AQ35" s="3" t="s">
        <v>109</v>
      </c>
      <c r="AR35" s="3" t="s">
        <v>109</v>
      </c>
      <c r="AS35" s="3" t="s">
        <v>132</v>
      </c>
      <c r="AT35" s="3" t="s">
        <v>79</v>
      </c>
      <c r="AU35" s="3" t="s">
        <v>81</v>
      </c>
      <c r="AV35" s="3"/>
      <c r="AW35" s="3"/>
      <c r="AX35" s="3" t="s">
        <v>79</v>
      </c>
      <c r="AY35" s="3" t="s">
        <v>81</v>
      </c>
      <c r="AZ35" s="3"/>
      <c r="BA35" s="3"/>
      <c r="BB35">
        <v>8</v>
      </c>
      <c r="BC35" s="3" t="s">
        <v>269</v>
      </c>
      <c r="BD35">
        <v>8</v>
      </c>
    </row>
    <row r="36" spans="1:56" x14ac:dyDescent="0.2">
      <c r="A36">
        <v>39</v>
      </c>
      <c r="B36" s="1">
        <v>44659.461493055598</v>
      </c>
      <c r="C36" s="1">
        <v>44659.4737731481</v>
      </c>
      <c r="D36" s="3" t="s">
        <v>112</v>
      </c>
      <c r="E36" s="3" t="s">
        <v>113</v>
      </c>
      <c r="F36" s="3" t="s">
        <v>114</v>
      </c>
      <c r="G36" s="3" t="s">
        <v>115</v>
      </c>
      <c r="H36" s="3" t="s">
        <v>270</v>
      </c>
      <c r="I36" s="3" t="s">
        <v>59</v>
      </c>
      <c r="J36" s="3" t="s">
        <v>135</v>
      </c>
      <c r="K36" s="3" t="s">
        <v>118</v>
      </c>
      <c r="L36" s="3" t="s">
        <v>228</v>
      </c>
      <c r="M36" s="3" t="s">
        <v>271</v>
      </c>
      <c r="N36" s="3" t="s">
        <v>272</v>
      </c>
      <c r="O36" s="3"/>
      <c r="P36" s="3"/>
      <c r="Q36" s="3"/>
      <c r="R36" s="3"/>
      <c r="S36" s="3"/>
      <c r="T36" s="3"/>
      <c r="U36" s="3"/>
      <c r="V36" s="3"/>
      <c r="W36" s="3" t="s">
        <v>214</v>
      </c>
      <c r="X36" s="3" t="s">
        <v>191</v>
      </c>
      <c r="Y36" s="3" t="s">
        <v>72</v>
      </c>
      <c r="Z36" s="3"/>
      <c r="AA36" s="3" t="s">
        <v>217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 t="s">
        <v>273</v>
      </c>
      <c r="AN36" s="3" t="s">
        <v>78</v>
      </c>
      <c r="AO36" s="3" t="s">
        <v>77</v>
      </c>
      <c r="AP36" s="3" t="s">
        <v>77</v>
      </c>
      <c r="AQ36" s="3" t="s">
        <v>78</v>
      </c>
      <c r="AR36" s="3" t="s">
        <v>109</v>
      </c>
      <c r="AS36" s="3" t="s">
        <v>77</v>
      </c>
      <c r="AT36" s="3" t="s">
        <v>79</v>
      </c>
      <c r="AU36" s="3"/>
      <c r="AV36" s="3"/>
      <c r="AW36" s="3" t="s">
        <v>80</v>
      </c>
      <c r="AX36" s="3" t="s">
        <v>80</v>
      </c>
      <c r="AY36" s="3"/>
      <c r="AZ36" s="3"/>
      <c r="BA36" s="3" t="s">
        <v>80</v>
      </c>
      <c r="BB36">
        <v>8</v>
      </c>
      <c r="BC36" s="3" t="s">
        <v>274</v>
      </c>
      <c r="BD36">
        <v>8</v>
      </c>
    </row>
    <row r="37" spans="1:56" x14ac:dyDescent="0.2">
      <c r="A37">
        <v>40</v>
      </c>
      <c r="B37" s="1">
        <v>44659.493414351797</v>
      </c>
      <c r="C37" s="1">
        <v>44659.493437500001</v>
      </c>
      <c r="D37" s="3" t="s">
        <v>112</v>
      </c>
      <c r="E37" s="3" t="s">
        <v>113</v>
      </c>
      <c r="F37" s="3" t="s">
        <v>114</v>
      </c>
      <c r="G37" s="3" t="s">
        <v>115</v>
      </c>
      <c r="H37" s="3" t="s">
        <v>275</v>
      </c>
      <c r="I37" s="3" t="s">
        <v>59</v>
      </c>
      <c r="J37" s="3" t="s">
        <v>117</v>
      </c>
      <c r="K37" s="3" t="s">
        <v>118</v>
      </c>
      <c r="L37" s="3" t="s">
        <v>233</v>
      </c>
      <c r="M37" s="3" t="s">
        <v>271</v>
      </c>
      <c r="N37" s="3" t="s">
        <v>276</v>
      </c>
      <c r="O37" s="3"/>
      <c r="P37" s="3"/>
      <c r="Q37" s="3"/>
      <c r="R37" s="3"/>
      <c r="S37" s="3"/>
      <c r="T37" s="3"/>
      <c r="U37" s="3"/>
      <c r="V37" s="3" t="s">
        <v>94</v>
      </c>
      <c r="W37" s="3"/>
      <c r="X37" s="3" t="s">
        <v>191</v>
      </c>
      <c r="Y37" s="3"/>
      <c r="Z37" s="3"/>
      <c r="AA37" s="3" t="s">
        <v>277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 t="s">
        <v>131</v>
      </c>
      <c r="AN37" s="3" t="s">
        <v>77</v>
      </c>
      <c r="AO37" s="3" t="s">
        <v>132</v>
      </c>
      <c r="AP37" s="3" t="s">
        <v>132</v>
      </c>
      <c r="AQ37" s="3" t="s">
        <v>77</v>
      </c>
      <c r="AR37" s="3" t="s">
        <v>77</v>
      </c>
      <c r="AS37" s="3" t="s">
        <v>132</v>
      </c>
      <c r="AT37" s="3" t="s">
        <v>80</v>
      </c>
      <c r="AU37" s="3"/>
      <c r="AV37" s="3"/>
      <c r="AW37" s="3" t="s">
        <v>80</v>
      </c>
      <c r="AX37" s="3" t="s">
        <v>80</v>
      </c>
      <c r="AY37" s="3"/>
      <c r="AZ37" s="3"/>
      <c r="BA37" s="3" t="s">
        <v>79</v>
      </c>
      <c r="BB37">
        <v>7</v>
      </c>
      <c r="BC37" s="3" t="s">
        <v>278</v>
      </c>
      <c r="BD37">
        <v>8</v>
      </c>
    </row>
    <row r="38" spans="1:56" x14ac:dyDescent="0.2">
      <c r="A38">
        <v>41</v>
      </c>
      <c r="B38" s="1">
        <v>44659.661956018499</v>
      </c>
      <c r="C38" s="1">
        <v>44659.667233796303</v>
      </c>
      <c r="D38" s="3" t="s">
        <v>181</v>
      </c>
      <c r="E38" s="3" t="s">
        <v>182</v>
      </c>
      <c r="F38" s="3" t="s">
        <v>114</v>
      </c>
      <c r="G38" s="3" t="s">
        <v>183</v>
      </c>
      <c r="H38" s="3" t="s">
        <v>279</v>
      </c>
      <c r="I38" s="3" t="s">
        <v>59</v>
      </c>
      <c r="J38" s="3" t="s">
        <v>280</v>
      </c>
      <c r="K38" s="3" t="s">
        <v>281</v>
      </c>
      <c r="L38" s="3" t="s">
        <v>282</v>
      </c>
      <c r="M38" s="3" t="s">
        <v>283</v>
      </c>
      <c r="N38" s="3" t="s">
        <v>284</v>
      </c>
      <c r="O38" s="3"/>
      <c r="P38" s="3"/>
      <c r="Q38" s="3"/>
      <c r="R38" s="3"/>
      <c r="S38" s="3"/>
      <c r="T38" s="3"/>
      <c r="U38" s="3"/>
      <c r="V38" s="3" t="s">
        <v>65</v>
      </c>
      <c r="W38" s="3" t="s">
        <v>214</v>
      </c>
      <c r="X38" s="3" t="s">
        <v>64</v>
      </c>
      <c r="Y38" s="3" t="s">
        <v>285</v>
      </c>
      <c r="Z38" s="3" t="s">
        <v>286</v>
      </c>
      <c r="AA38" s="3" t="s">
        <v>286</v>
      </c>
      <c r="AB38" s="3"/>
      <c r="AC38" s="3" t="s">
        <v>287</v>
      </c>
      <c r="AD38" s="3"/>
      <c r="AE38" s="3"/>
      <c r="AF38" s="3"/>
      <c r="AG38" s="3"/>
      <c r="AH38" s="3"/>
      <c r="AI38" s="3"/>
      <c r="AJ38" s="3"/>
      <c r="AK38" s="3"/>
      <c r="AL38" s="3" t="s">
        <v>288</v>
      </c>
      <c r="AM38" s="3" t="s">
        <v>289</v>
      </c>
      <c r="AN38" s="3" t="s">
        <v>109</v>
      </c>
      <c r="AO38" s="3" t="s">
        <v>109</v>
      </c>
      <c r="AP38" s="3" t="s">
        <v>78</v>
      </c>
      <c r="AQ38" s="3" t="s">
        <v>132</v>
      </c>
      <c r="AR38" s="3" t="s">
        <v>109</v>
      </c>
      <c r="AS38" s="3" t="s">
        <v>109</v>
      </c>
      <c r="AT38" s="3" t="s">
        <v>79</v>
      </c>
      <c r="AU38" s="3" t="s">
        <v>79</v>
      </c>
      <c r="AV38" s="3"/>
      <c r="AW38" s="3" t="s">
        <v>80</v>
      </c>
      <c r="AX38" s="3" t="s">
        <v>80</v>
      </c>
      <c r="AY38" s="3" t="s">
        <v>81</v>
      </c>
      <c r="AZ38" s="3"/>
      <c r="BA38" s="3" t="s">
        <v>81</v>
      </c>
      <c r="BB38">
        <v>8</v>
      </c>
      <c r="BC38" s="3" t="s">
        <v>290</v>
      </c>
      <c r="BD38">
        <v>8</v>
      </c>
    </row>
    <row r="39" spans="1:56" x14ac:dyDescent="0.2">
      <c r="A39">
        <v>42</v>
      </c>
      <c r="B39" s="1">
        <v>44695.541018518503</v>
      </c>
      <c r="C39" s="1">
        <v>44695.558055555601</v>
      </c>
      <c r="D39" s="3" t="s">
        <v>143</v>
      </c>
      <c r="E39" s="3" t="s">
        <v>144</v>
      </c>
      <c r="F39" s="3" t="s">
        <v>114</v>
      </c>
      <c r="G39" s="3" t="s">
        <v>145</v>
      </c>
      <c r="H39" s="3" t="s">
        <v>291</v>
      </c>
      <c r="I39" s="3" t="s">
        <v>59</v>
      </c>
      <c r="J39" s="3" t="s">
        <v>135</v>
      </c>
      <c r="K39" s="3" t="s">
        <v>147</v>
      </c>
      <c r="L39" s="3" t="s">
        <v>292</v>
      </c>
      <c r="M39" s="3" t="s">
        <v>149</v>
      </c>
      <c r="N39" s="2" t="s">
        <v>293</v>
      </c>
      <c r="O39" s="3" t="s">
        <v>121</v>
      </c>
      <c r="P39" s="3"/>
      <c r="Q39" s="3" t="s">
        <v>121</v>
      </c>
      <c r="R39" s="3" t="s">
        <v>122</v>
      </c>
      <c r="S39" s="3" t="s">
        <v>151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 t="s">
        <v>294</v>
      </c>
      <c r="AM39" s="3" t="s">
        <v>295</v>
      </c>
      <c r="AN39" s="3" t="s">
        <v>78</v>
      </c>
      <c r="AO39" s="3" t="s">
        <v>109</v>
      </c>
      <c r="AP39" s="3" t="s">
        <v>109</v>
      </c>
      <c r="AQ39" s="3" t="s">
        <v>109</v>
      </c>
      <c r="AR39" s="3" t="s">
        <v>109</v>
      </c>
      <c r="AS39" s="3" t="s">
        <v>109</v>
      </c>
      <c r="AT39" s="3" t="s">
        <v>79</v>
      </c>
      <c r="AU39" s="3"/>
      <c r="AV39" s="3"/>
      <c r="AW39" s="3"/>
      <c r="AX39" s="3" t="s">
        <v>80</v>
      </c>
      <c r="AY39" s="3"/>
      <c r="AZ39" s="3"/>
      <c r="BA39" s="3"/>
      <c r="BB39">
        <v>9</v>
      </c>
      <c r="BC39" s="3" t="s">
        <v>296</v>
      </c>
      <c r="BD39">
        <v>8</v>
      </c>
    </row>
    <row r="40" spans="1:56" x14ac:dyDescent="0.2">
      <c r="A40">
        <v>43</v>
      </c>
      <c r="B40" s="1">
        <v>44695.558796296304</v>
      </c>
      <c r="C40" s="1">
        <v>44695.563391203701</v>
      </c>
      <c r="D40" s="3" t="s">
        <v>143</v>
      </c>
      <c r="E40" s="3" t="s">
        <v>144</v>
      </c>
      <c r="F40" s="3" t="s">
        <v>114</v>
      </c>
      <c r="G40" s="3" t="s">
        <v>145</v>
      </c>
      <c r="H40" s="3" t="s">
        <v>297</v>
      </c>
      <c r="I40" s="3" t="s">
        <v>59</v>
      </c>
      <c r="J40" s="3" t="s">
        <v>298</v>
      </c>
      <c r="K40" s="3" t="s">
        <v>147</v>
      </c>
      <c r="L40" s="3" t="s">
        <v>299</v>
      </c>
      <c r="M40" s="3" t="s">
        <v>63</v>
      </c>
      <c r="N40" s="2" t="s">
        <v>300</v>
      </c>
      <c r="O40" s="3" t="s">
        <v>64</v>
      </c>
      <c r="P40" s="3" t="s">
        <v>64</v>
      </c>
      <c r="Q40" s="3" t="s">
        <v>121</v>
      </c>
      <c r="R40" s="3" t="s">
        <v>71</v>
      </c>
      <c r="S40" s="3" t="s">
        <v>161</v>
      </c>
      <c r="T40" s="3" t="s">
        <v>138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 t="s">
        <v>301</v>
      </c>
      <c r="AN40" s="3" t="s">
        <v>77</v>
      </c>
      <c r="AO40" s="3" t="s">
        <v>78</v>
      </c>
      <c r="AP40" s="3" t="s">
        <v>78</v>
      </c>
      <c r="AQ40" s="3" t="s">
        <v>109</v>
      </c>
      <c r="AR40" s="3" t="s">
        <v>109</v>
      </c>
      <c r="AS40" s="3" t="s">
        <v>78</v>
      </c>
      <c r="AT40" s="3" t="s">
        <v>79</v>
      </c>
      <c r="AU40" s="3"/>
      <c r="AV40" s="3"/>
      <c r="AW40" s="3"/>
      <c r="AX40" s="3" t="s">
        <v>80</v>
      </c>
      <c r="AY40" s="3"/>
      <c r="AZ40" s="3"/>
      <c r="BA40" s="3"/>
      <c r="BB40">
        <v>8</v>
      </c>
      <c r="BC40" s="3" t="s">
        <v>302</v>
      </c>
      <c r="BD40">
        <v>8</v>
      </c>
    </row>
    <row r="41" spans="1:56" x14ac:dyDescent="0.2">
      <c r="A41">
        <v>44</v>
      </c>
      <c r="B41" s="1">
        <v>44695.563842592601</v>
      </c>
      <c r="C41" s="1">
        <v>44695.566643518498</v>
      </c>
      <c r="D41" s="3" t="s">
        <v>143</v>
      </c>
      <c r="E41" s="3" t="s">
        <v>144</v>
      </c>
      <c r="F41" s="3" t="s">
        <v>114</v>
      </c>
      <c r="G41" s="3" t="s">
        <v>145</v>
      </c>
      <c r="H41" s="3" t="s">
        <v>303</v>
      </c>
      <c r="I41" s="3" t="s">
        <v>59</v>
      </c>
      <c r="J41" s="3" t="s">
        <v>135</v>
      </c>
      <c r="K41" s="3" t="s">
        <v>147</v>
      </c>
      <c r="L41" s="3" t="s">
        <v>304</v>
      </c>
      <c r="M41" s="3" t="s">
        <v>63</v>
      </c>
      <c r="N41" s="3" t="s">
        <v>305</v>
      </c>
      <c r="O41" s="3"/>
      <c r="P41" s="3"/>
      <c r="Q41" s="3"/>
      <c r="R41" s="3"/>
      <c r="S41" s="3"/>
      <c r="T41" s="3"/>
      <c r="U41" s="3"/>
      <c r="V41" s="3" t="s">
        <v>69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 t="s">
        <v>218</v>
      </c>
      <c r="AN41" s="3" t="s">
        <v>77</v>
      </c>
      <c r="AO41" s="3" t="s">
        <v>77</v>
      </c>
      <c r="AP41" s="3" t="s">
        <v>77</v>
      </c>
      <c r="AQ41" s="3" t="s">
        <v>77</v>
      </c>
      <c r="AR41" s="3" t="s">
        <v>77</v>
      </c>
      <c r="AS41" s="3" t="s">
        <v>77</v>
      </c>
      <c r="AT41" s="3" t="s">
        <v>80</v>
      </c>
      <c r="AU41" s="3"/>
      <c r="AV41" s="3"/>
      <c r="AW41" s="3"/>
      <c r="AX41" s="3" t="s">
        <v>79</v>
      </c>
      <c r="AY41" s="3"/>
      <c r="AZ41" s="3"/>
      <c r="BA41" s="3"/>
      <c r="BB41">
        <v>8</v>
      </c>
      <c r="BC41" s="3" t="s">
        <v>306</v>
      </c>
      <c r="BD41">
        <v>8</v>
      </c>
    </row>
    <row r="42" spans="1:56" x14ac:dyDescent="0.2">
      <c r="A42">
        <v>45</v>
      </c>
      <c r="B42" s="1">
        <v>44695.567175925898</v>
      </c>
      <c r="C42" s="1">
        <v>44695.5702199074</v>
      </c>
      <c r="D42" s="3" t="s">
        <v>143</v>
      </c>
      <c r="E42" s="3" t="s">
        <v>144</v>
      </c>
      <c r="F42" s="3" t="s">
        <v>114</v>
      </c>
      <c r="G42" s="3" t="s">
        <v>145</v>
      </c>
      <c r="H42" s="3" t="s">
        <v>307</v>
      </c>
      <c r="I42" s="3" t="s">
        <v>59</v>
      </c>
      <c r="J42" s="3" t="s">
        <v>135</v>
      </c>
      <c r="K42" s="3" t="s">
        <v>147</v>
      </c>
      <c r="L42" s="3" t="s">
        <v>308</v>
      </c>
      <c r="M42" s="3" t="s">
        <v>309</v>
      </c>
      <c r="N42" s="2" t="s">
        <v>310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">
        <v>72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 t="s">
        <v>131</v>
      </c>
      <c r="AN42" s="3" t="s">
        <v>77</v>
      </c>
      <c r="AO42" s="3" t="s">
        <v>77</v>
      </c>
      <c r="AP42" s="3" t="s">
        <v>77</v>
      </c>
      <c r="AQ42" s="3" t="s">
        <v>78</v>
      </c>
      <c r="AR42" s="3" t="s">
        <v>77</v>
      </c>
      <c r="AS42" s="3" t="s">
        <v>77</v>
      </c>
      <c r="AT42" s="3" t="s">
        <v>80</v>
      </c>
      <c r="AU42" s="3"/>
      <c r="AV42" s="3"/>
      <c r="AW42" s="3"/>
      <c r="AX42" s="3" t="s">
        <v>80</v>
      </c>
      <c r="AY42" s="3"/>
      <c r="AZ42" s="3"/>
      <c r="BA42" s="3"/>
      <c r="BB42">
        <v>8</v>
      </c>
      <c r="BC42" s="3" t="s">
        <v>311</v>
      </c>
      <c r="BD42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AB3-D8D5-4C7C-87E7-353B624158E1}">
  <dimension ref="A1:AH24"/>
  <sheetViews>
    <sheetView workbookViewId="0">
      <selection activeCell="D2" sqref="D2:D24"/>
    </sheetView>
  </sheetViews>
  <sheetFormatPr baseColWidth="10" defaultColWidth="8.83203125" defaultRowHeight="15" x14ac:dyDescent="0.2"/>
  <cols>
    <col min="1" max="1" width="13.1640625" bestFit="1" customWidth="1"/>
    <col min="2" max="2" width="28.5" bestFit="1" customWidth="1"/>
    <col min="3" max="3" width="8.33203125" bestFit="1" customWidth="1"/>
    <col min="4" max="4" width="6.5" bestFit="1" customWidth="1"/>
    <col min="5" max="10" width="12" bestFit="1" customWidth="1"/>
    <col min="11" max="11" width="9.83203125" bestFit="1" customWidth="1"/>
    <col min="12" max="30" width="12" bestFit="1" customWidth="1"/>
    <col min="31" max="31" width="10.83203125" bestFit="1" customWidth="1"/>
    <col min="32" max="34" width="12" bestFit="1" customWidth="1"/>
  </cols>
  <sheetData>
    <row r="1" spans="1:34" x14ac:dyDescent="0.2">
      <c r="A1" t="s">
        <v>343</v>
      </c>
      <c r="B1" t="s">
        <v>347</v>
      </c>
      <c r="C1" t="s">
        <v>342</v>
      </c>
      <c r="D1" t="s">
        <v>370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P1" t="s">
        <v>323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332</v>
      </c>
      <c r="Z1" t="s">
        <v>333</v>
      </c>
      <c r="AA1" t="s">
        <v>334</v>
      </c>
      <c r="AB1" t="s">
        <v>335</v>
      </c>
      <c r="AC1" t="s">
        <v>336</v>
      </c>
      <c r="AD1" t="s">
        <v>337</v>
      </c>
      <c r="AE1" t="s">
        <v>338</v>
      </c>
      <c r="AF1" t="s">
        <v>339</v>
      </c>
      <c r="AG1" t="s">
        <v>340</v>
      </c>
      <c r="AH1" t="s">
        <v>341</v>
      </c>
    </row>
    <row r="2" spans="1:34" x14ac:dyDescent="0.2">
      <c r="A2" t="s">
        <v>344</v>
      </c>
      <c r="B2" s="6" t="s">
        <v>14</v>
      </c>
      <c r="C2" s="9" t="s">
        <v>348</v>
      </c>
      <c r="D2" s="10">
        <v>1</v>
      </c>
      <c r="E2" s="7" t="s">
        <v>64</v>
      </c>
      <c r="F2" s="8" t="s">
        <v>65</v>
      </c>
      <c r="G2" s="7" t="s">
        <v>121</v>
      </c>
      <c r="H2" s="8" t="s">
        <v>121</v>
      </c>
      <c r="I2" s="7" t="s">
        <v>64</v>
      </c>
      <c r="J2" s="8" t="s">
        <v>64</v>
      </c>
      <c r="K2" s="7" t="s">
        <v>121</v>
      </c>
      <c r="L2" s="8" t="s">
        <v>121</v>
      </c>
      <c r="M2" s="7" t="s">
        <v>121</v>
      </c>
      <c r="N2" s="8" t="s">
        <v>66</v>
      </c>
      <c r="O2" s="7" t="s">
        <v>66</v>
      </c>
      <c r="P2" s="7" t="s">
        <v>69</v>
      </c>
      <c r="Q2" s="8"/>
      <c r="R2" s="7" t="s">
        <v>64</v>
      </c>
      <c r="S2" s="8" t="s">
        <v>121</v>
      </c>
      <c r="T2" s="7" t="s">
        <v>121</v>
      </c>
      <c r="U2" s="8" t="s">
        <v>121</v>
      </c>
      <c r="V2" s="7" t="s">
        <v>121</v>
      </c>
      <c r="W2" s="8" t="s">
        <v>121</v>
      </c>
      <c r="X2" s="7" t="s">
        <v>121</v>
      </c>
      <c r="Y2" s="8" t="s">
        <v>121</v>
      </c>
      <c r="Z2" s="7" t="s">
        <v>121</v>
      </c>
      <c r="AA2" s="8" t="s">
        <v>121</v>
      </c>
      <c r="AB2" s="7"/>
      <c r="AC2" s="8"/>
      <c r="AD2" s="7"/>
      <c r="AE2" s="8" t="s">
        <v>121</v>
      </c>
      <c r="AF2" s="7" t="s">
        <v>64</v>
      </c>
      <c r="AG2" s="8"/>
      <c r="AH2" s="7"/>
    </row>
    <row r="3" spans="1:34" x14ac:dyDescent="0.2">
      <c r="A3" t="s">
        <v>344</v>
      </c>
      <c r="B3" s="6" t="s">
        <v>15</v>
      </c>
      <c r="C3" s="9" t="s">
        <v>350</v>
      </c>
      <c r="D3" s="10">
        <v>2</v>
      </c>
      <c r="E3" s="7" t="s">
        <v>65</v>
      </c>
      <c r="F3" s="8" t="s">
        <v>64</v>
      </c>
      <c r="G3" s="7" t="s">
        <v>121</v>
      </c>
      <c r="H3" s="8"/>
      <c r="I3" s="7" t="s">
        <v>64</v>
      </c>
      <c r="J3" s="8" t="s">
        <v>64</v>
      </c>
      <c r="K3" s="7"/>
      <c r="L3" s="8" t="s">
        <v>121</v>
      </c>
      <c r="M3" s="7" t="s">
        <v>121</v>
      </c>
      <c r="N3" s="8"/>
      <c r="O3" s="7"/>
      <c r="P3" s="7" t="s">
        <v>69</v>
      </c>
      <c r="Q3" s="8"/>
      <c r="R3" s="7" t="s">
        <v>121</v>
      </c>
      <c r="S3" s="8"/>
      <c r="T3" s="7"/>
      <c r="U3" s="8"/>
      <c r="V3" s="7"/>
      <c r="W3" s="8" t="s">
        <v>121</v>
      </c>
      <c r="X3" s="7" t="s">
        <v>121</v>
      </c>
      <c r="Y3" s="8" t="s">
        <v>121</v>
      </c>
      <c r="Z3" s="7" t="s">
        <v>121</v>
      </c>
      <c r="AA3" s="8" t="s">
        <v>121</v>
      </c>
      <c r="AB3" s="7"/>
      <c r="AC3" s="8"/>
      <c r="AD3" s="7"/>
      <c r="AE3" s="8"/>
      <c r="AF3" s="7" t="s">
        <v>64</v>
      </c>
      <c r="AG3" s="8"/>
      <c r="AH3" s="7"/>
    </row>
    <row r="4" spans="1:34" x14ac:dyDescent="0.2">
      <c r="A4" t="s">
        <v>344</v>
      </c>
      <c r="B4" s="6" t="s">
        <v>16</v>
      </c>
      <c r="C4" s="9" t="s">
        <v>351</v>
      </c>
      <c r="D4" s="10">
        <v>3</v>
      </c>
      <c r="E4" s="7" t="s">
        <v>64</v>
      </c>
      <c r="F4" s="8" t="s">
        <v>66</v>
      </c>
      <c r="G4" s="7" t="s">
        <v>121</v>
      </c>
      <c r="H4" s="8" t="s">
        <v>64</v>
      </c>
      <c r="I4" s="7" t="s">
        <v>65</v>
      </c>
      <c r="J4" s="8" t="s">
        <v>65</v>
      </c>
      <c r="K4" s="7" t="s">
        <v>121</v>
      </c>
      <c r="L4" s="8" t="s">
        <v>121</v>
      </c>
      <c r="M4" s="7" t="s">
        <v>66</v>
      </c>
      <c r="N4" s="8" t="s">
        <v>64</v>
      </c>
      <c r="O4" s="7" t="s">
        <v>64</v>
      </c>
      <c r="P4" s="7" t="s">
        <v>69</v>
      </c>
      <c r="Q4" s="8"/>
      <c r="R4" s="7" t="s">
        <v>65</v>
      </c>
      <c r="S4" s="8" t="s">
        <v>121</v>
      </c>
      <c r="T4" s="7" t="s">
        <v>121</v>
      </c>
      <c r="U4" s="8" t="s">
        <v>121</v>
      </c>
      <c r="V4" s="7" t="s">
        <v>121</v>
      </c>
      <c r="W4" s="8" t="s">
        <v>121</v>
      </c>
      <c r="X4" s="7" t="s">
        <v>121</v>
      </c>
      <c r="Y4" s="8" t="s">
        <v>121</v>
      </c>
      <c r="Z4" s="7" t="s">
        <v>121</v>
      </c>
      <c r="AA4" s="8" t="s">
        <v>121</v>
      </c>
      <c r="AB4" s="7"/>
      <c r="AC4" s="8"/>
      <c r="AD4" s="7"/>
      <c r="AE4" s="8" t="s">
        <v>121</v>
      </c>
      <c r="AF4" s="7" t="s">
        <v>121</v>
      </c>
      <c r="AG4" s="8"/>
      <c r="AH4" s="7"/>
    </row>
    <row r="5" spans="1:34" x14ac:dyDescent="0.2">
      <c r="A5" t="s">
        <v>344</v>
      </c>
      <c r="B5" s="6" t="s">
        <v>17</v>
      </c>
      <c r="C5" s="9" t="s">
        <v>352</v>
      </c>
      <c r="D5" s="10">
        <v>4</v>
      </c>
      <c r="E5" s="7" t="s">
        <v>66</v>
      </c>
      <c r="F5" s="8" t="s">
        <v>92</v>
      </c>
      <c r="G5" s="7" t="s">
        <v>122</v>
      </c>
      <c r="H5" s="8" t="s">
        <v>71</v>
      </c>
      <c r="I5" s="7" t="s">
        <v>66</v>
      </c>
      <c r="J5" s="8" t="s">
        <v>66</v>
      </c>
      <c r="K5" s="7" t="s">
        <v>122</v>
      </c>
      <c r="L5" s="8" t="s">
        <v>71</v>
      </c>
      <c r="M5" s="7" t="s">
        <v>71</v>
      </c>
      <c r="N5" s="8"/>
      <c r="O5" s="7"/>
      <c r="P5" s="7" t="s">
        <v>65</v>
      </c>
      <c r="Q5" s="8"/>
      <c r="R5" s="7" t="s">
        <v>64</v>
      </c>
      <c r="S5" s="8" t="s">
        <v>122</v>
      </c>
      <c r="T5" s="7" t="s">
        <v>122</v>
      </c>
      <c r="U5" s="8" t="s">
        <v>122</v>
      </c>
      <c r="V5" s="7" t="s">
        <v>122</v>
      </c>
      <c r="W5" s="8" t="s">
        <v>122</v>
      </c>
      <c r="X5" s="7" t="s">
        <v>122</v>
      </c>
      <c r="Y5" s="8" t="s">
        <v>122</v>
      </c>
      <c r="Z5" s="7" t="s">
        <v>122</v>
      </c>
      <c r="AA5" s="8" t="s">
        <v>122</v>
      </c>
      <c r="AB5" s="7"/>
      <c r="AC5" s="8"/>
      <c r="AD5" s="7"/>
      <c r="AE5" s="8" t="s">
        <v>122</v>
      </c>
      <c r="AF5" s="7" t="s">
        <v>71</v>
      </c>
      <c r="AG5" s="8"/>
      <c r="AH5" s="7"/>
    </row>
    <row r="6" spans="1:34" x14ac:dyDescent="0.2">
      <c r="A6" t="s">
        <v>344</v>
      </c>
      <c r="B6" s="6" t="s">
        <v>18</v>
      </c>
      <c r="C6" s="9" t="s">
        <v>371</v>
      </c>
      <c r="D6" s="10">
        <v>5</v>
      </c>
      <c r="E6" s="7" t="s">
        <v>67</v>
      </c>
      <c r="F6" s="8" t="s">
        <v>67</v>
      </c>
      <c r="G6" s="7" t="s">
        <v>123</v>
      </c>
      <c r="H6" s="8" t="s">
        <v>67</v>
      </c>
      <c r="I6" s="7"/>
      <c r="J6" s="8"/>
      <c r="K6" s="7" t="s">
        <v>151</v>
      </c>
      <c r="L6" s="8" t="s">
        <v>161</v>
      </c>
      <c r="M6" s="7" t="s">
        <v>161</v>
      </c>
      <c r="N6" s="8" t="s">
        <v>170</v>
      </c>
      <c r="O6" s="7" t="s">
        <v>170</v>
      </c>
      <c r="P6" s="7" t="s">
        <v>188</v>
      </c>
      <c r="Q6" s="8"/>
      <c r="R6" s="7"/>
      <c r="S6" s="8" t="s">
        <v>151</v>
      </c>
      <c r="T6" s="7" t="s">
        <v>151</v>
      </c>
      <c r="U6" s="8" t="s">
        <v>151</v>
      </c>
      <c r="V6" s="7" t="s">
        <v>151</v>
      </c>
      <c r="W6" s="8" t="s">
        <v>151</v>
      </c>
      <c r="X6" s="7" t="s">
        <v>151</v>
      </c>
      <c r="Y6" s="8" t="s">
        <v>151</v>
      </c>
      <c r="Z6" s="7" t="s">
        <v>151</v>
      </c>
      <c r="AA6" s="8" t="s">
        <v>151</v>
      </c>
      <c r="AB6" s="7"/>
      <c r="AC6" s="8"/>
      <c r="AD6" s="7"/>
      <c r="AE6" s="8" t="s">
        <v>151</v>
      </c>
      <c r="AF6" s="7" t="s">
        <v>161</v>
      </c>
      <c r="AG6" s="8"/>
      <c r="AH6" s="7"/>
    </row>
    <row r="7" spans="1:34" x14ac:dyDescent="0.2">
      <c r="A7" t="s">
        <v>344</v>
      </c>
      <c r="B7" s="6" t="s">
        <v>19</v>
      </c>
      <c r="C7" s="9" t="s">
        <v>349</v>
      </c>
      <c r="D7" s="10">
        <v>6</v>
      </c>
      <c r="E7" s="7" t="s">
        <v>68</v>
      </c>
      <c r="F7" s="8" t="s">
        <v>68</v>
      </c>
      <c r="G7" s="7" t="s">
        <v>124</v>
      </c>
      <c r="H7" s="8"/>
      <c r="I7" s="7" t="s">
        <v>138</v>
      </c>
      <c r="J7" s="8" t="s">
        <v>138</v>
      </c>
      <c r="K7" s="7"/>
      <c r="L7" s="8" t="s">
        <v>68</v>
      </c>
      <c r="M7" s="7" t="s">
        <v>124</v>
      </c>
      <c r="N7" s="8" t="s">
        <v>171</v>
      </c>
      <c r="O7" s="7" t="s">
        <v>171</v>
      </c>
      <c r="P7" s="7" t="s">
        <v>68</v>
      </c>
      <c r="Q7" s="8"/>
      <c r="R7" s="7" t="s">
        <v>138</v>
      </c>
      <c r="S7" s="8" t="s">
        <v>68</v>
      </c>
      <c r="T7" s="7" t="s">
        <v>68</v>
      </c>
      <c r="U7" s="8" t="s">
        <v>68</v>
      </c>
      <c r="V7" s="7" t="s">
        <v>68</v>
      </c>
      <c r="W7" s="8" t="s">
        <v>68</v>
      </c>
      <c r="X7" s="7" t="s">
        <v>68</v>
      </c>
      <c r="Y7" s="8" t="s">
        <v>68</v>
      </c>
      <c r="Z7" s="7" t="s">
        <v>68</v>
      </c>
      <c r="AA7" s="8" t="s">
        <v>68</v>
      </c>
      <c r="AB7" s="7"/>
      <c r="AC7" s="8"/>
      <c r="AD7" s="7"/>
      <c r="AE7" s="8"/>
      <c r="AF7" s="7" t="s">
        <v>138</v>
      </c>
      <c r="AG7" s="8"/>
      <c r="AH7" s="7"/>
    </row>
    <row r="8" spans="1:34" x14ac:dyDescent="0.2">
      <c r="A8" t="s">
        <v>344</v>
      </c>
      <c r="B8" s="6" t="s">
        <v>20</v>
      </c>
      <c r="C8" s="9" t="s">
        <v>353</v>
      </c>
      <c r="D8" s="10">
        <v>7</v>
      </c>
      <c r="E8" s="7"/>
      <c r="F8" s="8" t="s">
        <v>93</v>
      </c>
      <c r="G8" s="7" t="s">
        <v>125</v>
      </c>
      <c r="H8" s="8"/>
      <c r="I8" s="7"/>
      <c r="J8" s="8"/>
      <c r="K8" s="7"/>
      <c r="L8" s="8"/>
      <c r="M8" s="7"/>
      <c r="N8" s="8"/>
      <c r="O8" s="7"/>
      <c r="P8" s="7" t="s">
        <v>189</v>
      </c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  <c r="AF8" s="7"/>
      <c r="AG8" s="8"/>
      <c r="AH8" s="7"/>
    </row>
    <row r="9" spans="1:34" x14ac:dyDescent="0.2">
      <c r="A9" t="s">
        <v>345</v>
      </c>
      <c r="B9" s="6" t="s">
        <v>21</v>
      </c>
      <c r="C9" s="9" t="s">
        <v>354</v>
      </c>
      <c r="D9" s="10">
        <v>2</v>
      </c>
      <c r="E9" s="7" t="s">
        <v>69</v>
      </c>
      <c r="F9" s="8" t="s">
        <v>94</v>
      </c>
      <c r="G9" s="7"/>
      <c r="H9" s="8"/>
      <c r="I9" s="7"/>
      <c r="J9" s="8"/>
      <c r="K9" s="7"/>
      <c r="L9" s="8"/>
      <c r="M9" s="7"/>
      <c r="N9" s="8"/>
      <c r="O9" s="7"/>
      <c r="P9" s="7" t="s">
        <v>94</v>
      </c>
      <c r="Q9" s="8" t="s">
        <v>94</v>
      </c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 t="s">
        <v>94</v>
      </c>
      <c r="AD9" s="7" t="s">
        <v>65</v>
      </c>
      <c r="AE9" s="8"/>
      <c r="AF9" s="7"/>
      <c r="AG9" s="8" t="s">
        <v>69</v>
      </c>
      <c r="AH9" s="7"/>
    </row>
    <row r="10" spans="1:34" x14ac:dyDescent="0.2">
      <c r="A10" t="s">
        <v>345</v>
      </c>
      <c r="B10" s="6" t="s">
        <v>22</v>
      </c>
      <c r="C10" s="9" t="s">
        <v>355</v>
      </c>
      <c r="D10" s="10">
        <v>1</v>
      </c>
      <c r="E10" s="7" t="s">
        <v>70</v>
      </c>
      <c r="F10" s="8" t="s">
        <v>95</v>
      </c>
      <c r="G10" s="7"/>
      <c r="H10" s="8"/>
      <c r="I10" s="7"/>
      <c r="J10" s="8"/>
      <c r="K10" s="7"/>
      <c r="L10" s="8"/>
      <c r="M10" s="7"/>
      <c r="N10" s="8"/>
      <c r="O10" s="7"/>
      <c r="P10" s="7" t="s">
        <v>190</v>
      </c>
      <c r="Q10" s="8" t="s">
        <v>214</v>
      </c>
      <c r="R10" s="7"/>
      <c r="S10" s="8"/>
      <c r="T10" s="7"/>
      <c r="U10" s="8"/>
      <c r="V10" s="7"/>
      <c r="W10" s="8"/>
      <c r="X10" s="7"/>
      <c r="Y10" s="8"/>
      <c r="Z10" s="7"/>
      <c r="AA10" s="8"/>
      <c r="AB10" s="7" t="s">
        <v>214</v>
      </c>
      <c r="AC10" s="8"/>
      <c r="AD10" s="7" t="s">
        <v>214</v>
      </c>
      <c r="AE10" s="8"/>
      <c r="AF10" s="7"/>
      <c r="AG10" s="8"/>
      <c r="AH10" s="7"/>
    </row>
    <row r="11" spans="1:34" x14ac:dyDescent="0.2">
      <c r="A11" t="s">
        <v>345</v>
      </c>
      <c r="B11" s="6" t="s">
        <v>23</v>
      </c>
      <c r="C11" s="9" t="s">
        <v>356</v>
      </c>
      <c r="D11" s="10">
        <v>1</v>
      </c>
      <c r="E11" s="7" t="s">
        <v>71</v>
      </c>
      <c r="F11" s="8" t="s">
        <v>71</v>
      </c>
      <c r="G11" s="7"/>
      <c r="H11" s="8"/>
      <c r="I11" s="7"/>
      <c r="J11" s="8"/>
      <c r="K11" s="7"/>
      <c r="L11" s="8"/>
      <c r="M11" s="7"/>
      <c r="N11" s="8"/>
      <c r="O11" s="7"/>
      <c r="P11" s="7" t="s">
        <v>191</v>
      </c>
      <c r="Q11" s="8" t="s">
        <v>71</v>
      </c>
      <c r="R11" s="7"/>
      <c r="S11" s="8"/>
      <c r="T11" s="7"/>
      <c r="U11" s="8"/>
      <c r="V11" s="7"/>
      <c r="W11" s="8"/>
      <c r="X11" s="7"/>
      <c r="Y11" s="8"/>
      <c r="Z11" s="7"/>
      <c r="AA11" s="8"/>
      <c r="AB11" s="7" t="s">
        <v>191</v>
      </c>
      <c r="AC11" s="8" t="s">
        <v>191</v>
      </c>
      <c r="AD11" s="7" t="s">
        <v>64</v>
      </c>
      <c r="AE11" s="8"/>
      <c r="AF11" s="7"/>
      <c r="AG11" s="8"/>
      <c r="AH11" s="7"/>
    </row>
    <row r="12" spans="1:34" x14ac:dyDescent="0.2">
      <c r="A12" t="s">
        <v>345</v>
      </c>
      <c r="B12" s="6" t="s">
        <v>24</v>
      </c>
      <c r="C12" s="9" t="s">
        <v>357</v>
      </c>
      <c r="D12" s="10">
        <v>3</v>
      </c>
      <c r="E12" s="7" t="s">
        <v>72</v>
      </c>
      <c r="F12" s="8" t="s">
        <v>96</v>
      </c>
      <c r="G12" s="7"/>
      <c r="H12" s="8"/>
      <c r="I12" s="7"/>
      <c r="J12" s="8"/>
      <c r="K12" s="7"/>
      <c r="L12" s="8"/>
      <c r="M12" s="7"/>
      <c r="N12" s="8"/>
      <c r="O12" s="7"/>
      <c r="P12" s="7"/>
      <c r="Q12" s="8" t="s">
        <v>215</v>
      </c>
      <c r="R12" s="7"/>
      <c r="S12" s="8"/>
      <c r="T12" s="7"/>
      <c r="U12" s="8"/>
      <c r="V12" s="7"/>
      <c r="W12" s="8"/>
      <c r="X12" s="7"/>
      <c r="Y12" s="8"/>
      <c r="Z12" s="7"/>
      <c r="AA12" s="8"/>
      <c r="AB12" s="7" t="s">
        <v>72</v>
      </c>
      <c r="AC12" s="8"/>
      <c r="AD12" s="7" t="s">
        <v>285</v>
      </c>
      <c r="AE12" s="8"/>
      <c r="AF12" s="7"/>
      <c r="AG12" s="8"/>
      <c r="AH12" s="7" t="s">
        <v>72</v>
      </c>
    </row>
    <row r="13" spans="1:34" x14ac:dyDescent="0.2">
      <c r="A13" t="s">
        <v>345</v>
      </c>
      <c r="B13" s="6" t="s">
        <v>25</v>
      </c>
      <c r="C13" s="9" t="s">
        <v>358</v>
      </c>
      <c r="D13" s="10">
        <v>4</v>
      </c>
      <c r="E13" s="7" t="s">
        <v>73</v>
      </c>
      <c r="F13" s="8" t="s">
        <v>96</v>
      </c>
      <c r="G13" s="7"/>
      <c r="H13" s="8"/>
      <c r="I13" s="7"/>
      <c r="J13" s="8"/>
      <c r="K13" s="7"/>
      <c r="L13" s="8"/>
      <c r="M13" s="7"/>
      <c r="N13" s="8"/>
      <c r="O13" s="7"/>
      <c r="P13" s="7"/>
      <c r="Q13" s="8" t="s">
        <v>216</v>
      </c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 t="s">
        <v>286</v>
      </c>
      <c r="AE13" s="8"/>
      <c r="AF13" s="7"/>
      <c r="AG13" s="8"/>
      <c r="AH13" s="7"/>
    </row>
    <row r="14" spans="1:34" x14ac:dyDescent="0.2">
      <c r="A14" t="s">
        <v>345</v>
      </c>
      <c r="B14" s="6" t="s">
        <v>26</v>
      </c>
      <c r="C14" s="9" t="s">
        <v>359</v>
      </c>
      <c r="D14" s="10">
        <v>5</v>
      </c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7"/>
      <c r="Q14" s="8" t="s">
        <v>217</v>
      </c>
      <c r="R14" s="7"/>
      <c r="S14" s="8"/>
      <c r="T14" s="7"/>
      <c r="U14" s="8"/>
      <c r="V14" s="7"/>
      <c r="W14" s="8"/>
      <c r="X14" s="7"/>
      <c r="Y14" s="8"/>
      <c r="Z14" s="7"/>
      <c r="AA14" s="8"/>
      <c r="AB14" s="7" t="s">
        <v>217</v>
      </c>
      <c r="AC14" s="8" t="s">
        <v>277</v>
      </c>
      <c r="AD14" s="7" t="s">
        <v>286</v>
      </c>
      <c r="AE14" s="8"/>
      <c r="AF14" s="7"/>
      <c r="AG14" s="8"/>
      <c r="AH14" s="7"/>
    </row>
    <row r="15" spans="1:34" x14ac:dyDescent="0.2">
      <c r="A15" t="s">
        <v>345</v>
      </c>
      <c r="B15" s="6" t="s">
        <v>27</v>
      </c>
      <c r="C15" s="9" t="s">
        <v>360</v>
      </c>
      <c r="D15" s="10">
        <v>8</v>
      </c>
      <c r="E15" s="7" t="s">
        <v>74</v>
      </c>
      <c r="F15" s="8" t="s">
        <v>97</v>
      </c>
      <c r="G15" s="7"/>
      <c r="H15" s="8"/>
      <c r="I15" s="7"/>
      <c r="J15" s="8"/>
      <c r="K15" s="7"/>
      <c r="L15" s="8"/>
      <c r="M15" s="7"/>
      <c r="N15" s="8"/>
      <c r="O15" s="7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  <c r="AF15" s="7"/>
      <c r="AG15" s="8"/>
      <c r="AH15" s="7"/>
    </row>
    <row r="16" spans="1:34" x14ac:dyDescent="0.2">
      <c r="A16" t="s">
        <v>345</v>
      </c>
      <c r="B16" s="6" t="s">
        <v>28</v>
      </c>
      <c r="C16" s="9" t="s">
        <v>361</v>
      </c>
      <c r="D16" s="10">
        <v>6</v>
      </c>
      <c r="E16" s="7" t="s">
        <v>75</v>
      </c>
      <c r="F16" s="8" t="s">
        <v>98</v>
      </c>
      <c r="G16" s="7"/>
      <c r="H16" s="8"/>
      <c r="I16" s="7"/>
      <c r="J16" s="8"/>
      <c r="K16" s="7"/>
      <c r="L16" s="8"/>
      <c r="M16" s="7"/>
      <c r="N16" s="8"/>
      <c r="O16" s="7"/>
      <c r="P16" s="7"/>
      <c r="Q16" s="8" t="s">
        <v>98</v>
      </c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 t="s">
        <v>287</v>
      </c>
      <c r="AE16" s="8"/>
      <c r="AF16" s="7"/>
      <c r="AG16" s="8"/>
      <c r="AH16" s="7"/>
    </row>
    <row r="17" spans="1:34" x14ac:dyDescent="0.2">
      <c r="A17" t="s">
        <v>346</v>
      </c>
      <c r="B17" s="6" t="s">
        <v>29</v>
      </c>
      <c r="C17" s="9" t="s">
        <v>362</v>
      </c>
      <c r="D17" s="10">
        <v>2</v>
      </c>
      <c r="E17" s="7"/>
      <c r="F17" s="8" t="s">
        <v>99</v>
      </c>
      <c r="G17" s="7"/>
      <c r="H17" s="8"/>
      <c r="I17" s="7"/>
      <c r="J17" s="8"/>
      <c r="K17" s="7"/>
      <c r="L17" s="8"/>
      <c r="M17" s="7"/>
      <c r="N17" s="8"/>
      <c r="O17" s="7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  <c r="AF17" s="7"/>
      <c r="AG17" s="8"/>
      <c r="AH17" s="7"/>
    </row>
    <row r="18" spans="1:34" x14ac:dyDescent="0.2">
      <c r="A18" t="s">
        <v>346</v>
      </c>
      <c r="B18" s="6" t="s">
        <v>30</v>
      </c>
      <c r="C18" s="9" t="s">
        <v>363</v>
      </c>
      <c r="D18" s="10">
        <v>1</v>
      </c>
      <c r="E18" s="7"/>
      <c r="F18" s="8" t="s">
        <v>100</v>
      </c>
      <c r="G18" s="7"/>
      <c r="H18" s="8"/>
      <c r="I18" s="7"/>
      <c r="J18" s="8"/>
      <c r="K18" s="7"/>
      <c r="L18" s="8"/>
      <c r="M18" s="7"/>
      <c r="N18" s="8"/>
      <c r="O18" s="7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7"/>
      <c r="AG18" s="8"/>
      <c r="AH18" s="7"/>
    </row>
    <row r="19" spans="1:34" x14ac:dyDescent="0.2">
      <c r="A19" t="s">
        <v>346</v>
      </c>
      <c r="B19" s="6" t="s">
        <v>31</v>
      </c>
      <c r="C19" s="9" t="s">
        <v>364</v>
      </c>
      <c r="D19" s="10">
        <v>1</v>
      </c>
      <c r="E19" s="7"/>
      <c r="F19" s="8" t="s">
        <v>101</v>
      </c>
      <c r="G19" s="7"/>
      <c r="H19" s="8"/>
      <c r="I19" s="7"/>
      <c r="J19" s="8"/>
      <c r="K19" s="7"/>
      <c r="L19" s="8"/>
      <c r="M19" s="7"/>
      <c r="N19" s="8"/>
      <c r="O19" s="7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  <c r="AF19" s="7"/>
      <c r="AG19" s="8"/>
      <c r="AH19" s="7"/>
    </row>
    <row r="20" spans="1:34" x14ac:dyDescent="0.2">
      <c r="A20" t="s">
        <v>346</v>
      </c>
      <c r="B20" s="6" t="s">
        <v>32</v>
      </c>
      <c r="C20" s="9" t="s">
        <v>365</v>
      </c>
      <c r="D20" s="10">
        <v>3</v>
      </c>
      <c r="E20" s="7"/>
      <c r="F20" s="8" t="s">
        <v>102</v>
      </c>
      <c r="G20" s="7"/>
      <c r="H20" s="8"/>
      <c r="I20" s="7"/>
      <c r="J20" s="8"/>
      <c r="K20" s="7"/>
      <c r="L20" s="8"/>
      <c r="M20" s="7"/>
      <c r="N20" s="8"/>
      <c r="O20" s="7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7"/>
      <c r="AG20" s="8"/>
      <c r="AH20" s="7"/>
    </row>
    <row r="21" spans="1:34" x14ac:dyDescent="0.2">
      <c r="A21" t="s">
        <v>346</v>
      </c>
      <c r="B21" s="6" t="s">
        <v>33</v>
      </c>
      <c r="C21" s="9" t="s">
        <v>366</v>
      </c>
      <c r="D21" s="10">
        <v>3</v>
      </c>
      <c r="E21" s="7"/>
      <c r="F21" s="8" t="s">
        <v>103</v>
      </c>
      <c r="G21" s="7"/>
      <c r="H21" s="8"/>
      <c r="I21" s="7"/>
      <c r="J21" s="8"/>
      <c r="K21" s="7"/>
      <c r="L21" s="8"/>
      <c r="M21" s="7"/>
      <c r="N21" s="8"/>
      <c r="O21" s="7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  <c r="AF21" s="7"/>
      <c r="AG21" s="8"/>
      <c r="AH21" s="7"/>
    </row>
    <row r="22" spans="1:34" x14ac:dyDescent="0.2">
      <c r="A22" t="s">
        <v>346</v>
      </c>
      <c r="B22" s="6" t="s">
        <v>34</v>
      </c>
      <c r="C22" s="9" t="s">
        <v>367</v>
      </c>
      <c r="D22" s="10">
        <v>5</v>
      </c>
      <c r="E22" s="7"/>
      <c r="F22" s="8" t="s">
        <v>104</v>
      </c>
      <c r="G22" s="7"/>
      <c r="H22" s="8"/>
      <c r="I22" s="7"/>
      <c r="J22" s="8"/>
      <c r="K22" s="7"/>
      <c r="L22" s="8"/>
      <c r="M22" s="7"/>
      <c r="N22" s="8"/>
      <c r="O22" s="7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7"/>
      <c r="AG22" s="8"/>
      <c r="AH22" s="7"/>
    </row>
    <row r="23" spans="1:34" x14ac:dyDescent="0.2">
      <c r="A23" t="s">
        <v>346</v>
      </c>
      <c r="B23" s="6" t="s">
        <v>35</v>
      </c>
      <c r="C23" s="9" t="s">
        <v>368</v>
      </c>
      <c r="D23" s="10">
        <v>5</v>
      </c>
      <c r="E23" s="7"/>
      <c r="F23" s="8" t="s">
        <v>105</v>
      </c>
      <c r="G23" s="7"/>
      <c r="H23" s="8"/>
      <c r="I23" s="7"/>
      <c r="J23" s="8"/>
      <c r="K23" s="7"/>
      <c r="L23" s="8"/>
      <c r="M23" s="7"/>
      <c r="N23" s="8"/>
      <c r="O23" s="7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  <c r="AF23" s="7"/>
      <c r="AG23" s="8"/>
      <c r="AH23" s="7"/>
    </row>
    <row r="24" spans="1:34" x14ac:dyDescent="0.2">
      <c r="A24" t="s">
        <v>346</v>
      </c>
      <c r="B24" s="6" t="s">
        <v>36</v>
      </c>
      <c r="C24" s="9" t="s">
        <v>369</v>
      </c>
      <c r="D24" s="10">
        <v>6</v>
      </c>
      <c r="E24" s="7"/>
      <c r="F24" s="8" t="s">
        <v>106</v>
      </c>
      <c r="G24" s="7"/>
      <c r="H24" s="8"/>
      <c r="I24" s="7"/>
      <c r="J24" s="8"/>
      <c r="K24" s="7"/>
      <c r="L24" s="8"/>
      <c r="M24" s="7"/>
      <c r="N24" s="8"/>
      <c r="O24" s="7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7"/>
      <c r="AG24" s="8"/>
      <c r="AH24" s="7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6FF4-989B-4EEA-B596-E21A24404CDE}">
  <dimension ref="A1:E24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0.83203125" bestFit="1" customWidth="1"/>
    <col min="2" max="2" width="2" bestFit="1" customWidth="1"/>
    <col min="3" max="3" width="8.33203125" bestFit="1" customWidth="1"/>
    <col min="4" max="4" width="10.5" bestFit="1" customWidth="1"/>
  </cols>
  <sheetData>
    <row r="1" spans="1:5" x14ac:dyDescent="0.2">
      <c r="D1">
        <v>2021</v>
      </c>
      <c r="E1">
        <v>2022</v>
      </c>
    </row>
    <row r="2" spans="1:5" x14ac:dyDescent="0.2">
      <c r="A2" t="s">
        <v>380</v>
      </c>
      <c r="B2">
        <v>1</v>
      </c>
      <c r="C2" t="s">
        <v>350</v>
      </c>
      <c r="D2" s="11">
        <f>SUBTOTAL(101,[1]!Table1[XR-VK])</f>
        <v>34.683333333333337</v>
      </c>
    </row>
    <row r="3" spans="1:5" x14ac:dyDescent="0.2">
      <c r="A3" t="s">
        <v>380</v>
      </c>
      <c r="B3">
        <v>2</v>
      </c>
      <c r="C3" t="s">
        <v>348</v>
      </c>
      <c r="D3" s="11">
        <f>SUBTOTAL(101,[1]!Table1[TXA])</f>
        <v>21.5275</v>
      </c>
    </row>
    <row r="4" spans="1:5" x14ac:dyDescent="0.2">
      <c r="A4" t="s">
        <v>380</v>
      </c>
      <c r="B4">
        <v>3</v>
      </c>
      <c r="C4" t="s">
        <v>381</v>
      </c>
      <c r="D4" s="11">
        <f>SUBTOTAL(101,[1]!Table1[TT])</f>
        <v>19.962</v>
      </c>
    </row>
    <row r="5" spans="1:5" x14ac:dyDescent="0.2">
      <c r="A5" t="s">
        <v>380</v>
      </c>
      <c r="B5">
        <v>4</v>
      </c>
      <c r="C5" t="s">
        <v>352</v>
      </c>
      <c r="D5" s="11">
        <f>SUBTOTAL(101,[1]!Table1[TTJ60])</f>
        <v>21.994</v>
      </c>
    </row>
    <row r="6" spans="1:5" x14ac:dyDescent="0.2">
      <c r="A6" t="s">
        <v>380</v>
      </c>
      <c r="B6">
        <v>5</v>
      </c>
      <c r="C6" t="s">
        <v>382</v>
      </c>
      <c r="D6" s="11">
        <f>SUBTOTAL(101,[1]!Table1[AIXR-VK])</f>
        <v>61.75</v>
      </c>
    </row>
    <row r="7" spans="1:5" x14ac:dyDescent="0.2">
      <c r="A7" t="s">
        <v>380</v>
      </c>
      <c r="B7">
        <v>5</v>
      </c>
      <c r="C7" t="s">
        <v>371</v>
      </c>
      <c r="D7" s="11">
        <v>38</v>
      </c>
    </row>
    <row r="8" spans="1:5" x14ac:dyDescent="0.2">
      <c r="A8" t="s">
        <v>380</v>
      </c>
      <c r="B8">
        <v>6</v>
      </c>
      <c r="C8" t="s">
        <v>349</v>
      </c>
      <c r="D8" s="11">
        <f>SUBTOTAL(101,[1]!Table1[TTI])</f>
        <v>71.103333333333339</v>
      </c>
    </row>
    <row r="9" spans="1:5" x14ac:dyDescent="0.2">
      <c r="A9" t="s">
        <v>345</v>
      </c>
      <c r="B9">
        <v>1</v>
      </c>
      <c r="C9" t="s">
        <v>354</v>
      </c>
      <c r="D9" s="11">
        <f>SUBTOTAL(101,[1]!Table1[BD])</f>
        <v>11.247999999999999</v>
      </c>
    </row>
    <row r="10" spans="1:5" x14ac:dyDescent="0.2">
      <c r="A10" t="s">
        <v>345</v>
      </c>
      <c r="B10">
        <v>2</v>
      </c>
      <c r="C10" t="s">
        <v>356</v>
      </c>
      <c r="D10" s="11">
        <f>SUBTOTAL(101,[1]!Table1[MAG])</f>
        <v>11.783333333333331</v>
      </c>
    </row>
    <row r="11" spans="1:5" x14ac:dyDescent="0.2">
      <c r="A11" t="s">
        <v>345</v>
      </c>
      <c r="B11">
        <v>2</v>
      </c>
      <c r="C11" t="s">
        <v>355</v>
      </c>
      <c r="D11" s="11">
        <f>SUBTOTAL(101,[1]!Table1[MGA])</f>
        <v>19.292000000000002</v>
      </c>
    </row>
    <row r="12" spans="1:5" x14ac:dyDescent="0.2">
      <c r="A12" t="s">
        <v>345</v>
      </c>
      <c r="B12">
        <v>3</v>
      </c>
      <c r="C12" t="s">
        <v>357</v>
      </c>
      <c r="D12" s="11">
        <f>SUBTOTAL(101,[1]!Table1[ST])</f>
        <v>21.886000000000003</v>
      </c>
    </row>
    <row r="13" spans="1:5" x14ac:dyDescent="0.2">
      <c r="A13" t="s">
        <v>345</v>
      </c>
      <c r="B13">
        <v>4</v>
      </c>
      <c r="C13" t="s">
        <v>383</v>
      </c>
      <c r="D13" s="11">
        <f>SUBTOTAL(101,[1]!Table1[ST/D])</f>
        <v>27.174999999999997</v>
      </c>
    </row>
    <row r="14" spans="1:5" x14ac:dyDescent="0.2">
      <c r="A14" t="s">
        <v>345</v>
      </c>
      <c r="B14">
        <v>5</v>
      </c>
      <c r="C14" t="s">
        <v>384</v>
      </c>
      <c r="D14" s="11">
        <f>SUBTOTAL(101,[1]!Table1[ADIA])</f>
        <v>32.962500000000006</v>
      </c>
    </row>
    <row r="15" spans="1:5" x14ac:dyDescent="0.2">
      <c r="A15" t="s">
        <v>345</v>
      </c>
      <c r="B15">
        <v>6</v>
      </c>
      <c r="C15" t="s">
        <v>361</v>
      </c>
      <c r="D15" s="11">
        <f>SUBTOTAL(101,[1]!Table1[MUG])</f>
        <v>42.928571428571431</v>
      </c>
    </row>
    <row r="16" spans="1:5" x14ac:dyDescent="0.2">
      <c r="A16" t="s">
        <v>346</v>
      </c>
      <c r="B16">
        <v>1</v>
      </c>
      <c r="C16" t="s">
        <v>362</v>
      </c>
      <c r="D16" s="11">
        <f>SUBTOTAL(101,[1]!Table1[AXI])</f>
        <v>24.18</v>
      </c>
    </row>
    <row r="17" spans="1:4" x14ac:dyDescent="0.2">
      <c r="A17" t="s">
        <v>346</v>
      </c>
      <c r="B17">
        <v>2</v>
      </c>
      <c r="C17" t="s">
        <v>385</v>
      </c>
      <c r="D17" s="11">
        <f>SUBTOTAL(101,[1]!Table1[JA])</f>
        <v>16.872499999999999</v>
      </c>
    </row>
    <row r="18" spans="1:4" x14ac:dyDescent="0.2">
      <c r="A18" t="s">
        <v>346</v>
      </c>
      <c r="B18">
        <v>2</v>
      </c>
      <c r="C18" t="s">
        <v>364</v>
      </c>
      <c r="D18" s="11">
        <f>SUBTOTAL(101,[1]!Table1[ATR])</f>
        <v>33.06</v>
      </c>
    </row>
    <row r="19" spans="1:4" x14ac:dyDescent="0.2">
      <c r="A19" t="s">
        <v>346</v>
      </c>
      <c r="B19">
        <v>7</v>
      </c>
      <c r="C19" t="s">
        <v>365</v>
      </c>
      <c r="D19" s="11">
        <f>SUBTOTAL(101,[1]!Table1[J3D])</f>
        <v>62.33</v>
      </c>
    </row>
    <row r="20" spans="1:4" x14ac:dyDescent="0.2">
      <c r="A20" t="s">
        <v>346</v>
      </c>
      <c r="B20">
        <v>3</v>
      </c>
      <c r="C20" t="s">
        <v>366</v>
      </c>
      <c r="D20" s="11">
        <f>SUBTOTAL(101,[1]!Table1[JTT])</f>
        <v>29.96</v>
      </c>
    </row>
    <row r="21" spans="1:4" x14ac:dyDescent="0.2">
      <c r="A21" t="s">
        <v>346</v>
      </c>
      <c r="B21">
        <v>5</v>
      </c>
      <c r="C21" t="s">
        <v>367</v>
      </c>
      <c r="D21" s="11">
        <f>SUBTOTAL(101,[1]!Table1[AVI])</f>
        <v>70.319999999999993</v>
      </c>
    </row>
    <row r="22" spans="1:4" x14ac:dyDescent="0.2">
      <c r="A22" t="s">
        <v>346</v>
      </c>
      <c r="B22">
        <v>5</v>
      </c>
      <c r="C22" t="s">
        <v>368</v>
      </c>
      <c r="D22" s="11">
        <f>SUBTOTAL(101,[1]!Table1[CVI])</f>
        <v>78.734999999999999</v>
      </c>
    </row>
    <row r="23" spans="1:4" x14ac:dyDescent="0.2">
      <c r="A23" t="s">
        <v>346</v>
      </c>
      <c r="B23">
        <v>6</v>
      </c>
      <c r="C23" t="s">
        <v>386</v>
      </c>
      <c r="D23" s="11">
        <v>138.32</v>
      </c>
    </row>
    <row r="24" spans="1:4" x14ac:dyDescent="0.2">
      <c r="A24" t="s">
        <v>346</v>
      </c>
      <c r="B24">
        <v>6</v>
      </c>
      <c r="C24" t="s">
        <v>369</v>
      </c>
      <c r="D24" s="11">
        <f>SUBTOTAL(101,[1]!Table1[JMD])</f>
        <v>129.12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3B4-92E6-4F25-A8A4-8E91E54CACA4}">
  <dimension ref="A1:B57"/>
  <sheetViews>
    <sheetView showGridLines="0" workbookViewId="0">
      <selection activeCell="H16" sqref="H16"/>
    </sheetView>
  </sheetViews>
  <sheetFormatPr baseColWidth="10" defaultColWidth="8.83203125" defaultRowHeight="15" x14ac:dyDescent="0.2"/>
  <cols>
    <col min="1" max="1" width="18" bestFit="1" customWidth="1"/>
    <col min="2" max="2" width="21" bestFit="1" customWidth="1"/>
    <col min="3" max="6" width="12" bestFit="1" customWidth="1"/>
  </cols>
  <sheetData>
    <row r="1" spans="1:2" x14ac:dyDescent="0.2">
      <c r="A1" s="4" t="s">
        <v>370</v>
      </c>
      <c r="B1" s="5">
        <v>1</v>
      </c>
    </row>
    <row r="3" spans="1:2" x14ac:dyDescent="0.2">
      <c r="A3" s="4" t="s">
        <v>390</v>
      </c>
      <c r="B3" t="s">
        <v>389</v>
      </c>
    </row>
    <row r="4" spans="1:2" x14ac:dyDescent="0.2">
      <c r="A4" s="5" t="s">
        <v>364</v>
      </c>
      <c r="B4" s="16">
        <v>0.66654876731447554</v>
      </c>
    </row>
    <row r="5" spans="1:2" x14ac:dyDescent="0.2">
      <c r="A5" s="5" t="s">
        <v>363</v>
      </c>
      <c r="B5" s="16">
        <v>-3.3543958932787943E-2</v>
      </c>
    </row>
    <row r="6" spans="1:2" x14ac:dyDescent="0.2">
      <c r="A6" s="5" t="s">
        <v>356</v>
      </c>
      <c r="B6" s="16">
        <v>-0.46891212583457048</v>
      </c>
    </row>
    <row r="7" spans="1:2" x14ac:dyDescent="0.2">
      <c r="A7" s="5" t="s">
        <v>355</v>
      </c>
      <c r="B7" s="16">
        <v>-2.7435497901711304E-3</v>
      </c>
    </row>
    <row r="8" spans="1:2" x14ac:dyDescent="0.2">
      <c r="A8" s="5" t="s">
        <v>348</v>
      </c>
      <c r="B8" s="16"/>
    </row>
    <row r="12" spans="1:2" x14ac:dyDescent="0.2">
      <c r="A12" s="4" t="s">
        <v>370</v>
      </c>
      <c r="B12" s="5">
        <v>2</v>
      </c>
    </row>
    <row r="14" spans="1:2" x14ac:dyDescent="0.2">
      <c r="A14" s="4" t="s">
        <v>390</v>
      </c>
      <c r="B14" t="s">
        <v>389</v>
      </c>
    </row>
    <row r="15" spans="1:2" x14ac:dyDescent="0.2">
      <c r="A15" s="5" t="s">
        <v>362</v>
      </c>
      <c r="B15" s="16">
        <v>0.11514688077486775</v>
      </c>
    </row>
    <row r="16" spans="1:2" x14ac:dyDescent="0.2">
      <c r="A16" s="5" t="s">
        <v>354</v>
      </c>
      <c r="B16" s="16">
        <v>-0.32257614860128719</v>
      </c>
    </row>
    <row r="17" spans="1:2" x14ac:dyDescent="0.2">
      <c r="A17" s="5" t="s">
        <v>350</v>
      </c>
      <c r="B17" s="16"/>
    </row>
    <row r="19" spans="1:2" x14ac:dyDescent="0.2">
      <c r="A19" s="4" t="s">
        <v>370</v>
      </c>
      <c r="B19" s="5">
        <v>3</v>
      </c>
    </row>
    <row r="21" spans="1:2" x14ac:dyDescent="0.2">
      <c r="A21" s="4" t="s">
        <v>390</v>
      </c>
      <c r="B21" t="s">
        <v>389</v>
      </c>
    </row>
    <row r="22" spans="1:2" x14ac:dyDescent="0.2">
      <c r="A22" s="5" t="s">
        <v>365</v>
      </c>
      <c r="B22" s="16">
        <v>2.787888770467978</v>
      </c>
    </row>
    <row r="23" spans="1:2" x14ac:dyDescent="0.2">
      <c r="A23" s="5" t="s">
        <v>366</v>
      </c>
      <c r="B23" s="16">
        <v>0.33568452669315013</v>
      </c>
    </row>
    <row r="24" spans="1:2" x14ac:dyDescent="0.2">
      <c r="A24" s="5" t="s">
        <v>357</v>
      </c>
      <c r="B24" s="16">
        <v>0.35601478262073166</v>
      </c>
    </row>
    <row r="25" spans="1:2" x14ac:dyDescent="0.2">
      <c r="A25" s="5" t="s">
        <v>351</v>
      </c>
      <c r="B25" s="16"/>
    </row>
    <row r="27" spans="1:2" x14ac:dyDescent="0.2">
      <c r="A27" s="4" t="s">
        <v>370</v>
      </c>
      <c r="B27" s="5">
        <v>4</v>
      </c>
    </row>
    <row r="29" spans="1:2" x14ac:dyDescent="0.2">
      <c r="A29" s="4" t="s">
        <v>390</v>
      </c>
      <c r="B29" t="s">
        <v>389</v>
      </c>
    </row>
    <row r="30" spans="1:2" x14ac:dyDescent="0.2">
      <c r="A30" s="5" t="s">
        <v>358</v>
      </c>
      <c r="B30" s="16">
        <v>0.34156612164439903</v>
      </c>
    </row>
    <row r="31" spans="1:2" x14ac:dyDescent="0.2">
      <c r="A31" s="5" t="s">
        <v>352</v>
      </c>
      <c r="B31" s="16"/>
    </row>
    <row r="34" spans="1:2" x14ac:dyDescent="0.2">
      <c r="A34" s="4" t="s">
        <v>370</v>
      </c>
      <c r="B34" s="5">
        <v>5</v>
      </c>
    </row>
    <row r="36" spans="1:2" x14ac:dyDescent="0.2">
      <c r="A36" s="4" t="s">
        <v>390</v>
      </c>
      <c r="B36" t="s">
        <v>389</v>
      </c>
    </row>
    <row r="37" spans="1:2" x14ac:dyDescent="0.2">
      <c r="A37" s="5" t="s">
        <v>359</v>
      </c>
      <c r="B37" s="16">
        <v>-4.3480123372172809E-2</v>
      </c>
    </row>
    <row r="38" spans="1:2" x14ac:dyDescent="0.2">
      <c r="A38" s="5" t="s">
        <v>371</v>
      </c>
      <c r="B38" s="16"/>
    </row>
    <row r="39" spans="1:2" x14ac:dyDescent="0.2">
      <c r="A39" s="5" t="s">
        <v>367</v>
      </c>
      <c r="B39" s="16">
        <v>0.84267906100068535</v>
      </c>
    </row>
    <row r="40" spans="1:2" x14ac:dyDescent="0.2">
      <c r="A40" s="5" t="s">
        <v>368</v>
      </c>
      <c r="B40" s="16">
        <v>1.0907085332419466</v>
      </c>
    </row>
    <row r="42" spans="1:2" x14ac:dyDescent="0.2">
      <c r="A42" s="4" t="s">
        <v>370</v>
      </c>
      <c r="B42" s="5">
        <v>6</v>
      </c>
    </row>
    <row r="44" spans="1:2" x14ac:dyDescent="0.2">
      <c r="A44" s="4" t="s">
        <v>390</v>
      </c>
      <c r="B44" t="s">
        <v>389</v>
      </c>
    </row>
    <row r="45" spans="1:2" x14ac:dyDescent="0.2">
      <c r="A45" s="5" t="s">
        <v>369</v>
      </c>
      <c r="B45" s="16">
        <v>1.0750439490893753</v>
      </c>
    </row>
    <row r="46" spans="1:2" x14ac:dyDescent="0.2">
      <c r="A46" s="5" t="s">
        <v>361</v>
      </c>
      <c r="B46" s="16">
        <v>0.39035229590042914</v>
      </c>
    </row>
    <row r="47" spans="1:2" x14ac:dyDescent="0.2">
      <c r="A47" s="5" t="s">
        <v>349</v>
      </c>
      <c r="B47" s="16"/>
    </row>
    <row r="49" spans="1:2" x14ac:dyDescent="0.2">
      <c r="A49" s="4" t="s">
        <v>370</v>
      </c>
      <c r="B49" s="5">
        <v>7</v>
      </c>
    </row>
    <row r="51" spans="1:2" x14ac:dyDescent="0.2">
      <c r="A51" s="4" t="s">
        <v>390</v>
      </c>
      <c r="B51" t="s">
        <v>389</v>
      </c>
    </row>
    <row r="52" spans="1:2" x14ac:dyDescent="0.2">
      <c r="A52" s="5" t="s">
        <v>353</v>
      </c>
      <c r="B52" s="16" t="e">
        <v>#N/A</v>
      </c>
    </row>
    <row r="54" spans="1:2" x14ac:dyDescent="0.2">
      <c r="A54" s="4" t="s">
        <v>370</v>
      </c>
      <c r="B54" s="5">
        <v>8</v>
      </c>
    </row>
    <row r="56" spans="1:2" x14ac:dyDescent="0.2">
      <c r="A56" s="4" t="s">
        <v>390</v>
      </c>
      <c r="B56" t="s">
        <v>389</v>
      </c>
    </row>
    <row r="57" spans="1:2" x14ac:dyDescent="0.2">
      <c r="A57" s="5" t="s">
        <v>360</v>
      </c>
      <c r="B57" s="16" t="e"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703F-AF54-47A7-AE4E-A7B42C76A1AD}">
  <dimension ref="A1:AX40"/>
  <sheetViews>
    <sheetView zoomScale="85" zoomScaleNormal="85" workbookViewId="0">
      <pane xSplit="4" ySplit="1" topLeftCell="AL2" activePane="bottomRight" state="frozen"/>
      <selection pane="topRight" activeCell="E1" sqref="E1"/>
      <selection pane="bottomLeft" activeCell="A2" sqref="A2"/>
      <selection pane="bottomRight" activeCell="AR33" sqref="AR33"/>
    </sheetView>
  </sheetViews>
  <sheetFormatPr baseColWidth="10" defaultColWidth="8.83203125" defaultRowHeight="15" x14ac:dyDescent="0.2"/>
  <cols>
    <col min="1" max="1" width="14.5" customWidth="1"/>
    <col min="2" max="2" width="28.5" bestFit="1" customWidth="1"/>
    <col min="3" max="3" width="8.83203125" customWidth="1"/>
    <col min="4" max="4" width="8.33203125" customWidth="1"/>
    <col min="5" max="6" width="20.6640625" customWidth="1"/>
    <col min="7" max="7" width="13.6640625" style="11" customWidth="1"/>
    <col min="8" max="12" width="12" style="11" customWidth="1"/>
    <col min="13" max="13" width="9.83203125" style="11" customWidth="1"/>
    <col min="14" max="32" width="12" style="11" customWidth="1"/>
    <col min="33" max="33" width="10.83203125" style="11" customWidth="1"/>
    <col min="34" max="36" width="12" style="11" customWidth="1"/>
    <col min="37" max="37" width="15.1640625" customWidth="1"/>
    <col min="38" max="38" width="16" customWidth="1"/>
    <col min="39" max="39" width="12.5" customWidth="1"/>
    <col min="40" max="40" width="12" customWidth="1"/>
    <col min="41" max="42" width="19" customWidth="1"/>
    <col min="43" max="43" width="19.6640625" bestFit="1" customWidth="1"/>
    <col min="44" max="44" width="16" customWidth="1"/>
    <col min="50" max="50" width="8.33203125" bestFit="1" customWidth="1"/>
    <col min="51" max="51" width="9.6640625" bestFit="1" customWidth="1"/>
  </cols>
  <sheetData>
    <row r="1" spans="1:50" x14ac:dyDescent="0.2">
      <c r="A1" t="s">
        <v>343</v>
      </c>
      <c r="B1" t="s">
        <v>347</v>
      </c>
      <c r="C1" t="s">
        <v>342</v>
      </c>
      <c r="D1" t="s">
        <v>370</v>
      </c>
      <c r="E1" t="s">
        <v>395</v>
      </c>
      <c r="F1" t="s">
        <v>396</v>
      </c>
      <c r="G1" s="11" t="s">
        <v>312</v>
      </c>
      <c r="H1" s="11" t="s">
        <v>313</v>
      </c>
      <c r="I1" s="11" t="s">
        <v>314</v>
      </c>
      <c r="J1" s="11" t="s">
        <v>315</v>
      </c>
      <c r="K1" s="11" t="s">
        <v>316</v>
      </c>
      <c r="L1" s="11" t="s">
        <v>317</v>
      </c>
      <c r="M1" s="11" t="s">
        <v>318</v>
      </c>
      <c r="N1" s="11" t="s">
        <v>319</v>
      </c>
      <c r="O1" s="11" t="s">
        <v>320</v>
      </c>
      <c r="P1" s="11" t="s">
        <v>321</v>
      </c>
      <c r="Q1" s="11" t="s">
        <v>322</v>
      </c>
      <c r="R1" s="11" t="s">
        <v>323</v>
      </c>
      <c r="S1" s="11" t="s">
        <v>324</v>
      </c>
      <c r="T1" s="11" t="s">
        <v>325</v>
      </c>
      <c r="U1" s="11" t="s">
        <v>326</v>
      </c>
      <c r="V1" s="11" t="s">
        <v>327</v>
      </c>
      <c r="W1" s="11" t="s">
        <v>328</v>
      </c>
      <c r="X1" s="11" t="s">
        <v>329</v>
      </c>
      <c r="Y1" s="11" t="s">
        <v>330</v>
      </c>
      <c r="Z1" s="11" t="s">
        <v>331</v>
      </c>
      <c r="AA1" s="11" t="s">
        <v>332</v>
      </c>
      <c r="AB1" s="11" t="s">
        <v>333</v>
      </c>
      <c r="AC1" s="11" t="s">
        <v>334</v>
      </c>
      <c r="AD1" s="11" t="s">
        <v>335</v>
      </c>
      <c r="AE1" s="11" t="s">
        <v>336</v>
      </c>
      <c r="AF1" s="11" t="s">
        <v>337</v>
      </c>
      <c r="AG1" s="11" t="s">
        <v>338</v>
      </c>
      <c r="AH1" s="11" t="s">
        <v>339</v>
      </c>
      <c r="AI1" s="11" t="s">
        <v>340</v>
      </c>
      <c r="AJ1" s="11" t="s">
        <v>341</v>
      </c>
      <c r="AK1" s="11" t="s">
        <v>372</v>
      </c>
      <c r="AL1" s="11" t="s">
        <v>387</v>
      </c>
      <c r="AM1" s="11" t="s">
        <v>374</v>
      </c>
      <c r="AN1" s="11" t="s">
        <v>373</v>
      </c>
      <c r="AO1" t="s">
        <v>375</v>
      </c>
      <c r="AP1" t="s">
        <v>393</v>
      </c>
      <c r="AQ1" t="s">
        <v>397</v>
      </c>
      <c r="AR1" s="11" t="s">
        <v>388</v>
      </c>
    </row>
    <row r="2" spans="1:50" x14ac:dyDescent="0.2">
      <c r="A2" t="s">
        <v>344</v>
      </c>
      <c r="B2" s="6" t="s">
        <v>14</v>
      </c>
      <c r="C2" s="9" t="s">
        <v>348</v>
      </c>
      <c r="D2" s="10">
        <v>1</v>
      </c>
      <c r="E2" s="18"/>
      <c r="F2" s="18">
        <v>20.91</v>
      </c>
      <c r="G2" s="12">
        <f>(19.01+21)/2</f>
        <v>20.005000000000003</v>
      </c>
      <c r="H2" s="13">
        <f>(17.01+19)/2</f>
        <v>18.005000000000003</v>
      </c>
      <c r="I2" s="12">
        <v>23</v>
      </c>
      <c r="J2" s="13">
        <v>23</v>
      </c>
      <c r="K2" s="12">
        <f>(19.01+21)/2</f>
        <v>20.005000000000003</v>
      </c>
      <c r="L2" s="13">
        <f>(19.01+21)/2</f>
        <v>20.005000000000003</v>
      </c>
      <c r="M2" s="12">
        <v>23</v>
      </c>
      <c r="N2" s="13">
        <v>23</v>
      </c>
      <c r="O2" s="12">
        <v>23</v>
      </c>
      <c r="P2" s="13">
        <f>(21.01+23)/2</f>
        <v>22.005000000000003</v>
      </c>
      <c r="Q2" s="12">
        <f>(21.01+23)/2</f>
        <v>22.005000000000003</v>
      </c>
      <c r="R2" s="12">
        <f>(15.01+17)/2</f>
        <v>16.004999999999999</v>
      </c>
      <c r="S2" s="13"/>
      <c r="T2" s="12">
        <f>(19.01+21)/2</f>
        <v>20.005000000000003</v>
      </c>
      <c r="U2" s="13">
        <v>23</v>
      </c>
      <c r="V2" s="12">
        <v>23</v>
      </c>
      <c r="W2" s="13">
        <v>23</v>
      </c>
      <c r="X2" s="12">
        <v>23</v>
      </c>
      <c r="Y2" s="13">
        <v>23</v>
      </c>
      <c r="Z2" s="12">
        <v>23</v>
      </c>
      <c r="AA2" s="13">
        <v>23</v>
      </c>
      <c r="AB2" s="12">
        <v>23</v>
      </c>
      <c r="AC2" s="13">
        <v>23</v>
      </c>
      <c r="AD2" s="12"/>
      <c r="AE2" s="13"/>
      <c r="AF2" s="12"/>
      <c r="AG2" s="13">
        <v>23</v>
      </c>
      <c r="AH2" s="12">
        <f>(19.01+21)/2</f>
        <v>20.005000000000003</v>
      </c>
      <c r="AI2" s="13"/>
      <c r="AJ2" s="12"/>
      <c r="AK2">
        <f>COUNT(G2:AJ2)</f>
        <v>24</v>
      </c>
      <c r="AL2" s="14">
        <f>AVERAGE(G2:AJ2)</f>
        <v>21.79354166666667</v>
      </c>
      <c r="AM2" s="14">
        <f>MAX(G2:AJ2)</f>
        <v>23</v>
      </c>
      <c r="AN2" s="14">
        <f>MIN(G2:AJ2)</f>
        <v>16.004999999999999</v>
      </c>
      <c r="AO2" s="15">
        <f>_xlfn.STDEV.S(G2:AJ2)</f>
        <v>1.9311769778887522</v>
      </c>
      <c r="AP2" s="15">
        <v>20.58</v>
      </c>
      <c r="AQ2" s="19">
        <v>0</v>
      </c>
      <c r="AR2" s="11">
        <v>21.5275</v>
      </c>
      <c r="AT2" s="19"/>
    </row>
    <row r="3" spans="1:50" x14ac:dyDescent="0.2">
      <c r="A3" t="s">
        <v>344</v>
      </c>
      <c r="B3" s="6" t="s">
        <v>15</v>
      </c>
      <c r="C3" s="9" t="s">
        <v>350</v>
      </c>
      <c r="D3" s="10">
        <v>2</v>
      </c>
      <c r="E3" s="18">
        <v>26.84</v>
      </c>
      <c r="F3" s="18"/>
      <c r="G3" s="12">
        <v>26.84</v>
      </c>
      <c r="H3" s="13">
        <f>(19.01+21)/2</f>
        <v>20.005000000000003</v>
      </c>
      <c r="I3" s="12">
        <v>23</v>
      </c>
      <c r="J3" s="13"/>
      <c r="K3" s="12">
        <f>(19.01+21)/2</f>
        <v>20.005000000000003</v>
      </c>
      <c r="L3" s="13">
        <f>(19.01+21)/2</f>
        <v>20.005000000000003</v>
      </c>
      <c r="M3" s="12"/>
      <c r="N3" s="13">
        <v>23</v>
      </c>
      <c r="O3" s="12">
        <v>23</v>
      </c>
      <c r="P3" s="13"/>
      <c r="Q3" s="12"/>
      <c r="R3" s="12"/>
      <c r="S3" s="13"/>
      <c r="T3" s="12">
        <v>23</v>
      </c>
      <c r="U3" s="13"/>
      <c r="V3" s="12"/>
      <c r="W3" s="13"/>
      <c r="X3" s="12"/>
      <c r="Y3" s="13">
        <v>23</v>
      </c>
      <c r="Z3" s="12">
        <v>23</v>
      </c>
      <c r="AA3" s="13">
        <v>23</v>
      </c>
      <c r="AB3" s="12">
        <v>23</v>
      </c>
      <c r="AC3" s="13">
        <v>23</v>
      </c>
      <c r="AD3" s="12"/>
      <c r="AE3" s="13"/>
      <c r="AF3" s="12"/>
      <c r="AG3" s="13"/>
      <c r="AH3" s="12">
        <f>(19.01+21)/2</f>
        <v>20.005000000000003</v>
      </c>
      <c r="AI3" s="13"/>
      <c r="AJ3" s="12"/>
      <c r="AK3">
        <f t="shared" ref="AK3:AK24" si="0">COUNT(G3:AJ3)</f>
        <v>14</v>
      </c>
      <c r="AL3" s="14">
        <f t="shared" ref="AL3:AL24" si="1">AVERAGE(G3:AJ3)</f>
        <v>22.418571428571429</v>
      </c>
      <c r="AM3" s="14">
        <f t="shared" ref="AM3:AM24" si="2">MAX(G3:AJ3)</f>
        <v>26.84</v>
      </c>
      <c r="AN3" s="14">
        <f t="shared" ref="AN3:AN24" si="3">MIN(G3:AJ3)</f>
        <v>20.005000000000003</v>
      </c>
      <c r="AO3" s="15">
        <f t="shared" ref="AO3:AO24" si="4">_xlfn.STDEV.S(G3:AJ3)</f>
        <v>1.8788882029330212</v>
      </c>
      <c r="AP3" s="15">
        <v>21.26</v>
      </c>
      <c r="AQ3" s="19">
        <v>0</v>
      </c>
      <c r="AR3" s="11">
        <v>34.683333333333337</v>
      </c>
      <c r="AT3" s="19"/>
      <c r="AX3" s="11"/>
    </row>
    <row r="4" spans="1:50" x14ac:dyDescent="0.2">
      <c r="A4" t="s">
        <v>344</v>
      </c>
      <c r="B4" s="6" t="s">
        <v>16</v>
      </c>
      <c r="C4" s="9" t="s">
        <v>351</v>
      </c>
      <c r="D4" s="10">
        <v>3</v>
      </c>
      <c r="E4" s="18"/>
      <c r="F4" s="18"/>
      <c r="G4" s="12">
        <f>(19.01+21)/2</f>
        <v>20.005000000000003</v>
      </c>
      <c r="H4" s="13">
        <f>(21.01+23)/2</f>
        <v>22.005000000000003</v>
      </c>
      <c r="I4" s="12">
        <v>23</v>
      </c>
      <c r="J4" s="13">
        <f>(19.01+21)/2</f>
        <v>20.005000000000003</v>
      </c>
      <c r="K4" s="12">
        <f>(17.01+19)/2</f>
        <v>18.005000000000003</v>
      </c>
      <c r="L4" s="13">
        <f>(17.01+19)/2</f>
        <v>18.005000000000003</v>
      </c>
      <c r="M4" s="12">
        <v>23</v>
      </c>
      <c r="N4" s="13">
        <v>23</v>
      </c>
      <c r="O4" s="12">
        <f>(21.01+23)/2</f>
        <v>22.005000000000003</v>
      </c>
      <c r="P4" s="13">
        <f>(19.01+21)/2</f>
        <v>20.005000000000003</v>
      </c>
      <c r="Q4" s="12">
        <f>(19.01+21)/2</f>
        <v>20.005000000000003</v>
      </c>
      <c r="R4" s="12">
        <f>(15.01+17)/2</f>
        <v>16.004999999999999</v>
      </c>
      <c r="S4" s="13"/>
      <c r="T4" s="12">
        <f>(17.01+19)/2</f>
        <v>18.005000000000003</v>
      </c>
      <c r="U4" s="13">
        <v>23</v>
      </c>
      <c r="V4" s="12">
        <v>23</v>
      </c>
      <c r="W4" s="13">
        <v>23</v>
      </c>
      <c r="X4" s="12">
        <v>23</v>
      </c>
      <c r="Y4" s="13">
        <v>23</v>
      </c>
      <c r="Z4" s="12">
        <v>23</v>
      </c>
      <c r="AA4" s="13">
        <v>23</v>
      </c>
      <c r="AB4" s="12">
        <v>23</v>
      </c>
      <c r="AC4" s="13">
        <v>23</v>
      </c>
      <c r="AD4" s="12"/>
      <c r="AE4" s="13"/>
      <c r="AF4" s="12"/>
      <c r="AG4" s="13">
        <v>23</v>
      </c>
      <c r="AH4" s="12">
        <v>23</v>
      </c>
      <c r="AI4" s="13"/>
      <c r="AJ4" s="12"/>
      <c r="AK4">
        <f t="shared" si="0"/>
        <v>24</v>
      </c>
      <c r="AL4" s="14">
        <f t="shared" si="1"/>
        <v>21.502083333333331</v>
      </c>
      <c r="AM4" s="14">
        <f t="shared" si="2"/>
        <v>23</v>
      </c>
      <c r="AN4" s="14">
        <f t="shared" si="3"/>
        <v>16.004999999999999</v>
      </c>
      <c r="AO4" s="15">
        <f t="shared" si="4"/>
        <v>2.1648390424486865</v>
      </c>
      <c r="AP4" s="15">
        <v>19.190000000000001</v>
      </c>
      <c r="AQ4" s="19">
        <v>0</v>
      </c>
      <c r="AR4" s="11">
        <v>19.962</v>
      </c>
    </row>
    <row r="5" spans="1:50" x14ac:dyDescent="0.2">
      <c r="A5" t="s">
        <v>344</v>
      </c>
      <c r="B5" s="6" t="s">
        <v>17</v>
      </c>
      <c r="C5" s="9" t="s">
        <v>352</v>
      </c>
      <c r="D5" s="10">
        <v>4</v>
      </c>
      <c r="E5" s="18"/>
      <c r="F5" s="18">
        <v>23.48</v>
      </c>
      <c r="G5" s="12">
        <f>(21.01+23)/2</f>
        <v>22.005000000000003</v>
      </c>
      <c r="H5" s="13">
        <v>25.01</v>
      </c>
      <c r="I5" s="12">
        <v>25</v>
      </c>
      <c r="J5" s="13">
        <f>(23.01+25)/2</f>
        <v>24.005000000000003</v>
      </c>
      <c r="K5" s="12">
        <f>(21.01+23)/2</f>
        <v>22.005000000000003</v>
      </c>
      <c r="L5" s="13">
        <f>(21.01+23)/2</f>
        <v>22.005000000000003</v>
      </c>
      <c r="M5" s="12">
        <v>25</v>
      </c>
      <c r="N5" s="13">
        <f>(23.01+25)/2</f>
        <v>24.005000000000003</v>
      </c>
      <c r="O5" s="12">
        <f>(23.01+25)/2</f>
        <v>24.005000000000003</v>
      </c>
      <c r="P5" s="13"/>
      <c r="Q5" s="12"/>
      <c r="R5" s="12">
        <f>(17.01+19)/2</f>
        <v>18.005000000000003</v>
      </c>
      <c r="S5" s="13"/>
      <c r="T5" s="12">
        <f>(19.01+21)/2</f>
        <v>20.005000000000003</v>
      </c>
      <c r="U5" s="13">
        <v>25</v>
      </c>
      <c r="V5" s="12">
        <v>25</v>
      </c>
      <c r="W5" s="13">
        <v>25</v>
      </c>
      <c r="X5" s="12">
        <v>25</v>
      </c>
      <c r="Y5" s="13">
        <v>25</v>
      </c>
      <c r="Z5" s="12">
        <v>25</v>
      </c>
      <c r="AA5" s="13">
        <v>25</v>
      </c>
      <c r="AB5" s="12">
        <v>25</v>
      </c>
      <c r="AC5" s="13">
        <v>25</v>
      </c>
      <c r="AD5" s="12"/>
      <c r="AE5" s="13"/>
      <c r="AF5" s="12"/>
      <c r="AG5" s="13">
        <v>25</v>
      </c>
      <c r="AH5" s="12">
        <f>(23.01+25)/2</f>
        <v>24.005000000000003</v>
      </c>
      <c r="AI5" s="13"/>
      <c r="AJ5" s="12"/>
      <c r="AK5">
        <f t="shared" si="0"/>
        <v>22</v>
      </c>
      <c r="AL5" s="14">
        <f t="shared" si="1"/>
        <v>23.866136363636361</v>
      </c>
      <c r="AM5" s="14">
        <f t="shared" si="2"/>
        <v>25.01</v>
      </c>
      <c r="AN5" s="14">
        <f t="shared" si="3"/>
        <v>18.005000000000003</v>
      </c>
      <c r="AO5" s="15">
        <f t="shared" si="4"/>
        <v>1.9082040495725801</v>
      </c>
      <c r="AP5" s="15">
        <v>23.03</v>
      </c>
      <c r="AQ5" s="19">
        <v>0</v>
      </c>
      <c r="AR5" s="11">
        <v>21.994</v>
      </c>
      <c r="AX5" s="11"/>
    </row>
    <row r="6" spans="1:50" x14ac:dyDescent="0.2">
      <c r="A6" t="s">
        <v>344</v>
      </c>
      <c r="B6" s="6" t="s">
        <v>18</v>
      </c>
      <c r="C6" s="9" t="s">
        <v>371</v>
      </c>
      <c r="D6" s="10">
        <v>5</v>
      </c>
      <c r="E6" s="18"/>
      <c r="F6" s="18">
        <v>35</v>
      </c>
      <c r="G6" s="12">
        <f>(39.01+41)/2</f>
        <v>40.004999999999995</v>
      </c>
      <c r="H6" s="13">
        <f>(39.01+41)/2</f>
        <v>40.004999999999995</v>
      </c>
      <c r="I6" s="12">
        <f>(37.01+39)/2</f>
        <v>38.004999999999995</v>
      </c>
      <c r="J6" s="13">
        <f>(39.01+41)/2</f>
        <v>40.004999999999995</v>
      </c>
      <c r="K6" s="12"/>
      <c r="L6" s="13"/>
      <c r="M6" s="12">
        <v>41</v>
      </c>
      <c r="N6" s="13">
        <f>(35.01+37)/2</f>
        <v>36.004999999999995</v>
      </c>
      <c r="O6" s="12">
        <f>(35.01+37)/2</f>
        <v>36.004999999999995</v>
      </c>
      <c r="P6" s="13">
        <v>33</v>
      </c>
      <c r="Q6" s="12">
        <v>33</v>
      </c>
      <c r="R6" s="12">
        <f>(33.01+35)/2</f>
        <v>34.004999999999995</v>
      </c>
      <c r="S6" s="13"/>
      <c r="T6" s="12"/>
      <c r="U6" s="13">
        <v>41</v>
      </c>
      <c r="V6" s="12">
        <v>41</v>
      </c>
      <c r="W6" s="13">
        <v>41</v>
      </c>
      <c r="X6" s="12">
        <v>41</v>
      </c>
      <c r="Y6" s="13">
        <v>41</v>
      </c>
      <c r="Z6" s="12">
        <v>41</v>
      </c>
      <c r="AA6" s="13">
        <v>41</v>
      </c>
      <c r="AB6" s="12">
        <v>41</v>
      </c>
      <c r="AC6" s="13">
        <v>41</v>
      </c>
      <c r="AD6" s="12"/>
      <c r="AE6" s="13"/>
      <c r="AF6" s="12"/>
      <c r="AG6" s="13">
        <v>41</v>
      </c>
      <c r="AH6" s="12">
        <f>(35.01+37)/2</f>
        <v>36.004999999999995</v>
      </c>
      <c r="AI6" s="13"/>
      <c r="AJ6" s="12"/>
      <c r="AK6">
        <f t="shared" si="0"/>
        <v>21</v>
      </c>
      <c r="AL6" s="14">
        <f t="shared" si="1"/>
        <v>38.906666666666666</v>
      </c>
      <c r="AM6" s="14">
        <f t="shared" si="2"/>
        <v>41</v>
      </c>
      <c r="AN6" s="14">
        <f t="shared" si="3"/>
        <v>33</v>
      </c>
      <c r="AO6" s="15">
        <f t="shared" si="4"/>
        <v>2.9299937428829663</v>
      </c>
      <c r="AP6" s="15">
        <v>29.95</v>
      </c>
      <c r="AQ6" s="19">
        <v>0</v>
      </c>
      <c r="AR6" s="11">
        <v>38</v>
      </c>
    </row>
    <row r="7" spans="1:50" x14ac:dyDescent="0.2">
      <c r="A7" t="s">
        <v>344</v>
      </c>
      <c r="B7" s="6" t="s">
        <v>19</v>
      </c>
      <c r="C7" s="9" t="s">
        <v>349</v>
      </c>
      <c r="D7" s="10">
        <v>6</v>
      </c>
      <c r="E7" s="18">
        <v>59.78</v>
      </c>
      <c r="F7" s="18"/>
      <c r="G7" s="12">
        <f>(48.01+51)/2</f>
        <v>49.504999999999995</v>
      </c>
      <c r="H7" s="13">
        <f>(48.01+51)/2</f>
        <v>49.504999999999995</v>
      </c>
      <c r="I7" s="12">
        <f>(45.01+48)/2</f>
        <v>46.504999999999995</v>
      </c>
      <c r="J7" s="13"/>
      <c r="K7" s="12">
        <v>60</v>
      </c>
      <c r="L7" s="13">
        <v>60</v>
      </c>
      <c r="M7" s="12"/>
      <c r="N7" s="13">
        <f>(48.01+51)/2</f>
        <v>49.504999999999995</v>
      </c>
      <c r="O7" s="12">
        <f>(45.01+48)/2</f>
        <v>46.504999999999995</v>
      </c>
      <c r="P7" s="13">
        <v>45</v>
      </c>
      <c r="Q7" s="12">
        <v>45</v>
      </c>
      <c r="R7" s="12">
        <f>(48.01+51)/2</f>
        <v>49.504999999999995</v>
      </c>
      <c r="S7" s="13"/>
      <c r="T7" s="12">
        <v>60</v>
      </c>
      <c r="U7" s="13">
        <f t="shared" ref="U7:AC7" si="5">(48.01+51)/2</f>
        <v>49.504999999999995</v>
      </c>
      <c r="V7" s="12">
        <f t="shared" si="5"/>
        <v>49.504999999999995</v>
      </c>
      <c r="W7" s="13">
        <f t="shared" si="5"/>
        <v>49.504999999999995</v>
      </c>
      <c r="X7" s="12">
        <f t="shared" si="5"/>
        <v>49.504999999999995</v>
      </c>
      <c r="Y7" s="13">
        <f t="shared" si="5"/>
        <v>49.504999999999995</v>
      </c>
      <c r="Z7" s="12">
        <f t="shared" si="5"/>
        <v>49.504999999999995</v>
      </c>
      <c r="AA7" s="13">
        <f t="shared" si="5"/>
        <v>49.504999999999995</v>
      </c>
      <c r="AB7" s="12">
        <f t="shared" si="5"/>
        <v>49.504999999999995</v>
      </c>
      <c r="AC7" s="13">
        <f t="shared" si="5"/>
        <v>49.504999999999995</v>
      </c>
      <c r="AD7" s="12"/>
      <c r="AE7" s="13"/>
      <c r="AF7" s="12"/>
      <c r="AG7" s="13"/>
      <c r="AH7" s="12">
        <v>60</v>
      </c>
      <c r="AI7" s="13"/>
      <c r="AJ7" s="12"/>
      <c r="AK7">
        <f t="shared" si="0"/>
        <v>21</v>
      </c>
      <c r="AL7" s="14">
        <f t="shared" si="1"/>
        <v>50.789285714285704</v>
      </c>
      <c r="AM7" s="14">
        <f t="shared" si="2"/>
        <v>60</v>
      </c>
      <c r="AN7" s="14">
        <f t="shared" si="3"/>
        <v>45</v>
      </c>
      <c r="AO7" s="15">
        <f t="shared" si="4"/>
        <v>4.8194033047967384</v>
      </c>
      <c r="AP7" s="15">
        <v>41.39</v>
      </c>
      <c r="AQ7" s="19">
        <v>0</v>
      </c>
      <c r="AR7" s="11">
        <v>71.103333333333339</v>
      </c>
    </row>
    <row r="8" spans="1:50" x14ac:dyDescent="0.2">
      <c r="A8" t="s">
        <v>344</v>
      </c>
      <c r="B8" s="6" t="s">
        <v>20</v>
      </c>
      <c r="C8" s="9" t="s">
        <v>353</v>
      </c>
      <c r="D8" s="10">
        <v>7</v>
      </c>
      <c r="E8" s="18"/>
      <c r="F8" s="18"/>
      <c r="G8" s="12"/>
      <c r="H8" s="13">
        <f>(60.01+65)/2</f>
        <v>62.504999999999995</v>
      </c>
      <c r="I8" s="12">
        <v>80</v>
      </c>
      <c r="J8" s="13"/>
      <c r="K8" s="12"/>
      <c r="L8" s="13"/>
      <c r="M8" s="12"/>
      <c r="N8" s="13"/>
      <c r="O8" s="12"/>
      <c r="P8" s="13"/>
      <c r="Q8" s="12"/>
      <c r="R8" s="12">
        <f>(55.01+60)/2</f>
        <v>57.504999999999995</v>
      </c>
      <c r="S8" s="13"/>
      <c r="T8" s="12"/>
      <c r="U8" s="13"/>
      <c r="V8" s="12"/>
      <c r="W8" s="13"/>
      <c r="X8" s="12"/>
      <c r="Y8" s="13"/>
      <c r="Z8" s="12"/>
      <c r="AA8" s="13"/>
      <c r="AB8" s="12"/>
      <c r="AC8" s="13"/>
      <c r="AD8" s="12"/>
      <c r="AE8" s="13"/>
      <c r="AF8" s="12"/>
      <c r="AG8" s="13"/>
      <c r="AH8" s="12"/>
      <c r="AI8" s="13"/>
      <c r="AJ8" s="12"/>
      <c r="AK8">
        <f t="shared" si="0"/>
        <v>3</v>
      </c>
      <c r="AL8" s="14">
        <f t="shared" si="1"/>
        <v>66.67</v>
      </c>
      <c r="AM8" s="14">
        <f t="shared" si="2"/>
        <v>80</v>
      </c>
      <c r="AN8" s="14">
        <f t="shared" si="3"/>
        <v>57.504999999999995</v>
      </c>
      <c r="AO8" s="15">
        <f t="shared" si="4"/>
        <v>11.811717698963172</v>
      </c>
      <c r="AP8" s="15"/>
      <c r="AQ8" s="19">
        <v>0</v>
      </c>
      <c r="AR8">
        <v>0</v>
      </c>
    </row>
    <row r="9" spans="1:50" x14ac:dyDescent="0.2">
      <c r="A9" t="s">
        <v>345</v>
      </c>
      <c r="B9" s="6" t="s">
        <v>21</v>
      </c>
      <c r="C9" s="9" t="s">
        <v>354</v>
      </c>
      <c r="D9" s="10">
        <v>2</v>
      </c>
      <c r="E9" s="18">
        <v>11.48</v>
      </c>
      <c r="F9" s="18"/>
      <c r="G9" s="12">
        <f>(15.01+17)/2</f>
        <v>16.004999999999999</v>
      </c>
      <c r="H9" s="13">
        <v>15</v>
      </c>
      <c r="I9" s="12">
        <v>11.48</v>
      </c>
      <c r="J9" s="13"/>
      <c r="K9" s="12"/>
      <c r="L9" s="13"/>
      <c r="M9" s="12"/>
      <c r="N9" s="13"/>
      <c r="O9" s="12"/>
      <c r="P9" s="13"/>
      <c r="Q9" s="12"/>
      <c r="R9" s="12">
        <v>15</v>
      </c>
      <c r="S9" s="13">
        <v>15</v>
      </c>
      <c r="T9" s="12"/>
      <c r="U9" s="13"/>
      <c r="V9" s="12"/>
      <c r="W9" s="13"/>
      <c r="X9" s="12"/>
      <c r="Y9" s="13"/>
      <c r="Z9" s="12"/>
      <c r="AA9" s="13"/>
      <c r="AB9" s="12"/>
      <c r="AC9" s="13"/>
      <c r="AD9" s="12"/>
      <c r="AE9" s="13">
        <v>15</v>
      </c>
      <c r="AF9" s="12">
        <f>(17.01+19)/2</f>
        <v>18.005000000000003</v>
      </c>
      <c r="AG9" s="13"/>
      <c r="AH9" s="12"/>
      <c r="AI9" s="13">
        <f>(15.01+17)/2</f>
        <v>16.004999999999999</v>
      </c>
      <c r="AJ9" s="12"/>
      <c r="AK9">
        <f t="shared" si="0"/>
        <v>8</v>
      </c>
      <c r="AL9" s="14">
        <f t="shared" si="1"/>
        <v>15.186875000000001</v>
      </c>
      <c r="AM9" s="14">
        <f t="shared" si="2"/>
        <v>18.005000000000003</v>
      </c>
      <c r="AN9" s="14">
        <f t="shared" si="3"/>
        <v>11.48</v>
      </c>
      <c r="AO9" s="15">
        <f t="shared" si="4"/>
        <v>1.8189909634190005</v>
      </c>
      <c r="AP9" s="15"/>
      <c r="AQ9" s="19">
        <v>-0.32257614860128719</v>
      </c>
      <c r="AR9" s="11">
        <v>11.25</v>
      </c>
    </row>
    <row r="10" spans="1:50" x14ac:dyDescent="0.2">
      <c r="A10" t="s">
        <v>345</v>
      </c>
      <c r="B10" s="6" t="s">
        <v>22</v>
      </c>
      <c r="C10" s="9" t="s">
        <v>355</v>
      </c>
      <c r="D10" s="10">
        <v>1</v>
      </c>
      <c r="E10" s="18">
        <v>24.83</v>
      </c>
      <c r="F10" s="18"/>
      <c r="G10" s="12">
        <v>24.01</v>
      </c>
      <c r="H10" s="13">
        <v>24.01</v>
      </c>
      <c r="I10" s="12">
        <v>24.83</v>
      </c>
      <c r="J10" s="13"/>
      <c r="K10" s="12"/>
      <c r="L10" s="13"/>
      <c r="M10" s="12"/>
      <c r="N10" s="13"/>
      <c r="O10" s="12"/>
      <c r="P10" s="13"/>
      <c r="Q10" s="12"/>
      <c r="R10" s="12">
        <v>19</v>
      </c>
      <c r="S10" s="13">
        <v>24.01</v>
      </c>
      <c r="T10" s="12"/>
      <c r="U10" s="13"/>
      <c r="V10" s="12"/>
      <c r="W10" s="13"/>
      <c r="X10" s="12"/>
      <c r="Y10" s="13"/>
      <c r="Z10" s="12"/>
      <c r="AA10" s="13"/>
      <c r="AB10" s="12"/>
      <c r="AC10" s="13"/>
      <c r="AD10" s="12">
        <v>19</v>
      </c>
      <c r="AE10" s="13">
        <v>19</v>
      </c>
      <c r="AF10" s="12">
        <v>20.010000000000002</v>
      </c>
      <c r="AG10" s="13"/>
      <c r="AH10" s="12"/>
      <c r="AI10" s="13"/>
      <c r="AJ10" s="12"/>
      <c r="AK10">
        <f t="shared" si="0"/>
        <v>8</v>
      </c>
      <c r="AL10" s="14">
        <f t="shared" si="1"/>
        <v>21.733750000000001</v>
      </c>
      <c r="AM10" s="14">
        <f t="shared" si="2"/>
        <v>24.83</v>
      </c>
      <c r="AN10" s="14">
        <f t="shared" si="3"/>
        <v>19</v>
      </c>
      <c r="AO10" s="15">
        <f t="shared" si="4"/>
        <v>2.6865322177749675</v>
      </c>
      <c r="AP10" s="15"/>
      <c r="AQ10" s="19">
        <v>-2.7435497901711304E-3</v>
      </c>
      <c r="AR10" s="11">
        <v>19.29</v>
      </c>
    </row>
    <row r="11" spans="1:50" x14ac:dyDescent="0.2">
      <c r="A11" t="s">
        <v>345</v>
      </c>
      <c r="B11" s="6" t="s">
        <v>23</v>
      </c>
      <c r="C11" s="9" t="s">
        <v>356</v>
      </c>
      <c r="D11" s="10">
        <v>1</v>
      </c>
      <c r="E11" s="18">
        <v>11</v>
      </c>
      <c r="F11" s="18"/>
      <c r="G11" s="12">
        <v>11.51</v>
      </c>
      <c r="H11" s="13">
        <v>10.51</v>
      </c>
      <c r="I11" s="12">
        <v>11</v>
      </c>
      <c r="J11" s="13"/>
      <c r="K11" s="12"/>
      <c r="L11" s="13"/>
      <c r="M11" s="12"/>
      <c r="N11" s="13"/>
      <c r="O11" s="12"/>
      <c r="P11" s="13"/>
      <c r="Q11" s="12"/>
      <c r="R11" s="12">
        <v>9</v>
      </c>
      <c r="S11" s="13">
        <v>13</v>
      </c>
      <c r="T11" s="12"/>
      <c r="U11" s="13"/>
      <c r="V11" s="12"/>
      <c r="W11" s="13"/>
      <c r="X11" s="12"/>
      <c r="Y11" s="13"/>
      <c r="Z11" s="12"/>
      <c r="AA11" s="13"/>
      <c r="AB11" s="12"/>
      <c r="AC11" s="13"/>
      <c r="AD11" s="12">
        <v>13</v>
      </c>
      <c r="AE11" s="13"/>
      <c r="AF11" s="12">
        <v>13</v>
      </c>
      <c r="AG11" s="13"/>
      <c r="AH11" s="12"/>
      <c r="AI11" s="13"/>
      <c r="AJ11" s="12"/>
      <c r="AK11">
        <f t="shared" si="0"/>
        <v>7</v>
      </c>
      <c r="AL11" s="14">
        <f t="shared" si="1"/>
        <v>11.574285714285713</v>
      </c>
      <c r="AM11" s="14">
        <f t="shared" si="2"/>
        <v>13</v>
      </c>
      <c r="AN11" s="14">
        <f t="shared" si="3"/>
        <v>9</v>
      </c>
      <c r="AO11" s="15">
        <f t="shared" si="4"/>
        <v>1.5379408001486641</v>
      </c>
      <c r="AP11" s="15"/>
      <c r="AQ11" s="19">
        <v>-0.46891212583457048</v>
      </c>
      <c r="AR11" s="11">
        <v>11.78</v>
      </c>
    </row>
    <row r="12" spans="1:50" x14ac:dyDescent="0.2">
      <c r="A12" t="s">
        <v>345</v>
      </c>
      <c r="B12" s="6" t="s">
        <v>24</v>
      </c>
      <c r="C12" s="9" t="s">
        <v>357</v>
      </c>
      <c r="D12" s="10">
        <v>3</v>
      </c>
      <c r="E12" s="18">
        <v>27.08</v>
      </c>
      <c r="F12" s="18"/>
      <c r="G12" s="12">
        <f>(25.01+28)/2</f>
        <v>26.505000000000003</v>
      </c>
      <c r="H12" s="13">
        <f>(34.01+37)/2</f>
        <v>35.504999999999995</v>
      </c>
      <c r="I12" s="12">
        <v>27.08</v>
      </c>
      <c r="J12" s="13"/>
      <c r="K12" s="12"/>
      <c r="L12" s="13"/>
      <c r="M12" s="12"/>
      <c r="N12" s="13"/>
      <c r="O12" s="12"/>
      <c r="P12" s="13"/>
      <c r="Q12" s="12"/>
      <c r="R12" s="12"/>
      <c r="S12" s="13">
        <v>25</v>
      </c>
      <c r="T12" s="12"/>
      <c r="U12" s="13"/>
      <c r="V12" s="12"/>
      <c r="W12" s="13"/>
      <c r="X12" s="12"/>
      <c r="Y12" s="13"/>
      <c r="Z12" s="12"/>
      <c r="AA12" s="13"/>
      <c r="AB12" s="12"/>
      <c r="AC12" s="13"/>
      <c r="AD12" s="12">
        <f>(25.01+28)/2</f>
        <v>26.505000000000003</v>
      </c>
      <c r="AE12" s="13"/>
      <c r="AF12" s="12">
        <v>37</v>
      </c>
      <c r="AG12" s="13"/>
      <c r="AH12" s="12"/>
      <c r="AI12" s="13"/>
      <c r="AJ12" s="12">
        <f>(25.01+28)/2</f>
        <v>26.505000000000003</v>
      </c>
      <c r="AK12">
        <f t="shared" si="0"/>
        <v>7</v>
      </c>
      <c r="AL12" s="14">
        <f t="shared" si="1"/>
        <v>29.157142857142855</v>
      </c>
      <c r="AM12" s="14">
        <f t="shared" si="2"/>
        <v>37</v>
      </c>
      <c r="AN12" s="14">
        <f t="shared" si="3"/>
        <v>25</v>
      </c>
      <c r="AO12" s="15">
        <f t="shared" si="4"/>
        <v>4.9075391466793867</v>
      </c>
      <c r="AP12" s="15"/>
      <c r="AQ12" s="19">
        <v>0.35601478262073166</v>
      </c>
      <c r="AR12" s="11">
        <v>21.886000000000003</v>
      </c>
    </row>
    <row r="13" spans="1:50" x14ac:dyDescent="0.2">
      <c r="A13" t="s">
        <v>345</v>
      </c>
      <c r="B13" s="6" t="s">
        <v>25</v>
      </c>
      <c r="C13" s="9" t="s">
        <v>358</v>
      </c>
      <c r="D13" s="10">
        <v>4</v>
      </c>
      <c r="E13" s="18">
        <v>27.08</v>
      </c>
      <c r="F13" s="18"/>
      <c r="G13" s="12">
        <f>(28.01+31)/2</f>
        <v>29.505000000000003</v>
      </c>
      <c r="H13" s="13">
        <f>(34.01+37)/2</f>
        <v>35.504999999999995</v>
      </c>
      <c r="I13" s="12">
        <v>27.08</v>
      </c>
      <c r="J13" s="13"/>
      <c r="K13" s="12"/>
      <c r="L13" s="13"/>
      <c r="M13" s="12"/>
      <c r="N13" s="13"/>
      <c r="O13" s="12"/>
      <c r="P13" s="13"/>
      <c r="Q13" s="12"/>
      <c r="R13" s="12"/>
      <c r="S13" s="13">
        <v>28</v>
      </c>
      <c r="T13" s="12"/>
      <c r="U13" s="13"/>
      <c r="V13" s="12"/>
      <c r="W13" s="13"/>
      <c r="X13" s="12"/>
      <c r="Y13" s="13"/>
      <c r="Z13" s="12"/>
      <c r="AA13" s="13"/>
      <c r="AB13" s="12"/>
      <c r="AC13" s="13"/>
      <c r="AD13" s="12"/>
      <c r="AE13" s="13"/>
      <c r="AF13" s="12">
        <v>40</v>
      </c>
      <c r="AG13" s="13"/>
      <c r="AH13" s="12"/>
      <c r="AI13" s="13"/>
      <c r="AJ13" s="12"/>
      <c r="AK13">
        <f t="shared" si="0"/>
        <v>5</v>
      </c>
      <c r="AL13" s="14">
        <f t="shared" si="1"/>
        <v>32.017999999999994</v>
      </c>
      <c r="AM13" s="14">
        <f t="shared" si="2"/>
        <v>40</v>
      </c>
      <c r="AN13" s="14">
        <f t="shared" si="3"/>
        <v>27.08</v>
      </c>
      <c r="AO13" s="15">
        <f t="shared" si="4"/>
        <v>5.538836294746436</v>
      </c>
      <c r="AP13" s="15"/>
      <c r="AQ13" s="19">
        <v>0.34156612164439903</v>
      </c>
      <c r="AR13" s="11">
        <v>27.174999999999997</v>
      </c>
    </row>
    <row r="14" spans="1:50" x14ac:dyDescent="0.2">
      <c r="A14" t="s">
        <v>345</v>
      </c>
      <c r="B14" s="6" t="s">
        <v>26</v>
      </c>
      <c r="C14" s="9" t="s">
        <v>359</v>
      </c>
      <c r="D14" s="10">
        <v>5</v>
      </c>
      <c r="E14" s="18">
        <v>37.06</v>
      </c>
      <c r="F14" s="18"/>
      <c r="G14" s="12"/>
      <c r="H14" s="13"/>
      <c r="I14" s="12">
        <v>37.06</v>
      </c>
      <c r="J14" s="13"/>
      <c r="K14" s="12"/>
      <c r="L14" s="13"/>
      <c r="M14" s="12"/>
      <c r="N14" s="13"/>
      <c r="O14" s="12"/>
      <c r="P14" s="13"/>
      <c r="Q14" s="12"/>
      <c r="R14" s="12"/>
      <c r="S14" s="13">
        <f>(34.01+36)/2</f>
        <v>35.004999999999995</v>
      </c>
      <c r="T14" s="12"/>
      <c r="U14" s="13"/>
      <c r="V14" s="12"/>
      <c r="W14" s="13"/>
      <c r="X14" s="12"/>
      <c r="Y14" s="13"/>
      <c r="Z14" s="12"/>
      <c r="AA14" s="13"/>
      <c r="AB14" s="12"/>
      <c r="AC14" s="13"/>
      <c r="AD14" s="12">
        <f>(34.01+36)/2</f>
        <v>35.004999999999995</v>
      </c>
      <c r="AE14" s="13">
        <f>(38.01+40)/2</f>
        <v>39.004999999999995</v>
      </c>
      <c r="AF14" s="12">
        <v>40</v>
      </c>
      <c r="AG14" s="13"/>
      <c r="AH14" s="12"/>
      <c r="AI14" s="13"/>
      <c r="AJ14" s="12"/>
      <c r="AK14">
        <f t="shared" si="0"/>
        <v>5</v>
      </c>
      <c r="AL14" s="14">
        <f t="shared" si="1"/>
        <v>37.214999999999996</v>
      </c>
      <c r="AM14" s="14">
        <f t="shared" si="2"/>
        <v>40</v>
      </c>
      <c r="AN14" s="14">
        <f t="shared" si="3"/>
        <v>35.004999999999995</v>
      </c>
      <c r="AO14" s="15">
        <f t="shared" si="4"/>
        <v>2.2777483399181757</v>
      </c>
      <c r="AP14" s="15"/>
      <c r="AQ14" s="19">
        <v>-4.3480123372172809E-2</v>
      </c>
      <c r="AR14" s="11">
        <v>32.962500000000006</v>
      </c>
    </row>
    <row r="15" spans="1:50" x14ac:dyDescent="0.2">
      <c r="A15" t="s">
        <v>345</v>
      </c>
      <c r="B15" s="6" t="s">
        <v>27</v>
      </c>
      <c r="C15" s="9" t="s">
        <v>360</v>
      </c>
      <c r="D15" s="10">
        <v>8</v>
      </c>
      <c r="E15" s="18">
        <v>44.84</v>
      </c>
      <c r="F15" s="18"/>
      <c r="G15" s="12">
        <f>(37.01+40)/2</f>
        <v>38.504999999999995</v>
      </c>
      <c r="H15" s="13">
        <f>(40.01+43)/2</f>
        <v>41.504999999999995</v>
      </c>
      <c r="I15" s="12">
        <v>44.84</v>
      </c>
      <c r="J15" s="13"/>
      <c r="K15" s="12"/>
      <c r="L15" s="13"/>
      <c r="M15" s="12"/>
      <c r="N15" s="13"/>
      <c r="O15" s="12"/>
      <c r="P15" s="13"/>
      <c r="Q15" s="12"/>
      <c r="R15" s="12"/>
      <c r="S15" s="13"/>
      <c r="T15" s="12"/>
      <c r="U15" s="13"/>
      <c r="V15" s="12"/>
      <c r="W15" s="13"/>
      <c r="X15" s="12"/>
      <c r="Y15" s="13"/>
      <c r="Z15" s="12"/>
      <c r="AA15" s="13"/>
      <c r="AB15" s="12"/>
      <c r="AC15" s="13"/>
      <c r="AD15" s="12"/>
      <c r="AE15" s="13"/>
      <c r="AF15" s="12"/>
      <c r="AG15" s="13"/>
      <c r="AH15" s="12"/>
      <c r="AI15" s="13"/>
      <c r="AJ15" s="12"/>
      <c r="AK15">
        <f t="shared" si="0"/>
        <v>3</v>
      </c>
      <c r="AL15" s="14">
        <f t="shared" si="1"/>
        <v>41.616666666666667</v>
      </c>
      <c r="AM15" s="14">
        <f t="shared" si="2"/>
        <v>44.84</v>
      </c>
      <c r="AN15" s="14">
        <f t="shared" si="3"/>
        <v>38.504999999999995</v>
      </c>
      <c r="AO15" s="15">
        <f t="shared" si="4"/>
        <v>3.168975912393996</v>
      </c>
      <c r="AP15" s="15"/>
      <c r="AQ15" s="19">
        <v>0</v>
      </c>
      <c r="AR15">
        <v>0</v>
      </c>
    </row>
    <row r="16" spans="1:50" x14ac:dyDescent="0.2">
      <c r="A16" t="s">
        <v>345</v>
      </c>
      <c r="B16" s="6" t="s">
        <v>28</v>
      </c>
      <c r="C16" s="9" t="s">
        <v>361</v>
      </c>
      <c r="D16" s="10">
        <v>6</v>
      </c>
      <c r="E16" s="18">
        <v>78.06</v>
      </c>
      <c r="F16" s="18"/>
      <c r="G16" s="12">
        <f>(50.01+60)/2</f>
        <v>55.004999999999995</v>
      </c>
      <c r="H16" s="13">
        <f>(60.01+70)/2</f>
        <v>65.004999999999995</v>
      </c>
      <c r="I16" s="12">
        <v>78.06</v>
      </c>
      <c r="J16" s="13"/>
      <c r="K16" s="12"/>
      <c r="L16" s="13"/>
      <c r="M16" s="12"/>
      <c r="N16" s="13"/>
      <c r="O16" s="12"/>
      <c r="P16" s="13"/>
      <c r="Q16" s="12"/>
      <c r="R16" s="12"/>
      <c r="S16" s="13">
        <f>(60.01+70)/2</f>
        <v>65.004999999999995</v>
      </c>
      <c r="T16" s="12"/>
      <c r="U16" s="13"/>
      <c r="V16" s="12"/>
      <c r="W16" s="13"/>
      <c r="X16" s="12"/>
      <c r="Y16" s="13"/>
      <c r="Z16" s="12"/>
      <c r="AA16" s="13"/>
      <c r="AB16" s="12"/>
      <c r="AC16" s="13"/>
      <c r="AD16" s="12"/>
      <c r="AE16" s="13"/>
      <c r="AF16" s="12">
        <v>90</v>
      </c>
      <c r="AG16" s="13"/>
      <c r="AH16" s="12"/>
      <c r="AI16" s="13"/>
      <c r="AJ16" s="12"/>
      <c r="AK16">
        <f t="shared" si="0"/>
        <v>5</v>
      </c>
      <c r="AL16" s="14">
        <f t="shared" si="1"/>
        <v>70.614999999999995</v>
      </c>
      <c r="AM16" s="14">
        <f t="shared" si="2"/>
        <v>90</v>
      </c>
      <c r="AN16" s="14">
        <f t="shared" si="3"/>
        <v>55.004999999999995</v>
      </c>
      <c r="AO16" s="15">
        <f t="shared" si="4"/>
        <v>13.581444602839573</v>
      </c>
      <c r="AP16" s="15"/>
      <c r="AQ16" s="19">
        <v>0.39035229590042914</v>
      </c>
      <c r="AR16" s="11">
        <v>42.928571428571431</v>
      </c>
    </row>
    <row r="17" spans="1:44" x14ac:dyDescent="0.2">
      <c r="A17" t="s">
        <v>346</v>
      </c>
      <c r="B17" s="6" t="s">
        <v>29</v>
      </c>
      <c r="C17" s="9" t="s">
        <v>362</v>
      </c>
      <c r="D17" s="10">
        <v>2</v>
      </c>
      <c r="E17" s="18">
        <v>29.11</v>
      </c>
      <c r="F17" s="18">
        <f>(22)</f>
        <v>22</v>
      </c>
      <c r="G17" s="12"/>
      <c r="H17" s="13">
        <f>(20.01+22)/2</f>
        <v>21.005000000000003</v>
      </c>
      <c r="I17" s="12">
        <v>22</v>
      </c>
      <c r="J17" s="13">
        <v>29.11</v>
      </c>
      <c r="K17" s="12"/>
      <c r="L17" s="13"/>
      <c r="M17" s="12"/>
      <c r="N17" s="13"/>
      <c r="O17" s="12"/>
      <c r="P17" s="13"/>
      <c r="Q17" s="12"/>
      <c r="R17" s="12"/>
      <c r="S17" s="13"/>
      <c r="T17" s="12"/>
      <c r="U17" s="13"/>
      <c r="V17" s="12"/>
      <c r="W17" s="13"/>
      <c r="X17" s="12"/>
      <c r="Y17" s="13"/>
      <c r="Z17" s="12"/>
      <c r="AA17" s="13"/>
      <c r="AB17" s="12"/>
      <c r="AC17" s="13"/>
      <c r="AD17" s="12"/>
      <c r="AE17" s="13"/>
      <c r="AF17" s="12"/>
      <c r="AG17" s="13"/>
      <c r="AH17" s="12"/>
      <c r="AI17" s="13"/>
      <c r="AJ17" s="12"/>
      <c r="AK17">
        <f t="shared" si="0"/>
        <v>3</v>
      </c>
      <c r="AL17" s="14">
        <v>25</v>
      </c>
      <c r="AM17" s="14">
        <v>29.11</v>
      </c>
      <c r="AN17" s="14">
        <f t="shared" si="3"/>
        <v>21.005000000000003</v>
      </c>
      <c r="AO17" s="15">
        <f t="shared" si="4"/>
        <v>4.4202780832582365</v>
      </c>
      <c r="AQ17" s="19">
        <v>0.11514688077486775</v>
      </c>
      <c r="AR17" s="11">
        <v>24.18</v>
      </c>
    </row>
    <row r="18" spans="1:44" x14ac:dyDescent="0.2">
      <c r="A18" t="s">
        <v>346</v>
      </c>
      <c r="B18" s="6" t="s">
        <v>30</v>
      </c>
      <c r="C18" s="9" t="s">
        <v>385</v>
      </c>
      <c r="D18" s="10">
        <v>1</v>
      </c>
      <c r="E18" s="18">
        <v>23.12</v>
      </c>
      <c r="F18" s="18"/>
      <c r="G18" s="12"/>
      <c r="H18" s="13">
        <f>(18.01+20)/2</f>
        <v>19.005000000000003</v>
      </c>
      <c r="I18" s="12">
        <v>23.12</v>
      </c>
      <c r="J18" s="13"/>
      <c r="K18" s="12"/>
      <c r="L18" s="13"/>
      <c r="M18" s="12"/>
      <c r="N18" s="13"/>
      <c r="O18" s="12"/>
      <c r="P18" s="13"/>
      <c r="Q18" s="12"/>
      <c r="R18" s="12"/>
      <c r="S18" s="13"/>
      <c r="T18" s="12"/>
      <c r="U18" s="13"/>
      <c r="V18" s="12"/>
      <c r="W18" s="13"/>
      <c r="X18" s="12"/>
      <c r="Y18" s="13"/>
      <c r="Z18" s="12"/>
      <c r="AA18" s="13"/>
      <c r="AB18" s="12"/>
      <c r="AC18" s="13"/>
      <c r="AD18" s="12"/>
      <c r="AE18" s="13"/>
      <c r="AF18" s="12"/>
      <c r="AG18" s="13"/>
      <c r="AH18" s="12"/>
      <c r="AI18" s="13"/>
      <c r="AJ18" s="12"/>
      <c r="AK18">
        <f t="shared" si="0"/>
        <v>2</v>
      </c>
      <c r="AL18" s="14">
        <f t="shared" si="1"/>
        <v>21.0625</v>
      </c>
      <c r="AM18" s="14">
        <f t="shared" si="2"/>
        <v>23.12</v>
      </c>
      <c r="AN18" s="14">
        <f t="shared" si="3"/>
        <v>19.005000000000003</v>
      </c>
      <c r="AO18" s="15">
        <f t="shared" si="4"/>
        <v>2.9097444045826419</v>
      </c>
      <c r="AQ18" s="19">
        <v>-3.3543958932787943E-2</v>
      </c>
      <c r="AR18" s="11">
        <v>16.872499999999999</v>
      </c>
    </row>
    <row r="19" spans="1:44" x14ac:dyDescent="0.2">
      <c r="A19" t="s">
        <v>346</v>
      </c>
      <c r="B19" s="6" t="s">
        <v>31</v>
      </c>
      <c r="C19" s="9" t="s">
        <v>364</v>
      </c>
      <c r="D19" s="10">
        <v>1</v>
      </c>
      <c r="E19" s="18">
        <v>40.82</v>
      </c>
      <c r="F19" s="18">
        <v>31.82</v>
      </c>
      <c r="G19" s="12"/>
      <c r="H19" s="13">
        <v>31.82</v>
      </c>
      <c r="I19" s="12">
        <v>40.82</v>
      </c>
      <c r="J19" s="13"/>
      <c r="K19" s="12"/>
      <c r="L19" s="13"/>
      <c r="M19" s="12"/>
      <c r="N19" s="13"/>
      <c r="O19" s="12"/>
      <c r="P19" s="13"/>
      <c r="Q19" s="12"/>
      <c r="R19" s="12"/>
      <c r="S19" s="13"/>
      <c r="T19" s="12"/>
      <c r="U19" s="13"/>
      <c r="V19" s="12"/>
      <c r="W19" s="13"/>
      <c r="X19" s="12"/>
      <c r="Y19" s="13"/>
      <c r="Z19" s="12"/>
      <c r="AA19" s="13"/>
      <c r="AB19" s="12"/>
      <c r="AC19" s="13"/>
      <c r="AD19" s="12"/>
      <c r="AE19" s="13"/>
      <c r="AF19" s="12"/>
      <c r="AG19" s="13"/>
      <c r="AH19" s="12"/>
      <c r="AI19" s="13"/>
      <c r="AJ19" s="12"/>
      <c r="AK19">
        <f t="shared" si="0"/>
        <v>2</v>
      </c>
      <c r="AL19" s="14">
        <f t="shared" si="1"/>
        <v>36.32</v>
      </c>
      <c r="AM19" s="14">
        <f t="shared" si="2"/>
        <v>40.82</v>
      </c>
      <c r="AN19" s="14">
        <f t="shared" si="3"/>
        <v>31.82</v>
      </c>
      <c r="AO19" s="15">
        <f t="shared" si="4"/>
        <v>6.3639610306789631</v>
      </c>
      <c r="AQ19" s="19">
        <v>0.66654876731447554</v>
      </c>
      <c r="AR19" s="11">
        <v>33.06</v>
      </c>
    </row>
    <row r="20" spans="1:44" x14ac:dyDescent="0.2">
      <c r="A20" t="s">
        <v>346</v>
      </c>
      <c r="B20" s="6" t="s">
        <v>32</v>
      </c>
      <c r="C20" s="9" t="s">
        <v>365</v>
      </c>
      <c r="D20" s="10">
        <v>3</v>
      </c>
      <c r="E20" s="18">
        <v>105.39</v>
      </c>
      <c r="F20" s="18"/>
      <c r="G20" s="12"/>
      <c r="H20" s="13">
        <f>(55.01+60)/2</f>
        <v>57.504999999999995</v>
      </c>
      <c r="I20" s="12">
        <v>105.39</v>
      </c>
      <c r="J20" s="13"/>
      <c r="K20" s="12"/>
      <c r="L20" s="13"/>
      <c r="M20" s="12"/>
      <c r="N20" s="13"/>
      <c r="O20" s="12"/>
      <c r="P20" s="13"/>
      <c r="Q20" s="12"/>
      <c r="R20" s="12"/>
      <c r="S20" s="13"/>
      <c r="T20" s="12"/>
      <c r="U20" s="13"/>
      <c r="V20" s="12"/>
      <c r="W20" s="13"/>
      <c r="X20" s="12"/>
      <c r="Y20" s="13"/>
      <c r="Z20" s="12"/>
      <c r="AA20" s="13"/>
      <c r="AB20" s="12"/>
      <c r="AC20" s="13"/>
      <c r="AD20" s="12"/>
      <c r="AE20" s="13"/>
      <c r="AF20" s="12"/>
      <c r="AG20" s="13"/>
      <c r="AH20" s="12"/>
      <c r="AI20" s="13"/>
      <c r="AJ20" s="12"/>
      <c r="AK20">
        <f t="shared" si="0"/>
        <v>2</v>
      </c>
      <c r="AL20" s="14">
        <f t="shared" si="1"/>
        <v>81.447499999999991</v>
      </c>
      <c r="AM20" s="14">
        <f t="shared" si="2"/>
        <v>105.39</v>
      </c>
      <c r="AN20" s="14">
        <f t="shared" si="3"/>
        <v>57.504999999999995</v>
      </c>
      <c r="AO20" s="15">
        <f t="shared" si="4"/>
        <v>33.859808217117894</v>
      </c>
      <c r="AQ20" s="19">
        <v>2.787888770467978</v>
      </c>
      <c r="AR20" s="11">
        <v>62.33</v>
      </c>
    </row>
    <row r="21" spans="1:44" x14ac:dyDescent="0.2">
      <c r="A21" t="s">
        <v>346</v>
      </c>
      <c r="B21" s="6" t="s">
        <v>33</v>
      </c>
      <c r="C21" s="9" t="s">
        <v>366</v>
      </c>
      <c r="D21" s="10">
        <v>3</v>
      </c>
      <c r="E21" s="18">
        <v>32.340000000000003</v>
      </c>
      <c r="F21" s="18">
        <v>25.1</v>
      </c>
      <c r="G21" s="12"/>
      <c r="H21" s="13">
        <v>25.1</v>
      </c>
      <c r="I21" s="12">
        <v>32.340000000000003</v>
      </c>
      <c r="J21" s="13"/>
      <c r="K21" s="12"/>
      <c r="L21" s="13"/>
      <c r="M21" s="12"/>
      <c r="N21" s="13"/>
      <c r="O21" s="12"/>
      <c r="P21" s="13"/>
      <c r="Q21" s="12"/>
      <c r="R21" s="12"/>
      <c r="S21" s="13"/>
      <c r="T21" s="12"/>
      <c r="U21" s="13"/>
      <c r="V21" s="12"/>
      <c r="W21" s="13"/>
      <c r="X21" s="12"/>
      <c r="Y21" s="13"/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>
        <f t="shared" si="0"/>
        <v>2</v>
      </c>
      <c r="AL21" s="14">
        <f t="shared" si="1"/>
        <v>28.720000000000002</v>
      </c>
      <c r="AM21" s="14">
        <f t="shared" si="2"/>
        <v>32.340000000000003</v>
      </c>
      <c r="AN21" s="14">
        <f t="shared" si="3"/>
        <v>25.1</v>
      </c>
      <c r="AO21" s="15">
        <f t="shared" si="4"/>
        <v>5.1194530957906368</v>
      </c>
      <c r="AQ21" s="19">
        <v>0.33568452669315013</v>
      </c>
      <c r="AR21" s="11">
        <v>29.96</v>
      </c>
    </row>
    <row r="22" spans="1:44" x14ac:dyDescent="0.2">
      <c r="A22" t="s">
        <v>346</v>
      </c>
      <c r="B22" s="6" t="s">
        <v>34</v>
      </c>
      <c r="C22" s="9" t="s">
        <v>367</v>
      </c>
      <c r="D22" s="10">
        <v>5</v>
      </c>
      <c r="E22" s="18">
        <v>75.88</v>
      </c>
      <c r="F22" s="18"/>
      <c r="G22" s="12"/>
      <c r="H22" s="13">
        <f>(65.01+70)/2</f>
        <v>67.504999999999995</v>
      </c>
      <c r="I22" s="12">
        <v>75.88</v>
      </c>
      <c r="J22" s="13"/>
      <c r="K22" s="12"/>
      <c r="L22" s="13"/>
      <c r="M22" s="12"/>
      <c r="N22" s="13"/>
      <c r="O22" s="12"/>
      <c r="P22" s="13"/>
      <c r="Q22" s="12"/>
      <c r="R22" s="12"/>
      <c r="S22" s="13"/>
      <c r="T22" s="12"/>
      <c r="U22" s="13"/>
      <c r="V22" s="12"/>
      <c r="W22" s="13"/>
      <c r="X22" s="12"/>
      <c r="Y22" s="13"/>
      <c r="Z22" s="12"/>
      <c r="AA22" s="13"/>
      <c r="AB22" s="12"/>
      <c r="AC22" s="13"/>
      <c r="AD22" s="12"/>
      <c r="AE22" s="13"/>
      <c r="AF22" s="12"/>
      <c r="AG22" s="13"/>
      <c r="AH22" s="12"/>
      <c r="AI22" s="13"/>
      <c r="AJ22" s="12"/>
      <c r="AK22">
        <f t="shared" si="0"/>
        <v>2</v>
      </c>
      <c r="AL22" s="14">
        <f t="shared" si="1"/>
        <v>71.692499999999995</v>
      </c>
      <c r="AM22" s="14">
        <f t="shared" si="2"/>
        <v>75.88</v>
      </c>
      <c r="AN22" s="14">
        <f t="shared" si="3"/>
        <v>67.504999999999995</v>
      </c>
      <c r="AO22" s="15">
        <f t="shared" si="4"/>
        <v>5.9220192924373354</v>
      </c>
      <c r="AQ22" s="19">
        <v>0.84267906100068535</v>
      </c>
      <c r="AR22" s="11">
        <v>70.319999999999993</v>
      </c>
    </row>
    <row r="23" spans="1:44" x14ac:dyDescent="0.2">
      <c r="A23" t="s">
        <v>346</v>
      </c>
      <c r="B23" s="6" t="s">
        <v>35</v>
      </c>
      <c r="C23" s="9" t="s">
        <v>368</v>
      </c>
      <c r="D23" s="10">
        <v>5</v>
      </c>
      <c r="E23" s="18">
        <v>92.68</v>
      </c>
      <c r="F23" s="18"/>
      <c r="G23" s="12"/>
      <c r="H23" s="13">
        <f>(65.01+75)/2</f>
        <v>70.004999999999995</v>
      </c>
      <c r="I23" s="12">
        <v>92.68</v>
      </c>
      <c r="J23" s="13"/>
      <c r="K23" s="12"/>
      <c r="L23" s="13"/>
      <c r="M23" s="12"/>
      <c r="N23" s="13"/>
      <c r="O23" s="12"/>
      <c r="P23" s="13"/>
      <c r="Q23" s="12"/>
      <c r="R23" s="12"/>
      <c r="S23" s="13"/>
      <c r="T23" s="12"/>
      <c r="U23" s="13"/>
      <c r="V23" s="12"/>
      <c r="W23" s="13"/>
      <c r="X23" s="12"/>
      <c r="Y23" s="13"/>
      <c r="Z23" s="12"/>
      <c r="AA23" s="13"/>
      <c r="AB23" s="12"/>
      <c r="AC23" s="13"/>
      <c r="AD23" s="12"/>
      <c r="AE23" s="13"/>
      <c r="AF23" s="12"/>
      <c r="AG23" s="13"/>
      <c r="AH23" s="12"/>
      <c r="AI23" s="13"/>
      <c r="AJ23" s="12"/>
      <c r="AK23">
        <f t="shared" si="0"/>
        <v>2</v>
      </c>
      <c r="AL23" s="14">
        <f t="shared" si="1"/>
        <v>81.342500000000001</v>
      </c>
      <c r="AM23" s="14">
        <f t="shared" si="2"/>
        <v>92.68</v>
      </c>
      <c r="AN23" s="14">
        <f t="shared" si="3"/>
        <v>70.004999999999995</v>
      </c>
      <c r="AO23" s="15">
        <f t="shared" si="4"/>
        <v>16.033646263405014</v>
      </c>
      <c r="AQ23" s="19">
        <v>1.0907085332419466</v>
      </c>
      <c r="AR23" s="11">
        <v>78.734999999999999</v>
      </c>
    </row>
    <row r="24" spans="1:44" x14ac:dyDescent="0.2">
      <c r="A24" t="s">
        <v>346</v>
      </c>
      <c r="B24" s="6" t="s">
        <v>36</v>
      </c>
      <c r="C24" s="9" t="s">
        <v>369</v>
      </c>
      <c r="D24" s="10">
        <v>6</v>
      </c>
      <c r="E24" s="18">
        <v>105.39</v>
      </c>
      <c r="F24" s="18"/>
      <c r="G24" s="12"/>
      <c r="H24" s="13">
        <v>105.39</v>
      </c>
      <c r="I24" s="12"/>
      <c r="J24" s="13"/>
      <c r="K24" s="12"/>
      <c r="L24" s="13"/>
      <c r="M24" s="12"/>
      <c r="N24" s="13"/>
      <c r="O24" s="12"/>
      <c r="P24" s="13"/>
      <c r="Q24" s="12"/>
      <c r="R24" s="12"/>
      <c r="S24" s="13"/>
      <c r="T24" s="12"/>
      <c r="U24" s="13"/>
      <c r="V24" s="12"/>
      <c r="W24" s="13"/>
      <c r="X24" s="12"/>
      <c r="Y24" s="13"/>
      <c r="Z24" s="12"/>
      <c r="AA24" s="13"/>
      <c r="AB24" s="12"/>
      <c r="AC24" s="13"/>
      <c r="AD24" s="12"/>
      <c r="AE24" s="13"/>
      <c r="AF24" s="12"/>
      <c r="AG24" s="13"/>
      <c r="AH24" s="12"/>
      <c r="AI24" s="13"/>
      <c r="AJ24" s="12"/>
      <c r="AK24">
        <f t="shared" si="0"/>
        <v>1</v>
      </c>
      <c r="AL24" s="14">
        <f t="shared" si="1"/>
        <v>105.39</v>
      </c>
      <c r="AM24" s="14">
        <f t="shared" si="2"/>
        <v>105.39</v>
      </c>
      <c r="AN24" s="14">
        <f t="shared" si="3"/>
        <v>105.39</v>
      </c>
      <c r="AO24" s="15" t="e">
        <f t="shared" si="4"/>
        <v>#DIV/0!</v>
      </c>
      <c r="AQ24" s="19">
        <v>1.0750439490893753</v>
      </c>
      <c r="AR24" s="11">
        <v>129.12</v>
      </c>
    </row>
    <row r="30" spans="1:44" x14ac:dyDescent="0.2">
      <c r="AE30"/>
      <c r="AF30"/>
      <c r="AG30"/>
      <c r="AH30"/>
      <c r="AI30"/>
      <c r="AJ30"/>
    </row>
    <row r="31" spans="1:44" x14ac:dyDescent="0.2">
      <c r="AE31"/>
      <c r="AF31"/>
      <c r="AG31"/>
      <c r="AH31"/>
      <c r="AI31"/>
      <c r="AJ31"/>
    </row>
    <row r="32" spans="1:44" x14ac:dyDescent="0.2">
      <c r="AE32"/>
      <c r="AF32"/>
      <c r="AG32"/>
      <c r="AH32"/>
      <c r="AI32"/>
      <c r="AJ32"/>
    </row>
    <row r="33" spans="31:36" x14ac:dyDescent="0.2">
      <c r="AE33"/>
      <c r="AF33"/>
      <c r="AG33"/>
      <c r="AH33"/>
      <c r="AI33"/>
      <c r="AJ33"/>
    </row>
    <row r="34" spans="31:36" x14ac:dyDescent="0.2">
      <c r="AE34"/>
      <c r="AF34"/>
      <c r="AG34"/>
      <c r="AH34"/>
      <c r="AI34"/>
      <c r="AJ34"/>
    </row>
    <row r="35" spans="31:36" x14ac:dyDescent="0.2">
      <c r="AE35"/>
      <c r="AF35"/>
      <c r="AG35"/>
      <c r="AH35"/>
      <c r="AI35"/>
      <c r="AJ35"/>
    </row>
    <row r="36" spans="31:36" x14ac:dyDescent="0.2">
      <c r="AE36"/>
      <c r="AF36"/>
      <c r="AG36"/>
      <c r="AH36"/>
      <c r="AI36"/>
      <c r="AJ36"/>
    </row>
    <row r="37" spans="31:36" x14ac:dyDescent="0.2">
      <c r="AE37"/>
      <c r="AF37"/>
      <c r="AG37"/>
      <c r="AH37"/>
      <c r="AI37"/>
      <c r="AJ37"/>
    </row>
    <row r="38" spans="31:36" x14ac:dyDescent="0.2">
      <c r="AE38"/>
      <c r="AF38"/>
      <c r="AG38"/>
      <c r="AH38"/>
      <c r="AI38"/>
      <c r="AJ38"/>
    </row>
    <row r="39" spans="31:36" x14ac:dyDescent="0.2">
      <c r="AE39"/>
      <c r="AF39"/>
      <c r="AG39"/>
      <c r="AH39"/>
      <c r="AI39"/>
      <c r="AJ39"/>
    </row>
    <row r="40" spans="31:36" x14ac:dyDescent="0.2">
      <c r="AE40"/>
      <c r="AF40"/>
      <c r="AG40"/>
      <c r="AH40"/>
      <c r="AI40"/>
      <c r="AJ40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01C4-7BC3-4B77-B3D0-ECFBCC1704CD}">
  <dimension ref="A1:M24"/>
  <sheetViews>
    <sheetView workbookViewId="0">
      <selection activeCell="G32" sqref="G32"/>
    </sheetView>
  </sheetViews>
  <sheetFormatPr baseColWidth="10" defaultColWidth="8.83203125" defaultRowHeight="15" x14ac:dyDescent="0.2"/>
  <cols>
    <col min="1" max="1" width="15.5" bestFit="1" customWidth="1"/>
    <col min="2" max="2" width="28.5" customWidth="1"/>
    <col min="4" max="4" width="8.83203125" customWidth="1"/>
    <col min="5" max="6" width="16.5" customWidth="1"/>
    <col min="7" max="8" width="27.5" customWidth="1"/>
    <col min="9" max="10" width="28.5" customWidth="1"/>
    <col min="11" max="11" width="20.1640625" bestFit="1" customWidth="1"/>
    <col min="12" max="12" width="26.5" bestFit="1" customWidth="1"/>
    <col min="13" max="13" width="23.1640625" bestFit="1" customWidth="1"/>
    <col min="16" max="16" width="15.83203125" customWidth="1"/>
  </cols>
  <sheetData>
    <row r="1" spans="1:13" x14ac:dyDescent="0.2">
      <c r="A1" t="s">
        <v>343</v>
      </c>
      <c r="B1" t="s">
        <v>347</v>
      </c>
      <c r="C1" t="s">
        <v>342</v>
      </c>
      <c r="D1" t="s">
        <v>370</v>
      </c>
      <c r="E1" s="11" t="s">
        <v>387</v>
      </c>
      <c r="F1" s="11" t="s">
        <v>388</v>
      </c>
      <c r="G1" s="11" t="s">
        <v>434</v>
      </c>
      <c r="H1" s="11" t="s">
        <v>433</v>
      </c>
      <c r="I1" s="11" t="s">
        <v>425</v>
      </c>
      <c r="J1" s="11" t="s">
        <v>437</v>
      </c>
      <c r="K1" s="11" t="s">
        <v>426</v>
      </c>
      <c r="L1" s="11" t="s">
        <v>429</v>
      </c>
      <c r="M1" s="11" t="s">
        <v>430</v>
      </c>
    </row>
    <row r="2" spans="1:13" x14ac:dyDescent="0.2">
      <c r="A2" t="s">
        <v>344</v>
      </c>
      <c r="B2" s="6" t="s">
        <v>14</v>
      </c>
      <c r="C2" s="9" t="s">
        <v>348</v>
      </c>
      <c r="D2" s="10">
        <v>1</v>
      </c>
      <c r="E2" s="14">
        <v>21.79354166666667</v>
      </c>
      <c r="F2" s="11">
        <v>21.5275</v>
      </c>
      <c r="G2" s="11">
        <v>23.24</v>
      </c>
      <c r="H2" s="11">
        <v>34.46</v>
      </c>
      <c r="I2" s="11"/>
      <c r="J2" s="11">
        <v>22.23</v>
      </c>
      <c r="L2" s="19">
        <v>0</v>
      </c>
      <c r="M2" s="19">
        <v>0</v>
      </c>
    </row>
    <row r="3" spans="1:13" x14ac:dyDescent="0.2">
      <c r="A3" t="s">
        <v>344</v>
      </c>
      <c r="B3" s="6" t="s">
        <v>15</v>
      </c>
      <c r="C3" s="9" t="s">
        <v>350</v>
      </c>
      <c r="D3" s="10">
        <v>2</v>
      </c>
      <c r="E3" s="14">
        <v>22.418571428571429</v>
      </c>
      <c r="F3" s="11">
        <v>34.683333333333337</v>
      </c>
      <c r="G3" s="11">
        <v>42.24</v>
      </c>
      <c r="H3" s="11">
        <v>27.18</v>
      </c>
      <c r="I3" s="11"/>
      <c r="J3" s="11">
        <v>47.56</v>
      </c>
      <c r="L3" s="19">
        <v>0</v>
      </c>
      <c r="M3" s="19">
        <v>0</v>
      </c>
    </row>
    <row r="4" spans="1:13" x14ac:dyDescent="0.2">
      <c r="A4" t="s">
        <v>344</v>
      </c>
      <c r="B4" s="6" t="s">
        <v>16</v>
      </c>
      <c r="C4" s="9" t="s">
        <v>351</v>
      </c>
      <c r="D4" s="10">
        <v>3</v>
      </c>
      <c r="E4" s="14">
        <v>21.502083333333331</v>
      </c>
      <c r="F4" s="11">
        <v>19.962</v>
      </c>
      <c r="G4" s="11">
        <v>21.47</v>
      </c>
      <c r="H4" s="11">
        <v>32.15</v>
      </c>
      <c r="I4" s="11"/>
      <c r="J4" s="11">
        <v>20.72</v>
      </c>
      <c r="L4" s="19">
        <v>0</v>
      </c>
      <c r="M4" s="19">
        <v>0</v>
      </c>
    </row>
    <row r="5" spans="1:13" x14ac:dyDescent="0.2">
      <c r="A5" t="s">
        <v>344</v>
      </c>
      <c r="B5" s="6" t="s">
        <v>17</v>
      </c>
      <c r="C5" s="9" t="s">
        <v>352</v>
      </c>
      <c r="D5" s="10">
        <v>4</v>
      </c>
      <c r="E5" s="14">
        <v>23.866136363636361</v>
      </c>
      <c r="F5" s="11">
        <v>21.994</v>
      </c>
      <c r="G5" s="11">
        <v>20.36</v>
      </c>
      <c r="H5" s="11">
        <v>41.17</v>
      </c>
      <c r="I5" s="11"/>
      <c r="J5" s="11">
        <v>24.86</v>
      </c>
      <c r="L5" s="19">
        <v>0</v>
      </c>
      <c r="M5" s="19">
        <v>0</v>
      </c>
    </row>
    <row r="6" spans="1:13" x14ac:dyDescent="0.2">
      <c r="A6" t="s">
        <v>344</v>
      </c>
      <c r="B6" s="6" t="s">
        <v>18</v>
      </c>
      <c r="C6" s="9" t="s">
        <v>371</v>
      </c>
      <c r="D6" s="10">
        <v>5</v>
      </c>
      <c r="E6" s="14">
        <v>38.906666666666666</v>
      </c>
      <c r="F6" s="11">
        <v>38</v>
      </c>
      <c r="G6" s="11">
        <v>61.75</v>
      </c>
      <c r="H6" s="11" t="s">
        <v>424</v>
      </c>
      <c r="I6" s="11"/>
      <c r="J6" s="11">
        <v>0</v>
      </c>
      <c r="L6" s="19">
        <v>0</v>
      </c>
      <c r="M6" s="19">
        <v>0</v>
      </c>
    </row>
    <row r="7" spans="1:13" x14ac:dyDescent="0.2">
      <c r="A7" t="s">
        <v>344</v>
      </c>
      <c r="B7" s="6" t="s">
        <v>19</v>
      </c>
      <c r="C7" s="9" t="s">
        <v>349</v>
      </c>
      <c r="D7" s="10">
        <v>6</v>
      </c>
      <c r="E7" s="14">
        <v>50.789285714285704</v>
      </c>
      <c r="F7" s="11">
        <v>71.103333333333339</v>
      </c>
      <c r="G7" s="11">
        <v>76.540000000000006</v>
      </c>
      <c r="H7" s="11">
        <v>59.78</v>
      </c>
      <c r="I7" s="11"/>
      <c r="J7" s="11">
        <v>44.68</v>
      </c>
      <c r="L7" s="19">
        <v>0</v>
      </c>
      <c r="M7" s="19">
        <v>0</v>
      </c>
    </row>
    <row r="8" spans="1:13" x14ac:dyDescent="0.2">
      <c r="A8" t="s">
        <v>344</v>
      </c>
      <c r="B8" s="6" t="s">
        <v>20</v>
      </c>
      <c r="C8" s="9" t="s">
        <v>353</v>
      </c>
      <c r="D8" s="10">
        <v>7</v>
      </c>
      <c r="E8" s="14">
        <v>66.67</v>
      </c>
      <c r="F8">
        <v>0</v>
      </c>
      <c r="G8" s="11"/>
      <c r="H8" s="11" t="s">
        <v>424</v>
      </c>
      <c r="I8" s="11"/>
      <c r="J8" s="11"/>
      <c r="L8" s="19">
        <v>0</v>
      </c>
      <c r="M8" s="19">
        <v>0</v>
      </c>
    </row>
    <row r="9" spans="1:13" x14ac:dyDescent="0.2">
      <c r="A9" t="s">
        <v>345</v>
      </c>
      <c r="B9" s="6" t="s">
        <v>21</v>
      </c>
      <c r="C9" s="9" t="s">
        <v>354</v>
      </c>
      <c r="D9" s="10">
        <v>2</v>
      </c>
      <c r="E9" s="14">
        <v>15.186875000000001</v>
      </c>
      <c r="F9" s="11">
        <v>11.25</v>
      </c>
      <c r="G9" s="11">
        <v>10.27</v>
      </c>
      <c r="H9" s="11">
        <v>11.48</v>
      </c>
      <c r="I9" s="11">
        <v>9.9600000000000009</v>
      </c>
      <c r="J9" s="11"/>
      <c r="L9" s="19">
        <v>-0.57763061074319355</v>
      </c>
      <c r="M9" s="19">
        <v>-0.32257614860128719</v>
      </c>
    </row>
    <row r="10" spans="1:13" x14ac:dyDescent="0.2">
      <c r="A10" t="s">
        <v>345</v>
      </c>
      <c r="B10" s="6" t="s">
        <v>22</v>
      </c>
      <c r="C10" s="9" t="s">
        <v>355</v>
      </c>
      <c r="D10" s="10">
        <v>1</v>
      </c>
      <c r="E10" s="14">
        <v>21.733750000000001</v>
      </c>
      <c r="F10" s="11">
        <v>19.29</v>
      </c>
      <c r="G10" s="11">
        <v>19.32</v>
      </c>
      <c r="H10" s="11">
        <v>24.83</v>
      </c>
      <c r="I10" s="11">
        <v>21.54</v>
      </c>
      <c r="J10" s="11"/>
      <c r="L10" s="19">
        <v>-0.27945443993035413</v>
      </c>
      <c r="M10" s="19">
        <v>-2.7435497901711304E-3</v>
      </c>
    </row>
    <row r="11" spans="1:13" x14ac:dyDescent="0.2">
      <c r="A11" t="s">
        <v>345</v>
      </c>
      <c r="B11" s="6" t="s">
        <v>23</v>
      </c>
      <c r="C11" s="9" t="s">
        <v>356</v>
      </c>
      <c r="D11" s="10">
        <v>1</v>
      </c>
      <c r="E11" s="14">
        <v>11.574285714285713</v>
      </c>
      <c r="F11" s="11">
        <v>11.78</v>
      </c>
      <c r="G11" s="11">
        <v>9.42</v>
      </c>
      <c r="H11" s="11">
        <v>11</v>
      </c>
      <c r="I11" s="11">
        <v>9.58</v>
      </c>
      <c r="J11" s="11"/>
      <c r="L11" s="19">
        <v>-0.6807893209518282</v>
      </c>
      <c r="M11" s="19">
        <v>-0.46891212583457048</v>
      </c>
    </row>
    <row r="12" spans="1:13" x14ac:dyDescent="0.2">
      <c r="A12" t="s">
        <v>345</v>
      </c>
      <c r="B12" s="6" t="s">
        <v>24</v>
      </c>
      <c r="C12" s="9" t="s">
        <v>357</v>
      </c>
      <c r="D12" s="10">
        <v>3</v>
      </c>
      <c r="E12" s="14">
        <v>29.157142857142855</v>
      </c>
      <c r="F12" s="11">
        <v>21.886000000000003</v>
      </c>
      <c r="G12" s="11">
        <v>21.06</v>
      </c>
      <c r="H12" s="11">
        <v>27.08</v>
      </c>
      <c r="I12" s="11">
        <v>27.8</v>
      </c>
      <c r="J12" s="11"/>
      <c r="L12" s="19">
        <v>-0.15769828926905133</v>
      </c>
      <c r="M12" s="19">
        <v>0.35601478262073166</v>
      </c>
    </row>
    <row r="13" spans="1:13" x14ac:dyDescent="0.2">
      <c r="A13" t="s">
        <v>345</v>
      </c>
      <c r="B13" s="6" t="s">
        <v>25</v>
      </c>
      <c r="C13" s="9" t="s">
        <v>358</v>
      </c>
      <c r="D13" s="10">
        <v>4</v>
      </c>
      <c r="E13" s="14">
        <v>32.017999999999994</v>
      </c>
      <c r="F13" s="11">
        <v>27.174999999999997</v>
      </c>
      <c r="G13" s="11">
        <v>27.9</v>
      </c>
      <c r="H13" s="11">
        <v>35.86</v>
      </c>
      <c r="I13" s="11">
        <v>29.1</v>
      </c>
      <c r="J13" s="11"/>
      <c r="L13" s="19">
        <v>-0.12897741073597285</v>
      </c>
      <c r="M13" s="19">
        <v>0.34156612164439903</v>
      </c>
    </row>
    <row r="14" spans="1:13" x14ac:dyDescent="0.2">
      <c r="A14" t="s">
        <v>345</v>
      </c>
      <c r="B14" s="6" t="s">
        <v>26</v>
      </c>
      <c r="C14" s="9" t="s">
        <v>359</v>
      </c>
      <c r="D14" s="10">
        <v>5</v>
      </c>
      <c r="E14" s="14">
        <v>37.214999999999996</v>
      </c>
      <c r="F14" s="11">
        <v>32.962500000000006</v>
      </c>
      <c r="G14" s="11">
        <v>31.7</v>
      </c>
      <c r="H14" s="11">
        <v>37.06</v>
      </c>
      <c r="I14" s="11">
        <v>32.200000000000003</v>
      </c>
      <c r="J14" s="11"/>
      <c r="L14" s="19">
        <v>0</v>
      </c>
      <c r="M14" s="19">
        <v>-4.3480123372172809E-2</v>
      </c>
    </row>
    <row r="15" spans="1:13" x14ac:dyDescent="0.2">
      <c r="A15" t="s">
        <v>345</v>
      </c>
      <c r="B15" s="6" t="s">
        <v>27</v>
      </c>
      <c r="C15" s="9" t="s">
        <v>360</v>
      </c>
      <c r="D15" s="10">
        <v>8</v>
      </c>
      <c r="E15" s="14">
        <v>41.616666666666667</v>
      </c>
      <c r="F15">
        <v>0</v>
      </c>
      <c r="G15" s="11"/>
      <c r="H15" s="11">
        <v>44.84</v>
      </c>
      <c r="I15" s="11">
        <v>38.869999999999997</v>
      </c>
      <c r="J15" s="11"/>
      <c r="L15" s="19">
        <v>0</v>
      </c>
      <c r="M15" s="19">
        <v>0</v>
      </c>
    </row>
    <row r="16" spans="1:13" x14ac:dyDescent="0.2">
      <c r="A16" t="s">
        <v>345</v>
      </c>
      <c r="B16" s="6" t="s">
        <v>28</v>
      </c>
      <c r="C16" s="9" t="s">
        <v>361</v>
      </c>
      <c r="D16" s="10">
        <v>6</v>
      </c>
      <c r="E16" s="14">
        <v>70.614999999999995</v>
      </c>
      <c r="F16" s="11">
        <v>42.928571428571431</v>
      </c>
      <c r="G16" s="11"/>
      <c r="H16" s="11">
        <v>78.06</v>
      </c>
      <c r="I16" s="11">
        <v>55.5</v>
      </c>
      <c r="J16" s="11"/>
      <c r="L16" s="19">
        <v>0</v>
      </c>
      <c r="M16" s="19">
        <v>0.39035229590042914</v>
      </c>
    </row>
    <row r="17" spans="1:13" x14ac:dyDescent="0.2">
      <c r="A17" t="s">
        <v>346</v>
      </c>
      <c r="B17" s="6" t="s">
        <v>29</v>
      </c>
      <c r="C17" s="9" t="s">
        <v>362</v>
      </c>
      <c r="D17" s="10">
        <v>2</v>
      </c>
      <c r="E17" s="14">
        <v>25</v>
      </c>
      <c r="F17" s="11">
        <v>24.18</v>
      </c>
      <c r="G17" s="11"/>
      <c r="H17" s="11"/>
      <c r="I17" s="11"/>
      <c r="J17" s="11"/>
      <c r="K17" s="11">
        <v>29.11</v>
      </c>
      <c r="L17" s="19">
        <v>0</v>
      </c>
      <c r="M17" s="19">
        <v>0.11514688077486775</v>
      </c>
    </row>
    <row r="18" spans="1:13" x14ac:dyDescent="0.2">
      <c r="A18" t="s">
        <v>346</v>
      </c>
      <c r="B18" s="6" t="s">
        <v>30</v>
      </c>
      <c r="C18" s="9" t="s">
        <v>385</v>
      </c>
      <c r="D18" s="10">
        <v>1</v>
      </c>
      <c r="E18" s="14">
        <v>21.0625</v>
      </c>
      <c r="F18" s="11">
        <v>16.872499999999999</v>
      </c>
      <c r="G18" s="11"/>
      <c r="H18" s="11"/>
      <c r="I18" s="11"/>
      <c r="J18" s="11"/>
      <c r="K18" s="11">
        <v>23.12</v>
      </c>
      <c r="L18" s="19">
        <v>0</v>
      </c>
      <c r="M18" s="19">
        <v>-3.3543958932787943E-2</v>
      </c>
    </row>
    <row r="19" spans="1:13" x14ac:dyDescent="0.2">
      <c r="A19" t="s">
        <v>346</v>
      </c>
      <c r="B19" s="6" t="s">
        <v>31</v>
      </c>
      <c r="C19" s="9" t="s">
        <v>364</v>
      </c>
      <c r="D19" s="10">
        <v>1</v>
      </c>
      <c r="E19" s="14">
        <v>36.32</v>
      </c>
      <c r="F19" s="11">
        <v>33.06</v>
      </c>
      <c r="G19" s="11"/>
      <c r="H19" s="11"/>
      <c r="I19" s="11"/>
      <c r="J19" s="11"/>
      <c r="K19" s="11">
        <v>40.82</v>
      </c>
      <c r="L19" s="19">
        <v>0</v>
      </c>
      <c r="M19" s="19">
        <v>0.66654876731447554</v>
      </c>
    </row>
    <row r="20" spans="1:13" x14ac:dyDescent="0.2">
      <c r="A20" t="s">
        <v>346</v>
      </c>
      <c r="B20" s="6" t="s">
        <v>32</v>
      </c>
      <c r="C20" s="9" t="s">
        <v>365</v>
      </c>
      <c r="D20" s="10">
        <v>3</v>
      </c>
      <c r="E20" s="14">
        <v>81.447499999999991</v>
      </c>
      <c r="F20" s="11">
        <v>62.33</v>
      </c>
      <c r="G20" s="11"/>
      <c r="H20" s="11"/>
      <c r="I20" s="11"/>
      <c r="J20" s="11"/>
      <c r="K20" s="11">
        <v>105.39</v>
      </c>
      <c r="L20" s="19">
        <v>0</v>
      </c>
      <c r="M20" s="19">
        <v>2.787888770467978</v>
      </c>
    </row>
    <row r="21" spans="1:13" x14ac:dyDescent="0.2">
      <c r="A21" t="s">
        <v>346</v>
      </c>
      <c r="B21" s="6" t="s">
        <v>33</v>
      </c>
      <c r="C21" s="9" t="s">
        <v>366</v>
      </c>
      <c r="D21" s="10">
        <v>3</v>
      </c>
      <c r="E21" s="14">
        <v>28.720000000000002</v>
      </c>
      <c r="F21" s="11">
        <v>29.96</v>
      </c>
      <c r="G21" s="11"/>
      <c r="H21" s="11"/>
      <c r="I21" s="11"/>
      <c r="J21" s="11"/>
      <c r="K21" s="11">
        <v>32.340000000000003</v>
      </c>
      <c r="L21" s="19">
        <v>0</v>
      </c>
      <c r="M21" s="19">
        <v>0.33568452669315013</v>
      </c>
    </row>
    <row r="22" spans="1:13" x14ac:dyDescent="0.2">
      <c r="A22" t="s">
        <v>346</v>
      </c>
      <c r="B22" s="6" t="s">
        <v>34</v>
      </c>
      <c r="C22" s="9" t="s">
        <v>367</v>
      </c>
      <c r="D22" s="10">
        <v>5</v>
      </c>
      <c r="E22" s="14">
        <v>71.692499999999995</v>
      </c>
      <c r="F22" s="11">
        <v>70.319999999999993</v>
      </c>
      <c r="G22" s="11"/>
      <c r="H22" s="11"/>
      <c r="I22" s="11"/>
      <c r="J22" s="11"/>
      <c r="K22" s="11">
        <v>75.88</v>
      </c>
      <c r="L22" s="19">
        <v>0</v>
      </c>
      <c r="M22" s="19">
        <v>0.84267906100068535</v>
      </c>
    </row>
    <row r="23" spans="1:13" x14ac:dyDescent="0.2">
      <c r="A23" t="s">
        <v>346</v>
      </c>
      <c r="B23" s="6" t="s">
        <v>35</v>
      </c>
      <c r="C23" s="9" t="s">
        <v>368</v>
      </c>
      <c r="D23" s="10">
        <v>5</v>
      </c>
      <c r="E23" s="14">
        <v>81.342500000000001</v>
      </c>
      <c r="F23" s="11">
        <v>78.734999999999999</v>
      </c>
      <c r="G23" s="11"/>
      <c r="H23" s="11"/>
      <c r="I23" s="11"/>
      <c r="J23" s="11"/>
      <c r="K23" s="11">
        <v>92.68</v>
      </c>
      <c r="L23" s="19">
        <v>0</v>
      </c>
      <c r="M23" s="19">
        <v>1.0907085332419466</v>
      </c>
    </row>
    <row r="24" spans="1:13" x14ac:dyDescent="0.2">
      <c r="A24" t="s">
        <v>346</v>
      </c>
      <c r="B24" s="6" t="s">
        <v>36</v>
      </c>
      <c r="C24" s="9" t="s">
        <v>369</v>
      </c>
      <c r="D24" s="10">
        <v>6</v>
      </c>
      <c r="E24" s="14">
        <v>105.39</v>
      </c>
      <c r="F24" s="11">
        <v>129.12</v>
      </c>
      <c r="G24" s="11"/>
      <c r="H24" s="11"/>
      <c r="I24" s="11"/>
      <c r="J24" s="11"/>
      <c r="K24" s="11">
        <v>105.39</v>
      </c>
      <c r="L24" s="19">
        <v>0</v>
      </c>
      <c r="M24" s="19">
        <v>1.0750439490893753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2494-4DD7-4FDE-BF13-64AC27EEEA27}">
  <dimension ref="A1:F8"/>
  <sheetViews>
    <sheetView showGridLines="0" workbookViewId="0">
      <selection activeCell="I16" sqref="I16"/>
    </sheetView>
  </sheetViews>
  <sheetFormatPr baseColWidth="10" defaultColWidth="8.83203125" defaultRowHeight="15" x14ac:dyDescent="0.2"/>
  <cols>
    <col min="1" max="1" width="18" bestFit="1" customWidth="1"/>
    <col min="2" max="2" width="33" bestFit="1" customWidth="1"/>
    <col min="3" max="4" width="32" bestFit="1" customWidth="1"/>
    <col min="5" max="6" width="21" bestFit="1" customWidth="1"/>
    <col min="7" max="7" width="27.6640625" bestFit="1" customWidth="1"/>
  </cols>
  <sheetData>
    <row r="1" spans="1:6" x14ac:dyDescent="0.2">
      <c r="A1" s="4" t="s">
        <v>370</v>
      </c>
      <c r="B1" s="5">
        <v>1</v>
      </c>
    </row>
    <row r="3" spans="1:6" x14ac:dyDescent="0.2">
      <c r="A3" s="4" t="s">
        <v>390</v>
      </c>
      <c r="B3" t="s">
        <v>427</v>
      </c>
      <c r="C3" t="s">
        <v>435</v>
      </c>
      <c r="D3" t="s">
        <v>436</v>
      </c>
      <c r="E3" t="s">
        <v>392</v>
      </c>
      <c r="F3" t="s">
        <v>389</v>
      </c>
    </row>
    <row r="4" spans="1:6" x14ac:dyDescent="0.2">
      <c r="A4" s="5" t="s">
        <v>345</v>
      </c>
      <c r="B4" s="14"/>
      <c r="C4" s="14"/>
      <c r="D4" s="14"/>
      <c r="E4" s="14"/>
      <c r="F4" s="14"/>
    </row>
    <row r="5" spans="1:6" x14ac:dyDescent="0.2">
      <c r="A5" s="20" t="s">
        <v>356</v>
      </c>
      <c r="B5" s="14">
        <v>9.58</v>
      </c>
      <c r="C5" s="14">
        <v>9.42</v>
      </c>
      <c r="D5" s="14">
        <v>11</v>
      </c>
      <c r="E5" s="14">
        <v>11.78</v>
      </c>
      <c r="F5" s="14">
        <v>11.574285714285713</v>
      </c>
    </row>
    <row r="6" spans="1:6" x14ac:dyDescent="0.2">
      <c r="A6" s="20" t="s">
        <v>355</v>
      </c>
      <c r="B6" s="14">
        <v>21.54</v>
      </c>
      <c r="C6" s="14">
        <v>19.32</v>
      </c>
      <c r="D6" s="14">
        <v>24.83</v>
      </c>
      <c r="E6" s="14">
        <v>19.29</v>
      </c>
      <c r="F6" s="14">
        <v>21.733750000000001</v>
      </c>
    </row>
    <row r="7" spans="1:6" x14ac:dyDescent="0.2">
      <c r="A7" s="5" t="s">
        <v>344</v>
      </c>
      <c r="B7" s="14"/>
      <c r="C7" s="14"/>
      <c r="D7" s="14"/>
      <c r="E7" s="14"/>
      <c r="F7" s="14"/>
    </row>
    <row r="8" spans="1:6" x14ac:dyDescent="0.2">
      <c r="A8" s="20" t="s">
        <v>348</v>
      </c>
      <c r="B8" s="14"/>
      <c r="C8" s="14">
        <v>23.24</v>
      </c>
      <c r="D8" s="14">
        <v>34.46</v>
      </c>
      <c r="E8" s="14">
        <v>21.5275</v>
      </c>
      <c r="F8" s="14">
        <v>21.79354166666667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8B65-DC55-4E31-A70A-617E62098C58}">
  <dimension ref="A1:E6"/>
  <sheetViews>
    <sheetView showGridLines="0" workbookViewId="0">
      <selection activeCell="L18" sqref="L18"/>
    </sheetView>
  </sheetViews>
  <sheetFormatPr baseColWidth="10" defaultColWidth="8.83203125" defaultRowHeight="15" x14ac:dyDescent="0.2"/>
  <cols>
    <col min="1" max="1" width="18" bestFit="1" customWidth="1"/>
    <col min="2" max="2" width="33.5" bestFit="1" customWidth="1"/>
    <col min="3" max="3" width="32" bestFit="1" customWidth="1"/>
    <col min="4" max="4" width="31" bestFit="1" customWidth="1"/>
    <col min="5" max="5" width="27.6640625" bestFit="1" customWidth="1"/>
  </cols>
  <sheetData>
    <row r="1" spans="1:5" x14ac:dyDescent="0.2">
      <c r="A1" s="4" t="s">
        <v>370</v>
      </c>
      <c r="B1" s="5">
        <v>3</v>
      </c>
    </row>
    <row r="2" spans="1:5" x14ac:dyDescent="0.2">
      <c r="A2" s="4" t="s">
        <v>343</v>
      </c>
      <c r="B2" t="s">
        <v>428</v>
      </c>
    </row>
    <row r="4" spans="1:5" x14ac:dyDescent="0.2">
      <c r="A4" s="4" t="s">
        <v>390</v>
      </c>
      <c r="B4" s="14" t="s">
        <v>435</v>
      </c>
      <c r="C4" t="s">
        <v>436</v>
      </c>
      <c r="D4" s="22" t="s">
        <v>431</v>
      </c>
      <c r="E4" s="22" t="s">
        <v>432</v>
      </c>
    </row>
    <row r="5" spans="1:5" x14ac:dyDescent="0.2">
      <c r="A5" s="5" t="s">
        <v>357</v>
      </c>
      <c r="B5" s="14">
        <v>21.06</v>
      </c>
      <c r="C5" s="14">
        <v>27.08</v>
      </c>
      <c r="D5" s="22">
        <v>-0.15769828926905133</v>
      </c>
      <c r="E5" s="22">
        <v>0.35601478262073166</v>
      </c>
    </row>
    <row r="6" spans="1:5" x14ac:dyDescent="0.2">
      <c r="A6" s="5" t="s">
        <v>351</v>
      </c>
      <c r="B6" s="14">
        <v>21.47</v>
      </c>
      <c r="C6" s="14">
        <v>32.15</v>
      </c>
      <c r="D6" s="22">
        <v>0</v>
      </c>
      <c r="E6" s="22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0 m y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k 0 m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J s l Q o i k e 4 D g A A A B E A A A A T A B w A R m 9 y b X V s Y X M v U 2 V j d G l v b j E u b S C i G A A o o B Q A A A A A A A A A A A A A A A A A A A A A A A A A A A A r T k 0 u y c z P U w i G 0 I b W A F B L A Q I t A B Q A A g A I A J N J s l T s 6 f T k p A A A A P Y A A A A S A A A A A A A A A A A A A A A A A A A A A A B D b 2 5 m a W c v U G F j a 2 F n Z S 5 4 b W x Q S w E C L Q A U A A I A C A C T S b J U D 8 r p q 6 Q A A A D p A A A A E w A A A A A A A A A A A A A A A A D w A A A A W 0 N v b n R l b n R f V H l w Z X N d L n h t b F B L A Q I t A B Q A A g A I A J N J s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E O / 3 6 1 X M Q p 6 q 7 9 a x x / 7 G A A A A A A I A A A A A A A N m A A D A A A A A E A A A A D l p A h v x L b 0 6 + 9 v y o p u 4 M P E A A A A A B I A A A K A A A A A Q A A A A x G e y 5 G B f u Y V n H T J M V Y H 7 h V A A A A B n n f v 9 i J R c l p Q y e N t M j k B W / Y G q E t T f N 6 l X F W k H G A y p C w G 6 j R n L S h 9 V V h X Y / 2 6 v o 4 + a v u w J B z z z t O h V D 7 U H Y i L n V O d K k A 3 9 g y L 6 E b D n A G q I y h Q A A A A A 5 o p T E F A Q k a U p 1 7 w y 6 r x 3 j r v S D w = = < / D a t a M a s h u p > 
</file>

<file path=customXml/itemProps1.xml><?xml version="1.0" encoding="utf-8"?>
<ds:datastoreItem xmlns:ds="http://schemas.openxmlformats.org/officeDocument/2006/customXml" ds:itemID="{9ED64A1A-78B1-46E8-97F3-F0C0F01248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Planilha2</vt:lpstr>
      <vt:lpstr>Geral</vt:lpstr>
      <vt:lpstr>Base 1</vt:lpstr>
      <vt:lpstr>Prices 2021</vt:lpstr>
      <vt:lpstr>Planilha1</vt:lpstr>
      <vt:lpstr>Base 2 - Ajustado Média</vt:lpstr>
      <vt:lpstr>Planilha4</vt:lpstr>
      <vt:lpstr>Graphics Only web database</vt:lpstr>
      <vt:lpstr>% Only web database</vt:lpstr>
      <vt:lpstr>Planilha3</vt:lpstr>
      <vt:lpstr>Surveys coming from</vt:lpstr>
      <vt:lpstr>General Analyses</vt:lpstr>
      <vt:lpstr>% Variation</vt:lpstr>
      <vt:lpstr>price2021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Maxwel  Coura Oliveira</cp:lastModifiedBy>
  <dcterms:created xsi:type="dcterms:W3CDTF">2022-05-17T12:40:14Z</dcterms:created>
  <dcterms:modified xsi:type="dcterms:W3CDTF">2022-06-20T18:49:56Z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