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OneDrive - Australian National University\Caesium Lab Data 2\"/>
    </mc:Choice>
  </mc:AlternateContent>
  <xr:revisionPtr revIDLastSave="0" documentId="13_ncr:1_{A59E503B-1A9F-4F2A-A9AF-68B59BACC715}" xr6:coauthVersionLast="46" xr6:coauthVersionMax="46" xr10:uidLastSave="{00000000-0000-0000-0000-000000000000}"/>
  <bookViews>
    <workbookView xWindow="-110" yWindow="-110" windowWidth="19420" windowHeight="10560" xr2:uid="{5AC5178B-5830-413A-AF0F-99CB8C6FBF5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" i="1" l="1"/>
  <c r="H4" i="2"/>
  <c r="H3" i="2"/>
  <c r="I4" i="2"/>
  <c r="I3" i="2"/>
  <c r="I2" i="2"/>
  <c r="H2" i="2"/>
  <c r="C2" i="2"/>
  <c r="G4" i="2"/>
  <c r="G3" i="2"/>
  <c r="G2" i="2"/>
  <c r="F4" i="2"/>
  <c r="F3" i="2"/>
  <c r="C4" i="2"/>
  <c r="B4" i="2"/>
  <c r="E3" i="2"/>
  <c r="D3" i="2"/>
  <c r="C3" i="2"/>
  <c r="B3" i="2"/>
  <c r="F2" i="2"/>
  <c r="B2" i="2"/>
  <c r="G65" i="1"/>
  <c r="G63" i="1"/>
  <c r="G64" i="1"/>
  <c r="F64" i="1"/>
  <c r="F63" i="1"/>
  <c r="F65" i="1" s="1"/>
  <c r="G61" i="1"/>
  <c r="G60" i="1"/>
  <c r="G59" i="1"/>
  <c r="F61" i="1"/>
  <c r="F60" i="1"/>
  <c r="F59" i="1"/>
  <c r="E65" i="1"/>
  <c r="E64" i="1"/>
  <c r="E63" i="1"/>
  <c r="E60" i="1"/>
  <c r="E59" i="1"/>
  <c r="G45" i="1"/>
  <c r="G44" i="1"/>
  <c r="G43" i="1"/>
  <c r="F45" i="1"/>
  <c r="E45" i="1"/>
  <c r="E30" i="1"/>
  <c r="D30" i="1"/>
  <c r="F44" i="1"/>
  <c r="E44" i="1"/>
  <c r="F43" i="1"/>
  <c r="E43" i="1"/>
  <c r="F29" i="1"/>
  <c r="F28" i="1"/>
  <c r="E29" i="1"/>
  <c r="D29" i="1"/>
  <c r="D28" i="1"/>
  <c r="E28" i="1"/>
  <c r="C72" i="1"/>
  <c r="C69" i="1"/>
  <c r="C66" i="1"/>
  <c r="C63" i="1"/>
  <c r="C60" i="1"/>
  <c r="C52" i="1"/>
  <c r="C49" i="1"/>
  <c r="C47" i="1"/>
  <c r="C45" i="1"/>
  <c r="B78" i="1"/>
  <c r="C78" i="1" s="1"/>
  <c r="A78" i="1"/>
  <c r="B75" i="1"/>
  <c r="A75" i="1"/>
  <c r="B72" i="1"/>
  <c r="A72" i="1"/>
  <c r="B69" i="1"/>
  <c r="A69" i="1"/>
  <c r="B66" i="1"/>
  <c r="A66" i="1"/>
  <c r="B63" i="1"/>
  <c r="A63" i="1"/>
  <c r="B60" i="1"/>
  <c r="A60" i="1"/>
  <c r="C55" i="1"/>
  <c r="B55" i="1"/>
  <c r="A55" i="1"/>
  <c r="B52" i="1"/>
  <c r="A52" i="1"/>
  <c r="B49" i="1"/>
  <c r="A49" i="1"/>
  <c r="B47" i="1"/>
  <c r="A47" i="1"/>
  <c r="B45" i="1"/>
  <c r="A45" i="1"/>
  <c r="B43" i="1"/>
  <c r="A43" i="1"/>
  <c r="B38" i="1"/>
  <c r="A38" i="1"/>
  <c r="B35" i="1"/>
  <c r="A35" i="1"/>
  <c r="B32" i="1"/>
  <c r="A32" i="1"/>
  <c r="B30" i="1"/>
  <c r="A30" i="1"/>
  <c r="B28" i="1"/>
  <c r="A28" i="1"/>
  <c r="C22" i="1"/>
  <c r="B22" i="1"/>
  <c r="A22" i="1"/>
  <c r="A16" i="1"/>
  <c r="A19" i="1"/>
  <c r="C16" i="1"/>
  <c r="B16" i="1"/>
  <c r="B19" i="1"/>
  <c r="D4" i="1"/>
  <c r="B13" i="1"/>
  <c r="A13" i="1"/>
  <c r="A10" i="1"/>
  <c r="B7" i="1"/>
  <c r="A7" i="1"/>
  <c r="F30" i="1" l="1"/>
</calcChain>
</file>

<file path=xl/sharedStrings.xml><?xml version="1.0" encoding="utf-8"?>
<sst xmlns="http://schemas.openxmlformats.org/spreadsheetml/2006/main" count="96" uniqueCount="43">
  <si>
    <t>DoubleDipFile</t>
  </si>
  <si>
    <t>omega</t>
  </si>
  <si>
    <t>uncert</t>
  </si>
  <si>
    <t>f33</t>
  </si>
  <si>
    <t>f34</t>
  </si>
  <si>
    <t>f33-f34</t>
  </si>
  <si>
    <t>Base Frequency</t>
  </si>
  <si>
    <t>percent</t>
  </si>
  <si>
    <t>timePerWaveLength</t>
  </si>
  <si>
    <t>freqPerTime</t>
  </si>
  <si>
    <t>Times by this to get our plots in frequency</t>
  </si>
  <si>
    <t>freqPerW.l</t>
  </si>
  <si>
    <t>Now lets look at the other files</t>
  </si>
  <si>
    <t>Small Peak</t>
  </si>
  <si>
    <t>f32</t>
  </si>
  <si>
    <t>f32+f33</t>
  </si>
  <si>
    <t>Period</t>
  </si>
  <si>
    <t>second dip data</t>
  </si>
  <si>
    <t>f33+f34s</t>
  </si>
  <si>
    <t>f34s</t>
  </si>
  <si>
    <t>first dip data</t>
  </si>
  <si>
    <t>f43</t>
  </si>
  <si>
    <t>f43Plusf44</t>
  </si>
  <si>
    <t>f44</t>
  </si>
  <si>
    <t>f44Plusf45</t>
  </si>
  <si>
    <t>f45</t>
  </si>
  <si>
    <t>Omega</t>
  </si>
  <si>
    <t>Percent</t>
  </si>
  <si>
    <t>f33-f32</t>
  </si>
  <si>
    <t>time</t>
  </si>
  <si>
    <t>waveLengths</t>
  </si>
  <si>
    <t>frequency</t>
  </si>
  <si>
    <t>wavelength</t>
  </si>
  <si>
    <t>f43-44</t>
  </si>
  <si>
    <t>f44-f45</t>
  </si>
  <si>
    <t>F=2-3</t>
  </si>
  <si>
    <t>F=3-4</t>
  </si>
  <si>
    <t>F=4-5</t>
  </si>
  <si>
    <t>data1</t>
  </si>
  <si>
    <t>data2</t>
  </si>
  <si>
    <t>avg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</si>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</sst>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E+00"/>
  </numFmts>
  <fonts count="2" x14ac:knownFonts="1">
    <font>
      <sz val="11"/>
      <color theme="1"/>
      <name val="Calibri"/>
      <family val="2"/>
      <scheme val="minor"/>
    </font>
    <font>
      <sz val="6"/>
      <color rgb="FF9DA5B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55E3-8CF1-4338-9B90-6DC548A3F14F}">
  <dimension ref="A1:G78"/>
  <sheetViews>
    <sheetView tabSelected="1" topLeftCell="A74" zoomScale="145" zoomScaleNormal="145" workbookViewId="0">
      <selection activeCell="A78" sqref="A78"/>
    </sheetView>
  </sheetViews>
  <sheetFormatPr defaultRowHeight="14.5" x14ac:dyDescent="0.35"/>
  <cols>
    <col min="1" max="1" width="15.7265625" customWidth="1"/>
    <col min="2" max="2" width="12" bestFit="1" customWidth="1"/>
    <col min="3" max="3" width="9" bestFit="1" customWidth="1"/>
    <col min="4" max="4" width="11.08984375" bestFit="1" customWidth="1"/>
    <col min="5" max="5" width="11.81640625" bestFit="1" customWidth="1"/>
    <col min="6" max="6" width="11.90625" bestFit="1" customWidth="1"/>
  </cols>
  <sheetData>
    <row r="1" spans="1:4" x14ac:dyDescent="0.35">
      <c r="A1" t="s">
        <v>0</v>
      </c>
    </row>
    <row r="3" spans="1:4" x14ac:dyDescent="0.35">
      <c r="A3" t="s">
        <v>1</v>
      </c>
      <c r="B3" t="s">
        <v>2</v>
      </c>
      <c r="D3" t="s">
        <v>6</v>
      </c>
    </row>
    <row r="4" spans="1:4" x14ac:dyDescent="0.35">
      <c r="A4">
        <v>2845.64</v>
      </c>
      <c r="B4">
        <v>1.42022E-2</v>
      </c>
      <c r="D4">
        <f>9.19*10^(9)</f>
        <v>9190000000</v>
      </c>
    </row>
    <row r="6" spans="1:4" x14ac:dyDescent="0.35">
      <c r="A6" t="s">
        <v>3</v>
      </c>
      <c r="B6" t="s">
        <v>2</v>
      </c>
    </row>
    <row r="7" spans="1:4" x14ac:dyDescent="0.35">
      <c r="A7">
        <f>0.0188487105795174</f>
        <v>1.8848710579517401E-2</v>
      </c>
      <c r="B7">
        <f>0.000150181879003459</f>
        <v>1.5018187900345899E-4</v>
      </c>
    </row>
    <row r="9" spans="1:4" x14ac:dyDescent="0.35">
      <c r="A9" t="s">
        <v>4</v>
      </c>
      <c r="B9" t="s">
        <v>2</v>
      </c>
    </row>
    <row r="10" spans="1:4" x14ac:dyDescent="0.35">
      <c r="A10">
        <f>-0.0327291420538433</f>
        <v>-3.2729142053843301E-2</v>
      </c>
      <c r="B10">
        <v>1.00819330994812E-4</v>
      </c>
    </row>
    <row r="12" spans="1:4" x14ac:dyDescent="0.35">
      <c r="A12" t="s">
        <v>5</v>
      </c>
      <c r="B12" t="s">
        <v>2</v>
      </c>
    </row>
    <row r="13" spans="1:4" x14ac:dyDescent="0.35">
      <c r="A13">
        <f>A7-A10</f>
        <v>5.1577852633360705E-2</v>
      </c>
      <c r="B13">
        <f>B10+B7</f>
        <v>2.5100120999827099E-4</v>
      </c>
    </row>
    <row r="15" spans="1:4" x14ac:dyDescent="0.35">
      <c r="A15" t="s">
        <v>9</v>
      </c>
      <c r="B15" t="s">
        <v>2</v>
      </c>
      <c r="C15" t="s">
        <v>7</v>
      </c>
    </row>
    <row r="16" spans="1:4" x14ac:dyDescent="0.35">
      <c r="A16">
        <f>D4/A13</f>
        <v>178177251102.84799</v>
      </c>
      <c r="B16">
        <f>(D4/(A13-B13)-D4/(A13+B13))/2</f>
        <v>867111802.88043213</v>
      </c>
      <c r="C16">
        <f>B16/A16 * 100</f>
        <v>0.48665685294466426</v>
      </c>
      <c r="D16" t="s">
        <v>10</v>
      </c>
    </row>
    <row r="18" spans="1:6" x14ac:dyDescent="0.35">
      <c r="A18" t="s">
        <v>8</v>
      </c>
      <c r="B18" t="s">
        <v>2</v>
      </c>
    </row>
    <row r="19" spans="1:6" x14ac:dyDescent="0.35">
      <c r="A19">
        <f>2*PI()/A4</f>
        <v>2.208004282755228E-3</v>
      </c>
      <c r="B19" s="1">
        <f>(2*PI()/(A4-B4)-2*PI()/(A4+B4))/2</f>
        <v>1.1019847354293635E-8</v>
      </c>
      <c r="C19" s="1"/>
    </row>
    <row r="21" spans="1:6" x14ac:dyDescent="0.35">
      <c r="A21" t="s">
        <v>11</v>
      </c>
      <c r="B21" t="s">
        <v>2</v>
      </c>
      <c r="C21" t="s">
        <v>7</v>
      </c>
    </row>
    <row r="22" spans="1:6" x14ac:dyDescent="0.35">
      <c r="A22">
        <f>A19*A16</f>
        <v>393416133.52464205</v>
      </c>
      <c r="B22" s="1">
        <f>((A19+B19)*(A16+B16)-(A19-B19)*(A16-B16))/2</f>
        <v>1916550.0604968071</v>
      </c>
      <c r="C22" s="1">
        <f>B22/A22 * 100</f>
        <v>0.4871559392662177</v>
      </c>
    </row>
    <row r="24" spans="1:6" x14ac:dyDescent="0.35">
      <c r="A24" t="s">
        <v>12</v>
      </c>
    </row>
    <row r="26" spans="1:6" x14ac:dyDescent="0.35">
      <c r="A26" t="s">
        <v>13</v>
      </c>
    </row>
    <row r="27" spans="1:6" x14ac:dyDescent="0.35">
      <c r="A27" t="s">
        <v>14</v>
      </c>
      <c r="B27" t="s">
        <v>2</v>
      </c>
      <c r="D27" t="s">
        <v>28</v>
      </c>
      <c r="E27" t="s">
        <v>2</v>
      </c>
      <c r="F27" t="s">
        <v>7</v>
      </c>
    </row>
    <row r="28" spans="1:6" x14ac:dyDescent="0.35">
      <c r="A28">
        <f>0.0174430496561407</f>
        <v>1.7443049656140699E-2</v>
      </c>
      <c r="B28">
        <f>0.0000629936539790393</f>
        <v>6.2993653979039296E-5</v>
      </c>
      <c r="C28" t="s">
        <v>29</v>
      </c>
      <c r="D28">
        <f>A32-A28</f>
        <v>1.3767878122531996E-3</v>
      </c>
      <c r="E28">
        <f>B28+B32</f>
        <v>1.5873983515712089E-4</v>
      </c>
      <c r="F28">
        <f>E28/D28* 100</f>
        <v>11.529724024599927</v>
      </c>
    </row>
    <row r="29" spans="1:6" x14ac:dyDescent="0.35">
      <c r="A29" t="s">
        <v>15</v>
      </c>
      <c r="B29" t="s">
        <v>2</v>
      </c>
      <c r="C29" t="s">
        <v>30</v>
      </c>
      <c r="D29">
        <f>D28*1/A38</f>
        <v>0.63528327279946517</v>
      </c>
      <c r="E29">
        <f>((D28+E28)*1/(A38-B38)-(D28-E28)*1/(A38+B38))/2</f>
        <v>7.3394227068102724E-2</v>
      </c>
      <c r="F29">
        <f>E29/D29* 100</f>
        <v>11.552992217893717</v>
      </c>
    </row>
    <row r="30" spans="1:6" x14ac:dyDescent="0.35">
      <c r="A30">
        <f>0.0181878674084046</f>
        <v>1.8187867408404602E-2</v>
      </c>
      <c r="B30">
        <f>0.0000778589757342229</f>
        <v>7.7858975734222896E-5</v>
      </c>
      <c r="C30" t="s">
        <v>31</v>
      </c>
      <c r="D30">
        <f>D29*$A$22</f>
        <v>249930688.877646</v>
      </c>
      <c r="E30" s="1">
        <f>((D29+E29)*($A$22+$B$22) - (D29-E29)*($A$22-$B$22))/2</f>
        <v>30092025.231079027</v>
      </c>
      <c r="F30">
        <f>E30/D30* 100</f>
        <v>12.040148157159935</v>
      </c>
    </row>
    <row r="31" spans="1:6" x14ac:dyDescent="0.35">
      <c r="A31" t="s">
        <v>3</v>
      </c>
      <c r="B31" t="s">
        <v>2</v>
      </c>
    </row>
    <row r="32" spans="1:6" x14ac:dyDescent="0.35">
      <c r="A32" s="2">
        <f>0.0188198374683939</f>
        <v>1.8819837468393899E-2</v>
      </c>
      <c r="B32">
        <f>0.0000957461811780816</f>
        <v>9.5746181178081599E-5</v>
      </c>
    </row>
    <row r="34" spans="1:7" x14ac:dyDescent="0.35">
      <c r="A34" t="s">
        <v>1</v>
      </c>
      <c r="B34" t="s">
        <v>2</v>
      </c>
    </row>
    <row r="35" spans="1:7" x14ac:dyDescent="0.35">
      <c r="A35">
        <f>2899.21401833014</f>
        <v>2899.2140183301399</v>
      </c>
      <c r="B35">
        <f>0.674576551970003</f>
        <v>0.67457655197000299</v>
      </c>
    </row>
    <row r="37" spans="1:7" x14ac:dyDescent="0.35">
      <c r="A37" t="s">
        <v>16</v>
      </c>
      <c r="B37" t="s">
        <v>2</v>
      </c>
    </row>
    <row r="38" spans="1:7" x14ac:dyDescent="0.35">
      <c r="A38">
        <f>2*PI()/A35</f>
        <v>2.1672029962101634E-3</v>
      </c>
      <c r="B38">
        <f>(2*PI()/(A35-B35) - 2*PI()/(A35+B35))/2</f>
        <v>5.0425542733501146E-7</v>
      </c>
    </row>
    <row r="40" spans="1:7" x14ac:dyDescent="0.35">
      <c r="A40" t="s">
        <v>17</v>
      </c>
    </row>
    <row r="42" spans="1:7" x14ac:dyDescent="0.35">
      <c r="A42" t="s">
        <v>15</v>
      </c>
      <c r="B42" t="s">
        <v>2</v>
      </c>
      <c r="E42" t="s">
        <v>5</v>
      </c>
      <c r="F42" t="s">
        <v>2</v>
      </c>
      <c r="G42" t="s">
        <v>27</v>
      </c>
    </row>
    <row r="43" spans="1:7" x14ac:dyDescent="0.35">
      <c r="A43">
        <f>0.143367577259322</f>
        <v>0.143367577259322</v>
      </c>
      <c r="B43">
        <f>0.0000297738550834152</f>
        <v>2.9773855083415201E-5</v>
      </c>
      <c r="D43" t="s">
        <v>29</v>
      </c>
      <c r="E43">
        <f>A49-A45</f>
        <v>5.7076092211100216E-4</v>
      </c>
      <c r="F43">
        <f>B45+B49</f>
        <v>9.6390406328827996E-5</v>
      </c>
      <c r="G43">
        <f>F43/E43 * 100</f>
        <v>16.888052877257405</v>
      </c>
    </row>
    <row r="44" spans="1:7" x14ac:dyDescent="0.35">
      <c r="A44" t="s">
        <v>3</v>
      </c>
      <c r="B44" t="s">
        <v>2</v>
      </c>
      <c r="C44" t="s">
        <v>27</v>
      </c>
      <c r="D44" t="s">
        <v>32</v>
      </c>
      <c r="E44">
        <f>E43*1/A55</f>
        <v>0.56942363581040278</v>
      </c>
      <c r="F44">
        <f>((E43+F43)*1/(A55-B55)-(E43-F43)*1/(A55+B55))/2</f>
        <v>9.6233979247263013E-2</v>
      </c>
      <c r="G44">
        <f>F44/E44 * 100</f>
        <v>16.900243192452482</v>
      </c>
    </row>
    <row r="45" spans="1:7" x14ac:dyDescent="0.35">
      <c r="A45">
        <f>0.143605482342414</f>
        <v>0.14360548234241399</v>
      </c>
      <c r="B45">
        <f>0.0000385512645486105</f>
        <v>3.85512645486105E-5</v>
      </c>
      <c r="C45">
        <f>B45/A45 * 100</f>
        <v>2.6845259609719199E-2</v>
      </c>
      <c r="D45" t="s">
        <v>31</v>
      </c>
      <c r="E45" s="1">
        <f>E44*$A$22</f>
        <v>224020445.13807258</v>
      </c>
      <c r="F45" s="1">
        <f>((E44+F44)*($A$22+$B$22) - (E44-F44)*($A$22-$B$22))/2</f>
        <v>38951328.932809606</v>
      </c>
      <c r="G45">
        <f>F45/E45 * 100</f>
        <v>17.387399131718702</v>
      </c>
    </row>
    <row r="46" spans="1:7" x14ac:dyDescent="0.35">
      <c r="A46" t="s">
        <v>18</v>
      </c>
      <c r="B46" t="s">
        <v>2</v>
      </c>
    </row>
    <row r="47" spans="1:7" x14ac:dyDescent="0.35">
      <c r="A47" s="2">
        <f>0.143906103355007</f>
        <v>0.143906103355007</v>
      </c>
      <c r="B47">
        <f>0.000027908995954657</f>
        <v>2.7908995954657001E-5</v>
      </c>
      <c r="C47">
        <f>B47/A47 * 100</f>
        <v>1.9393893173389125E-2</v>
      </c>
    </row>
    <row r="48" spans="1:7" x14ac:dyDescent="0.35">
      <c r="A48" t="s">
        <v>19</v>
      </c>
      <c r="B48" t="s">
        <v>2</v>
      </c>
    </row>
    <row r="49" spans="1:7" x14ac:dyDescent="0.35">
      <c r="A49">
        <f>0.144176243264525</f>
        <v>0.14417624326452499</v>
      </c>
      <c r="B49">
        <f xml:space="preserve"> 0.0000578391417802175</f>
        <v>5.7839141780217503E-5</v>
      </c>
      <c r="C49">
        <f>B49/A49 * 100</f>
        <v>4.0116971056110881E-2</v>
      </c>
    </row>
    <row r="50" spans="1:7" x14ac:dyDescent="0.35">
      <c r="F50" s="1"/>
    </row>
    <row r="51" spans="1:7" x14ac:dyDescent="0.35">
      <c r="A51" t="s">
        <v>1</v>
      </c>
      <c r="B51" t="s">
        <v>2</v>
      </c>
    </row>
    <row r="52" spans="1:7" x14ac:dyDescent="0.35">
      <c r="A52">
        <f>6268.46387599901</f>
        <v>6268.4638759990103</v>
      </c>
      <c r="B52">
        <f>0.764129750795881</f>
        <v>0.76412975079588097</v>
      </c>
      <c r="C52">
        <f>B52/A52 * 100</f>
        <v>1.2190063880269246E-2</v>
      </c>
    </row>
    <row r="54" spans="1:7" x14ac:dyDescent="0.35">
      <c r="A54" t="s">
        <v>16</v>
      </c>
      <c r="B54" t="s">
        <v>2</v>
      </c>
      <c r="C54" t="s">
        <v>7</v>
      </c>
    </row>
    <row r="55" spans="1:7" x14ac:dyDescent="0.35">
      <c r="A55">
        <f>2*PI()/A52</f>
        <v>1.002348491029348E-3</v>
      </c>
      <c r="B55">
        <f>(2*PI()/(A52-B52)-2*PI()/(A52+B52))/2</f>
        <v>1.2218692317504144E-7</v>
      </c>
      <c r="C55">
        <f>B55/A55 * 100</f>
        <v>1.2190064061408748E-2</v>
      </c>
    </row>
    <row r="57" spans="1:7" x14ac:dyDescent="0.35">
      <c r="A57" t="s">
        <v>20</v>
      </c>
    </row>
    <row r="58" spans="1:7" x14ac:dyDescent="0.35">
      <c r="E58" t="s">
        <v>33</v>
      </c>
      <c r="F58" t="s">
        <v>2</v>
      </c>
      <c r="G58" t="s">
        <v>7</v>
      </c>
    </row>
    <row r="59" spans="1:7" x14ac:dyDescent="0.35">
      <c r="A59" t="s">
        <v>21</v>
      </c>
      <c r="B59" t="s">
        <v>2</v>
      </c>
      <c r="D59" t="s">
        <v>29</v>
      </c>
      <c r="E59">
        <f>A66-A60</f>
        <v>5.0678042861000694E-4</v>
      </c>
      <c r="F59">
        <f>B60+B66</f>
        <v>1.2348442172139919E-4</v>
      </c>
      <c r="G59">
        <f>F59/E59 * 100</f>
        <v>24.366454336070397</v>
      </c>
    </row>
    <row r="60" spans="1:7" x14ac:dyDescent="0.35">
      <c r="A60">
        <f>0.118712547831183</f>
        <v>0.118712547831183</v>
      </c>
      <c r="B60">
        <f>0.0000362318360172016</f>
        <v>3.6231836017201599E-5</v>
      </c>
      <c r="C60">
        <f>B60/A60 * 100</f>
        <v>3.0520645609195107E-2</v>
      </c>
      <c r="D60" t="s">
        <v>32</v>
      </c>
      <c r="E60">
        <f>E59/A78</f>
        <v>0.48267328313685415</v>
      </c>
      <c r="F60">
        <f>((E59+F59)/($A$78-$B$78)-(E59-F59)/($A$78+$B$78))/2</f>
        <v>0.11830828263811172</v>
      </c>
      <c r="G60">
        <f>F60/E60 * 100</f>
        <v>24.511048523182364</v>
      </c>
    </row>
    <row r="61" spans="1:7" x14ac:dyDescent="0.35">
      <c r="D61" t="s">
        <v>31</v>
      </c>
      <c r="E61" s="1">
        <f>E60*A22</f>
        <v>189891456.80734596</v>
      </c>
      <c r="F61" s="1">
        <f>((E60+F60)*($A$22+$B$22)-(E60-F60)*($A$22-$B$22))/2</f>
        <v>47469454.629422575</v>
      </c>
      <c r="G61">
        <f>F61/E61 * 100</f>
        <v>24.99820446244858</v>
      </c>
    </row>
    <row r="62" spans="1:7" x14ac:dyDescent="0.35">
      <c r="A62" t="s">
        <v>22</v>
      </c>
      <c r="B62" t="s">
        <v>2</v>
      </c>
      <c r="E62" t="s">
        <v>34</v>
      </c>
      <c r="F62" t="s">
        <v>2</v>
      </c>
    </row>
    <row r="63" spans="1:7" x14ac:dyDescent="0.35">
      <c r="A63">
        <f>0.118980296409535</f>
        <v>0.118980296409535</v>
      </c>
      <c r="B63">
        <f>0.0000385946070688682</f>
        <v>3.8594607068868201E-5</v>
      </c>
      <c r="C63">
        <f>B63/A63 * 100</f>
        <v>3.2437813851147253E-2</v>
      </c>
      <c r="D63" t="s">
        <v>29</v>
      </c>
      <c r="E63">
        <f>A72-A66</f>
        <v>4.7705105094698885E-4</v>
      </c>
      <c r="F63">
        <f>B66+B72</f>
        <v>1.3536379829390488E-4</v>
      </c>
      <c r="G63">
        <f>F63/E63 * 100</f>
        <v>28.375117930291882</v>
      </c>
    </row>
    <row r="64" spans="1:7" x14ac:dyDescent="0.35">
      <c r="D64" t="s">
        <v>32</v>
      </c>
      <c r="E64">
        <f>E63/A78</f>
        <v>0.45435810853237646</v>
      </c>
      <c r="F64">
        <f>((E63+F63)/($A$78-$B$78)-(E63-F63)/($A$78+$B$78))/2</f>
        <v>0.12958166258885598</v>
      </c>
      <c r="G64">
        <f>F64/E64 * 100</f>
        <v>28.519720492590771</v>
      </c>
    </row>
    <row r="65" spans="1:7" x14ac:dyDescent="0.35">
      <c r="A65" t="s">
        <v>23</v>
      </c>
      <c r="B65" t="s">
        <v>2</v>
      </c>
      <c r="D65" t="s">
        <v>31</v>
      </c>
      <c r="E65" s="1">
        <f>E64*A22</f>
        <v>178751810.29437721</v>
      </c>
      <c r="F65" s="1">
        <f>((E64+F64)*($A$22+$B$22)-(E64-F64)*($A$22-$B$22))/2</f>
        <v>51850316.731797405</v>
      </c>
      <c r="G65">
        <f>F65/E65 * 100</f>
        <v>29.006876431856981</v>
      </c>
    </row>
    <row r="66" spans="1:7" x14ac:dyDescent="0.35">
      <c r="A66">
        <f>0.119219328259793</f>
        <v>0.11921932825979301</v>
      </c>
      <c r="B66">
        <f>0.0000872525857041976</f>
        <v>8.7252585704197596E-5</v>
      </c>
      <c r="C66">
        <f>B66/A66 * 100</f>
        <v>7.318661074323779E-2</v>
      </c>
    </row>
    <row r="68" spans="1:7" x14ac:dyDescent="0.35">
      <c r="A68" t="s">
        <v>24</v>
      </c>
      <c r="B68" t="s">
        <v>2</v>
      </c>
    </row>
    <row r="69" spans="1:7" x14ac:dyDescent="0.35">
      <c r="A69">
        <f>0.119461664371231</f>
        <v>0.119461664371231</v>
      </c>
      <c r="B69">
        <f>0.0000381719436120014</f>
        <v>3.81719436120014E-5</v>
      </c>
      <c r="C69">
        <f>B69/A69 * 100</f>
        <v>3.1953299673927904E-2</v>
      </c>
    </row>
    <row r="71" spans="1:7" x14ac:dyDescent="0.35">
      <c r="A71" t="s">
        <v>25</v>
      </c>
      <c r="B71" t="s">
        <v>2</v>
      </c>
    </row>
    <row r="72" spans="1:7" x14ac:dyDescent="0.35">
      <c r="A72">
        <f>0.11969637931074</f>
        <v>0.11969637931073999</v>
      </c>
      <c r="B72">
        <f>0.0000481112125897073</f>
        <v>4.81112125897073E-5</v>
      </c>
      <c r="C72">
        <f>B72/A72 * 100</f>
        <v>4.0194375858944989E-2</v>
      </c>
    </row>
    <row r="74" spans="1:7" x14ac:dyDescent="0.35">
      <c r="A74" t="s">
        <v>26</v>
      </c>
      <c r="B74" t="s">
        <v>2</v>
      </c>
    </row>
    <row r="75" spans="1:7" x14ac:dyDescent="0.35">
      <c r="A75">
        <f>5984.29913541008</f>
        <v>5984.2991354100805</v>
      </c>
      <c r="B75">
        <f>8.64986604997068</f>
        <v>8.6498660499706794</v>
      </c>
    </row>
    <row r="77" spans="1:7" x14ac:dyDescent="0.35">
      <c r="A77" t="s">
        <v>16</v>
      </c>
      <c r="B77" t="s">
        <v>2</v>
      </c>
      <c r="C77" t="s">
        <v>7</v>
      </c>
    </row>
    <row r="78" spans="1:7" x14ac:dyDescent="0.35">
      <c r="A78">
        <f>2*PI()/A75</f>
        <v>1.0499450587289241E-3</v>
      </c>
      <c r="B78">
        <f>(2*PI()/(A75-B75)-2*PI()/(A75+B75))/2</f>
        <v>1.5176218445596022E-6</v>
      </c>
      <c r="C78">
        <f>B78/A78 * 100</f>
        <v>0.14454297698175303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D7FE1-FCC8-43B1-AA7A-93A43FA923EE}">
  <dimension ref="A1:I4"/>
  <sheetViews>
    <sheetView workbookViewId="0">
      <selection activeCell="H4" sqref="H4"/>
    </sheetView>
  </sheetViews>
  <sheetFormatPr defaultRowHeight="14.5" x14ac:dyDescent="0.35"/>
  <cols>
    <col min="2" max="2" width="11.90625" bestFit="1" customWidth="1"/>
    <col min="3" max="3" width="10.90625" bestFit="1" customWidth="1"/>
    <col min="4" max="4" width="11.90625" bestFit="1" customWidth="1"/>
    <col min="5" max="5" width="9.36328125" bestFit="1" customWidth="1"/>
    <col min="6" max="7" width="11.90625" bestFit="1" customWidth="1"/>
    <col min="8" max="9" width="9.36328125" bestFit="1" customWidth="1"/>
  </cols>
  <sheetData>
    <row r="1" spans="1:9" x14ac:dyDescent="0.35">
      <c r="B1" t="s">
        <v>38</v>
      </c>
      <c r="C1" t="s">
        <v>2</v>
      </c>
      <c r="D1" t="s">
        <v>39</v>
      </c>
      <c r="E1" t="s">
        <v>2</v>
      </c>
      <c r="F1" t="s">
        <v>40</v>
      </c>
      <c r="G1" t="s">
        <v>2</v>
      </c>
      <c r="H1" t="s">
        <v>42</v>
      </c>
      <c r="I1" t="s">
        <v>41</v>
      </c>
    </row>
    <row r="2" spans="1:9" x14ac:dyDescent="0.35">
      <c r="A2" t="s">
        <v>35</v>
      </c>
      <c r="B2" s="1">
        <f>Sheet1!D30</f>
        <v>249930688.877646</v>
      </c>
      <c r="C2" s="1">
        <f>Sheet1!E30</f>
        <v>30092025.231079027</v>
      </c>
      <c r="D2" s="1"/>
      <c r="E2" s="1"/>
      <c r="F2" s="1">
        <f>AVERAGE(B2,D2)</f>
        <v>249930688.877646</v>
      </c>
      <c r="G2" s="1">
        <f>0.5*SQRT(C2^2+E2^2)</f>
        <v>15046012.615539514</v>
      </c>
      <c r="H2" s="1">
        <f>F2-G2</f>
        <v>234884676.26210648</v>
      </c>
      <c r="I2" s="1">
        <f>F2+G2</f>
        <v>264976701.49318552</v>
      </c>
    </row>
    <row r="3" spans="1:9" x14ac:dyDescent="0.35">
      <c r="A3" t="s">
        <v>36</v>
      </c>
      <c r="B3" s="1">
        <f>Sheet1!E45</f>
        <v>224020445.13807258</v>
      </c>
      <c r="C3" s="1">
        <f>Sheet1!F45</f>
        <v>38951328.932809606</v>
      </c>
      <c r="D3" s="1">
        <f>Sheet1!E61</f>
        <v>189891456.80734596</v>
      </c>
      <c r="E3" s="1">
        <f>Sheet1!F61</f>
        <v>47469454.629422575</v>
      </c>
      <c r="F3" s="1">
        <f>AVERAGE(B3,D3)</f>
        <v>206955950.97270927</v>
      </c>
      <c r="G3" s="1">
        <f>0.5*SQRT(C3^2+E3^2)</f>
        <v>30702423.147231959</v>
      </c>
      <c r="H3" s="1">
        <f>F3-G3</f>
        <v>176253527.8254773</v>
      </c>
      <c r="I3" s="1">
        <f>F3+G3</f>
        <v>237658374.11994123</v>
      </c>
    </row>
    <row r="4" spans="1:9" x14ac:dyDescent="0.35">
      <c r="A4" t="s">
        <v>37</v>
      </c>
      <c r="B4" s="1">
        <f>Sheet1!E65</f>
        <v>178751810.29437721</v>
      </c>
      <c r="C4" s="1">
        <f>Sheet1!F65</f>
        <v>51850316.731797405</v>
      </c>
      <c r="D4" s="1"/>
      <c r="E4" s="1"/>
      <c r="F4" s="1">
        <f>AVERAGE(B4,D4)</f>
        <v>178751810.29437721</v>
      </c>
      <c r="G4" s="1">
        <f>0.5*SQRT(C4^2+E4^2)</f>
        <v>25925158.365898702</v>
      </c>
      <c r="H4" s="1">
        <f>F4-G4</f>
        <v>152826651.92847851</v>
      </c>
      <c r="I4" s="1">
        <f>F4+G4</f>
        <v>204676968.66027591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Williams</dc:creator>
  <cp:lastModifiedBy>Maximilian Williams</cp:lastModifiedBy>
  <dcterms:created xsi:type="dcterms:W3CDTF">2021-04-18T12:07:07Z</dcterms:created>
  <dcterms:modified xsi:type="dcterms:W3CDTF">2021-04-19T00:49:34Z</dcterms:modified>
</cp:coreProperties>
</file>