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3r\PycharmProjects\COSMO\hens\"/>
    </mc:Choice>
  </mc:AlternateContent>
  <xr:revisionPtr revIDLastSave="0" documentId="13_ncr:1_{B7B28E78-9FE7-4415-817F-ADFE6B1BD7A5}" xr6:coauthVersionLast="47" xr6:coauthVersionMax="47" xr10:uidLastSave="{00000000-0000-0000-0000-000000000000}"/>
  <bookViews>
    <workbookView xWindow="7815" yWindow="1612" windowWidth="30045" windowHeight="17093" xr2:uid="{55A3D58C-627B-4C9F-A3AC-B99D6961FBEF}"/>
  </bookViews>
  <sheets>
    <sheet name="Sheet1" sheetId="1" r:id="rId1"/>
    <sheet name="Test_case" sheetId="2" r:id="rId2"/>
  </sheets>
  <definedNames>
    <definedName name="ColdUtility">Test_case!$P$8</definedName>
    <definedName name="HotUtility">Test_case!$P$7</definedName>
    <definedName name="MaxRangeHeatFlow">Test_case!$Y$22:$Y$22</definedName>
    <definedName name="MinAppTemp">Test_case!$P$2</definedName>
    <definedName name="MinRangeHeatFlow">Test_case!$Y$21:$Y$21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" i="1" l="1" a="1"/>
  <c r="B49" i="1" s="1"/>
  <c r="B48" i="1"/>
  <c r="A49" i="1" a="1"/>
  <c r="A49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20" i="1"/>
  <c r="H15" i="1"/>
  <c r="H16" i="1"/>
  <c r="H17" i="1"/>
  <c r="H18" i="1"/>
  <c r="H19" i="1"/>
  <c r="H21" i="1"/>
  <c r="H5" i="1"/>
  <c r="H6" i="1"/>
  <c r="H7" i="1"/>
  <c r="H8" i="1"/>
  <c r="H9" i="1"/>
  <c r="H10" i="1"/>
  <c r="H11" i="1"/>
  <c r="H12" i="1"/>
  <c r="H13" i="1"/>
  <c r="H14" i="1"/>
  <c r="V100" i="2"/>
  <c r="R100" i="2"/>
  <c r="S100" i="2" s="1"/>
  <c r="L100" i="2"/>
  <c r="U100" i="2" s="1"/>
  <c r="K100" i="2"/>
  <c r="J100" i="2" a="1"/>
  <c r="J100" i="2" s="1"/>
  <c r="I100" i="2" a="1"/>
  <c r="I100" i="2" s="1"/>
  <c r="V99" i="2"/>
  <c r="R99" i="2"/>
  <c r="S99" i="2" s="1"/>
  <c r="L99" i="2"/>
  <c r="U99" i="2" s="1"/>
  <c r="K99" i="2"/>
  <c r="J99" i="2" a="1"/>
  <c r="J99" i="2" s="1"/>
  <c r="I99" i="2"/>
  <c r="I99" i="2" a="1"/>
  <c r="V98" i="2"/>
  <c r="S98" i="2"/>
  <c r="R98" i="2"/>
  <c r="L98" i="2"/>
  <c r="M98" i="2" s="1"/>
  <c r="K98" i="2"/>
  <c r="J98" i="2"/>
  <c r="J98" i="2" a="1"/>
  <c r="I98" i="2" a="1"/>
  <c r="I98" i="2" s="1"/>
  <c r="V97" i="2"/>
  <c r="R97" i="2"/>
  <c r="S97" i="2" s="1"/>
  <c r="L97" i="2"/>
  <c r="M97" i="2" s="1"/>
  <c r="K97" i="2"/>
  <c r="J97" i="2" a="1"/>
  <c r="J97" i="2" s="1"/>
  <c r="I97" i="2" a="1"/>
  <c r="I97" i="2" s="1"/>
  <c r="V96" i="2"/>
  <c r="R96" i="2"/>
  <c r="S96" i="2" s="1"/>
  <c r="L96" i="2"/>
  <c r="U96" i="2" s="1"/>
  <c r="K96" i="2"/>
  <c r="J96" i="2" a="1"/>
  <c r="J96" i="2" s="1"/>
  <c r="I96" i="2" a="1"/>
  <c r="I96" i="2" s="1"/>
  <c r="V95" i="2"/>
  <c r="S95" i="2"/>
  <c r="R95" i="2"/>
  <c r="L95" i="2"/>
  <c r="U95" i="2" s="1"/>
  <c r="K95" i="2"/>
  <c r="J95" i="2" a="1"/>
  <c r="J95" i="2" s="1"/>
  <c r="I95" i="2" a="1"/>
  <c r="I95" i="2" s="1"/>
  <c r="V94" i="2"/>
  <c r="R94" i="2"/>
  <c r="S94" i="2" s="1"/>
  <c r="L94" i="2"/>
  <c r="M94" i="2" s="1"/>
  <c r="K94" i="2"/>
  <c r="J94" i="2"/>
  <c r="J94" i="2" a="1"/>
  <c r="I94" i="2" a="1"/>
  <c r="I94" i="2" s="1"/>
  <c r="V93" i="2"/>
  <c r="S93" i="2"/>
  <c r="R93" i="2"/>
  <c r="L93" i="2"/>
  <c r="K93" i="2"/>
  <c r="J93" i="2"/>
  <c r="J93" i="2" a="1"/>
  <c r="I93" i="2" a="1"/>
  <c r="I93" i="2" s="1"/>
  <c r="V92" i="2"/>
  <c r="R92" i="2"/>
  <c r="S92" i="2" s="1"/>
  <c r="L92" i="2"/>
  <c r="K92" i="2"/>
  <c r="J92" i="2" a="1"/>
  <c r="J92" i="2" s="1"/>
  <c r="I92" i="2"/>
  <c r="I92" i="2" a="1"/>
  <c r="V91" i="2"/>
  <c r="R91" i="2"/>
  <c r="S91" i="2" s="1"/>
  <c r="M91" i="2"/>
  <c r="L91" i="2"/>
  <c r="U91" i="2" s="1"/>
  <c r="K91" i="2"/>
  <c r="J91" i="2" a="1"/>
  <c r="J91" i="2" s="1"/>
  <c r="I91" i="2"/>
  <c r="I91" i="2" a="1"/>
  <c r="V90" i="2"/>
  <c r="S90" i="2"/>
  <c r="R90" i="2"/>
  <c r="L90" i="2"/>
  <c r="M90" i="2" s="1"/>
  <c r="K90" i="2"/>
  <c r="J90" i="2" a="1"/>
  <c r="J90" i="2" s="1"/>
  <c r="I90" i="2" a="1"/>
  <c r="I90" i="2" s="1"/>
  <c r="V89" i="2"/>
  <c r="R89" i="2"/>
  <c r="S89" i="2" s="1"/>
  <c r="L89" i="2"/>
  <c r="M89" i="2" s="1"/>
  <c r="K89" i="2"/>
  <c r="J89" i="2" a="1"/>
  <c r="J89" i="2" s="1"/>
  <c r="I89" i="2" a="1"/>
  <c r="I89" i="2" s="1"/>
  <c r="V88" i="2"/>
  <c r="R88" i="2"/>
  <c r="S88" i="2" s="1"/>
  <c r="L88" i="2"/>
  <c r="K88" i="2"/>
  <c r="J88" i="2" a="1"/>
  <c r="J88" i="2" s="1"/>
  <c r="I88" i="2" a="1"/>
  <c r="I88" i="2" s="1"/>
  <c r="V87" i="2"/>
  <c r="R87" i="2"/>
  <c r="S87" i="2" s="1"/>
  <c r="L87" i="2"/>
  <c r="K87" i="2"/>
  <c r="J87" i="2" a="1"/>
  <c r="J87" i="2" s="1"/>
  <c r="I87" i="2"/>
  <c r="I87" i="2" a="1"/>
  <c r="V86" i="2"/>
  <c r="U86" i="2"/>
  <c r="R86" i="2"/>
  <c r="S86" i="2" s="1"/>
  <c r="L86" i="2"/>
  <c r="M86" i="2" s="1"/>
  <c r="K86" i="2"/>
  <c r="J86" i="2"/>
  <c r="J86" i="2" a="1"/>
  <c r="I86" i="2" a="1"/>
  <c r="I86" i="2" s="1"/>
  <c r="V85" i="2"/>
  <c r="S85" i="2"/>
  <c r="R85" i="2"/>
  <c r="L85" i="2"/>
  <c r="K85" i="2"/>
  <c r="J85" i="2"/>
  <c r="J85" i="2" a="1"/>
  <c r="I85" i="2" a="1"/>
  <c r="I85" i="2" s="1"/>
  <c r="V84" i="2"/>
  <c r="R84" i="2"/>
  <c r="S84" i="2" s="1"/>
  <c r="L84" i="2"/>
  <c r="U84" i="2" s="1"/>
  <c r="K84" i="2"/>
  <c r="J84" i="2" a="1"/>
  <c r="J84" i="2" s="1"/>
  <c r="I84" i="2" a="1"/>
  <c r="I84" i="2" s="1"/>
  <c r="V83" i="2"/>
  <c r="R83" i="2"/>
  <c r="S83" i="2" s="1"/>
  <c r="L83" i="2"/>
  <c r="U83" i="2" s="1"/>
  <c r="K83" i="2"/>
  <c r="J83" i="2" a="1"/>
  <c r="J83" i="2" s="1"/>
  <c r="I83" i="2" a="1"/>
  <c r="I83" i="2" s="1"/>
  <c r="V82" i="2"/>
  <c r="R82" i="2"/>
  <c r="S82" i="2" s="1"/>
  <c r="L82" i="2"/>
  <c r="U82" i="2" s="1"/>
  <c r="K82" i="2"/>
  <c r="J82" i="2" a="1"/>
  <c r="J82" i="2" s="1"/>
  <c r="I82" i="2" a="1"/>
  <c r="I82" i="2" s="1"/>
  <c r="V81" i="2"/>
  <c r="R81" i="2"/>
  <c r="S81" i="2" s="1"/>
  <c r="L81" i="2"/>
  <c r="K81" i="2"/>
  <c r="J81" i="2" a="1"/>
  <c r="J81" i="2" s="1"/>
  <c r="I81" i="2" a="1"/>
  <c r="I81" i="2" s="1"/>
  <c r="V80" i="2"/>
  <c r="U80" i="2"/>
  <c r="R80" i="2"/>
  <c r="S80" i="2" s="1"/>
  <c r="M80" i="2"/>
  <c r="L80" i="2"/>
  <c r="K80" i="2"/>
  <c r="J80" i="2" a="1"/>
  <c r="J80" i="2" s="1"/>
  <c r="I80" i="2"/>
  <c r="I80" i="2" a="1"/>
  <c r="V79" i="2"/>
  <c r="R79" i="2"/>
  <c r="S79" i="2" s="1"/>
  <c r="L79" i="2"/>
  <c r="U79" i="2" s="1"/>
  <c r="K79" i="2"/>
  <c r="J79" i="2" a="1"/>
  <c r="J79" i="2" s="1"/>
  <c r="I79" i="2" a="1"/>
  <c r="I79" i="2" s="1"/>
  <c r="V78" i="2"/>
  <c r="U78" i="2"/>
  <c r="R78" i="2"/>
  <c r="S78" i="2" s="1"/>
  <c r="L78" i="2"/>
  <c r="M78" i="2" s="1"/>
  <c r="K78" i="2"/>
  <c r="J78" i="2" a="1"/>
  <c r="J78" i="2" s="1"/>
  <c r="I78" i="2" a="1"/>
  <c r="I78" i="2" s="1"/>
  <c r="V77" i="2"/>
  <c r="U77" i="2"/>
  <c r="R77" i="2"/>
  <c r="S77" i="2" s="1"/>
  <c r="L77" i="2"/>
  <c r="M77" i="2" s="1"/>
  <c r="K77" i="2"/>
  <c r="J77" i="2" a="1"/>
  <c r="J77" i="2" s="1"/>
  <c r="I77" i="2" a="1"/>
  <c r="I77" i="2" s="1"/>
  <c r="V76" i="2"/>
  <c r="R76" i="2"/>
  <c r="S76" i="2" s="1"/>
  <c r="L76" i="2"/>
  <c r="M76" i="2" s="1"/>
  <c r="K76" i="2"/>
  <c r="J76" i="2" a="1"/>
  <c r="J76" i="2" s="1"/>
  <c r="I76" i="2" a="1"/>
  <c r="I76" i="2" s="1"/>
  <c r="V75" i="2"/>
  <c r="R75" i="2"/>
  <c r="S75" i="2" s="1"/>
  <c r="L75" i="2"/>
  <c r="U75" i="2" s="1"/>
  <c r="K75" i="2"/>
  <c r="J75" i="2" a="1"/>
  <c r="J75" i="2" s="1"/>
  <c r="I75" i="2" a="1"/>
  <c r="I75" i="2" s="1"/>
  <c r="V74" i="2"/>
  <c r="R74" i="2"/>
  <c r="S74" i="2" s="1"/>
  <c r="L74" i="2"/>
  <c r="U74" i="2" s="1"/>
  <c r="K74" i="2"/>
  <c r="J74" i="2" a="1"/>
  <c r="J74" i="2" s="1"/>
  <c r="I74" i="2" a="1"/>
  <c r="I74" i="2" s="1"/>
  <c r="V73" i="2"/>
  <c r="U73" i="2"/>
  <c r="R73" i="2"/>
  <c r="S73" i="2" s="1"/>
  <c r="L73" i="2"/>
  <c r="M73" i="2" s="1"/>
  <c r="K73" i="2"/>
  <c r="J73" i="2" a="1"/>
  <c r="J73" i="2" s="1"/>
  <c r="I73" i="2" a="1"/>
  <c r="I73" i="2" s="1"/>
  <c r="V72" i="2"/>
  <c r="R72" i="2"/>
  <c r="S72" i="2" s="1"/>
  <c r="L72" i="2"/>
  <c r="M72" i="2" s="1"/>
  <c r="K72" i="2"/>
  <c r="J72" i="2" a="1"/>
  <c r="J72" i="2" s="1"/>
  <c r="I72" i="2" a="1"/>
  <c r="I72" i="2" s="1"/>
  <c r="V71" i="2"/>
  <c r="R71" i="2"/>
  <c r="S71" i="2" s="1"/>
  <c r="L71" i="2"/>
  <c r="U71" i="2" s="1"/>
  <c r="K71" i="2"/>
  <c r="J71" i="2" a="1"/>
  <c r="J71" i="2" s="1"/>
  <c r="I71" i="2" a="1"/>
  <c r="I71" i="2" s="1"/>
  <c r="V70" i="2"/>
  <c r="U70" i="2"/>
  <c r="R70" i="2"/>
  <c r="S70" i="2" s="1"/>
  <c r="M70" i="2"/>
  <c r="L70" i="2"/>
  <c r="K70" i="2"/>
  <c r="J70" i="2" a="1"/>
  <c r="J70" i="2" s="1"/>
  <c r="I70" i="2" a="1"/>
  <c r="I70" i="2" s="1"/>
  <c r="V69" i="2"/>
  <c r="U69" i="2"/>
  <c r="R69" i="2"/>
  <c r="S69" i="2" s="1"/>
  <c r="L69" i="2"/>
  <c r="M69" i="2" s="1"/>
  <c r="K69" i="2"/>
  <c r="J69" i="2" a="1"/>
  <c r="J69" i="2" s="1"/>
  <c r="I69" i="2" a="1"/>
  <c r="I69" i="2" s="1"/>
  <c r="V68" i="2"/>
  <c r="R68" i="2"/>
  <c r="S68" i="2" s="1"/>
  <c r="L68" i="2"/>
  <c r="U68" i="2" s="1"/>
  <c r="K68" i="2"/>
  <c r="J68" i="2" a="1"/>
  <c r="J68" i="2" s="1"/>
  <c r="I68" i="2" a="1"/>
  <c r="I68" i="2" s="1"/>
  <c r="V67" i="2"/>
  <c r="R67" i="2"/>
  <c r="S67" i="2" s="1"/>
  <c r="L67" i="2"/>
  <c r="U67" i="2" s="1"/>
  <c r="K67" i="2"/>
  <c r="J67" i="2" a="1"/>
  <c r="J67" i="2" s="1"/>
  <c r="I67" i="2" a="1"/>
  <c r="I67" i="2" s="1"/>
  <c r="V66" i="2"/>
  <c r="S66" i="2"/>
  <c r="R66" i="2"/>
  <c r="L66" i="2"/>
  <c r="K66" i="2"/>
  <c r="J66" i="2"/>
  <c r="J66" i="2" a="1"/>
  <c r="I66" i="2" a="1"/>
  <c r="I66" i="2" s="1"/>
  <c r="V65" i="2"/>
  <c r="R65" i="2"/>
  <c r="S65" i="2" s="1"/>
  <c r="L65" i="2"/>
  <c r="U65" i="2" s="1"/>
  <c r="K65" i="2"/>
  <c r="J65" i="2" a="1"/>
  <c r="J65" i="2" s="1"/>
  <c r="I65" i="2" a="1"/>
  <c r="I65" i="2" s="1"/>
  <c r="V64" i="2"/>
  <c r="R64" i="2"/>
  <c r="S64" i="2" s="1"/>
  <c r="L64" i="2"/>
  <c r="M64" i="2" s="1"/>
  <c r="K64" i="2"/>
  <c r="J64" i="2" a="1"/>
  <c r="J64" i="2" s="1"/>
  <c r="I64" i="2" a="1"/>
  <c r="I64" i="2" s="1"/>
  <c r="V63" i="2"/>
  <c r="U63" i="2"/>
  <c r="R63" i="2"/>
  <c r="S63" i="2" s="1"/>
  <c r="M63" i="2"/>
  <c r="L63" i="2"/>
  <c r="K63" i="2"/>
  <c r="J63" i="2" a="1"/>
  <c r="J63" i="2" s="1"/>
  <c r="I63" i="2" a="1"/>
  <c r="I63" i="2" s="1"/>
  <c r="V62" i="2"/>
  <c r="R62" i="2"/>
  <c r="S62" i="2" s="1"/>
  <c r="L62" i="2"/>
  <c r="K62" i="2"/>
  <c r="J62" i="2" a="1"/>
  <c r="J62" i="2" s="1"/>
  <c r="I62" i="2"/>
  <c r="I62" i="2" a="1"/>
  <c r="V61" i="2"/>
  <c r="U61" i="2"/>
  <c r="R61" i="2"/>
  <c r="S61" i="2" s="1"/>
  <c r="L61" i="2"/>
  <c r="M61" i="2" s="1"/>
  <c r="K61" i="2"/>
  <c r="J61" i="2" a="1"/>
  <c r="J61" i="2" s="1"/>
  <c r="I61" i="2" a="1"/>
  <c r="I61" i="2" s="1"/>
  <c r="V60" i="2"/>
  <c r="R60" i="2"/>
  <c r="S60" i="2" s="1"/>
  <c r="L60" i="2"/>
  <c r="M60" i="2" s="1"/>
  <c r="K60" i="2"/>
  <c r="J60" i="2" a="1"/>
  <c r="J60" i="2" s="1"/>
  <c r="I60" i="2" a="1"/>
  <c r="I60" i="2" s="1"/>
  <c r="V59" i="2"/>
  <c r="R59" i="2"/>
  <c r="S59" i="2" s="1"/>
  <c r="L59" i="2"/>
  <c r="U59" i="2" s="1"/>
  <c r="K59" i="2"/>
  <c r="J59" i="2" a="1"/>
  <c r="J59" i="2" s="1"/>
  <c r="I59" i="2" a="1"/>
  <c r="I59" i="2" s="1"/>
  <c r="V58" i="2"/>
  <c r="R58" i="2"/>
  <c r="S58" i="2" s="1"/>
  <c r="L58" i="2"/>
  <c r="K58" i="2"/>
  <c r="J58" i="2" a="1"/>
  <c r="J58" i="2" s="1"/>
  <c r="I58" i="2" a="1"/>
  <c r="I58" i="2" s="1"/>
  <c r="V57" i="2"/>
  <c r="R57" i="2"/>
  <c r="S57" i="2" s="1"/>
  <c r="L57" i="2"/>
  <c r="U57" i="2" s="1"/>
  <c r="K57" i="2"/>
  <c r="J57" i="2" a="1"/>
  <c r="J57" i="2" s="1"/>
  <c r="I57" i="2" a="1"/>
  <c r="I57" i="2" s="1"/>
  <c r="V56" i="2"/>
  <c r="R56" i="2"/>
  <c r="S56" i="2" s="1"/>
  <c r="M56" i="2"/>
  <c r="L56" i="2"/>
  <c r="U56" i="2" s="1"/>
  <c r="K56" i="2"/>
  <c r="J56" i="2" a="1"/>
  <c r="J56" i="2" s="1"/>
  <c r="I56" i="2" a="1"/>
  <c r="I56" i="2" s="1"/>
  <c r="V55" i="2"/>
  <c r="U55" i="2"/>
  <c r="S55" i="2"/>
  <c r="R55" i="2"/>
  <c r="L55" i="2"/>
  <c r="M55" i="2" s="1"/>
  <c r="K55" i="2"/>
  <c r="J55" i="2"/>
  <c r="J55" i="2" a="1"/>
  <c r="I55" i="2" a="1"/>
  <c r="I55" i="2" s="1"/>
  <c r="V54" i="2"/>
  <c r="R54" i="2"/>
  <c r="S54" i="2" s="1"/>
  <c r="L54" i="2"/>
  <c r="K54" i="2"/>
  <c r="J54" i="2" a="1"/>
  <c r="J54" i="2" s="1"/>
  <c r="I54" i="2"/>
  <c r="I54" i="2" a="1"/>
  <c r="V53" i="2"/>
  <c r="R53" i="2"/>
  <c r="S53" i="2" s="1"/>
  <c r="M53" i="2"/>
  <c r="L53" i="2"/>
  <c r="U53" i="2" s="1"/>
  <c r="K53" i="2"/>
  <c r="J53" i="2" a="1"/>
  <c r="J53" i="2" s="1"/>
  <c r="I53" i="2"/>
  <c r="I53" i="2" a="1"/>
  <c r="V52" i="2"/>
  <c r="U52" i="2"/>
  <c r="R52" i="2"/>
  <c r="S52" i="2" s="1"/>
  <c r="L52" i="2"/>
  <c r="M52" i="2" s="1"/>
  <c r="K52" i="2"/>
  <c r="J52" i="2" a="1"/>
  <c r="J52" i="2" s="1"/>
  <c r="I52" i="2" a="1"/>
  <c r="I52" i="2" s="1"/>
  <c r="V51" i="2"/>
  <c r="U51" i="2"/>
  <c r="S51" i="2"/>
  <c r="R51" i="2"/>
  <c r="L51" i="2"/>
  <c r="M51" i="2" s="1"/>
  <c r="K51" i="2"/>
  <c r="J51" i="2"/>
  <c r="J51" i="2" a="1"/>
  <c r="I51" i="2" a="1"/>
  <c r="I51" i="2" s="1"/>
  <c r="V50" i="2"/>
  <c r="U50" i="2"/>
  <c r="R50" i="2"/>
  <c r="S50" i="2" s="1"/>
  <c r="L50" i="2"/>
  <c r="M50" i="2" s="1"/>
  <c r="K50" i="2"/>
  <c r="J50" i="2" a="1"/>
  <c r="J50" i="2" s="1"/>
  <c r="I50" i="2" a="1"/>
  <c r="I50" i="2" s="1"/>
  <c r="V49" i="2"/>
  <c r="R49" i="2"/>
  <c r="S49" i="2" s="1"/>
  <c r="L49" i="2"/>
  <c r="M49" i="2" s="1"/>
  <c r="K49" i="2"/>
  <c r="J49" i="2" a="1"/>
  <c r="J49" i="2" s="1"/>
  <c r="I49" i="2" a="1"/>
  <c r="I49" i="2" s="1"/>
  <c r="V48" i="2"/>
  <c r="R48" i="2"/>
  <c r="S48" i="2" s="1"/>
  <c r="L48" i="2"/>
  <c r="K48" i="2"/>
  <c r="J48" i="2" a="1"/>
  <c r="J48" i="2" s="1"/>
  <c r="I48" i="2"/>
  <c r="I48" i="2" a="1"/>
  <c r="V47" i="2"/>
  <c r="U47" i="2"/>
  <c r="R47" i="2"/>
  <c r="S47" i="2" s="1"/>
  <c r="L47" i="2"/>
  <c r="M47" i="2" s="1"/>
  <c r="K47" i="2"/>
  <c r="J47" i="2" a="1"/>
  <c r="J47" i="2" s="1"/>
  <c r="I47" i="2" a="1"/>
  <c r="I47" i="2" s="1"/>
  <c r="AN27" i="2"/>
  <c r="AN27" i="2" a="1"/>
  <c r="AM27" i="2" a="1"/>
  <c r="AM27" i="2" s="1"/>
  <c r="AL27" i="2" a="1"/>
  <c r="AL27" i="2" s="1"/>
  <c r="AJ27" i="2" a="1"/>
  <c r="AJ27" i="2" s="1"/>
  <c r="AI27" i="2" a="1"/>
  <c r="AI27" i="2" s="1"/>
  <c r="AH27" i="2" a="1"/>
  <c r="AH27" i="2" s="1"/>
  <c r="H27" i="2" a="1"/>
  <c r="M22" i="2"/>
  <c r="F22" i="2"/>
  <c r="M21" i="2"/>
  <c r="F21" i="2"/>
  <c r="M20" i="2"/>
  <c r="F20" i="2"/>
  <c r="M19" i="2"/>
  <c r="F19" i="2"/>
  <c r="M18" i="2"/>
  <c r="F18" i="2"/>
  <c r="M17" i="2"/>
  <c r="F17" i="2"/>
  <c r="M16" i="2"/>
  <c r="F16" i="2"/>
  <c r="M15" i="2"/>
  <c r="F15" i="2"/>
  <c r="M14" i="2"/>
  <c r="F14" i="2"/>
  <c r="M13" i="2"/>
  <c r="F13" i="2"/>
  <c r="M12" i="2"/>
  <c r="F12" i="2"/>
  <c r="M11" i="2"/>
  <c r="F11" i="2"/>
  <c r="M10" i="2"/>
  <c r="F10" i="2"/>
  <c r="M9" i="2"/>
  <c r="F9" i="2"/>
  <c r="M8" i="2"/>
  <c r="F8" i="2"/>
  <c r="M7" i="2"/>
  <c r="F7" i="2"/>
  <c r="M6" i="2"/>
  <c r="F6" i="2"/>
  <c r="M5" i="2"/>
  <c r="F5" i="2"/>
  <c r="M4" i="2"/>
  <c r="F4" i="2"/>
  <c r="M3" i="2"/>
  <c r="F3" i="2"/>
  <c r="U90" i="2" l="1"/>
  <c r="M59" i="2"/>
  <c r="M65" i="2"/>
  <c r="M71" i="2"/>
  <c r="M74" i="2"/>
  <c r="M82" i="2"/>
  <c r="M84" i="2"/>
  <c r="M95" i="2"/>
  <c r="U98" i="2"/>
  <c r="M99" i="2"/>
  <c r="M100" i="2"/>
  <c r="M57" i="2"/>
  <c r="M67" i="2"/>
  <c r="U89" i="2"/>
  <c r="U94" i="2"/>
  <c r="U49" i="2"/>
  <c r="M75" i="2"/>
  <c r="M79" i="2"/>
  <c r="U97" i="2"/>
  <c r="AI24" i="2"/>
  <c r="AI23" i="2"/>
  <c r="R46" i="2"/>
  <c r="S46" i="2" s="1"/>
  <c r="J46" i="2" a="1"/>
  <c r="J46" i="2" s="1"/>
  <c r="R45" i="2" s="1"/>
  <c r="I44" i="2" a="1"/>
  <c r="I44" i="2" s="1"/>
  <c r="V43" i="2"/>
  <c r="J42" i="2" a="1"/>
  <c r="J42" i="2" s="1"/>
  <c r="I40" i="2" a="1"/>
  <c r="I40" i="2" s="1"/>
  <c r="V39" i="2"/>
  <c r="J38" i="2" a="1"/>
  <c r="J38" i="2" s="1"/>
  <c r="I36" i="2" a="1"/>
  <c r="I36" i="2" s="1"/>
  <c r="V35" i="2"/>
  <c r="J34" i="2" a="1"/>
  <c r="J34" i="2" s="1"/>
  <c r="I32" i="2" a="1"/>
  <c r="I32" i="2" s="1"/>
  <c r="V31" i="2"/>
  <c r="J30" i="2" a="1"/>
  <c r="J30" i="2" s="1"/>
  <c r="V46" i="2"/>
  <c r="J45" i="2" a="1"/>
  <c r="J45" i="2" s="1"/>
  <c r="I43" i="2" a="1"/>
  <c r="I43" i="2" s="1"/>
  <c r="V42" i="2"/>
  <c r="J41" i="2" a="1"/>
  <c r="J41" i="2" s="1"/>
  <c r="I39" i="2" a="1"/>
  <c r="I39" i="2" s="1"/>
  <c r="V38" i="2"/>
  <c r="J37" i="2" a="1"/>
  <c r="J37" i="2" s="1"/>
  <c r="I35" i="2" a="1"/>
  <c r="I35" i="2" s="1"/>
  <c r="V34" i="2"/>
  <c r="J33" i="2" a="1"/>
  <c r="J33" i="2" s="1"/>
  <c r="I31" i="2" a="1"/>
  <c r="I31" i="2" s="1"/>
  <c r="V30" i="2"/>
  <c r="J29" i="2" a="1"/>
  <c r="J29" i="2" s="1"/>
  <c r="V28" i="2"/>
  <c r="H27" i="2"/>
  <c r="J40" i="2" a="1"/>
  <c r="J40" i="2" s="1"/>
  <c r="I38" i="2" a="1"/>
  <c r="I38" i="2" s="1"/>
  <c r="V37" i="2"/>
  <c r="I46" i="2" a="1"/>
  <c r="I46" i="2" s="1"/>
  <c r="V45" i="2"/>
  <c r="J44" i="2" a="1"/>
  <c r="J44" i="2" s="1"/>
  <c r="I42" i="2" a="1"/>
  <c r="I42" i="2" s="1"/>
  <c r="V41" i="2"/>
  <c r="J36" i="2" a="1"/>
  <c r="J36" i="2" s="1"/>
  <c r="I28" i="2" a="1"/>
  <c r="I28" i="2" s="1"/>
  <c r="J32" i="2" a="1"/>
  <c r="J32" i="2" s="1"/>
  <c r="V33" i="2"/>
  <c r="I34" i="2" a="1"/>
  <c r="I34" i="2" s="1"/>
  <c r="I37" i="2" a="1"/>
  <c r="I37" i="2" s="1"/>
  <c r="J43" i="2" a="1"/>
  <c r="J43" i="2" s="1"/>
  <c r="V44" i="2"/>
  <c r="I29" i="2" a="1"/>
  <c r="I29" i="2" s="1"/>
  <c r="J31" i="2" a="1"/>
  <c r="J31" i="2" s="1"/>
  <c r="V32" i="2"/>
  <c r="I33" i="2" a="1"/>
  <c r="I33" i="2" s="1"/>
  <c r="I41" i="2" a="1"/>
  <c r="I41" i="2" s="1"/>
  <c r="O28" i="2" a="1"/>
  <c r="O28" i="2" s="1"/>
  <c r="P28" i="2" s="1"/>
  <c r="J39" i="2" a="1"/>
  <c r="J39" i="2" s="1"/>
  <c r="V40" i="2"/>
  <c r="U48" i="2"/>
  <c r="M48" i="2"/>
  <c r="V29" i="2"/>
  <c r="I30" i="2" a="1"/>
  <c r="I30" i="2" s="1"/>
  <c r="J35" i="2" a="1"/>
  <c r="J35" i="2" s="1"/>
  <c r="V36" i="2"/>
  <c r="I45" i="2" a="1"/>
  <c r="I45" i="2" s="1"/>
  <c r="U54" i="2"/>
  <c r="M54" i="2"/>
  <c r="U58" i="2"/>
  <c r="M58" i="2"/>
  <c r="U88" i="2"/>
  <c r="M88" i="2"/>
  <c r="U62" i="2"/>
  <c r="M62" i="2"/>
  <c r="U66" i="2"/>
  <c r="M66" i="2"/>
  <c r="U92" i="2"/>
  <c r="M92" i="2"/>
  <c r="U60" i="2"/>
  <c r="U64" i="2"/>
  <c r="U76" i="2"/>
  <c r="M85" i="2"/>
  <c r="U85" i="2"/>
  <c r="U72" i="2"/>
  <c r="M81" i="2"/>
  <c r="U81" i="2"/>
  <c r="U87" i="2"/>
  <c r="M87" i="2"/>
  <c r="M93" i="2"/>
  <c r="U93" i="2"/>
  <c r="M68" i="2"/>
  <c r="M83" i="2"/>
  <c r="M96" i="2"/>
  <c r="S45" i="2" l="1"/>
  <c r="R44" i="2"/>
  <c r="J28" i="2" a="1"/>
  <c r="J28" i="2" s="1"/>
  <c r="K28" i="2" s="1"/>
  <c r="O97" i="2" a="1"/>
  <c r="O97" i="2" s="1"/>
  <c r="P97" i="2" s="1"/>
  <c r="O93" i="2" a="1"/>
  <c r="O93" i="2" s="1"/>
  <c r="P93" i="2" s="1"/>
  <c r="O100" i="2" a="1"/>
  <c r="O100" i="2" s="1"/>
  <c r="P100" i="2" s="1"/>
  <c r="O96" i="2" a="1"/>
  <c r="O96" i="2" s="1"/>
  <c r="P96" i="2" s="1"/>
  <c r="O92" i="2" a="1"/>
  <c r="O92" i="2" s="1"/>
  <c r="P92" i="2" s="1"/>
  <c r="O88" i="2" a="1"/>
  <c r="O88" i="2" s="1"/>
  <c r="P88" i="2" s="1"/>
  <c r="O84" i="2" a="1"/>
  <c r="O84" i="2" s="1"/>
  <c r="P84" i="2" s="1"/>
  <c r="O80" i="2" a="1"/>
  <c r="O80" i="2" s="1"/>
  <c r="P80" i="2" s="1"/>
  <c r="O98" i="2" a="1"/>
  <c r="O98" i="2" s="1"/>
  <c r="P98" i="2" s="1"/>
  <c r="O90" i="2" a="1"/>
  <c r="O90" i="2" s="1"/>
  <c r="P90" i="2" s="1"/>
  <c r="O89" i="2" a="1"/>
  <c r="O89" i="2" s="1"/>
  <c r="P89" i="2" s="1"/>
  <c r="O87" i="2" a="1"/>
  <c r="O87" i="2" s="1"/>
  <c r="P87" i="2" s="1"/>
  <c r="O82" i="2" a="1"/>
  <c r="O82" i="2" s="1"/>
  <c r="P82" i="2" s="1"/>
  <c r="O76" i="2" a="1"/>
  <c r="O76" i="2" s="1"/>
  <c r="P76" i="2" s="1"/>
  <c r="O72" i="2" a="1"/>
  <c r="O72" i="2" s="1"/>
  <c r="P72" i="2" s="1"/>
  <c r="O68" i="2" a="1"/>
  <c r="O68" i="2" s="1"/>
  <c r="P68" i="2" s="1"/>
  <c r="O95" i="2" a="1"/>
  <c r="O95" i="2" s="1"/>
  <c r="P95" i="2" s="1"/>
  <c r="O85" i="2" a="1"/>
  <c r="O85" i="2" s="1"/>
  <c r="P85" i="2" s="1"/>
  <c r="O83" i="2" a="1"/>
  <c r="O83" i="2" s="1"/>
  <c r="P83" i="2" s="1"/>
  <c r="O75" i="2" a="1"/>
  <c r="O75" i="2" s="1"/>
  <c r="P75" i="2" s="1"/>
  <c r="O71" i="2" a="1"/>
  <c r="O71" i="2" s="1"/>
  <c r="P71" i="2" s="1"/>
  <c r="O91" i="2" a="1"/>
  <c r="O91" i="2" s="1"/>
  <c r="P91" i="2" s="1"/>
  <c r="O86" i="2" a="1"/>
  <c r="O86" i="2" s="1"/>
  <c r="P86" i="2" s="1"/>
  <c r="O81" i="2" a="1"/>
  <c r="O81" i="2" s="1"/>
  <c r="P81" i="2" s="1"/>
  <c r="O79" i="2" a="1"/>
  <c r="O79" i="2" s="1"/>
  <c r="P79" i="2" s="1"/>
  <c r="O78" i="2" a="1"/>
  <c r="O78" i="2" s="1"/>
  <c r="P78" i="2" s="1"/>
  <c r="O77" i="2" a="1"/>
  <c r="O77" i="2" s="1"/>
  <c r="P77" i="2" s="1"/>
  <c r="O67" i="2" a="1"/>
  <c r="O67" i="2" s="1"/>
  <c r="P67" i="2" s="1"/>
  <c r="O63" i="2" a="1"/>
  <c r="O63" i="2" s="1"/>
  <c r="P63" i="2" s="1"/>
  <c r="O59" i="2" a="1"/>
  <c r="O59" i="2" s="1"/>
  <c r="P59" i="2" s="1"/>
  <c r="O55" i="2" a="1"/>
  <c r="O55" i="2" s="1"/>
  <c r="P55" i="2" s="1"/>
  <c r="O99" i="2" a="1"/>
  <c r="O99" i="2" s="1"/>
  <c r="P99" i="2" s="1"/>
  <c r="O94" i="2" a="1"/>
  <c r="O94" i="2" s="1"/>
  <c r="P94" i="2" s="1"/>
  <c r="O66" i="2" a="1"/>
  <c r="O66" i="2" s="1"/>
  <c r="P66" i="2" s="1"/>
  <c r="O62" i="2" a="1"/>
  <c r="O62" i="2" s="1"/>
  <c r="P62" i="2" s="1"/>
  <c r="O58" i="2" a="1"/>
  <c r="O58" i="2" s="1"/>
  <c r="P58" i="2" s="1"/>
  <c r="O54" i="2" a="1"/>
  <c r="O54" i="2" s="1"/>
  <c r="P54" i="2" s="1"/>
  <c r="O70" i="2" a="1"/>
  <c r="O70" i="2" s="1"/>
  <c r="P70" i="2" s="1"/>
  <c r="O69" i="2" a="1"/>
  <c r="O69" i="2" s="1"/>
  <c r="P69" i="2" s="1"/>
  <c r="O65" i="2" a="1"/>
  <c r="O65" i="2" s="1"/>
  <c r="P65" i="2" s="1"/>
  <c r="O61" i="2" a="1"/>
  <c r="O61" i="2" s="1"/>
  <c r="P61" i="2" s="1"/>
  <c r="O57" i="2" a="1"/>
  <c r="O57" i="2" s="1"/>
  <c r="P57" i="2" s="1"/>
  <c r="O74" i="2" a="1"/>
  <c r="O74" i="2" s="1"/>
  <c r="P74" i="2" s="1"/>
  <c r="O73" i="2" a="1"/>
  <c r="O73" i="2" s="1"/>
  <c r="P73" i="2" s="1"/>
  <c r="O53" i="2" a="1"/>
  <c r="O53" i="2" s="1"/>
  <c r="P53" i="2" s="1"/>
  <c r="O49" i="2" a="1"/>
  <c r="O49" i="2" s="1"/>
  <c r="P49" i="2" s="1"/>
  <c r="O52" i="2" a="1"/>
  <c r="O52" i="2" s="1"/>
  <c r="P52" i="2" s="1"/>
  <c r="O48" i="2" a="1"/>
  <c r="O48" i="2" s="1"/>
  <c r="P48" i="2" s="1"/>
  <c r="O64" i="2" a="1"/>
  <c r="O64" i="2" s="1"/>
  <c r="P64" i="2" s="1"/>
  <c r="O60" i="2" a="1"/>
  <c r="O60" i="2" s="1"/>
  <c r="P60" i="2" s="1"/>
  <c r="O47" i="2" a="1"/>
  <c r="O47" i="2" s="1"/>
  <c r="P47" i="2" s="1"/>
  <c r="O56" i="2" a="1"/>
  <c r="O56" i="2" s="1"/>
  <c r="P56" i="2" s="1"/>
  <c r="O51" i="2" a="1"/>
  <c r="O51" i="2" s="1"/>
  <c r="P51" i="2" s="1"/>
  <c r="O50" i="2" a="1"/>
  <c r="O50" i="2" s="1"/>
  <c r="P50" i="2" s="1"/>
  <c r="V27" i="2"/>
  <c r="O27" i="2" a="1"/>
  <c r="O27" i="2" s="1"/>
  <c r="P27" i="2" l="1"/>
  <c r="K29" i="2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L27" i="2" s="1"/>
  <c r="S44" i="2"/>
  <c r="R43" i="2"/>
  <c r="U27" i="2" l="1"/>
  <c r="M27" i="2"/>
  <c r="P7" i="2"/>
  <c r="L28" i="2"/>
  <c r="S43" i="2"/>
  <c r="R42" i="2"/>
  <c r="S42" i="2" l="1"/>
  <c r="R41" i="2"/>
  <c r="M28" i="2"/>
  <c r="U28" i="2"/>
  <c r="L29" i="2"/>
  <c r="S41" i="2" l="1"/>
  <c r="R40" i="2"/>
  <c r="M29" i="2"/>
  <c r="U29" i="2"/>
  <c r="L30" i="2"/>
  <c r="S40" i="2" l="1"/>
  <c r="R39" i="2"/>
  <c r="M30" i="2"/>
  <c r="U30" i="2"/>
  <c r="L31" i="2"/>
  <c r="S39" i="2" l="1"/>
  <c r="R38" i="2"/>
  <c r="U31" i="2"/>
  <c r="M31" i="2"/>
  <c r="L32" i="2"/>
  <c r="U32" i="2" l="1"/>
  <c r="M32" i="2"/>
  <c r="L33" i="2"/>
  <c r="S38" i="2"/>
  <c r="R37" i="2"/>
  <c r="M33" i="2" l="1"/>
  <c r="U33" i="2"/>
  <c r="L34" i="2"/>
  <c r="S37" i="2"/>
  <c r="R36" i="2"/>
  <c r="M34" i="2" l="1"/>
  <c r="U34" i="2"/>
  <c r="L35" i="2"/>
  <c r="S36" i="2"/>
  <c r="R35" i="2"/>
  <c r="U35" i="2" l="1"/>
  <c r="M35" i="2"/>
  <c r="L36" i="2"/>
  <c r="S35" i="2"/>
  <c r="R34" i="2"/>
  <c r="U36" i="2" l="1"/>
  <c r="M36" i="2"/>
  <c r="L37" i="2"/>
  <c r="S34" i="2"/>
  <c r="R33" i="2"/>
  <c r="M37" i="2" l="1"/>
  <c r="U37" i="2"/>
  <c r="L38" i="2"/>
  <c r="S33" i="2"/>
  <c r="R32" i="2"/>
  <c r="M38" i="2" l="1"/>
  <c r="U38" i="2"/>
  <c r="L39" i="2"/>
  <c r="S32" i="2"/>
  <c r="R31" i="2"/>
  <c r="U39" i="2" l="1"/>
  <c r="M39" i="2"/>
  <c r="L40" i="2"/>
  <c r="S31" i="2"/>
  <c r="R30" i="2"/>
  <c r="U40" i="2" l="1"/>
  <c r="M40" i="2"/>
  <c r="L41" i="2"/>
  <c r="S30" i="2"/>
  <c r="R29" i="2"/>
  <c r="M41" i="2" l="1"/>
  <c r="U41" i="2"/>
  <c r="L42" i="2"/>
  <c r="S29" i="2"/>
  <c r="R28" i="2"/>
  <c r="M42" i="2" l="1"/>
  <c r="U42" i="2"/>
  <c r="L43" i="2"/>
  <c r="S28" i="2"/>
  <c r="R27" i="2"/>
  <c r="U43" i="2" l="1"/>
  <c r="M43" i="2"/>
  <c r="L44" i="2"/>
  <c r="AA100" i="2" a="1"/>
  <c r="AA100" i="2" s="1"/>
  <c r="AA96" i="2" a="1"/>
  <c r="AA96" i="2" s="1"/>
  <c r="AA92" i="2" a="1"/>
  <c r="AA92" i="2" s="1"/>
  <c r="AA99" i="2" a="1"/>
  <c r="AA99" i="2" s="1"/>
  <c r="AA95" i="2" a="1"/>
  <c r="AA95" i="2" s="1"/>
  <c r="AA91" i="2" a="1"/>
  <c r="AA91" i="2" s="1"/>
  <c r="AA87" i="2" a="1"/>
  <c r="AA87" i="2" s="1"/>
  <c r="AA83" i="2" a="1"/>
  <c r="AA83" i="2" s="1"/>
  <c r="AA79" i="2" a="1"/>
  <c r="AA79" i="2" s="1"/>
  <c r="AA82" i="2" a="1"/>
  <c r="AA82" i="2" s="1"/>
  <c r="AA80" i="2" a="1"/>
  <c r="AA80" i="2" s="1"/>
  <c r="AA75" i="2" a="1"/>
  <c r="AA75" i="2" s="1"/>
  <c r="AA71" i="2" a="1"/>
  <c r="AA71" i="2" s="1"/>
  <c r="AA67" i="2" a="1"/>
  <c r="AA67" i="2" s="1"/>
  <c r="AA98" i="2" a="1"/>
  <c r="AA98" i="2" s="1"/>
  <c r="AA97" i="2" a="1"/>
  <c r="AA97" i="2" s="1"/>
  <c r="AA90" i="2" a="1"/>
  <c r="AA90" i="2" s="1"/>
  <c r="AA89" i="2" a="1"/>
  <c r="AA89" i="2" s="1"/>
  <c r="AA85" i="2" a="1"/>
  <c r="AA85" i="2" s="1"/>
  <c r="AA78" i="2" a="1"/>
  <c r="AA78" i="2" s="1"/>
  <c r="AA74" i="2" a="1"/>
  <c r="AA74" i="2" s="1"/>
  <c r="AA70" i="2" a="1"/>
  <c r="AA70" i="2" s="1"/>
  <c r="AA94" i="2" a="1"/>
  <c r="AA94" i="2" s="1"/>
  <c r="AA76" i="2" a="1"/>
  <c r="AA76" i="2" s="1"/>
  <c r="AA73" i="2" a="1"/>
  <c r="AA73" i="2" s="1"/>
  <c r="AA66" i="2" a="1"/>
  <c r="AA66" i="2" s="1"/>
  <c r="AA62" i="2" a="1"/>
  <c r="AA62" i="2" s="1"/>
  <c r="AA58" i="2" a="1"/>
  <c r="AA58" i="2" s="1"/>
  <c r="AA93" i="2" a="1"/>
  <c r="AA93" i="2" s="1"/>
  <c r="AA84" i="2" a="1"/>
  <c r="AA84" i="2" s="1"/>
  <c r="AA77" i="2" a="1"/>
  <c r="AA77" i="2" s="1"/>
  <c r="AA65" i="2" a="1"/>
  <c r="AA65" i="2" s="1"/>
  <c r="AA61" i="2" a="1"/>
  <c r="AA61" i="2" s="1"/>
  <c r="AA57" i="2" a="1"/>
  <c r="AA57" i="2" s="1"/>
  <c r="AA88" i="2" a="1"/>
  <c r="AA88" i="2" s="1"/>
  <c r="AA68" i="2" a="1"/>
  <c r="AA68" i="2" s="1"/>
  <c r="AA64" i="2" a="1"/>
  <c r="AA64" i="2" s="1"/>
  <c r="AA60" i="2" a="1"/>
  <c r="AA60" i="2" s="1"/>
  <c r="AA81" i="2" a="1"/>
  <c r="AA81" i="2" s="1"/>
  <c r="AA86" i="2" a="1"/>
  <c r="AA86" i="2" s="1"/>
  <c r="AA72" i="2" a="1"/>
  <c r="AA72" i="2" s="1"/>
  <c r="AA69" i="2" a="1"/>
  <c r="AA69" i="2" s="1"/>
  <c r="AA63" i="2" a="1"/>
  <c r="AA63" i="2" s="1"/>
  <c r="AA59" i="2" a="1"/>
  <c r="AA59" i="2" s="1"/>
  <c r="S27" i="2"/>
  <c r="AE28" i="2" s="1" a="1"/>
  <c r="AE28" i="2" s="1"/>
  <c r="U44" i="2" l="1"/>
  <c r="M44" i="2"/>
  <c r="L45" i="2"/>
  <c r="M45" i="2" l="1"/>
  <c r="U45" i="2"/>
  <c r="L46" i="2"/>
  <c r="M46" i="2" l="1"/>
  <c r="U46" i="2"/>
  <c r="P8" i="2" a="1"/>
  <c r="P8" i="2" s="1"/>
  <c r="O46" i="2" s="1" a="1"/>
  <c r="O46" i="2" s="1"/>
  <c r="P4" i="2"/>
  <c r="P46" i="2" l="1"/>
  <c r="O45" i="2" a="1"/>
  <c r="O45" i="2" s="1"/>
  <c r="AH23" i="2"/>
  <c r="AH24" i="2" s="1"/>
  <c r="P6" i="2"/>
  <c r="P5" i="2"/>
  <c r="P45" i="2" l="1"/>
  <c r="O44" i="2" a="1"/>
  <c r="O44" i="2" s="1"/>
  <c r="P44" i="2" l="1"/>
  <c r="O43" i="2" a="1"/>
  <c r="O43" i="2" s="1"/>
  <c r="P43" i="2" l="1"/>
  <c r="O42" i="2" a="1"/>
  <c r="O42" i="2" s="1"/>
  <c r="P42" i="2" l="1"/>
  <c r="O41" i="2" a="1"/>
  <c r="O41" i="2" s="1"/>
  <c r="P41" i="2" l="1"/>
  <c r="O40" i="2" a="1"/>
  <c r="O40" i="2" s="1"/>
  <c r="P40" i="2" l="1"/>
  <c r="O39" i="2" a="1"/>
  <c r="O39" i="2" s="1"/>
  <c r="P39" i="2" l="1"/>
  <c r="O38" i="2" a="1"/>
  <c r="O38" i="2" s="1"/>
  <c r="P38" i="2" l="1"/>
  <c r="O37" i="2" a="1"/>
  <c r="O37" i="2" s="1"/>
  <c r="P37" i="2" l="1"/>
  <c r="O36" i="2" a="1"/>
  <c r="O36" i="2" s="1"/>
  <c r="P36" i="2" l="1"/>
  <c r="O35" i="2" a="1"/>
  <c r="O35" i="2" s="1"/>
  <c r="P35" i="2" l="1"/>
  <c r="O34" i="2" a="1"/>
  <c r="O34" i="2" s="1"/>
  <c r="P34" i="2" l="1"/>
  <c r="O33" i="2" a="1"/>
  <c r="O33" i="2" s="1"/>
  <c r="P33" i="2" l="1"/>
  <c r="O32" i="2" a="1"/>
  <c r="O32" i="2" s="1"/>
  <c r="P32" i="2" l="1"/>
  <c r="O31" i="2" a="1"/>
  <c r="O31" i="2" s="1"/>
  <c r="P31" i="2" l="1"/>
  <c r="O30" i="2" a="1"/>
  <c r="O30" i="2" s="1"/>
  <c r="P30" i="2" l="1"/>
  <c r="O29" i="2" a="1"/>
  <c r="O29" i="2" s="1"/>
  <c r="P29" i="2" l="1"/>
  <c r="AG24" i="2" s="1"/>
  <c r="AG25" i="2" s="1"/>
  <c r="Z98" i="2" a="1"/>
  <c r="Z98" i="2" s="1"/>
  <c r="Z93" i="2" a="1"/>
  <c r="Z93" i="2" s="1"/>
  <c r="Z96" i="2" a="1"/>
  <c r="Z96" i="2" s="1"/>
  <c r="Z73" i="2" a="1"/>
  <c r="Z73" i="2" s="1"/>
  <c r="Z80" i="2" a="1"/>
  <c r="Z80" i="2" s="1"/>
  <c r="Z68" i="2" a="1"/>
  <c r="Z68" i="2" s="1"/>
  <c r="Z64" i="2" a="1"/>
  <c r="Z64" i="2" s="1"/>
  <c r="Z75" i="2" a="1"/>
  <c r="Z75" i="2" s="1"/>
  <c r="Z99" i="2" a="1"/>
  <c r="Z99" i="2" s="1"/>
  <c r="Z62" i="2" a="1"/>
  <c r="Z62" i="2" s="1"/>
  <c r="Z57" i="2" a="1"/>
  <c r="Z57" i="2" s="1"/>
  <c r="Y21" i="2" a="1"/>
  <c r="Y21" i="2" s="1"/>
  <c r="Z97" i="2" a="1"/>
  <c r="Z97" i="2" s="1"/>
  <c r="Z71" i="2" a="1"/>
  <c r="Z71" i="2" s="1"/>
  <c r="Z66" i="2" a="1"/>
  <c r="Z66" i="2" s="1"/>
  <c r="Z94" i="2" a="1"/>
  <c r="Z94" i="2" s="1"/>
  <c r="Z89" i="2" a="1"/>
  <c r="Z89" i="2" s="1"/>
  <c r="Z84" i="2" a="1"/>
  <c r="Z84" i="2" s="1"/>
  <c r="Z69" i="2" a="1"/>
  <c r="Z69" i="2" s="1"/>
  <c r="Z79" i="2" a="1"/>
  <c r="Z79" i="2" s="1"/>
  <c r="Z100" i="2" a="1"/>
  <c r="Z100" i="2" s="1"/>
  <c r="Z60" i="2" a="1"/>
  <c r="Z60" i="2" s="1"/>
  <c r="Z70" i="2" a="1"/>
  <c r="Z70" i="2" s="1"/>
  <c r="Z74" i="2" a="1"/>
  <c r="Z74" i="2" s="1"/>
  <c r="Z58" i="2" a="1"/>
  <c r="Z58" i="2" s="1"/>
  <c r="Z92" i="2" a="1"/>
  <c r="Z92" i="2" s="1"/>
  <c r="Z77" i="2" a="1"/>
  <c r="Z77" i="2" s="1"/>
  <c r="Z72" i="2" a="1"/>
  <c r="Z72" i="2" s="1"/>
  <c r="Z59" i="2" a="1"/>
  <c r="Z59" i="2" s="1"/>
  <c r="Y22" i="2" a="1"/>
  <c r="Y22" i="2" s="1"/>
  <c r="Z90" i="2" a="1"/>
  <c r="Z90" i="2" s="1"/>
  <c r="Z85" i="2" a="1"/>
  <c r="Z85" i="2" s="1"/>
  <c r="Z83" i="2" a="1"/>
  <c r="Z83" i="2" s="1"/>
  <c r="Z95" i="2" a="1"/>
  <c r="Z95" i="2" s="1"/>
  <c r="Z76" i="2" a="1"/>
  <c r="Z76" i="2" s="1"/>
  <c r="Z82" i="2" a="1"/>
  <c r="Z82" i="2" s="1"/>
  <c r="Z91" i="2" a="1"/>
  <c r="Z91" i="2" s="1"/>
  <c r="Z63" i="2" a="1"/>
  <c r="Z63" i="2" s="1"/>
  <c r="Z67" i="2" a="1"/>
  <c r="Z67" i="2" s="1"/>
  <c r="Z65" i="2" a="1"/>
  <c r="Z65" i="2" s="1"/>
  <c r="Z78" i="2" a="1"/>
  <c r="Z78" i="2" s="1"/>
  <c r="Z88" i="2" a="1"/>
  <c r="Z88" i="2" s="1"/>
  <c r="Z81" i="2" a="1"/>
  <c r="Z81" i="2" s="1"/>
  <c r="Z86" i="2" a="1"/>
  <c r="Z86" i="2" s="1"/>
  <c r="Z87" i="2" a="1"/>
  <c r="Z87" i="2" s="1"/>
  <c r="Z61" i="2" a="1"/>
  <c r="Z61" i="2" s="1"/>
  <c r="AC81" i="2" l="1"/>
  <c r="AD81" i="2"/>
  <c r="AC67" i="2"/>
  <c r="AD67" i="2"/>
  <c r="AC76" i="2"/>
  <c r="AD76" i="2"/>
  <c r="AC90" i="2"/>
  <c r="AD90" i="2"/>
  <c r="AC77" i="2"/>
  <c r="AD77" i="2"/>
  <c r="AC70" i="2"/>
  <c r="AD70" i="2"/>
  <c r="AC69" i="2"/>
  <c r="AD69" i="2"/>
  <c r="AC66" i="2"/>
  <c r="AD66" i="2"/>
  <c r="AC57" i="2"/>
  <c r="AD57" i="2"/>
  <c r="AC64" i="2"/>
  <c r="AD64" i="2"/>
  <c r="AC96" i="2"/>
  <c r="AD96" i="2"/>
  <c r="AC61" i="2"/>
  <c r="AD61" i="2"/>
  <c r="AC88" i="2"/>
  <c r="AD88" i="2"/>
  <c r="AC63" i="2"/>
  <c r="AD63" i="2"/>
  <c r="AC95" i="2"/>
  <c r="AD95" i="2"/>
  <c r="AC92" i="2"/>
  <c r="AD92" i="2"/>
  <c r="AC60" i="2"/>
  <c r="AD60" i="2"/>
  <c r="AC84" i="2"/>
  <c r="AD84" i="2"/>
  <c r="AC71" i="2"/>
  <c r="AD71" i="2"/>
  <c r="AC62" i="2"/>
  <c r="AD62" i="2"/>
  <c r="AC68" i="2"/>
  <c r="AD68" i="2"/>
  <c r="AC93" i="2"/>
  <c r="AD93" i="2"/>
  <c r="AC86" i="2"/>
  <c r="AD86" i="2"/>
  <c r="AC87" i="2"/>
  <c r="AD87" i="2"/>
  <c r="AC78" i="2"/>
  <c r="AD78" i="2"/>
  <c r="AC91" i="2"/>
  <c r="AD91" i="2"/>
  <c r="AC83" i="2"/>
  <c r="AD83" i="2"/>
  <c r="AC59" i="2"/>
  <c r="AD59" i="2"/>
  <c r="AC58" i="2"/>
  <c r="AD58" i="2"/>
  <c r="AC100" i="2"/>
  <c r="AD100" i="2"/>
  <c r="AC89" i="2"/>
  <c r="AD89" i="2"/>
  <c r="AC97" i="2"/>
  <c r="AD97" i="2"/>
  <c r="AC99" i="2"/>
  <c r="AD99" i="2"/>
  <c r="AC80" i="2"/>
  <c r="AD80" i="2"/>
  <c r="AC98" i="2"/>
  <c r="AD98" i="2"/>
  <c r="AC65" i="2"/>
  <c r="AD65" i="2"/>
  <c r="AC82" i="2"/>
  <c r="AD82" i="2"/>
  <c r="AC85" i="2"/>
  <c r="AD85" i="2"/>
  <c r="AC72" i="2"/>
  <c r="AD72" i="2"/>
  <c r="AC74" i="2"/>
  <c r="AD74" i="2"/>
  <c r="AC79" i="2"/>
  <c r="AD79" i="2"/>
  <c r="AC94" i="2"/>
  <c r="AD94" i="2"/>
  <c r="X27" i="2" a="1"/>
  <c r="AC75" i="2"/>
  <c r="AD75" i="2"/>
  <c r="AC73" i="2"/>
  <c r="AD73" i="2"/>
  <c r="AB56" i="2" l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Z56" i="2" a="1"/>
  <c r="Z56" i="2" s="1"/>
  <c r="AC56" i="2" s="1"/>
  <c r="AA54" i="2" a="1"/>
  <c r="AA54" i="2" s="1"/>
  <c r="AB52" i="2"/>
  <c r="Z52" i="2" a="1"/>
  <c r="Z52" i="2" s="1"/>
  <c r="AC52" i="2" s="1"/>
  <c r="AB55" i="2"/>
  <c r="Z55" i="2" a="1"/>
  <c r="Z55" i="2" s="1"/>
  <c r="AC55" i="2" s="1"/>
  <c r="AA53" i="2" a="1"/>
  <c r="AA53" i="2" s="1"/>
  <c r="AB51" i="2"/>
  <c r="Z51" i="2" a="1"/>
  <c r="Z51" i="2" s="1"/>
  <c r="AC51" i="2" s="1"/>
  <c r="AA56" i="2" a="1"/>
  <c r="AA56" i="2" s="1"/>
  <c r="AB54" i="2"/>
  <c r="Z54" i="2" a="1"/>
  <c r="Z54" i="2" s="1"/>
  <c r="AC54" i="2" s="1"/>
  <c r="Z53" i="2" a="1"/>
  <c r="Z53" i="2" s="1"/>
  <c r="AC53" i="2" s="1"/>
  <c r="AB50" i="2"/>
  <c r="Z50" i="2" a="1"/>
  <c r="Z50" i="2" s="1"/>
  <c r="AC50" i="2" s="1"/>
  <c r="AA48" i="2" a="1"/>
  <c r="AA48" i="2" s="1"/>
  <c r="AB46" i="2"/>
  <c r="Z46" i="2" a="1"/>
  <c r="Z46" i="2" s="1"/>
  <c r="AC46" i="2" s="1"/>
  <c r="AA44" i="2" a="1"/>
  <c r="AA44" i="2" s="1"/>
  <c r="AB42" i="2"/>
  <c r="Z42" i="2" a="1"/>
  <c r="Z42" i="2" s="1"/>
  <c r="AC42" i="2" s="1"/>
  <c r="AA40" i="2" a="1"/>
  <c r="AA40" i="2" s="1"/>
  <c r="AB38" i="2"/>
  <c r="Z38" i="2" a="1"/>
  <c r="Z38" i="2" s="1"/>
  <c r="AC38" i="2" s="1"/>
  <c r="AA36" i="2" a="1"/>
  <c r="AA36" i="2" s="1"/>
  <c r="AB34" i="2"/>
  <c r="Z34" i="2" a="1"/>
  <c r="Z34" i="2" s="1"/>
  <c r="AC34" i="2" s="1"/>
  <c r="AA32" i="2" a="1"/>
  <c r="AA32" i="2" s="1"/>
  <c r="AB30" i="2"/>
  <c r="Z30" i="2" a="1"/>
  <c r="Z30" i="2" s="1"/>
  <c r="AC30" i="2" s="1"/>
  <c r="AB28" i="2"/>
  <c r="Z28" i="2" a="1"/>
  <c r="Z28" i="2" s="1"/>
  <c r="AC28" i="2" s="1"/>
  <c r="AB49" i="2"/>
  <c r="Z49" i="2" a="1"/>
  <c r="Z49" i="2" s="1"/>
  <c r="AC49" i="2" s="1"/>
  <c r="AA47" i="2" a="1"/>
  <c r="AA47" i="2" s="1"/>
  <c r="AB45" i="2"/>
  <c r="Z45" i="2" a="1"/>
  <c r="Z45" i="2" s="1"/>
  <c r="AC45" i="2" s="1"/>
  <c r="AA43" i="2" a="1"/>
  <c r="AA43" i="2" s="1"/>
  <c r="AB41" i="2"/>
  <c r="Z41" i="2" a="1"/>
  <c r="Z41" i="2" s="1"/>
  <c r="AC41" i="2" s="1"/>
  <c r="AA39" i="2" a="1"/>
  <c r="AA39" i="2" s="1"/>
  <c r="AB37" i="2"/>
  <c r="Z37" i="2" a="1"/>
  <c r="Z37" i="2" s="1"/>
  <c r="AC37" i="2" s="1"/>
  <c r="AA35" i="2" a="1"/>
  <c r="AA35" i="2" s="1"/>
  <c r="AB33" i="2"/>
  <c r="Z33" i="2" a="1"/>
  <c r="Z33" i="2" s="1"/>
  <c r="AC33" i="2" s="1"/>
  <c r="AA31" i="2" a="1"/>
  <c r="AA31" i="2" s="1"/>
  <c r="AB29" i="2"/>
  <c r="Z29" i="2" a="1"/>
  <c r="Z29" i="2" s="1"/>
  <c r="AC29" i="2" s="1"/>
  <c r="AB40" i="2"/>
  <c r="Z40" i="2" a="1"/>
  <c r="Z40" i="2" s="1"/>
  <c r="AC40" i="2" s="1"/>
  <c r="AA38" i="2" a="1"/>
  <c r="AA38" i="2" s="1"/>
  <c r="AD38" i="2" s="1"/>
  <c r="AB36" i="2"/>
  <c r="Z36" i="2" a="1"/>
  <c r="Z36" i="2" s="1"/>
  <c r="AC36" i="2" s="1"/>
  <c r="AA52" i="2" a="1"/>
  <c r="AA52" i="2" s="1"/>
  <c r="AD52" i="2" s="1"/>
  <c r="AA50" i="2" a="1"/>
  <c r="AA50" i="2" s="1"/>
  <c r="AB48" i="2"/>
  <c r="Z48" i="2" a="1"/>
  <c r="Z48" i="2" s="1"/>
  <c r="AC48" i="2" s="1"/>
  <c r="AA46" i="2" a="1"/>
  <c r="AA46" i="2" s="1"/>
  <c r="AD46" i="2" s="1"/>
  <c r="AB44" i="2"/>
  <c r="Z44" i="2" a="1"/>
  <c r="Z44" i="2" s="1"/>
  <c r="AC44" i="2" s="1"/>
  <c r="AA42" i="2" a="1"/>
  <c r="AA42" i="2" s="1"/>
  <c r="AD42" i="2" s="1"/>
  <c r="AA34" i="2" a="1"/>
  <c r="AA34" i="2" s="1"/>
  <c r="AD34" i="2" s="1"/>
  <c r="AB53" i="2"/>
  <c r="AB47" i="2"/>
  <c r="AA45" i="2" a="1"/>
  <c r="AA45" i="2" s="1"/>
  <c r="AD45" i="2" s="1"/>
  <c r="Z39" i="2" a="1"/>
  <c r="Z39" i="2" s="1"/>
  <c r="AC39" i="2" s="1"/>
  <c r="AB35" i="2"/>
  <c r="Z32" i="2" a="1"/>
  <c r="Z32" i="2" s="1"/>
  <c r="AC32" i="2" s="1"/>
  <c r="AA30" i="2" a="1"/>
  <c r="AA30" i="2" s="1"/>
  <c r="AD30" i="2" s="1"/>
  <c r="AB39" i="2"/>
  <c r="Z31" i="2" a="1"/>
  <c r="Z31" i="2" s="1"/>
  <c r="AC31" i="2" s="1"/>
  <c r="Z47" i="2" a="1"/>
  <c r="Z47" i="2" s="1"/>
  <c r="AC47" i="2" s="1"/>
  <c r="AA41" i="2" a="1"/>
  <c r="AA41" i="2" s="1"/>
  <c r="Z35" i="2" a="1"/>
  <c r="Z35" i="2" s="1"/>
  <c r="AC35" i="2" s="1"/>
  <c r="AA33" i="2" a="1"/>
  <c r="AA33" i="2" s="1"/>
  <c r="AD33" i="2" s="1"/>
  <c r="AB31" i="2"/>
  <c r="X27" i="2"/>
  <c r="AA55" i="2" a="1"/>
  <c r="AA55" i="2" s="1"/>
  <c r="AD55" i="2" s="1"/>
  <c r="Z43" i="2" a="1"/>
  <c r="Z43" i="2" s="1"/>
  <c r="AC43" i="2" s="1"/>
  <c r="AA29" i="2" a="1"/>
  <c r="AA29" i="2" s="1"/>
  <c r="AD29" i="2" s="1"/>
  <c r="AA51" i="2" a="1"/>
  <c r="AA51" i="2" s="1"/>
  <c r="AD51" i="2" s="1"/>
  <c r="AA49" i="2" a="1"/>
  <c r="AA49" i="2" s="1"/>
  <c r="AD49" i="2" s="1"/>
  <c r="AB43" i="2"/>
  <c r="AA37" i="2" a="1"/>
  <c r="AA37" i="2" s="1"/>
  <c r="AB32" i="2"/>
  <c r="AA28" i="2" a="1"/>
  <c r="AA28" i="2" s="1"/>
  <c r="AD28" i="2" s="1"/>
  <c r="AD41" i="2" l="1"/>
  <c r="AD56" i="2"/>
  <c r="AD37" i="2"/>
  <c r="AD50" i="2"/>
  <c r="AD31" i="2"/>
  <c r="AD47" i="2"/>
  <c r="AD44" i="2"/>
  <c r="AD53" i="2"/>
  <c r="AB27" i="2"/>
  <c r="AB26" i="2" s="1"/>
  <c r="Z27" i="2" a="1"/>
  <c r="Z27" i="2" s="1"/>
  <c r="AC27" i="2" s="1"/>
  <c r="AA27" i="2" a="1"/>
  <c r="AA27" i="2" s="1"/>
  <c r="AD43" i="2"/>
  <c r="AD40" i="2"/>
  <c r="AD54" i="2"/>
  <c r="AD39" i="2"/>
  <c r="AD36" i="2"/>
  <c r="AD35" i="2"/>
  <c r="AD32" i="2"/>
  <c r="AD48" i="2"/>
  <c r="AD27" i="2" l="1"/>
  <c r="AZ61" i="1" l="1"/>
  <c r="AY61" i="1"/>
  <c r="AZ60" i="1"/>
  <c r="AY60" i="1"/>
  <c r="AZ59" i="1"/>
  <c r="AY59" i="1"/>
  <c r="AZ58" i="1"/>
  <c r="AY58" i="1"/>
  <c r="AZ57" i="1"/>
  <c r="AY57" i="1"/>
  <c r="AZ56" i="1"/>
  <c r="AY56" i="1"/>
  <c r="AZ55" i="1"/>
  <c r="AY55" i="1"/>
  <c r="AZ54" i="1"/>
  <c r="AY54" i="1"/>
  <c r="AZ53" i="1"/>
  <c r="AY53" i="1"/>
  <c r="AZ52" i="1"/>
  <c r="AY52" i="1"/>
  <c r="AZ51" i="1"/>
  <c r="AY51" i="1"/>
  <c r="AZ50" i="1"/>
  <c r="AY50" i="1"/>
  <c r="AZ49" i="1"/>
  <c r="AY49" i="1"/>
  <c r="AZ48" i="1"/>
  <c r="AY48" i="1"/>
  <c r="AZ47" i="1"/>
  <c r="AY47" i="1"/>
  <c r="AZ46" i="1"/>
  <c r="AY46" i="1"/>
  <c r="AZ45" i="1"/>
  <c r="AY45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8" i="1"/>
  <c r="AQ47" i="1"/>
  <c r="AQ46" i="1"/>
  <c r="AQ45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M56" i="1"/>
  <c r="M57" i="1"/>
  <c r="M58" i="1"/>
  <c r="M59" i="1"/>
  <c r="M60" i="1"/>
  <c r="M61" i="1"/>
  <c r="M55" i="1"/>
  <c r="M46" i="1"/>
  <c r="M47" i="1"/>
  <c r="M48" i="1"/>
  <c r="M49" i="1"/>
  <c r="M50" i="1"/>
  <c r="M51" i="1"/>
  <c r="M52" i="1"/>
  <c r="M53" i="1"/>
  <c r="M54" i="1"/>
  <c r="M45" i="1"/>
  <c r="AP61" i="1"/>
  <c r="AU61" i="1" s="1"/>
  <c r="AP60" i="1"/>
  <c r="AU60" i="1" s="1"/>
  <c r="AP59" i="1"/>
  <c r="AU59" i="1" s="1"/>
  <c r="AP58" i="1"/>
  <c r="AU58" i="1" s="1"/>
  <c r="AP57" i="1"/>
  <c r="AU57" i="1" s="1"/>
  <c r="AP56" i="1"/>
  <c r="AU56" i="1" s="1"/>
  <c r="AP55" i="1"/>
  <c r="AU55" i="1" s="1"/>
  <c r="AP54" i="1"/>
  <c r="AU54" i="1" s="1"/>
  <c r="AP53" i="1"/>
  <c r="AU53" i="1" s="1"/>
  <c r="AP52" i="1"/>
  <c r="AP51" i="1"/>
  <c r="AU51" i="1" s="1"/>
  <c r="AP50" i="1"/>
  <c r="AU50" i="1" s="1"/>
  <c r="AP49" i="1"/>
  <c r="AU49" i="1" s="1"/>
  <c r="AP48" i="1"/>
  <c r="AU48" i="1" s="1"/>
  <c r="AP47" i="1"/>
  <c r="AU47" i="1" s="1"/>
  <c r="AP46" i="1"/>
  <c r="AU46" i="1" s="1"/>
  <c r="AP45" i="1"/>
  <c r="AU45" i="1" s="1"/>
  <c r="AF61" i="1"/>
  <c r="AK61" i="1" s="1"/>
  <c r="AF60" i="1"/>
  <c r="AK60" i="1" s="1"/>
  <c r="AF59" i="1"/>
  <c r="AK59" i="1" s="1"/>
  <c r="AF58" i="1"/>
  <c r="AK58" i="1" s="1"/>
  <c r="AF57" i="1"/>
  <c r="AK57" i="1" s="1"/>
  <c r="AF56" i="1"/>
  <c r="AK56" i="1" s="1"/>
  <c r="AF55" i="1"/>
  <c r="AK55" i="1" s="1"/>
  <c r="AF54" i="1"/>
  <c r="AK54" i="1" s="1"/>
  <c r="AF53" i="1"/>
  <c r="AF52" i="1"/>
  <c r="AK52" i="1" s="1"/>
  <c r="AF51" i="1"/>
  <c r="AK51" i="1" s="1"/>
  <c r="AF50" i="1"/>
  <c r="AK50" i="1" s="1"/>
  <c r="AF49" i="1"/>
  <c r="AK49" i="1" s="1"/>
  <c r="AF48" i="1"/>
  <c r="AK48" i="1" s="1"/>
  <c r="AF47" i="1"/>
  <c r="AF46" i="1"/>
  <c r="AK46" i="1" s="1"/>
  <c r="AF45" i="1"/>
  <c r="AK45" i="1" s="1"/>
  <c r="V61" i="1"/>
  <c r="V60" i="1"/>
  <c r="V59" i="1"/>
  <c r="V58" i="1"/>
  <c r="AA58" i="1" s="1"/>
  <c r="V57" i="1"/>
  <c r="V56" i="1"/>
  <c r="V55" i="1"/>
  <c r="V54" i="1"/>
  <c r="AA54" i="1" s="1"/>
  <c r="V53" i="1"/>
  <c r="V52" i="1"/>
  <c r="V51" i="1"/>
  <c r="V50" i="1"/>
  <c r="AA50" i="1" s="1"/>
  <c r="V49" i="1"/>
  <c r="V48" i="1"/>
  <c r="V47" i="1"/>
  <c r="V46" i="1"/>
  <c r="AA46" i="1" s="1"/>
  <c r="V45" i="1"/>
  <c r="L56" i="1"/>
  <c r="L57" i="1"/>
  <c r="L58" i="1"/>
  <c r="L59" i="1"/>
  <c r="L60" i="1"/>
  <c r="L61" i="1"/>
  <c r="L55" i="1"/>
  <c r="L46" i="1"/>
  <c r="L47" i="1"/>
  <c r="L48" i="1"/>
  <c r="Q48" i="1" s="1"/>
  <c r="L49" i="1"/>
  <c r="L50" i="1"/>
  <c r="L51" i="1"/>
  <c r="L52" i="1"/>
  <c r="Q52" i="1" s="1"/>
  <c r="L53" i="1"/>
  <c r="L54" i="1"/>
  <c r="L45" i="1"/>
  <c r="AU52" i="1" l="1"/>
  <c r="AK53" i="1"/>
  <c r="AK47" i="1"/>
  <c r="AA48" i="1"/>
  <c r="AA52" i="1"/>
  <c r="AA56" i="1"/>
  <c r="AA60" i="1"/>
  <c r="AA45" i="1"/>
  <c r="AA49" i="1"/>
  <c r="AA53" i="1"/>
  <c r="AA57" i="1"/>
  <c r="AA61" i="1"/>
  <c r="AA47" i="1"/>
  <c r="AA51" i="1"/>
  <c r="AA55" i="1"/>
  <c r="AA59" i="1"/>
  <c r="Q57" i="1"/>
  <c r="Q45" i="1"/>
  <c r="Q51" i="1"/>
  <c r="Q47" i="1"/>
  <c r="Q60" i="1"/>
  <c r="Q56" i="1"/>
  <c r="Q54" i="1"/>
  <c r="Q50" i="1"/>
  <c r="Q46" i="1"/>
  <c r="Q59" i="1"/>
  <c r="Q61" i="1"/>
  <c r="Q53" i="1"/>
  <c r="Q49" i="1"/>
  <c r="Q55" i="1"/>
  <c r="Q58" i="1"/>
  <c r="BD45" i="1"/>
  <c r="BD49" i="1"/>
  <c r="BD53" i="1"/>
  <c r="BD57" i="1"/>
  <c r="BD61" i="1"/>
  <c r="BD47" i="1"/>
  <c r="BD46" i="1"/>
  <c r="BD48" i="1"/>
  <c r="BD50" i="1"/>
  <c r="BD52" i="1"/>
  <c r="BD54" i="1"/>
  <c r="BD56" i="1"/>
  <c r="BD58" i="1"/>
  <c r="BD60" i="1"/>
  <c r="BD59" i="1"/>
  <c r="BD55" i="1"/>
  <c r="BD51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tc={D6154AAF-4F18-48A6-A1C1-36A34F805882}</author>
  </authors>
  <commentList>
    <comment ref="Z22" authorId="0" shapeId="0" xr:uid="{D6154AAF-4F18-48A6-A1C1-36A34F805882}">
      <text>
        <t>[Threaded comment]
Your version of Excel allows you to read this threaded comment; however, any edits to it will get removed if the file is opened in a newer version of Excel. Learn more: https://go.microsoft.com/fwlink/?linkid=870924
Comment:
    Edit with max range from chart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<sst xmlns="http://schemas.openxmlformats.org/spreadsheetml/2006/main" count="1485" uniqueCount="105">
  <si>
    <t>HS1</t>
  </si>
  <si>
    <t>with</t>
  </si>
  <si>
    <t>CS4</t>
  </si>
  <si>
    <t>-</t>
  </si>
  <si>
    <t>q</t>
  </si>
  <si>
    <t>=</t>
  </si>
  <si>
    <t>CS5</t>
  </si>
  <si>
    <t>HS2</t>
  </si>
  <si>
    <t>CS1</t>
  </si>
  <si>
    <t>CS3</t>
  </si>
  <si>
    <t>HS3</t>
  </si>
  <si>
    <t>HS4</t>
  </si>
  <si>
    <t>HS5</t>
  </si>
  <si>
    <t>HS6</t>
  </si>
  <si>
    <t>HU1</t>
  </si>
  <si>
    <t>CS2</t>
  </si>
  <si>
    <t>CU1</t>
  </si>
  <si>
    <t>HS7</t>
  </si>
  <si>
    <t>HS8</t>
  </si>
  <si>
    <t>CS6</t>
  </si>
  <si>
    <t>HS9</t>
  </si>
  <si>
    <t>DTmin</t>
  </si>
  <si>
    <t xml:space="preserve"> CS1</t>
  </si>
  <si>
    <t>Q</t>
  </si>
  <si>
    <t>below pinch</t>
  </si>
  <si>
    <t>above pinch</t>
  </si>
  <si>
    <t>M2</t>
  </si>
  <si>
    <t>M1</t>
  </si>
  <si>
    <t>M3</t>
  </si>
  <si>
    <t>M4</t>
  </si>
  <si>
    <t>M5</t>
  </si>
  <si>
    <t>Cold Stream</t>
  </si>
  <si>
    <t>Hot Stream</t>
  </si>
  <si>
    <t>Stream no</t>
  </si>
  <si>
    <t>Stream Name</t>
  </si>
  <si>
    <t>Supply Temp</t>
  </si>
  <si>
    <t>Target Temp</t>
  </si>
  <si>
    <t>Heat Cap</t>
  </si>
  <si>
    <t>Enthalpy change</t>
  </si>
  <si>
    <t>Min Temp</t>
  </si>
  <si>
    <t>Cold 1</t>
  </si>
  <si>
    <t>Hot 1</t>
  </si>
  <si>
    <t>Cold 2</t>
  </si>
  <si>
    <t>Hot 2</t>
  </si>
  <si>
    <t>Pinch Temp</t>
  </si>
  <si>
    <t>Cold 3</t>
  </si>
  <si>
    <t>Hot 3</t>
  </si>
  <si>
    <t>Hot Pinch Temp</t>
  </si>
  <si>
    <t>Cold 4</t>
  </si>
  <si>
    <t>Hot 4</t>
  </si>
  <si>
    <t>Cold Pinch Temp</t>
  </si>
  <si>
    <t>Cold 5</t>
  </si>
  <si>
    <t>Hot 5</t>
  </si>
  <si>
    <t>Hot Utility</t>
  </si>
  <si>
    <t>Cold 6</t>
  </si>
  <si>
    <t>Hot 6</t>
  </si>
  <si>
    <t>Cold Utility</t>
  </si>
  <si>
    <t>Cold 7</t>
  </si>
  <si>
    <t>Hot 7</t>
  </si>
  <si>
    <t>Cold 8</t>
  </si>
  <si>
    <t>Hot 8</t>
  </si>
  <si>
    <t>Cold 9</t>
  </si>
  <si>
    <t>Hot 9</t>
  </si>
  <si>
    <t>Cold 10</t>
  </si>
  <si>
    <t>Hot 10</t>
  </si>
  <si>
    <t>Cold 11</t>
  </si>
  <si>
    <t>Hot 11</t>
  </si>
  <si>
    <t>Cold 12</t>
  </si>
  <si>
    <t>Hot 12</t>
  </si>
  <si>
    <t>Cold 13</t>
  </si>
  <si>
    <t>Hot 13</t>
  </si>
  <si>
    <t>Cold 14</t>
  </si>
  <si>
    <t>Hot 14</t>
  </si>
  <si>
    <t>Cold 15</t>
  </si>
  <si>
    <t>Hot 15</t>
  </si>
  <si>
    <t>Cold 16</t>
  </si>
  <si>
    <t>Hot 16</t>
  </si>
  <si>
    <t>Cold 17</t>
  </si>
  <si>
    <t>Hot 17</t>
  </si>
  <si>
    <t>Cold 18</t>
  </si>
  <si>
    <t>Hot 18</t>
  </si>
  <si>
    <t>Cold 19</t>
  </si>
  <si>
    <t>Hot 19</t>
  </si>
  <si>
    <t>Min Range</t>
  </si>
  <si>
    <t>Cold 20</t>
  </si>
  <si>
    <t>Hot 20</t>
  </si>
  <si>
    <t>Max Range</t>
  </si>
  <si>
    <t>= set this to the max range in chart</t>
  </si>
  <si>
    <t>Pinch Teamp</t>
  </si>
  <si>
    <t>Bottom A</t>
  </si>
  <si>
    <t>Delta</t>
  </si>
  <si>
    <t>max T</t>
  </si>
  <si>
    <t>Temp</t>
  </si>
  <si>
    <t>Cold Comp</t>
  </si>
  <si>
    <t>Hot Comp</t>
  </si>
  <si>
    <t>Find MIN</t>
  </si>
  <si>
    <t>Find Pinch = 0</t>
  </si>
  <si>
    <t>is_pinch</t>
  </si>
  <si>
    <t>Cold CC</t>
  </si>
  <si>
    <t>Cold Temp</t>
  </si>
  <si>
    <t>Hot CC</t>
  </si>
  <si>
    <t>Hot Temp</t>
  </si>
  <si>
    <t>GCC</t>
  </si>
  <si>
    <t>Cold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</si>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</sst>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9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1" fillId="0" borderId="0"/>
    <xf numFmtId="0" fontId="2" fillId="4" borderId="0" applyNumberFormat="0" applyBorder="0" applyAlignment="0" applyProtection="0"/>
    <xf numFmtId="0" fontId="5" fillId="2" borderId="1" applyNumberFormat="0" applyAlignment="0" applyProtection="0"/>
  </cellStyleXfs>
  <cellXfs count="17">
    <xf numFmtId="0" fontId="0" fillId="0" borderId="0" xfId="0"/>
    <xf numFmtId="2" fontId="0" fillId="0" borderId="0" xfId="0" applyNumberFormat="1"/>
    <xf numFmtId="0" fontId="1" fillId="0" borderId="0" xfId="2"/>
    <xf numFmtId="0" fontId="4" fillId="0" borderId="0" xfId="2" applyFont="1"/>
    <xf numFmtId="0" fontId="5" fillId="2" borderId="1" xfId="4"/>
    <xf numFmtId="0" fontId="1" fillId="0" borderId="0" xfId="2" applyAlignment="1">
      <alignment horizontal="center"/>
    </xf>
    <xf numFmtId="2" fontId="1" fillId="0" borderId="0" xfId="2" applyNumberFormat="1"/>
    <xf numFmtId="0" fontId="1" fillId="0" borderId="0" xfId="2" quotePrefix="1"/>
    <xf numFmtId="164" fontId="1" fillId="0" borderId="0" xfId="2" applyNumberFormat="1"/>
    <xf numFmtId="0" fontId="3" fillId="5" borderId="0" xfId="2" applyFont="1" applyFill="1"/>
    <xf numFmtId="0" fontId="1" fillId="6" borderId="2" xfId="2" applyFill="1" applyBorder="1"/>
    <xf numFmtId="0" fontId="1" fillId="0" borderId="2" xfId="2" applyBorder="1"/>
    <xf numFmtId="0" fontId="6" fillId="6" borderId="3" xfId="2" applyFont="1" applyFill="1" applyBorder="1"/>
    <xf numFmtId="1" fontId="1" fillId="0" borderId="0" xfId="2" applyNumberFormat="1"/>
    <xf numFmtId="0" fontId="6" fillId="0" borderId="3" xfId="2" applyFont="1" applyBorder="1"/>
    <xf numFmtId="0" fontId="2" fillId="3" borderId="0" xfId="1" applyAlignment="1">
      <alignment horizontal="center"/>
    </xf>
    <xf numFmtId="0" fontId="3" fillId="4" borderId="0" xfId="3" applyFont="1" applyAlignment="1">
      <alignment horizontal="center"/>
    </xf>
  </cellXfs>
  <cellStyles count="5">
    <cellStyle name="Accent1 2" xfId="1" xr:uid="{5D3FB713-B958-478B-BDCC-B3CEC2892525}"/>
    <cellStyle name="Accent2 2" xfId="3" xr:uid="{95F3125F-E375-49BA-A406-92D67E6D2090}"/>
    <cellStyle name="Input 2" xfId="4" xr:uid="{A86E3711-5E66-4E32-B335-3A8547A4A72C}"/>
    <cellStyle name="Normal" xfId="0" builtinId="0" customBuiltin="1"/>
    <cellStyle name="Normal 2" xfId="2" xr:uid="{3A896AD7-4125-4BEC-87EF-D4193813A363}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9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70493778607111"/>
          <c:y val="2.9490616621983913E-2"/>
          <c:w val="0.84433698444442584"/>
          <c:h val="0.85146566464714701"/>
        </c:manualLayout>
      </c:layout>
      <c:areaChart>
        <c:grouping val="stacked"/>
        <c:varyColors val="0"/>
        <c:ser>
          <c:idx val="2"/>
          <c:order val="3"/>
          <c:spPr>
            <a:noFill/>
            <a:ln>
              <a:noFill/>
            </a:ln>
          </c:spPr>
          <c:cat>
            <c:numRef>
              <c:f>Test_case!$AB$25:$AB$101</c:f>
              <c:numCache>
                <c:formatCode>0.0</c:formatCode>
                <c:ptCount val="77"/>
                <c:pt idx="0">
                  <c:v>0</c:v>
                </c:pt>
                <c:pt idx="1">
                  <c:v>33.452499999999944</c:v>
                </c:pt>
                <c:pt idx="2">
                  <c:v>33.452499999999944</c:v>
                </c:pt>
                <c:pt idx="3">
                  <c:v>246.54749999999996</c:v>
                </c:pt>
                <c:pt idx="4">
                  <c:v>189.3475</c:v>
                </c:pt>
                <c:pt idx="5">
                  <c:v>348.46249999999998</c:v>
                </c:pt>
                <c:pt idx="6">
                  <c:v>190.80500000000001</c:v>
                </c:pt>
                <c:pt idx="7">
                  <c:v>416.53750000000002</c:v>
                </c:pt>
                <c:pt idx="8">
                  <c:v>191.73249999999999</c:v>
                </c:pt>
                <c:pt idx="9">
                  <c:v>496.435</c:v>
                </c:pt>
                <c:pt idx="10">
                  <c:v>192.92500000000001</c:v>
                </c:pt>
                <c:pt idx="11">
                  <c:v>505.3125</c:v>
                </c:pt>
                <c:pt idx="12">
                  <c:v>493.0575</c:v>
                </c:pt>
                <c:pt idx="13">
                  <c:v>514.19000000000005</c:v>
                </c:pt>
                <c:pt idx="14">
                  <c:v>585.20999999999992</c:v>
                </c:pt>
                <c:pt idx="15">
                  <c:v>545.52999999999986</c:v>
                </c:pt>
                <c:pt idx="16">
                  <c:v>594.08749999999986</c:v>
                </c:pt>
                <c:pt idx="17">
                  <c:v>572.64749999999992</c:v>
                </c:pt>
                <c:pt idx="18">
                  <c:v>602.96499999999992</c:v>
                </c:pt>
                <c:pt idx="19">
                  <c:v>576.56500000000005</c:v>
                </c:pt>
                <c:pt idx="20">
                  <c:v>638.47499999999991</c:v>
                </c:pt>
                <c:pt idx="21">
                  <c:v>578.77499999999998</c:v>
                </c:pt>
                <c:pt idx="22">
                  <c:v>680.47499999999991</c:v>
                </c:pt>
                <c:pt idx="23">
                  <c:v>582.09</c:v>
                </c:pt>
                <c:pt idx="24">
                  <c:v>587.0625</c:v>
                </c:pt>
                <c:pt idx="25">
                  <c:v>606.75</c:v>
                </c:pt>
                <c:pt idx="26">
                  <c:v>626.4375</c:v>
                </c:pt>
                <c:pt idx="27">
                  <c:v>629.20000000000005</c:v>
                </c:pt>
                <c:pt idx="28">
                  <c:v>712.92750000000001</c:v>
                </c:pt>
                <c:pt idx="29">
                  <c:v>719.00499999999988</c:v>
                </c:pt>
                <c:pt idx="30">
                  <c:v>726.18749999999989</c:v>
                </c:pt>
                <c:pt idx="31">
                  <c:v>726.45249999999987</c:v>
                </c:pt>
                <c:pt idx="32">
                  <c:v>726.45249999999987</c:v>
                </c:pt>
                <c:pt idx="33">
                  <c:v>726.45249999999987</c:v>
                </c:pt>
                <c:pt idx="34">
                  <c:v>726.45249999999987</c:v>
                </c:pt>
                <c:pt idx="35">
                  <c:v>726.45249999999987</c:v>
                </c:pt>
                <c:pt idx="36">
                  <c:v>726.45249999999987</c:v>
                </c:pt>
                <c:pt idx="37">
                  <c:v>726.45249999999987</c:v>
                </c:pt>
                <c:pt idx="38">
                  <c:v>726.45249999999987</c:v>
                </c:pt>
                <c:pt idx="39">
                  <c:v>726.45249999999987</c:v>
                </c:pt>
                <c:pt idx="40">
                  <c:v>726.45249999999987</c:v>
                </c:pt>
                <c:pt idx="41">
                  <c:v>726.45249999999987</c:v>
                </c:pt>
                <c:pt idx="42">
                  <c:v>726.45249999999987</c:v>
                </c:pt>
                <c:pt idx="43">
                  <c:v>726.45249999999987</c:v>
                </c:pt>
                <c:pt idx="44">
                  <c:v>726.45249999999987</c:v>
                </c:pt>
                <c:pt idx="45">
                  <c:v>726.45249999999987</c:v>
                </c:pt>
                <c:pt idx="46">
                  <c:v>726.45249999999987</c:v>
                </c:pt>
                <c:pt idx="47">
                  <c:v>726.45249999999987</c:v>
                </c:pt>
                <c:pt idx="48">
                  <c:v>726.45249999999987</c:v>
                </c:pt>
                <c:pt idx="49">
                  <c:v>726.45249999999987</c:v>
                </c:pt>
                <c:pt idx="50">
                  <c:v>726.45249999999987</c:v>
                </c:pt>
                <c:pt idx="51">
                  <c:v>726.45249999999987</c:v>
                </c:pt>
                <c:pt idx="52">
                  <c:v>726.45249999999987</c:v>
                </c:pt>
                <c:pt idx="53">
                  <c:v>726.45249999999987</c:v>
                </c:pt>
                <c:pt idx="54">
                  <c:v>726.45249999999987</c:v>
                </c:pt>
                <c:pt idx="55">
                  <c:v>726.45249999999987</c:v>
                </c:pt>
                <c:pt idx="56">
                  <c:v>726.45249999999987</c:v>
                </c:pt>
                <c:pt idx="57">
                  <c:v>726.45249999999987</c:v>
                </c:pt>
                <c:pt idx="58">
                  <c:v>726.45249999999987</c:v>
                </c:pt>
                <c:pt idx="59">
                  <c:v>726.45249999999987</c:v>
                </c:pt>
                <c:pt idx="60">
                  <c:v>726.45249999999987</c:v>
                </c:pt>
                <c:pt idx="61">
                  <c:v>726.45249999999987</c:v>
                </c:pt>
                <c:pt idx="62">
                  <c:v>726.45249999999987</c:v>
                </c:pt>
                <c:pt idx="63">
                  <c:v>726.45249999999987</c:v>
                </c:pt>
                <c:pt idx="64">
                  <c:v>726.45249999999987</c:v>
                </c:pt>
                <c:pt idx="65">
                  <c:v>726.45249999999987</c:v>
                </c:pt>
                <c:pt idx="66">
                  <c:v>726.45249999999987</c:v>
                </c:pt>
                <c:pt idx="67">
                  <c:v>726.45249999999987</c:v>
                </c:pt>
                <c:pt idx="68">
                  <c:v>726.45249999999987</c:v>
                </c:pt>
                <c:pt idx="69">
                  <c:v>726.45249999999987</c:v>
                </c:pt>
                <c:pt idx="70">
                  <c:v>726.45249999999987</c:v>
                </c:pt>
                <c:pt idx="71">
                  <c:v>726.45249999999987</c:v>
                </c:pt>
                <c:pt idx="72">
                  <c:v>726.45249999999987</c:v>
                </c:pt>
                <c:pt idx="73">
                  <c:v>726.45249999999987</c:v>
                </c:pt>
                <c:pt idx="74">
                  <c:v>726.45249999999987</c:v>
                </c:pt>
                <c:pt idx="75">
                  <c:v>726.45249999999987</c:v>
                </c:pt>
                <c:pt idx="76">
                  <c:v>1000</c:v>
                </c:pt>
              </c:numCache>
            </c:numRef>
          </c:cat>
          <c:val>
            <c:numRef>
              <c:f>Test_case!$AC$25:$AC$101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 formatCode="0.00">
                  <c:v>9</c:v>
                </c:pt>
                <c:pt idx="3" formatCode="0.00">
                  <c:v>32</c:v>
                </c:pt>
                <c:pt idx="4" formatCode="0.00">
                  <c:v>25.826227738801947</c:v>
                </c:pt>
                <c:pt idx="5" formatCode="0.00">
                  <c:v>43</c:v>
                </c:pt>
                <c:pt idx="6" formatCode="0.00">
                  <c:v>25.98354020507286</c:v>
                </c:pt>
                <c:pt idx="7" formatCode="0.00">
                  <c:v>50</c:v>
                </c:pt>
                <c:pt idx="8" formatCode="0.00">
                  <c:v>26.083648138154352</c:v>
                </c:pt>
                <c:pt idx="9" formatCode="0.00">
                  <c:v>59</c:v>
                </c:pt>
                <c:pt idx="10" formatCode="0.00">
                  <c:v>26.212358337830551</c:v>
                </c:pt>
                <c:pt idx="11" formatCode="0.00">
                  <c:v>60</c:v>
                </c:pt>
                <c:pt idx="12" formatCode="0.00">
                  <c:v>58.619543790481551</c:v>
                </c:pt>
                <c:pt idx="13" formatCode="0.00">
                  <c:v>61</c:v>
                </c:pt>
                <c:pt idx="14" formatCode="0.00">
                  <c:v>69</c:v>
                </c:pt>
                <c:pt idx="15" formatCode="0.00">
                  <c:v>64.530273162489436</c:v>
                </c:pt>
                <c:pt idx="16" formatCode="0.00">
                  <c:v>70</c:v>
                </c:pt>
                <c:pt idx="17" formatCode="0.00">
                  <c:v>67.584905660377359</c:v>
                </c:pt>
                <c:pt idx="18" formatCode="0.00">
                  <c:v>71</c:v>
                </c:pt>
                <c:pt idx="19" formatCode="0.00">
                  <c:v>68.026189805688546</c:v>
                </c:pt>
                <c:pt idx="20" formatCode="0.00">
                  <c:v>75</c:v>
                </c:pt>
                <c:pt idx="21" formatCode="0.00">
                  <c:v>68.275133765136587</c:v>
                </c:pt>
                <c:pt idx="22" formatCode="0.00">
                  <c:v>81</c:v>
                </c:pt>
                <c:pt idx="23" formatCode="0.00">
                  <c:v>68.64854970430865</c:v>
                </c:pt>
                <c:pt idx="24" formatCode="0.00">
                  <c:v>69.20867361306675</c:v>
                </c:pt>
                <c:pt idx="25" formatCode="0.00">
                  <c:v>71.426358772176869</c:v>
                </c:pt>
                <c:pt idx="26" formatCode="0.00">
                  <c:v>73.644043931286973</c:v>
                </c:pt>
                <c:pt idx="27" formatCode="0.00">
                  <c:v>73.955223880597032</c:v>
                </c:pt>
                <c:pt idx="28" formatCode="0.00">
                  <c:v>84.344756506055148</c:v>
                </c:pt>
                <c:pt idx="29" formatCode="0.00">
                  <c:v>84.971141458387024</c:v>
                </c:pt>
                <c:pt idx="30" formatCode="0.00">
                  <c:v>85.711414583870138</c:v>
                </c:pt>
                <c:pt idx="31" formatCode="0.00">
                  <c:v>85.738727132182433</c:v>
                </c:pt>
                <c:pt idx="32" formatCode="0.00">
                  <c:v>0</c:v>
                </c:pt>
                <c:pt idx="33" formatCode="0.00">
                  <c:v>0</c:v>
                </c:pt>
                <c:pt idx="34" formatCode="0.00">
                  <c:v>0</c:v>
                </c:pt>
                <c:pt idx="35" formatCode="0.00">
                  <c:v>0</c:v>
                </c:pt>
                <c:pt idx="36" formatCode="0.00">
                  <c:v>0</c:v>
                </c:pt>
                <c:pt idx="37" formatCode="0.00">
                  <c:v>0</c:v>
                </c:pt>
                <c:pt idx="38" formatCode="0.00">
                  <c:v>0</c:v>
                </c:pt>
                <c:pt idx="39" formatCode="0.00">
                  <c:v>0</c:v>
                </c:pt>
                <c:pt idx="40" formatCode="0.00">
                  <c:v>0</c:v>
                </c:pt>
                <c:pt idx="41" formatCode="0.00">
                  <c:v>0</c:v>
                </c:pt>
                <c:pt idx="42" formatCode="0.00">
                  <c:v>0</c:v>
                </c:pt>
                <c:pt idx="43" formatCode="0.00">
                  <c:v>0</c:v>
                </c:pt>
                <c:pt idx="44" formatCode="0.00">
                  <c:v>0</c:v>
                </c:pt>
                <c:pt idx="45" formatCode="0.00">
                  <c:v>0</c:v>
                </c:pt>
                <c:pt idx="46" formatCode="0.00">
                  <c:v>0</c:v>
                </c:pt>
                <c:pt idx="47" formatCode="0.00">
                  <c:v>0</c:v>
                </c:pt>
                <c:pt idx="48" formatCode="0.00">
                  <c:v>0</c:v>
                </c:pt>
                <c:pt idx="49" formatCode="0.00">
                  <c:v>0</c:v>
                </c:pt>
                <c:pt idx="50" formatCode="0.00">
                  <c:v>0</c:v>
                </c:pt>
                <c:pt idx="51" formatCode="0.00">
                  <c:v>0</c:v>
                </c:pt>
                <c:pt idx="52" formatCode="0.00">
                  <c:v>0</c:v>
                </c:pt>
                <c:pt idx="53" formatCode="0.00">
                  <c:v>0</c:v>
                </c:pt>
                <c:pt idx="54" formatCode="0.00">
                  <c:v>0</c:v>
                </c:pt>
                <c:pt idx="55" formatCode="0.00">
                  <c:v>0</c:v>
                </c:pt>
                <c:pt idx="56" formatCode="0.00">
                  <c:v>0</c:v>
                </c:pt>
                <c:pt idx="57" formatCode="0.00">
                  <c:v>0</c:v>
                </c:pt>
                <c:pt idx="58" formatCode="0.00">
                  <c:v>0</c:v>
                </c:pt>
                <c:pt idx="59" formatCode="0.00">
                  <c:v>0</c:v>
                </c:pt>
                <c:pt idx="60" formatCode="0.00">
                  <c:v>0</c:v>
                </c:pt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2F-4D6C-B20E-D6140FA30F5E}"/>
            </c:ext>
          </c:extLst>
        </c:ser>
        <c:ser>
          <c:idx val="3"/>
          <c:order val="4"/>
          <c:spPr>
            <a:solidFill>
              <a:schemeClr val="bg2"/>
            </a:solidFill>
          </c:spPr>
          <c:cat>
            <c:numRef>
              <c:f>Test_case!$AB$25:$AB$101</c:f>
              <c:numCache>
                <c:formatCode>0.0</c:formatCode>
                <c:ptCount val="77"/>
                <c:pt idx="0">
                  <c:v>0</c:v>
                </c:pt>
                <c:pt idx="1">
                  <c:v>33.452499999999944</c:v>
                </c:pt>
                <c:pt idx="2">
                  <c:v>33.452499999999944</c:v>
                </c:pt>
                <c:pt idx="3">
                  <c:v>246.54749999999996</c:v>
                </c:pt>
                <c:pt idx="4">
                  <c:v>189.3475</c:v>
                </c:pt>
                <c:pt idx="5">
                  <c:v>348.46249999999998</c:v>
                </c:pt>
                <c:pt idx="6">
                  <c:v>190.80500000000001</c:v>
                </c:pt>
                <c:pt idx="7">
                  <c:v>416.53750000000002</c:v>
                </c:pt>
                <c:pt idx="8">
                  <c:v>191.73249999999999</c:v>
                </c:pt>
                <c:pt idx="9">
                  <c:v>496.435</c:v>
                </c:pt>
                <c:pt idx="10">
                  <c:v>192.92500000000001</c:v>
                </c:pt>
                <c:pt idx="11">
                  <c:v>505.3125</c:v>
                </c:pt>
                <c:pt idx="12">
                  <c:v>493.0575</c:v>
                </c:pt>
                <c:pt idx="13">
                  <c:v>514.19000000000005</c:v>
                </c:pt>
                <c:pt idx="14">
                  <c:v>585.20999999999992</c:v>
                </c:pt>
                <c:pt idx="15">
                  <c:v>545.52999999999986</c:v>
                </c:pt>
                <c:pt idx="16">
                  <c:v>594.08749999999986</c:v>
                </c:pt>
                <c:pt idx="17">
                  <c:v>572.64749999999992</c:v>
                </c:pt>
                <c:pt idx="18">
                  <c:v>602.96499999999992</c:v>
                </c:pt>
                <c:pt idx="19">
                  <c:v>576.56500000000005</c:v>
                </c:pt>
                <c:pt idx="20">
                  <c:v>638.47499999999991</c:v>
                </c:pt>
                <c:pt idx="21">
                  <c:v>578.77499999999998</c:v>
                </c:pt>
                <c:pt idx="22">
                  <c:v>680.47499999999991</c:v>
                </c:pt>
                <c:pt idx="23">
                  <c:v>582.09</c:v>
                </c:pt>
                <c:pt idx="24">
                  <c:v>587.0625</c:v>
                </c:pt>
                <c:pt idx="25">
                  <c:v>606.75</c:v>
                </c:pt>
                <c:pt idx="26">
                  <c:v>626.4375</c:v>
                </c:pt>
                <c:pt idx="27">
                  <c:v>629.20000000000005</c:v>
                </c:pt>
                <c:pt idx="28">
                  <c:v>712.92750000000001</c:v>
                </c:pt>
                <c:pt idx="29">
                  <c:v>719.00499999999988</c:v>
                </c:pt>
                <c:pt idx="30">
                  <c:v>726.18749999999989</c:v>
                </c:pt>
                <c:pt idx="31">
                  <c:v>726.45249999999987</c:v>
                </c:pt>
                <c:pt idx="32">
                  <c:v>726.45249999999987</c:v>
                </c:pt>
                <c:pt idx="33">
                  <c:v>726.45249999999987</c:v>
                </c:pt>
                <c:pt idx="34">
                  <c:v>726.45249999999987</c:v>
                </c:pt>
                <c:pt idx="35">
                  <c:v>726.45249999999987</c:v>
                </c:pt>
                <c:pt idx="36">
                  <c:v>726.45249999999987</c:v>
                </c:pt>
                <c:pt idx="37">
                  <c:v>726.45249999999987</c:v>
                </c:pt>
                <c:pt idx="38">
                  <c:v>726.45249999999987</c:v>
                </c:pt>
                <c:pt idx="39">
                  <c:v>726.45249999999987</c:v>
                </c:pt>
                <c:pt idx="40">
                  <c:v>726.45249999999987</c:v>
                </c:pt>
                <c:pt idx="41">
                  <c:v>726.45249999999987</c:v>
                </c:pt>
                <c:pt idx="42">
                  <c:v>726.45249999999987</c:v>
                </c:pt>
                <c:pt idx="43">
                  <c:v>726.45249999999987</c:v>
                </c:pt>
                <c:pt idx="44">
                  <c:v>726.45249999999987</c:v>
                </c:pt>
                <c:pt idx="45">
                  <c:v>726.45249999999987</c:v>
                </c:pt>
                <c:pt idx="46">
                  <c:v>726.45249999999987</c:v>
                </c:pt>
                <c:pt idx="47">
                  <c:v>726.45249999999987</c:v>
                </c:pt>
                <c:pt idx="48">
                  <c:v>726.45249999999987</c:v>
                </c:pt>
                <c:pt idx="49">
                  <c:v>726.45249999999987</c:v>
                </c:pt>
                <c:pt idx="50">
                  <c:v>726.45249999999987</c:v>
                </c:pt>
                <c:pt idx="51">
                  <c:v>726.45249999999987</c:v>
                </c:pt>
                <c:pt idx="52">
                  <c:v>726.45249999999987</c:v>
                </c:pt>
                <c:pt idx="53">
                  <c:v>726.45249999999987</c:v>
                </c:pt>
                <c:pt idx="54">
                  <c:v>726.45249999999987</c:v>
                </c:pt>
                <c:pt idx="55">
                  <c:v>726.45249999999987</c:v>
                </c:pt>
                <c:pt idx="56">
                  <c:v>726.45249999999987</c:v>
                </c:pt>
                <c:pt idx="57">
                  <c:v>726.45249999999987</c:v>
                </c:pt>
                <c:pt idx="58">
                  <c:v>726.45249999999987</c:v>
                </c:pt>
                <c:pt idx="59">
                  <c:v>726.45249999999987</c:v>
                </c:pt>
                <c:pt idx="60">
                  <c:v>726.45249999999987</c:v>
                </c:pt>
                <c:pt idx="61">
                  <c:v>726.45249999999987</c:v>
                </c:pt>
                <c:pt idx="62">
                  <c:v>726.45249999999987</c:v>
                </c:pt>
                <c:pt idx="63">
                  <c:v>726.45249999999987</c:v>
                </c:pt>
                <c:pt idx="64">
                  <c:v>726.45249999999987</c:v>
                </c:pt>
                <c:pt idx="65">
                  <c:v>726.45249999999987</c:v>
                </c:pt>
                <c:pt idx="66">
                  <c:v>726.45249999999987</c:v>
                </c:pt>
                <c:pt idx="67">
                  <c:v>726.45249999999987</c:v>
                </c:pt>
                <c:pt idx="68">
                  <c:v>726.45249999999987</c:v>
                </c:pt>
                <c:pt idx="69">
                  <c:v>726.45249999999987</c:v>
                </c:pt>
                <c:pt idx="70">
                  <c:v>726.45249999999987</c:v>
                </c:pt>
                <c:pt idx="71">
                  <c:v>726.45249999999987</c:v>
                </c:pt>
                <c:pt idx="72">
                  <c:v>726.45249999999987</c:v>
                </c:pt>
                <c:pt idx="73">
                  <c:v>726.45249999999987</c:v>
                </c:pt>
                <c:pt idx="74">
                  <c:v>726.45249999999987</c:v>
                </c:pt>
                <c:pt idx="75">
                  <c:v>726.45249999999987</c:v>
                </c:pt>
                <c:pt idx="76">
                  <c:v>1000</c:v>
                </c:pt>
              </c:numCache>
            </c:numRef>
          </c:cat>
          <c:val>
            <c:numRef>
              <c:f>Test_case!$AD$25:$AD$100</c:f>
              <c:numCache>
                <c:formatCode>General</c:formatCode>
                <c:ptCount val="76"/>
                <c:pt idx="0">
                  <c:v>0</c:v>
                </c:pt>
                <c:pt idx="1">
                  <c:v>0</c:v>
                </c:pt>
                <c:pt idx="2" formatCode="0.00">
                  <c:v>4.0634679623443581</c:v>
                </c:pt>
                <c:pt idx="3" formatCode="0.00">
                  <c:v>27.178662757282197</c:v>
                </c:pt>
                <c:pt idx="4" formatCode="0.00">
                  <c:v>6.173772261198053</c:v>
                </c:pt>
                <c:pt idx="5" formatCode="0.00">
                  <c:v>16.518229448660172</c:v>
                </c:pt>
                <c:pt idx="6" formatCode="0.00">
                  <c:v>17.01645979492714</c:v>
                </c:pt>
                <c:pt idx="7" formatCode="0.00">
                  <c:v>9.7450459380440293</c:v>
                </c:pt>
                <c:pt idx="8" formatCode="0.00">
                  <c:v>23.916351861845648</c:v>
                </c:pt>
                <c:pt idx="9" formatCode="0.00">
                  <c:v>1.1598249142316348</c:v>
                </c:pt>
                <c:pt idx="10" formatCode="0.00">
                  <c:v>32.787641662169449</c:v>
                </c:pt>
                <c:pt idx="11" formatCode="0.00">
                  <c:v>0.5799124571158174</c:v>
                </c:pt>
                <c:pt idx="12" formatCode="0.00">
                  <c:v>1.3804562095184494</c:v>
                </c:pt>
                <c:pt idx="13" formatCode="0.00">
                  <c:v>0</c:v>
                </c:pt>
                <c:pt idx="14" formatCode="0.00">
                  <c:v>17.647058823529335</c:v>
                </c:pt>
                <c:pt idx="15" formatCode="0.00">
                  <c:v>4.4697268375105637</c:v>
                </c:pt>
                <c:pt idx="16" formatCode="0.00">
                  <c:v>21.784126984126956</c:v>
                </c:pt>
                <c:pt idx="17" formatCode="0.00">
                  <c:v>2.415094339622641</c:v>
                </c:pt>
                <c:pt idx="18" formatCode="0.00">
                  <c:v>23.038730158730132</c:v>
                </c:pt>
                <c:pt idx="19" formatCode="0.00">
                  <c:v>2.9738101943114543</c:v>
                </c:pt>
                <c:pt idx="20" formatCode="0.00">
                  <c:v>30.110776029381029</c:v>
                </c:pt>
                <c:pt idx="21" formatCode="0.00">
                  <c:v>6.7248662348634127</c:v>
                </c:pt>
                <c:pt idx="22" formatCode="0.00">
                  <c:v>24.612403332238515</c:v>
                </c:pt>
                <c:pt idx="23" formatCode="0.00">
                  <c:v>12.35145029569135</c:v>
                </c:pt>
                <c:pt idx="24" formatCode="0.00">
                  <c:v>20.79132638693325</c:v>
                </c:pt>
                <c:pt idx="25" formatCode="0.00">
                  <c:v>23.573641227823131</c:v>
                </c:pt>
                <c:pt idx="26" formatCode="0.00">
                  <c:v>26.355956068713027</c:v>
                </c:pt>
                <c:pt idx="27" formatCode="0.00">
                  <c:v>31.044776119402968</c:v>
                </c:pt>
                <c:pt idx="28" formatCode="0.00">
                  <c:v>21.655243493944852</c:v>
                </c:pt>
                <c:pt idx="29" formatCode="0.00">
                  <c:v>32.028858541612976</c:v>
                </c:pt>
                <c:pt idx="30" formatCode="0.00">
                  <c:v>44.288585416129862</c:v>
                </c:pt>
                <c:pt idx="31" formatCode="0.00">
                  <c:v>46.261272867817567</c:v>
                </c:pt>
                <c:pt idx="32" formatCode="0.00">
                  <c:v>0</c:v>
                </c:pt>
                <c:pt idx="33" formatCode="0.00">
                  <c:v>0</c:v>
                </c:pt>
                <c:pt idx="34" formatCode="0.00">
                  <c:v>0</c:v>
                </c:pt>
                <c:pt idx="35" formatCode="0.00">
                  <c:v>0</c:v>
                </c:pt>
                <c:pt idx="36" formatCode="0.00">
                  <c:v>0</c:v>
                </c:pt>
                <c:pt idx="37" formatCode="0.00">
                  <c:v>0</c:v>
                </c:pt>
                <c:pt idx="38" formatCode="0.00">
                  <c:v>0</c:v>
                </c:pt>
                <c:pt idx="39" formatCode="0.00">
                  <c:v>0</c:v>
                </c:pt>
                <c:pt idx="40" formatCode="0.00">
                  <c:v>0</c:v>
                </c:pt>
                <c:pt idx="41" formatCode="0.00">
                  <c:v>0</c:v>
                </c:pt>
                <c:pt idx="42" formatCode="0.00">
                  <c:v>0</c:v>
                </c:pt>
                <c:pt idx="43" formatCode="0.00">
                  <c:v>0</c:v>
                </c:pt>
                <c:pt idx="44" formatCode="0.00">
                  <c:v>0</c:v>
                </c:pt>
                <c:pt idx="45" formatCode="0.00">
                  <c:v>0</c:v>
                </c:pt>
                <c:pt idx="46" formatCode="0.00">
                  <c:v>0</c:v>
                </c:pt>
                <c:pt idx="47" formatCode="0.00">
                  <c:v>0</c:v>
                </c:pt>
                <c:pt idx="48" formatCode="0.00">
                  <c:v>0</c:v>
                </c:pt>
                <c:pt idx="49" formatCode="0.00">
                  <c:v>0</c:v>
                </c:pt>
                <c:pt idx="50" formatCode="0.00">
                  <c:v>0</c:v>
                </c:pt>
                <c:pt idx="51" formatCode="0.00">
                  <c:v>0</c:v>
                </c:pt>
                <c:pt idx="52" formatCode="0.00">
                  <c:v>0</c:v>
                </c:pt>
                <c:pt idx="53" formatCode="0.00">
                  <c:v>0</c:v>
                </c:pt>
                <c:pt idx="54" formatCode="0.00">
                  <c:v>0</c:v>
                </c:pt>
                <c:pt idx="55" formatCode="0.00">
                  <c:v>0</c:v>
                </c:pt>
                <c:pt idx="56" formatCode="0.00">
                  <c:v>0</c:v>
                </c:pt>
                <c:pt idx="57" formatCode="0.00">
                  <c:v>0</c:v>
                </c:pt>
                <c:pt idx="58" formatCode="0.00">
                  <c:v>0</c:v>
                </c:pt>
                <c:pt idx="59" formatCode="0.00">
                  <c:v>0</c:v>
                </c:pt>
                <c:pt idx="60" formatCode="0.00">
                  <c:v>0</c:v>
                </c:pt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2F-4D6C-B20E-D6140FA3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013391"/>
        <c:axId val="1623617663"/>
      </c:areaChart>
      <c:scatterChart>
        <c:scatterStyle val="lineMarker"/>
        <c:varyColors val="0"/>
        <c:ser>
          <c:idx val="0"/>
          <c:order val="0"/>
          <c:tx>
            <c:v>Cold Composite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Test_case!$O$27:$O$100</c:f>
              <c:numCache>
                <c:formatCode>General</c:formatCode>
                <c:ptCount val="74"/>
                <c:pt idx="0">
                  <c:v>#N/A</c:v>
                </c:pt>
                <c:pt idx="1">
                  <c:v>#N/A</c:v>
                </c:pt>
                <c:pt idx="2">
                  <c:v>34886.599999999991</c:v>
                </c:pt>
                <c:pt idx="3">
                  <c:v>34263.999999999993</c:v>
                </c:pt>
                <c:pt idx="4">
                  <c:v>34207.399999999994</c:v>
                </c:pt>
                <c:pt idx="5">
                  <c:v>33383.899999999994</c:v>
                </c:pt>
                <c:pt idx="6">
                  <c:v>32560.399999999994</c:v>
                </c:pt>
                <c:pt idx="7">
                  <c:v>30711.899999999994</c:v>
                </c:pt>
                <c:pt idx="8">
                  <c:v>27218.999999999996</c:v>
                </c:pt>
                <c:pt idx="9">
                  <c:v>25538.999999999996</c:v>
                </c:pt>
                <c:pt idx="10">
                  <c:v>24118.599999999995</c:v>
                </c:pt>
                <c:pt idx="11">
                  <c:v>23763.499999999996</c:v>
                </c:pt>
                <c:pt idx="12">
                  <c:v>23408.399999999998</c:v>
                </c:pt>
                <c:pt idx="13">
                  <c:v>20567.599999999999</c:v>
                </c:pt>
                <c:pt idx="14">
                  <c:v>20212.5</c:v>
                </c:pt>
                <c:pt idx="15">
                  <c:v>19857.400000000001</c:v>
                </c:pt>
                <c:pt idx="16">
                  <c:v>16661.5</c:v>
                </c:pt>
                <c:pt idx="17">
                  <c:v>13938.499999999998</c:v>
                </c:pt>
                <c:pt idx="18">
                  <c:v>9861.8999999999978</c:v>
                </c:pt>
                <c:pt idx="19">
                  <c:v>1338.0999999999976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xVal>
          <c:yVal>
            <c:numRef>
              <c:f>Test_case!$P$27:$P$100</c:f>
              <c:numCache>
                <c:formatCode>General</c:formatCode>
                <c:ptCount val="74"/>
                <c:pt idx="0">
                  <c:v>#N/A</c:v>
                </c:pt>
                <c:pt idx="1">
                  <c:v>#N/A</c:v>
                </c:pt>
                <c:pt idx="2">
                  <c:v>117</c:v>
                </c:pt>
                <c:pt idx="3">
                  <c:v>106</c:v>
                </c:pt>
                <c:pt idx="4">
                  <c:v>105</c:v>
                </c:pt>
                <c:pt idx="5">
                  <c:v>100</c:v>
                </c:pt>
                <c:pt idx="6">
                  <c:v>95</c:v>
                </c:pt>
                <c:pt idx="7">
                  <c:v>90</c:v>
                </c:pt>
                <c:pt idx="8">
                  <c:v>81</c:v>
                </c:pt>
                <c:pt idx="9">
                  <c:v>75</c:v>
                </c:pt>
                <c:pt idx="10">
                  <c:v>71</c:v>
                </c:pt>
                <c:pt idx="11">
                  <c:v>70</c:v>
                </c:pt>
                <c:pt idx="12">
                  <c:v>69</c:v>
                </c:pt>
                <c:pt idx="13">
                  <c:v>61</c:v>
                </c:pt>
                <c:pt idx="14">
                  <c:v>60</c:v>
                </c:pt>
                <c:pt idx="15">
                  <c:v>59</c:v>
                </c:pt>
                <c:pt idx="16">
                  <c:v>50</c:v>
                </c:pt>
                <c:pt idx="17">
                  <c:v>43</c:v>
                </c:pt>
                <c:pt idx="18">
                  <c:v>32</c:v>
                </c:pt>
                <c:pt idx="19">
                  <c:v>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2F-4D6C-B20E-D6140FA30F5E}"/>
            </c:ext>
          </c:extLst>
        </c:ser>
        <c:ser>
          <c:idx val="1"/>
          <c:order val="1"/>
          <c:tx>
            <c:v>Hot Composite</c:v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Test_case!$R$27:$R$100</c:f>
              <c:numCache>
                <c:formatCode>General</c:formatCode>
                <c:ptCount val="74"/>
                <c:pt idx="0">
                  <c:v>29058.099999999995</c:v>
                </c:pt>
                <c:pt idx="1">
                  <c:v>29047.499999999996</c:v>
                </c:pt>
                <c:pt idx="2">
                  <c:v>28760.199999999997</c:v>
                </c:pt>
                <c:pt idx="3">
                  <c:v>28517.1</c:v>
                </c:pt>
                <c:pt idx="4">
                  <c:v>25168</c:v>
                </c:pt>
                <c:pt idx="5">
                  <c:v>25057.5</c:v>
                </c:pt>
                <c:pt idx="6">
                  <c:v>24270</c:v>
                </c:pt>
                <c:pt idx="7">
                  <c:v>23482.5</c:v>
                </c:pt>
                <c:pt idx="8">
                  <c:v>23283.599999999999</c:v>
                </c:pt>
                <c:pt idx="9">
                  <c:v>23151</c:v>
                </c:pt>
                <c:pt idx="10">
                  <c:v>23062.6</c:v>
                </c:pt>
                <c:pt idx="11">
                  <c:v>22905.899999999998</c:v>
                </c:pt>
                <c:pt idx="12">
                  <c:v>21821.199999999997</c:v>
                </c:pt>
                <c:pt idx="13">
                  <c:v>20567.599999999999</c:v>
                </c:pt>
                <c:pt idx="14">
                  <c:v>19722.3</c:v>
                </c:pt>
                <c:pt idx="15">
                  <c:v>7717</c:v>
                </c:pt>
                <c:pt idx="16">
                  <c:v>7669.3</c:v>
                </c:pt>
                <c:pt idx="17">
                  <c:v>7632.2</c:v>
                </c:pt>
                <c:pt idx="18">
                  <c:v>7573.9</c:v>
                </c:pt>
                <c:pt idx="19">
                  <c:v>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xVal>
          <c:yVal>
            <c:numRef>
              <c:f>Test_case!$S$27:$S$100</c:f>
              <c:numCache>
                <c:formatCode>General</c:formatCode>
                <c:ptCount val="74"/>
                <c:pt idx="0">
                  <c:v>132</c:v>
                </c:pt>
                <c:pt idx="1">
                  <c:v>130</c:v>
                </c:pt>
                <c:pt idx="2">
                  <c:v>117</c:v>
                </c:pt>
                <c:pt idx="3">
                  <c:v>106</c:v>
                </c:pt>
                <c:pt idx="4">
                  <c:v>105</c:v>
                </c:pt>
                <c:pt idx="5">
                  <c:v>100</c:v>
                </c:pt>
                <c:pt idx="6">
                  <c:v>95</c:v>
                </c:pt>
                <c:pt idx="7">
                  <c:v>90</c:v>
                </c:pt>
                <c:pt idx="8">
                  <c:v>81</c:v>
                </c:pt>
                <c:pt idx="9">
                  <c:v>75</c:v>
                </c:pt>
                <c:pt idx="10">
                  <c:v>71</c:v>
                </c:pt>
                <c:pt idx="11">
                  <c:v>70</c:v>
                </c:pt>
                <c:pt idx="12">
                  <c:v>69</c:v>
                </c:pt>
                <c:pt idx="13">
                  <c:v>61</c:v>
                </c:pt>
                <c:pt idx="14">
                  <c:v>60</c:v>
                </c:pt>
                <c:pt idx="15">
                  <c:v>59</c:v>
                </c:pt>
                <c:pt idx="16">
                  <c:v>50</c:v>
                </c:pt>
                <c:pt idx="17">
                  <c:v>43</c:v>
                </c:pt>
                <c:pt idx="18">
                  <c:v>32</c:v>
                </c:pt>
                <c:pt idx="19">
                  <c:v>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2F-4D6C-B20E-D6140FA30F5E}"/>
            </c:ext>
          </c:extLst>
        </c:ser>
        <c:ser>
          <c:idx val="5"/>
          <c:order val="2"/>
          <c:tx>
            <c:v>Pinch Location</c:v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Test_case!$AG$24:$AG$25</c:f>
              <c:numCache>
                <c:formatCode>General</c:formatCode>
                <c:ptCount val="2"/>
                <c:pt idx="0">
                  <c:v>20567.599999999999</c:v>
                </c:pt>
                <c:pt idx="1">
                  <c:v>20567.599999999999</c:v>
                </c:pt>
              </c:numCache>
            </c:numRef>
          </c:xVal>
          <c:yVal>
            <c:numRef>
              <c:f>Test_case!$AH$24:$AH$25</c:f>
              <c:numCache>
                <c:formatCode>General</c:formatCode>
                <c:ptCount val="2"/>
                <c:pt idx="0" formatCode="0.00">
                  <c:v>61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2F-4D6C-B20E-D6140FA3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959616"/>
        <c:axId val="639995296"/>
      </c:scatterChart>
      <c:scatterChart>
        <c:scatterStyle val="lineMarker"/>
        <c:varyColors val="0"/>
        <c:ser>
          <c:idx val="4"/>
          <c:order val="5"/>
          <c:tx>
            <c:v>Max T</c:v>
          </c:tx>
          <c:spPr>
            <a:ln>
              <a:noFill/>
            </a:ln>
          </c:spPr>
          <c:marker>
            <c:spPr>
              <a:ln>
                <a:noFill/>
              </a:ln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082F-4D6C-B20E-D6140FA30F5E}"/>
              </c:ext>
            </c:extLst>
          </c:dPt>
          <c:xVal>
            <c:numRef>
              <c:f>Test_case!$AB$27:$AB$28</c:f>
              <c:numCache>
                <c:formatCode>0.0</c:formatCode>
                <c:ptCount val="2"/>
                <c:pt idx="0">
                  <c:v>33.452499999999944</c:v>
                </c:pt>
                <c:pt idx="1">
                  <c:v>246.54749999999996</c:v>
                </c:pt>
              </c:numCache>
            </c:numRef>
          </c:xVal>
          <c:yVal>
            <c:numRef>
              <c:f>Test_case!$AE$27:$AE$28</c:f>
              <c:numCache>
                <c:formatCode>General</c:formatCode>
                <c:ptCount val="2"/>
                <c:pt idx="0">
                  <c:v>0</c:v>
                </c:pt>
                <c:pt idx="1">
                  <c:v>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82F-4D6C-B20E-D6140FA3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013391"/>
        <c:axId val="1623617663"/>
      </c:scatterChart>
      <c:valAx>
        <c:axId val="63995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Heat</a:t>
                </a:r>
                <a:r>
                  <a:rPr lang="en-US" baseline="0"/>
                  <a:t> Flow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95296"/>
        <c:crosses val="autoZero"/>
        <c:crossBetween val="midCat"/>
      </c:valAx>
      <c:valAx>
        <c:axId val="63999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Shifted</a:t>
                </a:r>
                <a:r>
                  <a:rPr lang="en-US" baseline="0"/>
                  <a:t> Temperature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59616"/>
        <c:crosses val="autoZero"/>
        <c:crossBetween val="midCat"/>
      </c:valAx>
      <c:valAx>
        <c:axId val="162361766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652013391"/>
        <c:crosses val="max"/>
        <c:crossBetween val="between"/>
      </c:valAx>
      <c:dateAx>
        <c:axId val="1652013391"/>
        <c:scaling>
          <c:orientation val="minMax"/>
        </c:scaling>
        <c:delete val="1"/>
        <c:axPos val="t"/>
        <c:numFmt formatCode="#,##0.00" sourceLinked="0"/>
        <c:majorTickMark val="out"/>
        <c:minorTickMark val="none"/>
        <c:tickLblPos val="nextTo"/>
        <c:crossAx val="1623617663"/>
        <c:crosses val="max"/>
        <c:auto val="0"/>
        <c:lblOffset val="100"/>
        <c:baseTimeUnit val="days"/>
      </c:date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5905361192231418"/>
          <c:y val="0.10623292731840156"/>
          <c:w val="0.16264429608636582"/>
          <c:h val="0.1163132781865793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70493778607111"/>
          <c:y val="2.9490616621983913E-2"/>
          <c:w val="0.84433698444442584"/>
          <c:h val="0.85146566464714701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Test_case!$U$27:$U$56</c:f>
              <c:numCache>
                <c:formatCode>General</c:formatCode>
                <c:ptCount val="30"/>
                <c:pt idx="0">
                  <c:v>5828.5</c:v>
                </c:pt>
                <c:pt idx="1">
                  <c:v>5839.1</c:v>
                </c:pt>
                <c:pt idx="2">
                  <c:v>6126.4000000000005</c:v>
                </c:pt>
                <c:pt idx="3">
                  <c:v>5746.9000000000005</c:v>
                </c:pt>
                <c:pt idx="4">
                  <c:v>9039.4000000000015</c:v>
                </c:pt>
                <c:pt idx="5">
                  <c:v>8326.4000000000015</c:v>
                </c:pt>
                <c:pt idx="6">
                  <c:v>8290.4000000000015</c:v>
                </c:pt>
                <c:pt idx="7">
                  <c:v>7229.4000000000015</c:v>
                </c:pt>
                <c:pt idx="8">
                  <c:v>3935.4000000000019</c:v>
                </c:pt>
                <c:pt idx="9">
                  <c:v>2388.0000000000018</c:v>
                </c:pt>
                <c:pt idx="10">
                  <c:v>1056.0000000000018</c:v>
                </c:pt>
                <c:pt idx="11">
                  <c:v>857.60000000000173</c:v>
                </c:pt>
                <c:pt idx="12">
                  <c:v>1587.2000000000016</c:v>
                </c:pt>
                <c:pt idx="13">
                  <c:v>0</c:v>
                </c:pt>
                <c:pt idx="14">
                  <c:v>490.19999999999993</c:v>
                </c:pt>
                <c:pt idx="15">
                  <c:v>12140.4</c:v>
                </c:pt>
                <c:pt idx="16">
                  <c:v>8992.1999999999989</c:v>
                </c:pt>
                <c:pt idx="17">
                  <c:v>6306.2999999999993</c:v>
                </c:pt>
                <c:pt idx="18">
                  <c:v>2287.9999999999991</c:v>
                </c:pt>
                <c:pt idx="19">
                  <c:v>1338.0999999999976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xVal>
          <c:yVal>
            <c:numRef>
              <c:f>Test_case!$V$27:$V$56</c:f>
              <c:numCache>
                <c:formatCode>General</c:formatCode>
                <c:ptCount val="30"/>
                <c:pt idx="0">
                  <c:v>132</c:v>
                </c:pt>
                <c:pt idx="1">
                  <c:v>130</c:v>
                </c:pt>
                <c:pt idx="2">
                  <c:v>117</c:v>
                </c:pt>
                <c:pt idx="3">
                  <c:v>106</c:v>
                </c:pt>
                <c:pt idx="4">
                  <c:v>105</c:v>
                </c:pt>
                <c:pt idx="5">
                  <c:v>100</c:v>
                </c:pt>
                <c:pt idx="6">
                  <c:v>95</c:v>
                </c:pt>
                <c:pt idx="7">
                  <c:v>90</c:v>
                </c:pt>
                <c:pt idx="8">
                  <c:v>81</c:v>
                </c:pt>
                <c:pt idx="9">
                  <c:v>75</c:v>
                </c:pt>
                <c:pt idx="10">
                  <c:v>71</c:v>
                </c:pt>
                <c:pt idx="11">
                  <c:v>70</c:v>
                </c:pt>
                <c:pt idx="12">
                  <c:v>69</c:v>
                </c:pt>
                <c:pt idx="13">
                  <c:v>61</c:v>
                </c:pt>
                <c:pt idx="14">
                  <c:v>60</c:v>
                </c:pt>
                <c:pt idx="15">
                  <c:v>59</c:v>
                </c:pt>
                <c:pt idx="16">
                  <c:v>50</c:v>
                </c:pt>
                <c:pt idx="17">
                  <c:v>43</c:v>
                </c:pt>
                <c:pt idx="18">
                  <c:v>32</c:v>
                </c:pt>
                <c:pt idx="19">
                  <c:v>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0-4DD8-8B76-8257C2094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959616"/>
        <c:axId val="639995296"/>
      </c:scatterChart>
      <c:valAx>
        <c:axId val="63995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Heat</a:t>
                </a:r>
                <a:r>
                  <a:rPr lang="en-US" baseline="0"/>
                  <a:t> Flow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95296"/>
        <c:crosses val="autoZero"/>
        <c:crossBetween val="midCat"/>
      </c:valAx>
      <c:valAx>
        <c:axId val="63999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Shifted</a:t>
                </a:r>
                <a:r>
                  <a:rPr lang="en-US" baseline="0"/>
                  <a:t> Temperature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5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0"/>
          <c:order val="0"/>
          <c:tx>
            <c:v>PinchTemp</c:v>
          </c:tx>
          <c:spPr>
            <a:ln w="6350" cap="rnd">
              <a:solidFill>
                <a:schemeClr val="accent5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6"/>
            <c:spPr>
              <a:noFill/>
              <a:ln w="6350">
                <a:noFill/>
                <a:prstDash val="dash"/>
                <a:round/>
              </a:ln>
              <a:effectLst/>
            </c:spPr>
          </c:marker>
          <c:xVal>
            <c:numRef>
              <c:f>Test_case!$AH$23:$AH$24</c:f>
              <c:numCache>
                <c:formatCode>0.00</c:formatCode>
                <c:ptCount val="2"/>
                <c:pt idx="0">
                  <c:v>61</c:v>
                </c:pt>
                <c:pt idx="1">
                  <c:v>61</c:v>
                </c:pt>
              </c:numCache>
            </c:numRef>
          </c:xVal>
          <c:yVal>
            <c:numRef>
              <c:f>Test_case!$AI$23:$AI$24</c:f>
              <c:numCache>
                <c:formatCode>General</c:formatCode>
                <c:ptCount val="2"/>
                <c:pt idx="0">
                  <c:v>0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C5-4343-B66E-1CDAA091D9C7}"/>
            </c:ext>
          </c:extLst>
        </c:ser>
        <c:ser>
          <c:idx val="0"/>
          <c:order val="1"/>
          <c:tx>
            <c:strRef>
              <c:f>Test_case!$AJ$27</c:f>
              <c:strCache>
                <c:ptCount val="1"/>
                <c:pt idx="0">
                  <c:v>Hot 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Test_case!$AH$27:$AH$28</c:f>
              <c:numCache>
                <c:formatCode>General</c:formatCode>
                <c:ptCount val="2"/>
                <c:pt idx="0">
                  <c:v>137</c:v>
                </c:pt>
                <c:pt idx="1">
                  <c:v>14</c:v>
                </c:pt>
              </c:numCache>
            </c:numRef>
          </c:xVal>
          <c:yVal>
            <c:numRef>
              <c:f>Test_case!$AI$27:$AI$28</c:f>
              <c:numCache>
                <c:formatCode>General</c:formatCode>
                <c:ptCount val="2"/>
                <c:pt idx="0">
                  <c:v>11</c:v>
                </c:pt>
                <c:pt idx="1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C5-4343-B66E-1CDAA091D9C7}"/>
            </c:ext>
          </c:extLst>
        </c:ser>
        <c:ser>
          <c:idx val="1"/>
          <c:order val="2"/>
          <c:tx>
            <c:strRef>
              <c:f>Test_case!$AJ$30</c:f>
              <c:strCache>
                <c:ptCount val="1"/>
                <c:pt idx="0">
                  <c:v>Hot 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Test_case!$AH$30:$AH$31</c:f>
              <c:numCache>
                <c:formatCode>General</c:formatCode>
                <c:ptCount val="2"/>
                <c:pt idx="0">
                  <c:v>135</c:v>
                </c:pt>
                <c:pt idx="1">
                  <c:v>66</c:v>
                </c:pt>
              </c:numCache>
            </c:numRef>
          </c:xVal>
          <c:yVal>
            <c:numRef>
              <c:f>Test_case!$AI$30:$AI$31</c:f>
              <c:numCache>
                <c:formatCode>General</c:formatCode>
                <c:ptCount val="2"/>
                <c:pt idx="0">
                  <c:v>12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C5-4343-B66E-1CDAA091D9C7}"/>
            </c:ext>
          </c:extLst>
        </c:ser>
        <c:ser>
          <c:idx val="2"/>
          <c:order val="3"/>
          <c:tx>
            <c:strRef>
              <c:f>Test_case!$AJ$33</c:f>
              <c:strCache>
                <c:ptCount val="1"/>
                <c:pt idx="0">
                  <c:v>Hot 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Test_case!$AH$33:$AH$34</c:f>
              <c:numCache>
                <c:formatCode>General</c:formatCode>
                <c:ptCount val="2"/>
                <c:pt idx="0">
                  <c:v>111</c:v>
                </c:pt>
                <c:pt idx="1">
                  <c:v>110</c:v>
                </c:pt>
              </c:numCache>
            </c:numRef>
          </c:xVal>
          <c:yVal>
            <c:numRef>
              <c:f>Test_case!$AI$33:$AI$34</c:f>
              <c:numCache>
                <c:formatCode>General</c:formatCode>
                <c:ptCount val="2"/>
                <c:pt idx="0">
                  <c:v>13</c:v>
                </c:pt>
                <c:pt idx="1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C5-4343-B66E-1CDAA091D9C7}"/>
            </c:ext>
          </c:extLst>
        </c:ser>
        <c:ser>
          <c:idx val="6"/>
          <c:order val="4"/>
          <c:tx>
            <c:strRef>
              <c:f>Test_case!$AJ$36</c:f>
              <c:strCache>
                <c:ptCount val="1"/>
                <c:pt idx="0">
                  <c:v>Hot 4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Test_case!$AH$36:$AH$37</c:f>
              <c:numCache>
                <c:formatCode>General</c:formatCode>
                <c:ptCount val="2"/>
                <c:pt idx="0">
                  <c:v>105</c:v>
                </c:pt>
                <c:pt idx="1">
                  <c:v>95</c:v>
                </c:pt>
              </c:numCache>
            </c:numRef>
          </c:xVal>
          <c:yVal>
            <c:numRef>
              <c:f>Test_case!$AI$36:$AI$37</c:f>
              <c:numCache>
                <c:formatCode>General</c:formatCode>
                <c:ptCount val="2"/>
                <c:pt idx="0">
                  <c:v>14</c:v>
                </c:pt>
                <c:pt idx="1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C5-4343-B66E-1CDAA091D9C7}"/>
            </c:ext>
          </c:extLst>
        </c:ser>
        <c:ser>
          <c:idx val="7"/>
          <c:order val="5"/>
          <c:tx>
            <c:strRef>
              <c:f>Test_case!$AJ$39</c:f>
              <c:strCache>
                <c:ptCount val="1"/>
                <c:pt idx="0">
                  <c:v>Hot 5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Test_case!$AH$39:$AH$40</c:f>
              <c:numCache>
                <c:formatCode>General</c:formatCode>
                <c:ptCount val="2"/>
                <c:pt idx="0">
                  <c:v>76</c:v>
                </c:pt>
                <c:pt idx="1">
                  <c:v>66</c:v>
                </c:pt>
              </c:numCache>
            </c:numRef>
          </c:xVal>
          <c:yVal>
            <c:numRef>
              <c:f>Test_case!$AI$39:$AI$40</c:f>
              <c:numCache>
                <c:formatCode>General</c:formatCode>
                <c:ptCount val="2"/>
                <c:pt idx="0">
                  <c:v>15</c:v>
                </c:pt>
                <c:pt idx="1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BC5-4343-B66E-1CDAA091D9C7}"/>
            </c:ext>
          </c:extLst>
        </c:ser>
        <c:ser>
          <c:idx val="12"/>
          <c:order val="6"/>
          <c:tx>
            <c:strRef>
              <c:f>Test_case!$AJ$42</c:f>
              <c:strCache>
                <c:ptCount val="1"/>
                <c:pt idx="0">
                  <c:v>Hot 6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Test_case!$AH$42:$AH$43</c:f>
              <c:numCache>
                <c:formatCode>General</c:formatCode>
                <c:ptCount val="2"/>
                <c:pt idx="0">
                  <c:v>75</c:v>
                </c:pt>
                <c:pt idx="1">
                  <c:v>74</c:v>
                </c:pt>
              </c:numCache>
            </c:numRef>
          </c:xVal>
          <c:yVal>
            <c:numRef>
              <c:f>Test_case!$AI$42:$AI$43</c:f>
              <c:numCache>
                <c:formatCode>General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BC5-4343-B66E-1CDAA091D9C7}"/>
            </c:ext>
          </c:extLst>
        </c:ser>
        <c:ser>
          <c:idx val="13"/>
          <c:order val="7"/>
          <c:tx>
            <c:strRef>
              <c:f>Test_case!$AJ$45</c:f>
              <c:strCache>
                <c:ptCount val="1"/>
                <c:pt idx="0">
                  <c:v>Hot 7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Test_case!$AH$45:$AH$46</c:f>
              <c:numCache>
                <c:formatCode>General</c:formatCode>
                <c:ptCount val="2"/>
                <c:pt idx="0">
                  <c:v>66</c:v>
                </c:pt>
                <c:pt idx="1">
                  <c:v>65</c:v>
                </c:pt>
              </c:numCache>
            </c:numRef>
          </c:xVal>
          <c:yVal>
            <c:numRef>
              <c:f>Test_case!$AI$45:$AI$46</c:f>
              <c:numCache>
                <c:formatCode>General</c:formatCode>
                <c:ptCount val="2"/>
                <c:pt idx="0">
                  <c:v>17</c:v>
                </c:pt>
                <c:pt idx="1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BC5-4343-B66E-1CDAA091D9C7}"/>
            </c:ext>
          </c:extLst>
        </c:ser>
        <c:ser>
          <c:idx val="14"/>
          <c:order val="8"/>
          <c:tx>
            <c:strRef>
              <c:f>Test_case!$AJ$48</c:f>
              <c:strCache>
                <c:ptCount val="1"/>
                <c:pt idx="0">
                  <c:v>Hot 8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Test_case!$AH$48:$AH$49</c:f>
              <c:numCache>
                <c:formatCode>General</c:formatCode>
                <c:ptCount val="2"/>
                <c:pt idx="0">
                  <c:v>65</c:v>
                </c:pt>
                <c:pt idx="1">
                  <c:v>64</c:v>
                </c:pt>
              </c:numCache>
            </c:numRef>
          </c:xVal>
          <c:yVal>
            <c:numRef>
              <c:f>Test_case!$AI$48:$AI$49</c:f>
              <c:numCache>
                <c:formatCode>General</c:formatCode>
                <c:ptCount val="2"/>
                <c:pt idx="0">
                  <c:v>18</c:v>
                </c:pt>
                <c:pt idx="1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BC5-4343-B66E-1CDAA091D9C7}"/>
            </c:ext>
          </c:extLst>
        </c:ser>
        <c:ser>
          <c:idx val="15"/>
          <c:order val="9"/>
          <c:tx>
            <c:strRef>
              <c:f>Test_case!$AJ$51</c:f>
              <c:strCache>
                <c:ptCount val="1"/>
                <c:pt idx="0">
                  <c:v>Hot 9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Test_case!$AH$51:$AH$52</c:f>
              <c:numCache>
                <c:formatCode>General</c:formatCode>
                <c:ptCount val="2"/>
                <c:pt idx="0">
                  <c:v>37</c:v>
                </c:pt>
                <c:pt idx="1">
                  <c:v>14</c:v>
                </c:pt>
              </c:numCache>
            </c:numRef>
          </c:xVal>
          <c:yVal>
            <c:numRef>
              <c:f>Test_case!$AI$51:$AI$52</c:f>
              <c:numCache>
                <c:formatCode>General</c:formatCode>
                <c:ptCount val="2"/>
                <c:pt idx="0">
                  <c:v>19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BC5-4343-B66E-1CDAA091D9C7}"/>
            </c:ext>
          </c:extLst>
        </c:ser>
        <c:ser>
          <c:idx val="3"/>
          <c:order val="10"/>
          <c:tx>
            <c:strRef>
              <c:f>Test_case!$AN$27</c:f>
              <c:strCache>
                <c:ptCount val="1"/>
                <c:pt idx="0">
                  <c:v>Cold 1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Test_case!$AL$27:$AL$28</c:f>
              <c:numCache>
                <c:formatCode>General</c:formatCode>
                <c:ptCount val="2"/>
                <c:pt idx="0">
                  <c:v>4</c:v>
                </c:pt>
                <c:pt idx="1">
                  <c:v>112</c:v>
                </c:pt>
              </c:numCache>
            </c:numRef>
          </c:xVal>
          <c:yVal>
            <c:numRef>
              <c:f>Test_case!$AM$27:$AM$28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BC5-4343-B66E-1CDAA091D9C7}"/>
            </c:ext>
          </c:extLst>
        </c:ser>
        <c:ser>
          <c:idx val="4"/>
          <c:order val="11"/>
          <c:tx>
            <c:strRef>
              <c:f>Test_case!$AN$30</c:f>
              <c:strCache>
                <c:ptCount val="1"/>
                <c:pt idx="0">
                  <c:v>Cold 2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Test_case!$AL$30:$AL$31</c:f>
              <c:numCache>
                <c:formatCode>General</c:formatCode>
                <c:ptCount val="2"/>
                <c:pt idx="0">
                  <c:v>76</c:v>
                </c:pt>
                <c:pt idx="1">
                  <c:v>100</c:v>
                </c:pt>
              </c:numCache>
            </c:numRef>
          </c:xVal>
          <c:yVal>
            <c:numRef>
              <c:f>Test_case!$AM$30:$AM$31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BC5-4343-B66E-1CDAA091D9C7}"/>
            </c:ext>
          </c:extLst>
        </c:ser>
        <c:ser>
          <c:idx val="5"/>
          <c:order val="12"/>
          <c:tx>
            <c:strRef>
              <c:f>Test_case!$AN$33</c:f>
              <c:strCache>
                <c:ptCount val="1"/>
                <c:pt idx="0">
                  <c:v>Cold 3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Test_case!$AL$33:$AL$34</c:f>
              <c:numCache>
                <c:formatCode>General</c:formatCode>
                <c:ptCount val="2"/>
                <c:pt idx="0">
                  <c:v>70</c:v>
                </c:pt>
                <c:pt idx="1">
                  <c:v>90</c:v>
                </c:pt>
              </c:numCache>
            </c:numRef>
          </c:xVal>
          <c:yVal>
            <c:numRef>
              <c:f>Test_case!$AM$33:$AM$34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BC5-4343-B66E-1CDAA091D9C7}"/>
            </c:ext>
          </c:extLst>
        </c:ser>
        <c:ser>
          <c:idx val="8"/>
          <c:order val="13"/>
          <c:tx>
            <c:strRef>
              <c:f>Test_case!$AN$36</c:f>
              <c:strCache>
                <c:ptCount val="1"/>
                <c:pt idx="0">
                  <c:v>Cold 4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Test_case!$AL$36:$AL$37</c:f>
              <c:numCache>
                <c:formatCode>General</c:formatCode>
                <c:ptCount val="2"/>
                <c:pt idx="0">
                  <c:v>38</c:v>
                </c:pt>
                <c:pt idx="1">
                  <c:v>85</c:v>
                </c:pt>
              </c:numCache>
            </c:numRef>
          </c:xVal>
          <c:yVal>
            <c:numRef>
              <c:f>Test_case!$AM$36:$AM$37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BC5-4343-B66E-1CDAA091D9C7}"/>
            </c:ext>
          </c:extLst>
        </c:ser>
        <c:ser>
          <c:idx val="9"/>
          <c:order val="14"/>
          <c:tx>
            <c:strRef>
              <c:f>Test_case!$AN$39</c:f>
              <c:strCache>
                <c:ptCount val="1"/>
                <c:pt idx="0">
                  <c:v>Cold 5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Test_case!$AL$39:$AL$40</c:f>
              <c:numCache>
                <c:formatCode>General</c:formatCode>
                <c:ptCount val="2"/>
                <c:pt idx="0">
                  <c:v>45</c:v>
                </c:pt>
                <c:pt idx="1">
                  <c:v>70</c:v>
                </c:pt>
              </c:numCache>
            </c:numRef>
          </c:xVal>
          <c:yVal>
            <c:numRef>
              <c:f>Test_case!$AM$39:$AM$40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BC5-4343-B66E-1CDAA091D9C7}"/>
            </c:ext>
          </c:extLst>
        </c:ser>
        <c:ser>
          <c:idx val="11"/>
          <c:order val="15"/>
          <c:tx>
            <c:strRef>
              <c:f>Test_case!$AN$42</c:f>
              <c:strCache>
                <c:ptCount val="1"/>
                <c:pt idx="0">
                  <c:v>Cold 6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Test_case!$AL$42:$AL$43</c:f>
              <c:numCache>
                <c:formatCode>General</c:formatCode>
                <c:ptCount val="2"/>
                <c:pt idx="0">
                  <c:v>4</c:v>
                </c:pt>
                <c:pt idx="1">
                  <c:v>45</c:v>
                </c:pt>
              </c:numCache>
            </c:numRef>
          </c:xVal>
          <c:yVal>
            <c:numRef>
              <c:f>Test_case!$AM$42:$AM$43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BC5-4343-B66E-1CDAA091D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521487"/>
        <c:axId val="1186899391"/>
      </c:scatterChart>
      <c:valAx>
        <c:axId val="35552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99391"/>
        <c:crosses val="autoZero"/>
        <c:crossBetween val="midCat"/>
      </c:valAx>
      <c:valAx>
        <c:axId val="118689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521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23</xdr:row>
      <xdr:rowOff>22225</xdr:rowOff>
    </xdr:from>
    <xdr:to>
      <xdr:col>6</xdr:col>
      <xdr:colOff>625475</xdr:colOff>
      <xdr:row>50</xdr:row>
      <xdr:rowOff>149225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A60932-2832-4534-BC0C-434ED84366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171450</xdr:colOff>
      <xdr:row>51</xdr:row>
      <xdr:rowOff>161925</xdr:rowOff>
    </xdr:from>
    <xdr:to>
      <xdr:col>6</xdr:col>
      <xdr:colOff>615950</xdr:colOff>
      <xdr:row>79</xdr:row>
      <xdr:rowOff>88900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6BD6C556-07A1-462B-B7BC-6BA68DDB1A3C}"/>
            </a:ext>
            <a:ext uri="{147F2762-F138-4A5C-976F-8EAC2B608ADB}">
              <a16:predDERef xmlns:a16="http://schemas.microsoft.com/office/drawing/2014/main" pred="{8E9D46F4-A34E-0C2A-418A-930DC693B5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128586</xdr:colOff>
      <xdr:row>30</xdr:row>
      <xdr:rowOff>142876</xdr:rowOff>
    </xdr:from>
    <xdr:to>
      <xdr:col>49</xdr:col>
      <xdr:colOff>495299</xdr:colOff>
      <xdr:row>61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B51EFA-D1EC-4C28-B211-302762D1345C}"/>
            </a:ext>
            <a:ext uri="{147F2762-F138-4A5C-976F-8EAC2B608ADB}">
              <a16:predDERef xmlns:a16="http://schemas.microsoft.com/office/drawing/2014/main" pred="{D7595852-B411-574F-ABCF-708A24FD9B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etee Lorprajuksiri" id="{58B5D07A-C6BA-4333-BAF1-AD366BC92019}" userId="S::26008353@pttgcgroup.com::8e731727-e063-4b4d-953a-745ffedc768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0EA7A-D1DD-4AB3-B1A7-7C3340032068}" name="Table3" displayName="Table3" ref="A2:F22" totalsRowShown="0">
  <autoFilter ref="A2:F22" xr:uid="{5282843C-0FDD-C940-ABEB-01C7BA357338}"/>
  <tableColumns count="6">
    <tableColumn id="1" xr3:uid="{51161E5C-B970-4A5B-8104-33DD52FA0EF6}" name="Stream no" dataDxfId="12"/>
    <tableColumn id="2" xr3:uid="{71E0C6C2-353E-41AC-B4DB-82579879651E}" name="Stream Name"/>
    <tableColumn id="3" xr3:uid="{BAED1916-3B93-426B-8D2C-3C3D00DDDA30}" name="Supply Temp" dataDxfId="11"/>
    <tableColumn id="4" xr3:uid="{F2FA5C5B-2BC4-4460-8649-C7005BB98E94}" name="Target Temp" dataDxfId="10"/>
    <tableColumn id="5" xr3:uid="{4EC3CF15-387C-4C65-832E-C5CEE8106FE1}" name="Heat Cap" dataDxfId="9"/>
    <tableColumn id="6" xr3:uid="{FDD9F0D0-850A-4715-B314-5C921BF0C69A}" name="Enthalpy change" dataDxfId="8">
      <calculatedColumnFormula>IF(Table3[[#This Row],[Heat Cap]],ABS(Table3[[#This Row],[Target Temp]]-Table3[[#This Row],[Supply Temp]])*Table3[[#This Row],[Heat Cap]],0)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A6D4DF-E638-4138-8EF0-4D8D308F4C4E}" name="Table4" displayName="Table4" ref="H2:M22" totalsRowShown="0">
  <autoFilter ref="H2:M22" xr:uid="{C2819A13-B954-F744-A937-195205D73C92}"/>
  <tableColumns count="6">
    <tableColumn id="1" xr3:uid="{ECA15CAA-9B7C-4CA8-9A92-76A96085E693}" name="Stream no" dataDxfId="7"/>
    <tableColumn id="2" xr3:uid="{C7FD695F-4DD9-480C-9BE7-CBF936487862}" name="Stream Name"/>
    <tableColumn id="3" xr3:uid="{6B08F010-5BE0-469A-AFEC-401DEFAC2BC2}" name="Supply Temp" dataDxfId="6"/>
    <tableColumn id="4" xr3:uid="{6DAB91F0-ABCB-4103-A612-B4CB15012200}" name="Target Temp" dataDxfId="5"/>
    <tableColumn id="5" xr3:uid="{9C848C1C-BC49-4229-916A-1B024467F3FA}" name="Heat Cap" dataDxfId="4"/>
    <tableColumn id="6" xr3:uid="{CB901371-BCA9-417B-9021-899661F2CBCF}" name="Enthalpy change" dataDxfId="3">
      <calculatedColumnFormula>IF(Table4[[#This Row],[Heat Cap]],ABS(Table4[[#This Row],[Target Temp]]-Table4[[#This Row],[Supply Temp]])*Table4[[#This Row],[Heat Cap]],0)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22" dT="2023-08-31T05:49:45.33" personId="{58B5D07A-C6BA-4333-BAF1-AD366BC92019}" id="{D6154AAF-4F18-48A6-A1C1-36A34F805882}">
    <text>Edit with max range from chart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6D52-B92F-4C13-90EE-CFC876B09C87}">
  <dimension ref="A2:BD72"/>
  <sheetViews>
    <sheetView tabSelected="1" topLeftCell="I16" zoomScaleNormal="100" workbookViewId="0">
      <selection activeCell="AX14" sqref="AX14:BD22"/>
    </sheetView>
  </sheetViews>
  <sheetFormatPr defaultRowHeight="12" x14ac:dyDescent="0.4"/>
  <cols>
    <col min="6" max="6" width="1.75" customWidth="1"/>
    <col min="11" max="11" width="8.6640625" customWidth="1"/>
    <col min="14" max="14" width="1.4140625" customWidth="1"/>
    <col min="15" max="16" width="1.75" customWidth="1"/>
    <col min="18" max="18" width="10.08203125" customWidth="1"/>
    <col min="24" max="24" width="1.4140625" customWidth="1"/>
    <col min="25" max="26" width="1.75" customWidth="1"/>
    <col min="28" max="28" width="10.08203125" customWidth="1"/>
    <col min="34" max="34" width="1.4140625" customWidth="1"/>
    <col min="35" max="36" width="1.75" customWidth="1"/>
    <col min="44" max="44" width="1.4140625" customWidth="1"/>
    <col min="45" max="46" width="1.75" customWidth="1"/>
    <col min="53" max="53" width="1.33203125" bestFit="1" customWidth="1"/>
    <col min="54" max="55" width="1.75" bestFit="1" customWidth="1"/>
  </cols>
  <sheetData>
    <row r="2" spans="1:56" x14ac:dyDescent="0.4">
      <c r="K2" t="s">
        <v>27</v>
      </c>
      <c r="U2" t="s">
        <v>26</v>
      </c>
      <c r="AE2" t="s">
        <v>28</v>
      </c>
      <c r="AO2" t="s">
        <v>29</v>
      </c>
      <c r="AX2" t="s">
        <v>30</v>
      </c>
    </row>
    <row r="3" spans="1:56" x14ac:dyDescent="0.4">
      <c r="A3">
        <v>15</v>
      </c>
      <c r="B3">
        <v>2</v>
      </c>
      <c r="K3" t="s">
        <v>0</v>
      </c>
      <c r="L3" t="s">
        <v>1</v>
      </c>
      <c r="M3" t="s">
        <v>6</v>
      </c>
      <c r="N3" t="s">
        <v>3</v>
      </c>
      <c r="O3" t="s">
        <v>4</v>
      </c>
      <c r="P3" t="s">
        <v>5</v>
      </c>
      <c r="Q3" s="1">
        <v>376.3</v>
      </c>
      <c r="R3" t="s">
        <v>25</v>
      </c>
      <c r="U3" t="s">
        <v>0</v>
      </c>
      <c r="V3" t="s">
        <v>1</v>
      </c>
      <c r="W3" t="s">
        <v>8</v>
      </c>
      <c r="X3" t="s">
        <v>3</v>
      </c>
      <c r="Y3" t="s">
        <v>4</v>
      </c>
      <c r="Z3" t="s">
        <v>5</v>
      </c>
      <c r="AA3" s="1">
        <v>82.9</v>
      </c>
      <c r="AB3" t="s">
        <v>25</v>
      </c>
      <c r="AE3" t="s">
        <v>0</v>
      </c>
      <c r="AF3" t="s">
        <v>1</v>
      </c>
      <c r="AG3" t="s">
        <v>9</v>
      </c>
      <c r="AH3" t="s">
        <v>3</v>
      </c>
      <c r="AI3" t="s">
        <v>4</v>
      </c>
      <c r="AJ3" t="s">
        <v>5</v>
      </c>
      <c r="AK3" s="1">
        <v>147.4</v>
      </c>
      <c r="AL3" t="s">
        <v>25</v>
      </c>
      <c r="AO3" t="s">
        <v>0</v>
      </c>
      <c r="AP3" t="s">
        <v>1</v>
      </c>
      <c r="AQ3" t="s">
        <v>6</v>
      </c>
      <c r="AR3" t="s">
        <v>3</v>
      </c>
      <c r="AS3" t="s">
        <v>4</v>
      </c>
      <c r="AT3" t="s">
        <v>5</v>
      </c>
      <c r="AU3" s="1">
        <v>376.3</v>
      </c>
      <c r="AV3" t="s">
        <v>25</v>
      </c>
      <c r="AX3" t="s">
        <v>0</v>
      </c>
      <c r="AY3" t="s">
        <v>1</v>
      </c>
      <c r="AZ3" t="s">
        <v>6</v>
      </c>
      <c r="BA3" t="s">
        <v>3</v>
      </c>
      <c r="BB3" t="s">
        <v>4</v>
      </c>
      <c r="BC3" t="s">
        <v>5</v>
      </c>
      <c r="BD3" s="1">
        <v>376.3</v>
      </c>
    </row>
    <row r="4" spans="1:56" x14ac:dyDescent="0.4">
      <c r="A4" t="s">
        <v>21</v>
      </c>
      <c r="B4">
        <v>10</v>
      </c>
      <c r="E4" t="s">
        <v>23</v>
      </c>
      <c r="K4" t="s">
        <v>7</v>
      </c>
      <c r="L4" t="s">
        <v>1</v>
      </c>
      <c r="M4" t="s">
        <v>6</v>
      </c>
      <c r="N4" t="s">
        <v>3</v>
      </c>
      <c r="O4" t="s">
        <v>4</v>
      </c>
      <c r="P4" t="s">
        <v>5</v>
      </c>
      <c r="Q4" s="1">
        <v>1159.2</v>
      </c>
      <c r="U4" t="s">
        <v>0</v>
      </c>
      <c r="V4" t="s">
        <v>1</v>
      </c>
      <c r="W4" t="s">
        <v>6</v>
      </c>
      <c r="X4" t="s">
        <v>3</v>
      </c>
      <c r="Y4" t="s">
        <v>4</v>
      </c>
      <c r="Z4" t="s">
        <v>5</v>
      </c>
      <c r="AA4" s="1">
        <v>293.39999999999998</v>
      </c>
      <c r="AE4" t="s">
        <v>0</v>
      </c>
      <c r="AF4" t="s">
        <v>1</v>
      </c>
      <c r="AG4" t="s">
        <v>6</v>
      </c>
      <c r="AH4" t="s">
        <v>3</v>
      </c>
      <c r="AI4" t="s">
        <v>4</v>
      </c>
      <c r="AJ4" t="s">
        <v>5</v>
      </c>
      <c r="AK4" s="1">
        <v>228.9</v>
      </c>
      <c r="AO4" t="s">
        <v>7</v>
      </c>
      <c r="AP4" t="s">
        <v>1</v>
      </c>
      <c r="AQ4" t="s">
        <v>15</v>
      </c>
      <c r="AR4" t="s">
        <v>3</v>
      </c>
      <c r="AS4" t="s">
        <v>4</v>
      </c>
      <c r="AT4" t="s">
        <v>5</v>
      </c>
      <c r="AU4" s="1">
        <v>625.6</v>
      </c>
      <c r="AX4" t="s">
        <v>7</v>
      </c>
      <c r="AY4" t="s">
        <v>1</v>
      </c>
      <c r="AZ4" t="s">
        <v>6</v>
      </c>
      <c r="BA4" t="s">
        <v>3</v>
      </c>
      <c r="BB4" t="s">
        <v>4</v>
      </c>
      <c r="BC4" t="s">
        <v>5</v>
      </c>
      <c r="BD4" s="1">
        <v>1159.2</v>
      </c>
    </row>
    <row r="5" spans="1:56" x14ac:dyDescent="0.4">
      <c r="A5" t="s">
        <v>0</v>
      </c>
      <c r="B5" s="1">
        <v>137</v>
      </c>
      <c r="C5" s="1">
        <v>14</v>
      </c>
      <c r="D5" s="1">
        <v>5.3</v>
      </c>
      <c r="E5" s="1">
        <f>D5*ABS(B5-C5)</f>
        <v>651.9</v>
      </c>
      <c r="F5" s="1"/>
      <c r="H5" s="1">
        <f t="shared" ref="H5:I12" si="0">B5</f>
        <v>137</v>
      </c>
      <c r="I5" s="1">
        <f t="shared" si="0"/>
        <v>14</v>
      </c>
      <c r="K5" t="s">
        <v>10</v>
      </c>
      <c r="L5" t="s">
        <v>1</v>
      </c>
      <c r="M5" t="s">
        <v>9</v>
      </c>
      <c r="N5" t="s">
        <v>3</v>
      </c>
      <c r="O5" t="s">
        <v>4</v>
      </c>
      <c r="P5" t="s">
        <v>5</v>
      </c>
      <c r="Q5" s="1">
        <v>3215.1</v>
      </c>
      <c r="U5" t="s">
        <v>7</v>
      </c>
      <c r="V5" t="s">
        <v>1</v>
      </c>
      <c r="W5" t="s">
        <v>9</v>
      </c>
      <c r="X5" t="s">
        <v>3</v>
      </c>
      <c r="Y5" t="s">
        <v>4</v>
      </c>
      <c r="Z5" t="s">
        <v>5</v>
      </c>
      <c r="AA5" s="1">
        <v>773</v>
      </c>
      <c r="AE5" t="s">
        <v>7</v>
      </c>
      <c r="AF5" t="s">
        <v>1</v>
      </c>
      <c r="AG5" t="s">
        <v>9</v>
      </c>
      <c r="AH5" t="s">
        <v>3</v>
      </c>
      <c r="AI5" t="s">
        <v>4</v>
      </c>
      <c r="AJ5" t="s">
        <v>5</v>
      </c>
      <c r="AK5" s="1">
        <v>625.6</v>
      </c>
      <c r="AO5" t="s">
        <v>7</v>
      </c>
      <c r="AP5" t="s">
        <v>1</v>
      </c>
      <c r="AQ5" t="s">
        <v>2</v>
      </c>
      <c r="AR5" t="s">
        <v>3</v>
      </c>
      <c r="AS5" t="s">
        <v>4</v>
      </c>
      <c r="AT5" t="s">
        <v>5</v>
      </c>
      <c r="AU5" s="1">
        <v>533.6</v>
      </c>
      <c r="AX5" t="s">
        <v>10</v>
      </c>
      <c r="AY5" t="s">
        <v>1</v>
      </c>
      <c r="AZ5" t="s">
        <v>9</v>
      </c>
      <c r="BA5" t="s">
        <v>3</v>
      </c>
      <c r="BB5" t="s">
        <v>4</v>
      </c>
      <c r="BC5" t="s">
        <v>5</v>
      </c>
      <c r="BD5" s="1">
        <v>3327</v>
      </c>
    </row>
    <row r="6" spans="1:56" x14ac:dyDescent="0.4">
      <c r="A6" t="s">
        <v>7</v>
      </c>
      <c r="B6" s="1">
        <v>135</v>
      </c>
      <c r="C6" s="1">
        <v>66</v>
      </c>
      <c r="D6" s="1">
        <v>16.8</v>
      </c>
      <c r="E6" s="1">
        <f t="shared" ref="E6:E19" si="1">D6*ABS(B6-C6)</f>
        <v>1159.2</v>
      </c>
      <c r="F6" s="1"/>
      <c r="H6" s="1">
        <f t="shared" si="0"/>
        <v>135</v>
      </c>
      <c r="I6" s="1">
        <f t="shared" si="0"/>
        <v>66</v>
      </c>
      <c r="K6" t="s">
        <v>10</v>
      </c>
      <c r="L6" t="s">
        <v>1</v>
      </c>
      <c r="M6" t="s">
        <v>6</v>
      </c>
      <c r="N6" t="s">
        <v>3</v>
      </c>
      <c r="O6" t="s">
        <v>4</v>
      </c>
      <c r="P6" t="s">
        <v>5</v>
      </c>
      <c r="Q6" s="1">
        <v>111.9</v>
      </c>
      <c r="U6" t="s">
        <v>7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s="1">
        <v>386.2</v>
      </c>
      <c r="AE6" t="s">
        <v>7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s="1">
        <v>533.6</v>
      </c>
      <c r="AO6" t="s">
        <v>10</v>
      </c>
      <c r="AP6" t="s">
        <v>1</v>
      </c>
      <c r="AQ6" t="s">
        <v>8</v>
      </c>
      <c r="AR6" t="s">
        <v>3</v>
      </c>
      <c r="AS6" t="s">
        <v>4</v>
      </c>
      <c r="AT6" t="s">
        <v>5</v>
      </c>
      <c r="AU6" s="1">
        <v>1441.1</v>
      </c>
      <c r="AX6" t="s">
        <v>11</v>
      </c>
      <c r="AY6" t="s">
        <v>1</v>
      </c>
      <c r="AZ6" t="s">
        <v>8</v>
      </c>
      <c r="BA6" t="s">
        <v>3</v>
      </c>
      <c r="BB6" t="s">
        <v>4</v>
      </c>
      <c r="BC6" t="s">
        <v>5</v>
      </c>
      <c r="BD6" s="1">
        <v>469.1</v>
      </c>
    </row>
    <row r="7" spans="1:56" x14ac:dyDescent="0.4">
      <c r="A7" t="s">
        <v>10</v>
      </c>
      <c r="B7" s="1">
        <v>111</v>
      </c>
      <c r="C7" s="1">
        <v>110</v>
      </c>
      <c r="D7" s="1">
        <v>3327</v>
      </c>
      <c r="E7" s="1">
        <f t="shared" si="1"/>
        <v>3327</v>
      </c>
      <c r="F7" s="1"/>
      <c r="H7" s="1">
        <f t="shared" si="0"/>
        <v>111</v>
      </c>
      <c r="I7" s="1">
        <f t="shared" si="0"/>
        <v>110</v>
      </c>
      <c r="K7" t="s">
        <v>11</v>
      </c>
      <c r="L7" t="s">
        <v>1</v>
      </c>
      <c r="M7" t="s">
        <v>9</v>
      </c>
      <c r="N7" t="s">
        <v>3</v>
      </c>
      <c r="O7" t="s">
        <v>4</v>
      </c>
      <c r="P7" t="s">
        <v>5</v>
      </c>
      <c r="Q7" s="1">
        <v>884.9</v>
      </c>
      <c r="U7" t="s">
        <v>10</v>
      </c>
      <c r="V7" t="s">
        <v>1</v>
      </c>
      <c r="W7" t="s">
        <v>9</v>
      </c>
      <c r="X7" t="s">
        <v>3</v>
      </c>
      <c r="Y7" t="s">
        <v>4</v>
      </c>
      <c r="Z7" t="s">
        <v>5</v>
      </c>
      <c r="AA7" s="1">
        <v>3327</v>
      </c>
      <c r="AE7" t="s">
        <v>10</v>
      </c>
      <c r="AF7" t="s">
        <v>1</v>
      </c>
      <c r="AG7" t="s">
        <v>9</v>
      </c>
      <c r="AH7" t="s">
        <v>3</v>
      </c>
      <c r="AI7" t="s">
        <v>4</v>
      </c>
      <c r="AJ7" t="s">
        <v>5</v>
      </c>
      <c r="AK7" s="1">
        <v>3327</v>
      </c>
      <c r="AO7" t="s">
        <v>10</v>
      </c>
      <c r="AP7" t="s">
        <v>1</v>
      </c>
      <c r="AQ7" t="s">
        <v>15</v>
      </c>
      <c r="AR7" t="s">
        <v>3</v>
      </c>
      <c r="AS7" t="s">
        <v>4</v>
      </c>
      <c r="AT7" t="s">
        <v>5</v>
      </c>
      <c r="AU7" s="1">
        <v>1885.9</v>
      </c>
      <c r="AX7" t="s">
        <v>11</v>
      </c>
      <c r="AY7" t="s">
        <v>1</v>
      </c>
      <c r="AZ7" t="s">
        <v>9</v>
      </c>
      <c r="BA7" t="s">
        <v>3</v>
      </c>
      <c r="BB7" t="s">
        <v>4</v>
      </c>
      <c r="BC7" t="s">
        <v>5</v>
      </c>
      <c r="BD7" s="1">
        <v>773</v>
      </c>
    </row>
    <row r="8" spans="1:56" x14ac:dyDescent="0.4">
      <c r="A8" t="s">
        <v>11</v>
      </c>
      <c r="B8" s="1">
        <v>105</v>
      </c>
      <c r="C8" s="1">
        <v>95</v>
      </c>
      <c r="D8" s="1">
        <v>135.4</v>
      </c>
      <c r="E8" s="1">
        <f t="shared" si="1"/>
        <v>1354</v>
      </c>
      <c r="F8" s="1"/>
      <c r="H8" s="1">
        <f t="shared" si="0"/>
        <v>105</v>
      </c>
      <c r="I8" s="1">
        <f t="shared" si="0"/>
        <v>95</v>
      </c>
      <c r="K8" t="s">
        <v>11</v>
      </c>
      <c r="L8" t="s">
        <v>1</v>
      </c>
      <c r="M8" t="s">
        <v>2</v>
      </c>
      <c r="N8" t="s">
        <v>3</v>
      </c>
      <c r="O8" t="s">
        <v>4</v>
      </c>
      <c r="P8" t="s">
        <v>5</v>
      </c>
      <c r="Q8" s="1">
        <v>469.1</v>
      </c>
      <c r="U8" t="s">
        <v>11</v>
      </c>
      <c r="V8" t="s">
        <v>1</v>
      </c>
      <c r="W8" t="s">
        <v>6</v>
      </c>
      <c r="X8" t="s">
        <v>3</v>
      </c>
      <c r="Y8" t="s">
        <v>4</v>
      </c>
      <c r="Z8" t="s">
        <v>5</v>
      </c>
      <c r="AA8" s="1">
        <v>1354</v>
      </c>
      <c r="AE8" t="s">
        <v>11</v>
      </c>
      <c r="AF8" t="s">
        <v>1</v>
      </c>
      <c r="AG8" t="s">
        <v>6</v>
      </c>
      <c r="AH8" t="s">
        <v>3</v>
      </c>
      <c r="AI8" t="s">
        <v>4</v>
      </c>
      <c r="AJ8" t="s">
        <v>5</v>
      </c>
      <c r="AK8" s="1">
        <v>1354</v>
      </c>
      <c r="AO8" t="s">
        <v>11</v>
      </c>
      <c r="AP8" t="s">
        <v>1</v>
      </c>
      <c r="AQ8" t="s">
        <v>15</v>
      </c>
      <c r="AR8" t="s">
        <v>3</v>
      </c>
      <c r="AS8" t="s">
        <v>4</v>
      </c>
      <c r="AT8" t="s">
        <v>5</v>
      </c>
      <c r="AU8" s="1">
        <v>82.9</v>
      </c>
      <c r="AX8" t="s">
        <v>11</v>
      </c>
      <c r="AY8" t="s">
        <v>1</v>
      </c>
      <c r="AZ8" t="s">
        <v>6</v>
      </c>
      <c r="BA8" t="s">
        <v>3</v>
      </c>
      <c r="BB8" t="s">
        <v>4</v>
      </c>
      <c r="BC8" t="s">
        <v>5</v>
      </c>
      <c r="BD8" s="1">
        <v>111.9</v>
      </c>
    </row>
    <row r="9" spans="1:56" x14ac:dyDescent="0.4">
      <c r="A9" t="s">
        <v>12</v>
      </c>
      <c r="B9" s="1">
        <v>76</v>
      </c>
      <c r="C9" s="1">
        <v>66</v>
      </c>
      <c r="D9" s="1">
        <v>134.6</v>
      </c>
      <c r="E9" s="1">
        <f t="shared" si="1"/>
        <v>1346</v>
      </c>
      <c r="F9" s="1"/>
      <c r="H9" s="1">
        <f t="shared" si="0"/>
        <v>76</v>
      </c>
      <c r="I9" s="1">
        <f t="shared" si="0"/>
        <v>66</v>
      </c>
      <c r="K9" t="s">
        <v>12</v>
      </c>
      <c r="L9" t="s">
        <v>1</v>
      </c>
      <c r="M9" t="s">
        <v>6</v>
      </c>
      <c r="N9" t="s">
        <v>3</v>
      </c>
      <c r="O9" t="s">
        <v>4</v>
      </c>
      <c r="P9" t="s">
        <v>5</v>
      </c>
      <c r="Q9" s="1">
        <v>1346</v>
      </c>
      <c r="U9" t="s">
        <v>12</v>
      </c>
      <c r="V9" t="s">
        <v>1</v>
      </c>
      <c r="W9" t="s">
        <v>6</v>
      </c>
      <c r="X9" t="s">
        <v>3</v>
      </c>
      <c r="Y9" t="s">
        <v>4</v>
      </c>
      <c r="Z9" t="s">
        <v>5</v>
      </c>
      <c r="AA9" s="1">
        <v>1346</v>
      </c>
      <c r="AE9" t="s">
        <v>12</v>
      </c>
      <c r="AF9" t="s">
        <v>1</v>
      </c>
      <c r="AG9" t="s">
        <v>6</v>
      </c>
      <c r="AH9" t="s">
        <v>3</v>
      </c>
      <c r="AI9" t="s">
        <v>4</v>
      </c>
      <c r="AJ9" t="s">
        <v>5</v>
      </c>
      <c r="AK9" s="1">
        <v>1346</v>
      </c>
      <c r="AO9" t="s">
        <v>11</v>
      </c>
      <c r="AP9" t="s">
        <v>1</v>
      </c>
      <c r="AQ9" t="s">
        <v>6</v>
      </c>
      <c r="AR9" t="s">
        <v>3</v>
      </c>
      <c r="AS9" t="s">
        <v>4</v>
      </c>
      <c r="AT9" t="s">
        <v>5</v>
      </c>
      <c r="AU9" s="1">
        <v>1271.0999999999999</v>
      </c>
      <c r="AX9" t="s">
        <v>12</v>
      </c>
      <c r="AY9" t="s">
        <v>1</v>
      </c>
      <c r="AZ9" t="s">
        <v>6</v>
      </c>
      <c r="BA9" t="s">
        <v>3</v>
      </c>
      <c r="BB9" t="s">
        <v>4</v>
      </c>
      <c r="BC9" t="s">
        <v>5</v>
      </c>
      <c r="BD9" s="1">
        <v>1346</v>
      </c>
    </row>
    <row r="10" spans="1:56" x14ac:dyDescent="0.4">
      <c r="A10" t="s">
        <v>13</v>
      </c>
      <c r="B10" s="1">
        <v>75</v>
      </c>
      <c r="C10" s="1">
        <v>74</v>
      </c>
      <c r="D10" s="1">
        <v>928</v>
      </c>
      <c r="E10" s="1">
        <f t="shared" si="1"/>
        <v>928</v>
      </c>
      <c r="F10" s="1"/>
      <c r="H10" s="1">
        <f t="shared" si="0"/>
        <v>75</v>
      </c>
      <c r="I10" s="1">
        <f t="shared" si="0"/>
        <v>74</v>
      </c>
      <c r="K10" t="s">
        <v>13</v>
      </c>
      <c r="L10" t="s">
        <v>1</v>
      </c>
      <c r="M10" t="s">
        <v>6</v>
      </c>
      <c r="N10" t="s">
        <v>3</v>
      </c>
      <c r="O10" t="s">
        <v>4</v>
      </c>
      <c r="P10" t="s">
        <v>5</v>
      </c>
      <c r="Q10" s="1">
        <v>928</v>
      </c>
      <c r="U10" t="s">
        <v>13</v>
      </c>
      <c r="V10" t="s">
        <v>1</v>
      </c>
      <c r="W10" t="s">
        <v>6</v>
      </c>
      <c r="X10" t="s">
        <v>3</v>
      </c>
      <c r="Y10" t="s">
        <v>4</v>
      </c>
      <c r="Z10" t="s">
        <v>5</v>
      </c>
      <c r="AA10" s="1">
        <v>928</v>
      </c>
      <c r="AE10" t="s">
        <v>13</v>
      </c>
      <c r="AF10" t="s">
        <v>1</v>
      </c>
      <c r="AG10" t="s">
        <v>6</v>
      </c>
      <c r="AH10" t="s">
        <v>3</v>
      </c>
      <c r="AI10" t="s">
        <v>4</v>
      </c>
      <c r="AJ10" t="s">
        <v>5</v>
      </c>
      <c r="AK10" s="1">
        <v>928</v>
      </c>
      <c r="AO10" t="s">
        <v>12</v>
      </c>
      <c r="AP10" t="s">
        <v>1</v>
      </c>
      <c r="AQ10" t="s">
        <v>6</v>
      </c>
      <c r="AR10" t="s">
        <v>3</v>
      </c>
      <c r="AS10" t="s">
        <v>4</v>
      </c>
      <c r="AT10" t="s">
        <v>5</v>
      </c>
      <c r="AU10" s="1">
        <v>1346</v>
      </c>
      <c r="AX10" t="s">
        <v>13</v>
      </c>
      <c r="AY10" t="s">
        <v>1</v>
      </c>
      <c r="AZ10" t="s">
        <v>6</v>
      </c>
      <c r="BA10" t="s">
        <v>3</v>
      </c>
      <c r="BB10" t="s">
        <v>4</v>
      </c>
      <c r="BC10" t="s">
        <v>5</v>
      </c>
      <c r="BD10" s="1">
        <v>928</v>
      </c>
    </row>
    <row r="11" spans="1:56" x14ac:dyDescent="0.4">
      <c r="A11" t="s">
        <v>17</v>
      </c>
      <c r="B11" s="1">
        <v>66</v>
      </c>
      <c r="C11" s="1">
        <v>65</v>
      </c>
      <c r="D11" s="1">
        <v>840</v>
      </c>
      <c r="E11" s="1">
        <f t="shared" si="1"/>
        <v>840</v>
      </c>
      <c r="F11" s="1"/>
      <c r="H11" s="1">
        <f t="shared" si="0"/>
        <v>66</v>
      </c>
      <c r="I11" s="1">
        <f t="shared" si="0"/>
        <v>65</v>
      </c>
      <c r="K11" t="s">
        <v>14</v>
      </c>
      <c r="L11" t="s">
        <v>1</v>
      </c>
      <c r="M11" t="s">
        <v>8</v>
      </c>
      <c r="N11" t="s">
        <v>3</v>
      </c>
      <c r="O11" t="s">
        <v>4</v>
      </c>
      <c r="P11" t="s">
        <v>5</v>
      </c>
      <c r="Q11" s="1">
        <v>3169.6</v>
      </c>
      <c r="U11" t="s">
        <v>14</v>
      </c>
      <c r="V11" t="s">
        <v>1</v>
      </c>
      <c r="W11" t="s">
        <v>8</v>
      </c>
      <c r="X11" t="s">
        <v>3</v>
      </c>
      <c r="Y11" t="s">
        <v>4</v>
      </c>
      <c r="Z11" t="s">
        <v>5</v>
      </c>
      <c r="AA11" s="1">
        <v>3086.7</v>
      </c>
      <c r="AE11" t="s">
        <v>14</v>
      </c>
      <c r="AF11" t="s">
        <v>1</v>
      </c>
      <c r="AG11" t="s">
        <v>8</v>
      </c>
      <c r="AH11" t="s">
        <v>3</v>
      </c>
      <c r="AI11" t="s">
        <v>4</v>
      </c>
      <c r="AJ11" t="s">
        <v>5</v>
      </c>
      <c r="AK11" s="1">
        <v>3169.6</v>
      </c>
      <c r="AO11" t="s">
        <v>13</v>
      </c>
      <c r="AP11" t="s">
        <v>1</v>
      </c>
      <c r="AQ11" t="s">
        <v>6</v>
      </c>
      <c r="AR11" t="s">
        <v>3</v>
      </c>
      <c r="AS11" t="s">
        <v>4</v>
      </c>
      <c r="AT11" t="s">
        <v>5</v>
      </c>
      <c r="AU11" s="1">
        <v>928</v>
      </c>
      <c r="AX11" t="s">
        <v>14</v>
      </c>
      <c r="AY11" t="s">
        <v>1</v>
      </c>
      <c r="AZ11" t="s">
        <v>8</v>
      </c>
      <c r="BA11" t="s">
        <v>3</v>
      </c>
      <c r="BB11" t="s">
        <v>4</v>
      </c>
      <c r="BC11" t="s">
        <v>5</v>
      </c>
      <c r="BD11" s="1">
        <v>2700.5</v>
      </c>
    </row>
    <row r="12" spans="1:56" x14ac:dyDescent="0.4">
      <c r="A12" t="s">
        <v>18</v>
      </c>
      <c r="B12" s="1">
        <v>65</v>
      </c>
      <c r="C12" s="1">
        <v>64</v>
      </c>
      <c r="D12" s="1">
        <v>12000</v>
      </c>
      <c r="E12" s="1">
        <f t="shared" si="1"/>
        <v>12000</v>
      </c>
      <c r="F12" s="1"/>
      <c r="H12" s="1">
        <f t="shared" si="0"/>
        <v>65</v>
      </c>
      <c r="I12" s="1">
        <f t="shared" si="0"/>
        <v>64</v>
      </c>
      <c r="K12" t="s">
        <v>14</v>
      </c>
      <c r="L12" t="s">
        <v>1</v>
      </c>
      <c r="M12" t="s">
        <v>15</v>
      </c>
      <c r="N12" t="s">
        <v>3</v>
      </c>
      <c r="O12" t="s">
        <v>4</v>
      </c>
      <c r="P12" t="s">
        <v>5</v>
      </c>
      <c r="Q12" s="1">
        <v>2594.4</v>
      </c>
      <c r="U12" t="s">
        <v>14</v>
      </c>
      <c r="V12" t="s">
        <v>1</v>
      </c>
      <c r="W12" t="s">
        <v>15</v>
      </c>
      <c r="X12" t="s">
        <v>3</v>
      </c>
      <c r="Y12" t="s">
        <v>4</v>
      </c>
      <c r="Z12" t="s">
        <v>5</v>
      </c>
      <c r="AA12" s="1">
        <v>2594.4</v>
      </c>
      <c r="AE12" t="s">
        <v>14</v>
      </c>
      <c r="AF12" t="s">
        <v>1</v>
      </c>
      <c r="AG12" t="s">
        <v>15</v>
      </c>
      <c r="AH12" t="s">
        <v>3</v>
      </c>
      <c r="AI12" t="s">
        <v>4</v>
      </c>
      <c r="AJ12" t="s">
        <v>5</v>
      </c>
      <c r="AK12" s="1">
        <v>2594.4</v>
      </c>
      <c r="AO12" t="s">
        <v>14</v>
      </c>
      <c r="AP12" t="s">
        <v>1</v>
      </c>
      <c r="AQ12" t="s">
        <v>8</v>
      </c>
      <c r="AR12" t="s">
        <v>3</v>
      </c>
      <c r="AS12" t="s">
        <v>4</v>
      </c>
      <c r="AT12" t="s">
        <v>5</v>
      </c>
      <c r="AU12" s="1">
        <v>1728.5</v>
      </c>
      <c r="AX12" t="s">
        <v>14</v>
      </c>
      <c r="AY12" t="s">
        <v>1</v>
      </c>
      <c r="AZ12" t="s">
        <v>15</v>
      </c>
      <c r="BA12" t="s">
        <v>3</v>
      </c>
      <c r="BB12" t="s">
        <v>4</v>
      </c>
      <c r="BC12" t="s">
        <v>5</v>
      </c>
      <c r="BD12" s="1">
        <v>2594.4</v>
      </c>
    </row>
    <row r="13" spans="1:56" x14ac:dyDescent="0.4">
      <c r="A13" t="s">
        <v>20</v>
      </c>
      <c r="B13" s="1">
        <v>37</v>
      </c>
      <c r="C13" s="1">
        <v>14</v>
      </c>
      <c r="D13" s="1">
        <v>324</v>
      </c>
      <c r="E13" s="1">
        <f t="shared" si="1"/>
        <v>7452</v>
      </c>
      <c r="F13" s="1"/>
      <c r="H13" s="1">
        <f>B13</f>
        <v>37</v>
      </c>
      <c r="I13" s="1">
        <f>C13</f>
        <v>14</v>
      </c>
      <c r="K13" t="s">
        <v>14</v>
      </c>
      <c r="L13" t="s">
        <v>1</v>
      </c>
      <c r="M13" t="s">
        <v>2</v>
      </c>
      <c r="N13" t="s">
        <v>3</v>
      </c>
      <c r="O13" t="s">
        <v>4</v>
      </c>
      <c r="P13" t="s">
        <v>5</v>
      </c>
      <c r="Q13" s="1">
        <v>64.5</v>
      </c>
      <c r="U13" t="s">
        <v>14</v>
      </c>
      <c r="V13" t="s">
        <v>1</v>
      </c>
      <c r="W13" t="s">
        <v>2</v>
      </c>
      <c r="X13" t="s">
        <v>3</v>
      </c>
      <c r="Y13" t="s">
        <v>4</v>
      </c>
      <c r="Z13" t="s">
        <v>5</v>
      </c>
      <c r="AA13" s="1">
        <v>147.4</v>
      </c>
      <c r="AE13" t="s">
        <v>14</v>
      </c>
      <c r="AF13" t="s">
        <v>1</v>
      </c>
      <c r="AG13" t="s">
        <v>6</v>
      </c>
      <c r="AH13" t="s">
        <v>3</v>
      </c>
      <c r="AI13" t="s">
        <v>4</v>
      </c>
      <c r="AJ13" t="s">
        <v>5</v>
      </c>
      <c r="AK13" s="1">
        <v>64.5</v>
      </c>
      <c r="AO13" t="s">
        <v>14</v>
      </c>
      <c r="AP13" t="s">
        <v>1</v>
      </c>
      <c r="AQ13" t="s">
        <v>9</v>
      </c>
      <c r="AR13" t="s">
        <v>3</v>
      </c>
      <c r="AS13" t="s">
        <v>4</v>
      </c>
      <c r="AT13" t="s">
        <v>5</v>
      </c>
      <c r="AU13" s="1">
        <v>4100</v>
      </c>
      <c r="AX13" t="s">
        <v>14</v>
      </c>
      <c r="AY13" t="s">
        <v>1</v>
      </c>
      <c r="AZ13" t="s">
        <v>2</v>
      </c>
      <c r="BA13" t="s">
        <v>3</v>
      </c>
      <c r="BB13" t="s">
        <v>4</v>
      </c>
      <c r="BC13" t="s">
        <v>5</v>
      </c>
      <c r="BD13" s="1">
        <v>533.6</v>
      </c>
    </row>
    <row r="14" spans="1:56" x14ac:dyDescent="0.4">
      <c r="A14" t="s">
        <v>8</v>
      </c>
      <c r="B14" s="1">
        <v>4</v>
      </c>
      <c r="C14" s="1">
        <v>112</v>
      </c>
      <c r="D14" s="1">
        <v>56.6</v>
      </c>
      <c r="E14" s="1">
        <f t="shared" si="1"/>
        <v>6112.8</v>
      </c>
      <c r="F14" s="1"/>
      <c r="H14" s="1">
        <f>B14+$B$4</f>
        <v>14</v>
      </c>
      <c r="I14" s="1">
        <f>C14+$B$4</f>
        <v>122</v>
      </c>
      <c r="K14" t="s">
        <v>0</v>
      </c>
      <c r="L14" t="s">
        <v>1</v>
      </c>
      <c r="M14" t="s">
        <v>16</v>
      </c>
      <c r="N14" t="s">
        <v>3</v>
      </c>
      <c r="O14" t="s">
        <v>4</v>
      </c>
      <c r="P14" t="s">
        <v>5</v>
      </c>
      <c r="Q14" s="1">
        <v>275.60000000000002</v>
      </c>
      <c r="R14" t="s">
        <v>24</v>
      </c>
      <c r="U14" t="s">
        <v>0</v>
      </c>
      <c r="V14" t="s">
        <v>1</v>
      </c>
      <c r="W14" t="s">
        <v>8</v>
      </c>
      <c r="X14" t="s">
        <v>3</v>
      </c>
      <c r="Y14" t="s">
        <v>4</v>
      </c>
      <c r="Z14" t="s">
        <v>5</v>
      </c>
      <c r="AA14" s="1">
        <v>275.60000000000002</v>
      </c>
      <c r="AB14" t="s">
        <v>24</v>
      </c>
      <c r="AE14" t="s">
        <v>0</v>
      </c>
      <c r="AF14" t="s">
        <v>1</v>
      </c>
      <c r="AG14" t="s">
        <v>8</v>
      </c>
      <c r="AH14" t="s">
        <v>3</v>
      </c>
      <c r="AI14" t="s">
        <v>4</v>
      </c>
      <c r="AJ14" t="s">
        <v>5</v>
      </c>
      <c r="AK14" s="1">
        <v>275.60000000000002</v>
      </c>
      <c r="AL14" t="s">
        <v>24</v>
      </c>
      <c r="AO14" t="s">
        <v>0</v>
      </c>
      <c r="AP14" t="s">
        <v>1</v>
      </c>
      <c r="AQ14" t="s">
        <v>8</v>
      </c>
      <c r="AR14" t="s">
        <v>3</v>
      </c>
      <c r="AS14" t="s">
        <v>4</v>
      </c>
      <c r="AT14" t="s">
        <v>5</v>
      </c>
      <c r="AU14" s="1">
        <v>275.60000000000002</v>
      </c>
      <c r="AV14" t="s">
        <v>24</v>
      </c>
      <c r="AX14" t="s">
        <v>0</v>
      </c>
      <c r="AY14" t="s">
        <v>1</v>
      </c>
      <c r="AZ14" t="s">
        <v>16</v>
      </c>
      <c r="BA14" t="s">
        <v>3</v>
      </c>
      <c r="BB14" t="s">
        <v>4</v>
      </c>
      <c r="BC14" t="s">
        <v>5</v>
      </c>
      <c r="BD14" s="1">
        <v>275.60000000000002</v>
      </c>
    </row>
    <row r="15" spans="1:56" x14ac:dyDescent="0.4">
      <c r="A15" t="s">
        <v>15</v>
      </c>
      <c r="B15" s="1">
        <v>76</v>
      </c>
      <c r="C15" s="1">
        <v>100</v>
      </c>
      <c r="D15" s="1">
        <v>108.1</v>
      </c>
      <c r="E15" s="1">
        <f t="shared" si="1"/>
        <v>2594.3999999999996</v>
      </c>
      <c r="F15" s="1"/>
      <c r="H15" s="1">
        <f t="shared" ref="H15:I21" si="2">B15+$B$4</f>
        <v>86</v>
      </c>
      <c r="I15" s="1">
        <f t="shared" si="2"/>
        <v>110</v>
      </c>
      <c r="K15" t="s">
        <v>17</v>
      </c>
      <c r="L15" t="s">
        <v>1</v>
      </c>
      <c r="M15" t="s">
        <v>8</v>
      </c>
      <c r="N15" t="s">
        <v>3</v>
      </c>
      <c r="O15" t="s">
        <v>4</v>
      </c>
      <c r="P15" t="s">
        <v>5</v>
      </c>
      <c r="Q15" s="1">
        <v>228.7</v>
      </c>
      <c r="U15" t="s">
        <v>17</v>
      </c>
      <c r="V15" t="s">
        <v>1</v>
      </c>
      <c r="W15" t="s">
        <v>8</v>
      </c>
      <c r="X15" t="s">
        <v>3</v>
      </c>
      <c r="Y15" t="s">
        <v>4</v>
      </c>
      <c r="Z15" t="s">
        <v>5</v>
      </c>
      <c r="AA15" s="1">
        <v>228.7</v>
      </c>
      <c r="AE15" t="s">
        <v>17</v>
      </c>
      <c r="AF15" t="s">
        <v>1</v>
      </c>
      <c r="AG15" t="s">
        <v>8</v>
      </c>
      <c r="AH15" t="s">
        <v>3</v>
      </c>
      <c r="AI15" t="s">
        <v>4</v>
      </c>
      <c r="AJ15" t="s">
        <v>5</v>
      </c>
      <c r="AK15" s="1">
        <v>228.7</v>
      </c>
      <c r="AO15" t="s">
        <v>17</v>
      </c>
      <c r="AP15" t="s">
        <v>1</v>
      </c>
      <c r="AQ15" t="s">
        <v>8</v>
      </c>
      <c r="AR15" t="s">
        <v>3</v>
      </c>
      <c r="AS15" t="s">
        <v>4</v>
      </c>
      <c r="AT15" t="s">
        <v>5</v>
      </c>
      <c r="AU15" s="1">
        <v>228.7</v>
      </c>
      <c r="AX15" t="s">
        <v>17</v>
      </c>
      <c r="AY15" t="s">
        <v>1</v>
      </c>
      <c r="AZ15" t="s">
        <v>8</v>
      </c>
      <c r="BA15" t="s">
        <v>3</v>
      </c>
      <c r="BB15" t="s">
        <v>4</v>
      </c>
      <c r="BC15" t="s">
        <v>5</v>
      </c>
      <c r="BD15" s="1">
        <v>56.6</v>
      </c>
    </row>
    <row r="16" spans="1:56" x14ac:dyDescent="0.4">
      <c r="A16" t="s">
        <v>9</v>
      </c>
      <c r="B16" s="1">
        <v>70</v>
      </c>
      <c r="C16" s="1">
        <v>90</v>
      </c>
      <c r="D16" s="1">
        <v>205</v>
      </c>
      <c r="E16" s="1">
        <f t="shared" si="1"/>
        <v>4100</v>
      </c>
      <c r="F16" s="1"/>
      <c r="H16" s="1">
        <f t="shared" si="2"/>
        <v>80</v>
      </c>
      <c r="I16" s="1">
        <f t="shared" si="2"/>
        <v>100</v>
      </c>
      <c r="K16" t="s">
        <v>17</v>
      </c>
      <c r="L16" t="s">
        <v>1</v>
      </c>
      <c r="M16" t="s">
        <v>2</v>
      </c>
      <c r="N16" t="s">
        <v>3</v>
      </c>
      <c r="O16" t="s">
        <v>4</v>
      </c>
      <c r="P16" t="s">
        <v>5</v>
      </c>
      <c r="Q16" s="1">
        <v>331.2</v>
      </c>
      <c r="U16" t="s">
        <v>17</v>
      </c>
      <c r="V16" t="s">
        <v>1</v>
      </c>
      <c r="W16" t="s">
        <v>2</v>
      </c>
      <c r="X16" t="s">
        <v>3</v>
      </c>
      <c r="Y16" t="s">
        <v>4</v>
      </c>
      <c r="Z16" t="s">
        <v>5</v>
      </c>
      <c r="AA16" s="1">
        <v>331.2</v>
      </c>
      <c r="AE16" t="s">
        <v>17</v>
      </c>
      <c r="AF16" t="s">
        <v>1</v>
      </c>
      <c r="AG16" t="s">
        <v>2</v>
      </c>
      <c r="AH16" t="s">
        <v>3</v>
      </c>
      <c r="AI16" t="s">
        <v>4</v>
      </c>
      <c r="AJ16" t="s">
        <v>5</v>
      </c>
      <c r="AK16" s="1">
        <v>331.2</v>
      </c>
      <c r="AO16" t="s">
        <v>17</v>
      </c>
      <c r="AP16" t="s">
        <v>1</v>
      </c>
      <c r="AQ16" t="s">
        <v>2</v>
      </c>
      <c r="AR16" t="s">
        <v>3</v>
      </c>
      <c r="AS16" t="s">
        <v>4</v>
      </c>
      <c r="AT16" t="s">
        <v>5</v>
      </c>
      <c r="AU16" s="1">
        <v>331.2</v>
      </c>
      <c r="AX16" t="s">
        <v>17</v>
      </c>
      <c r="AY16" t="s">
        <v>1</v>
      </c>
      <c r="AZ16" t="s">
        <v>2</v>
      </c>
      <c r="BA16" t="s">
        <v>3</v>
      </c>
      <c r="BB16" t="s">
        <v>4</v>
      </c>
      <c r="BC16" t="s">
        <v>5</v>
      </c>
      <c r="BD16" s="1">
        <v>331.2</v>
      </c>
    </row>
    <row r="17" spans="1:56" x14ac:dyDescent="0.4">
      <c r="A17" t="s">
        <v>2</v>
      </c>
      <c r="B17" s="1">
        <v>38</v>
      </c>
      <c r="C17" s="1">
        <v>85</v>
      </c>
      <c r="D17" s="1">
        <v>18.399999999999999</v>
      </c>
      <c r="E17" s="1">
        <f t="shared" si="1"/>
        <v>864.8</v>
      </c>
      <c r="F17" s="1"/>
      <c r="H17" s="1">
        <f t="shared" si="2"/>
        <v>48</v>
      </c>
      <c r="I17" s="1">
        <f t="shared" si="2"/>
        <v>95</v>
      </c>
      <c r="K17" t="s">
        <v>17</v>
      </c>
      <c r="L17" t="s">
        <v>1</v>
      </c>
      <c r="M17" t="s">
        <v>6</v>
      </c>
      <c r="N17" t="s">
        <v>3</v>
      </c>
      <c r="O17" t="s">
        <v>4</v>
      </c>
      <c r="P17" t="s">
        <v>5</v>
      </c>
      <c r="Q17" s="1">
        <v>280.10000000000002</v>
      </c>
      <c r="U17" t="s">
        <v>17</v>
      </c>
      <c r="V17" t="s">
        <v>1</v>
      </c>
      <c r="W17" t="s">
        <v>6</v>
      </c>
      <c r="X17" t="s">
        <v>3</v>
      </c>
      <c r="Y17" t="s">
        <v>4</v>
      </c>
      <c r="Z17" t="s">
        <v>5</v>
      </c>
      <c r="AA17" s="1">
        <v>280.10000000000002</v>
      </c>
      <c r="AE17" t="s">
        <v>17</v>
      </c>
      <c r="AF17" t="s">
        <v>1</v>
      </c>
      <c r="AG17" t="s">
        <v>6</v>
      </c>
      <c r="AH17" t="s">
        <v>3</v>
      </c>
      <c r="AI17" t="s">
        <v>4</v>
      </c>
      <c r="AJ17" t="s">
        <v>5</v>
      </c>
      <c r="AK17" s="1">
        <v>280.10000000000002</v>
      </c>
      <c r="AO17" t="s">
        <v>17</v>
      </c>
      <c r="AP17" t="s">
        <v>1</v>
      </c>
      <c r="AQ17" t="s">
        <v>6</v>
      </c>
      <c r="AR17" t="s">
        <v>3</v>
      </c>
      <c r="AS17" t="s">
        <v>4</v>
      </c>
      <c r="AT17" t="s">
        <v>5</v>
      </c>
      <c r="AU17" s="1">
        <v>280.10000000000002</v>
      </c>
      <c r="AX17" t="s">
        <v>17</v>
      </c>
      <c r="AY17" t="s">
        <v>1</v>
      </c>
      <c r="AZ17" t="s">
        <v>6</v>
      </c>
      <c r="BA17" t="s">
        <v>3</v>
      </c>
      <c r="BB17" t="s">
        <v>4</v>
      </c>
      <c r="BC17" t="s">
        <v>5</v>
      </c>
      <c r="BD17" s="1">
        <v>452.2</v>
      </c>
    </row>
    <row r="18" spans="1:56" x14ac:dyDescent="0.4">
      <c r="A18" t="s">
        <v>6</v>
      </c>
      <c r="B18" s="1">
        <v>45</v>
      </c>
      <c r="C18" s="1">
        <v>70</v>
      </c>
      <c r="D18" s="1">
        <v>280.10000000000002</v>
      </c>
      <c r="E18" s="1">
        <f t="shared" si="1"/>
        <v>7002.5000000000009</v>
      </c>
      <c r="F18" s="1"/>
      <c r="H18" s="1">
        <f t="shared" si="2"/>
        <v>55</v>
      </c>
      <c r="I18" s="1">
        <f t="shared" si="2"/>
        <v>80</v>
      </c>
      <c r="K18" t="s">
        <v>18</v>
      </c>
      <c r="L18" t="s">
        <v>1</v>
      </c>
      <c r="M18" t="s">
        <v>8</v>
      </c>
      <c r="N18" t="s">
        <v>3</v>
      </c>
      <c r="O18" t="s">
        <v>4</v>
      </c>
      <c r="P18" t="s">
        <v>5</v>
      </c>
      <c r="Q18" s="1">
        <v>2714.5</v>
      </c>
      <c r="U18" t="s">
        <v>18</v>
      </c>
      <c r="V18" t="s">
        <v>1</v>
      </c>
      <c r="W18" t="s">
        <v>8</v>
      </c>
      <c r="X18" t="s">
        <v>3</v>
      </c>
      <c r="Y18" t="s">
        <v>4</v>
      </c>
      <c r="Z18" t="s">
        <v>5</v>
      </c>
      <c r="AA18" s="1">
        <v>2438.9</v>
      </c>
      <c r="AE18" t="s">
        <v>18</v>
      </c>
      <c r="AF18" t="s">
        <v>1</v>
      </c>
      <c r="AG18" t="s">
        <v>8</v>
      </c>
      <c r="AH18" t="s">
        <v>3</v>
      </c>
      <c r="AI18" t="s">
        <v>4</v>
      </c>
      <c r="AJ18" t="s">
        <v>5</v>
      </c>
      <c r="AK18" s="1">
        <v>2438.9</v>
      </c>
      <c r="AO18" t="s">
        <v>18</v>
      </c>
      <c r="AP18" t="s">
        <v>1</v>
      </c>
      <c r="AQ18" t="s">
        <v>8</v>
      </c>
      <c r="AR18" t="s">
        <v>3</v>
      </c>
      <c r="AS18" t="s">
        <v>4</v>
      </c>
      <c r="AT18" t="s">
        <v>5</v>
      </c>
      <c r="AU18" s="1">
        <v>2438.9</v>
      </c>
      <c r="AX18" t="s">
        <v>18</v>
      </c>
      <c r="AY18" t="s">
        <v>1</v>
      </c>
      <c r="AZ18" t="s">
        <v>8</v>
      </c>
      <c r="BA18" t="s">
        <v>3</v>
      </c>
      <c r="BB18" t="s">
        <v>4</v>
      </c>
      <c r="BC18" t="s">
        <v>5</v>
      </c>
      <c r="BD18" s="1">
        <v>2886.6</v>
      </c>
    </row>
    <row r="19" spans="1:56" x14ac:dyDescent="0.4">
      <c r="A19" t="s">
        <v>19</v>
      </c>
      <c r="B19" s="1">
        <v>4</v>
      </c>
      <c r="C19" s="1">
        <v>45</v>
      </c>
      <c r="D19" s="1">
        <v>314</v>
      </c>
      <c r="E19" s="1">
        <f t="shared" si="1"/>
        <v>12874</v>
      </c>
      <c r="F19" s="1"/>
      <c r="H19" s="1">
        <f t="shared" si="2"/>
        <v>14</v>
      </c>
      <c r="I19" s="1">
        <f t="shared" si="2"/>
        <v>55</v>
      </c>
      <c r="K19" t="s">
        <v>18</v>
      </c>
      <c r="L19" t="s">
        <v>1</v>
      </c>
      <c r="M19" t="s">
        <v>6</v>
      </c>
      <c r="N19" t="s">
        <v>3</v>
      </c>
      <c r="O19" t="s">
        <v>4</v>
      </c>
      <c r="P19" t="s">
        <v>5</v>
      </c>
      <c r="Q19" s="1">
        <v>2801</v>
      </c>
      <c r="U19" t="s">
        <v>18</v>
      </c>
      <c r="V19" t="s">
        <v>1</v>
      </c>
      <c r="W19" t="s">
        <v>6</v>
      </c>
      <c r="X19" t="s">
        <v>3</v>
      </c>
      <c r="Y19" t="s">
        <v>4</v>
      </c>
      <c r="Z19" t="s">
        <v>5</v>
      </c>
      <c r="AA19" s="1">
        <v>2801</v>
      </c>
      <c r="AE19" t="s">
        <v>18</v>
      </c>
      <c r="AF19" t="s">
        <v>1</v>
      </c>
      <c r="AG19" t="s">
        <v>6</v>
      </c>
      <c r="AH19" t="s">
        <v>3</v>
      </c>
      <c r="AI19" t="s">
        <v>4</v>
      </c>
      <c r="AJ19" t="s">
        <v>5</v>
      </c>
      <c r="AK19" s="1">
        <v>2801</v>
      </c>
      <c r="AO19" t="s">
        <v>18</v>
      </c>
      <c r="AP19" t="s">
        <v>1</v>
      </c>
      <c r="AQ19" t="s">
        <v>6</v>
      </c>
      <c r="AR19" t="s">
        <v>3</v>
      </c>
      <c r="AS19" t="s">
        <v>4</v>
      </c>
      <c r="AT19" t="s">
        <v>5</v>
      </c>
      <c r="AU19" s="1">
        <v>2801</v>
      </c>
      <c r="AX19" t="s">
        <v>18</v>
      </c>
      <c r="AY19" t="s">
        <v>1</v>
      </c>
      <c r="AZ19" t="s">
        <v>6</v>
      </c>
      <c r="BA19" t="s">
        <v>3</v>
      </c>
      <c r="BB19" t="s">
        <v>4</v>
      </c>
      <c r="BC19" t="s">
        <v>5</v>
      </c>
      <c r="BD19" s="1">
        <v>2628.9</v>
      </c>
    </row>
    <row r="20" spans="1:56" x14ac:dyDescent="0.4">
      <c r="A20" t="s">
        <v>14</v>
      </c>
      <c r="B20" s="1">
        <v>150</v>
      </c>
      <c r="C20" s="1">
        <v>149</v>
      </c>
      <c r="D20" s="1">
        <v>88</v>
      </c>
      <c r="G20" s="1">
        <v>5828.5</v>
      </c>
      <c r="H20" s="1">
        <f>B20</f>
        <v>150</v>
      </c>
      <c r="I20" s="1">
        <f>C20</f>
        <v>149</v>
      </c>
      <c r="K20" t="s">
        <v>18</v>
      </c>
      <c r="L20" t="s">
        <v>1</v>
      </c>
      <c r="M20" t="s">
        <v>19</v>
      </c>
      <c r="N20" t="s">
        <v>3</v>
      </c>
      <c r="O20" t="s">
        <v>4</v>
      </c>
      <c r="P20" t="s">
        <v>5</v>
      </c>
      <c r="Q20" s="1">
        <v>6484.5</v>
      </c>
      <c r="U20" t="s">
        <v>18</v>
      </c>
      <c r="V20" t="s">
        <v>1</v>
      </c>
      <c r="W20" t="s">
        <v>19</v>
      </c>
      <c r="X20" t="s">
        <v>3</v>
      </c>
      <c r="Y20" t="s">
        <v>4</v>
      </c>
      <c r="Z20" t="s">
        <v>5</v>
      </c>
      <c r="AA20" s="1">
        <v>6760.1</v>
      </c>
      <c r="AE20" t="s">
        <v>18</v>
      </c>
      <c r="AF20" t="s">
        <v>1</v>
      </c>
      <c r="AG20" t="s">
        <v>19</v>
      </c>
      <c r="AH20" t="s">
        <v>3</v>
      </c>
      <c r="AI20" t="s">
        <v>4</v>
      </c>
      <c r="AJ20" t="s">
        <v>5</v>
      </c>
      <c r="AK20" s="1">
        <v>6760.1</v>
      </c>
      <c r="AO20" t="s">
        <v>18</v>
      </c>
      <c r="AP20" t="s">
        <v>1</v>
      </c>
      <c r="AQ20" t="s">
        <v>19</v>
      </c>
      <c r="AR20" t="s">
        <v>3</v>
      </c>
      <c r="AS20" t="s">
        <v>4</v>
      </c>
      <c r="AT20" t="s">
        <v>5</v>
      </c>
      <c r="AU20" s="1">
        <v>6760.1</v>
      </c>
      <c r="AX20" t="s">
        <v>18</v>
      </c>
      <c r="AY20" t="s">
        <v>1</v>
      </c>
      <c r="AZ20" t="s">
        <v>19</v>
      </c>
      <c r="BA20" t="s">
        <v>3</v>
      </c>
      <c r="BB20" t="s">
        <v>4</v>
      </c>
      <c r="BC20" t="s">
        <v>5</v>
      </c>
      <c r="BD20" s="1">
        <v>6484.5</v>
      </c>
    </row>
    <row r="21" spans="1:56" x14ac:dyDescent="0.4">
      <c r="A21" t="s">
        <v>16</v>
      </c>
      <c r="B21" s="1">
        <v>0</v>
      </c>
      <c r="C21" s="1">
        <v>2</v>
      </c>
      <c r="D21" s="1">
        <v>1</v>
      </c>
      <c r="G21" s="1">
        <v>1338.1</v>
      </c>
      <c r="H21" s="1">
        <f t="shared" si="2"/>
        <v>10</v>
      </c>
      <c r="I21" s="1">
        <f t="shared" si="2"/>
        <v>12</v>
      </c>
      <c r="K21" t="s">
        <v>20</v>
      </c>
      <c r="L21" t="s">
        <v>1</v>
      </c>
      <c r="M21" t="s">
        <v>19</v>
      </c>
      <c r="N21" t="s">
        <v>3</v>
      </c>
      <c r="O21" t="s">
        <v>4</v>
      </c>
      <c r="P21" t="s">
        <v>5</v>
      </c>
      <c r="Q21" s="1">
        <v>6389.5</v>
      </c>
      <c r="U21" t="s">
        <v>20</v>
      </c>
      <c r="V21" t="s">
        <v>1</v>
      </c>
      <c r="W21" t="s">
        <v>19</v>
      </c>
      <c r="X21" t="s">
        <v>3</v>
      </c>
      <c r="Y21" t="s">
        <v>4</v>
      </c>
      <c r="Z21" t="s">
        <v>5</v>
      </c>
      <c r="AA21" s="1">
        <v>6113.9</v>
      </c>
      <c r="AE21" t="s">
        <v>20</v>
      </c>
      <c r="AF21" t="s">
        <v>1</v>
      </c>
      <c r="AG21" t="s">
        <v>19</v>
      </c>
      <c r="AH21" t="s">
        <v>3</v>
      </c>
      <c r="AI21" t="s">
        <v>4</v>
      </c>
      <c r="AJ21" t="s">
        <v>5</v>
      </c>
      <c r="AK21" s="1">
        <v>6113.9</v>
      </c>
      <c r="AO21" t="s">
        <v>20</v>
      </c>
      <c r="AP21" t="s">
        <v>1</v>
      </c>
      <c r="AQ21" t="s">
        <v>19</v>
      </c>
      <c r="AR21" t="s">
        <v>3</v>
      </c>
      <c r="AS21" t="s">
        <v>4</v>
      </c>
      <c r="AT21" t="s">
        <v>5</v>
      </c>
      <c r="AU21" s="1">
        <v>6113.9</v>
      </c>
      <c r="AX21" t="s">
        <v>20</v>
      </c>
      <c r="AY21" t="s">
        <v>1</v>
      </c>
      <c r="AZ21" t="s">
        <v>19</v>
      </c>
      <c r="BA21" t="s">
        <v>3</v>
      </c>
      <c r="BB21" t="s">
        <v>4</v>
      </c>
      <c r="BC21" t="s">
        <v>5</v>
      </c>
      <c r="BD21" s="1">
        <v>6389.5</v>
      </c>
    </row>
    <row r="22" spans="1:56" x14ac:dyDescent="0.4">
      <c r="A22" t="s">
        <v>0</v>
      </c>
      <c r="B22" t="s">
        <v>22</v>
      </c>
      <c r="C22">
        <v>0</v>
      </c>
      <c r="K22" t="s">
        <v>20</v>
      </c>
      <c r="L22" t="s">
        <v>1</v>
      </c>
      <c r="M22" t="s">
        <v>16</v>
      </c>
      <c r="N22" t="s">
        <v>3</v>
      </c>
      <c r="O22" t="s">
        <v>4</v>
      </c>
      <c r="P22" t="s">
        <v>5</v>
      </c>
      <c r="Q22">
        <v>1062.5</v>
      </c>
      <c r="U22" t="s">
        <v>20</v>
      </c>
      <c r="V22" t="s">
        <v>1</v>
      </c>
      <c r="W22" t="s">
        <v>16</v>
      </c>
      <c r="X22" t="s">
        <v>3</v>
      </c>
      <c r="Y22" t="s">
        <v>4</v>
      </c>
      <c r="Z22" t="s">
        <v>5</v>
      </c>
      <c r="AA22" s="1">
        <v>1338.1</v>
      </c>
      <c r="AE22" t="s">
        <v>20</v>
      </c>
      <c r="AF22" t="s">
        <v>1</v>
      </c>
      <c r="AG22" t="s">
        <v>16</v>
      </c>
      <c r="AH22" t="s">
        <v>3</v>
      </c>
      <c r="AI22" t="s">
        <v>4</v>
      </c>
      <c r="AJ22" t="s">
        <v>5</v>
      </c>
      <c r="AK22" s="1">
        <v>1338.1</v>
      </c>
      <c r="AO22" t="s">
        <v>20</v>
      </c>
      <c r="AP22" t="s">
        <v>1</v>
      </c>
      <c r="AQ22" t="s">
        <v>16</v>
      </c>
      <c r="AR22" t="s">
        <v>3</v>
      </c>
      <c r="AS22" t="s">
        <v>4</v>
      </c>
      <c r="AT22" t="s">
        <v>5</v>
      </c>
      <c r="AU22" s="1">
        <v>1338.1</v>
      </c>
      <c r="AX22" t="s">
        <v>20</v>
      </c>
      <c r="AY22" t="s">
        <v>1</v>
      </c>
      <c r="AZ22" t="s">
        <v>16</v>
      </c>
      <c r="BA22" t="s">
        <v>3</v>
      </c>
      <c r="BB22" t="s">
        <v>4</v>
      </c>
      <c r="BC22" t="s">
        <v>5</v>
      </c>
      <c r="BD22" s="1">
        <v>1062.5</v>
      </c>
    </row>
    <row r="25" spans="1:56" x14ac:dyDescent="0.4">
      <c r="A25" t="s">
        <v>0</v>
      </c>
      <c r="B25" t="s">
        <v>1</v>
      </c>
      <c r="C25" t="s">
        <v>8</v>
      </c>
      <c r="D25" t="s">
        <v>3</v>
      </c>
      <c r="E25" t="s">
        <v>4</v>
      </c>
      <c r="F25" t="s">
        <v>5</v>
      </c>
      <c r="G25" s="1">
        <v>651.9</v>
      </c>
      <c r="K25" t="s">
        <v>0</v>
      </c>
      <c r="L25" t="s">
        <v>1</v>
      </c>
      <c r="M25" t="s">
        <v>8</v>
      </c>
      <c r="N25" t="s">
        <v>3</v>
      </c>
      <c r="O25" t="s">
        <v>4</v>
      </c>
      <c r="P25" t="s">
        <v>5</v>
      </c>
      <c r="Q25" s="1">
        <v>651.9</v>
      </c>
      <c r="U25" t="s">
        <v>0</v>
      </c>
      <c r="V25" t="s">
        <v>1</v>
      </c>
      <c r="W25" t="s">
        <v>8</v>
      </c>
      <c r="X25" t="s">
        <v>3</v>
      </c>
      <c r="Y25" t="s">
        <v>4</v>
      </c>
      <c r="Z25" t="s">
        <v>5</v>
      </c>
      <c r="AA25" s="1">
        <v>358.5</v>
      </c>
      <c r="AE25" t="s">
        <v>0</v>
      </c>
      <c r="AF25" t="s">
        <v>1</v>
      </c>
      <c r="AG25" t="s">
        <v>8</v>
      </c>
      <c r="AH25" t="s">
        <v>3</v>
      </c>
      <c r="AI25" t="s">
        <v>4</v>
      </c>
      <c r="AJ25" t="s">
        <v>5</v>
      </c>
      <c r="AK25" s="1">
        <v>651.9</v>
      </c>
      <c r="AO25" t="s">
        <v>0</v>
      </c>
      <c r="AP25" t="s">
        <v>1</v>
      </c>
      <c r="AQ25" t="s">
        <v>8</v>
      </c>
      <c r="AR25" t="s">
        <v>3</v>
      </c>
      <c r="AS25" t="s">
        <v>4</v>
      </c>
      <c r="AT25" t="s">
        <v>5</v>
      </c>
      <c r="AU25" s="1">
        <v>651.9</v>
      </c>
      <c r="AX25" t="s">
        <v>0</v>
      </c>
      <c r="AY25" t="s">
        <v>1</v>
      </c>
      <c r="AZ25" t="s">
        <v>8</v>
      </c>
      <c r="BA25" t="s">
        <v>3</v>
      </c>
      <c r="BB25" t="s">
        <v>4</v>
      </c>
      <c r="BC25" t="s">
        <v>5</v>
      </c>
      <c r="BD25" s="1">
        <v>651.9</v>
      </c>
    </row>
    <row r="26" spans="1:56" x14ac:dyDescent="0.4">
      <c r="A26" t="s">
        <v>7</v>
      </c>
      <c r="B26" t="s">
        <v>1</v>
      </c>
      <c r="C26" t="s">
        <v>6</v>
      </c>
      <c r="D26" t="s">
        <v>3</v>
      </c>
      <c r="E26" t="s">
        <v>4</v>
      </c>
      <c r="F26" t="s">
        <v>5</v>
      </c>
      <c r="G26" s="1">
        <v>1159.2</v>
      </c>
      <c r="I26" s="1"/>
      <c r="J26" s="1"/>
      <c r="K26" t="s">
        <v>7</v>
      </c>
      <c r="L26" s="1" t="s">
        <v>1</v>
      </c>
      <c r="M26" t="s">
        <v>9</v>
      </c>
      <c r="N26" t="s">
        <v>3</v>
      </c>
      <c r="O26" t="s">
        <v>4</v>
      </c>
      <c r="P26" t="s">
        <v>5</v>
      </c>
      <c r="Q26" s="1">
        <v>773</v>
      </c>
      <c r="U26" t="s">
        <v>0</v>
      </c>
      <c r="V26" t="s">
        <v>1</v>
      </c>
      <c r="W26" t="s">
        <v>6</v>
      </c>
      <c r="X26" t="s">
        <v>3</v>
      </c>
      <c r="Y26" t="s">
        <v>4</v>
      </c>
      <c r="Z26" t="s">
        <v>5</v>
      </c>
      <c r="AA26" s="1">
        <v>293.39999999999998</v>
      </c>
      <c r="AE26" t="s">
        <v>7</v>
      </c>
      <c r="AF26" t="s">
        <v>1</v>
      </c>
      <c r="AG26" t="s">
        <v>9</v>
      </c>
      <c r="AH26" t="s">
        <v>3</v>
      </c>
      <c r="AI26" t="s">
        <v>4</v>
      </c>
      <c r="AJ26" t="s">
        <v>5</v>
      </c>
      <c r="AK26" s="1">
        <v>625.6</v>
      </c>
      <c r="AO26" t="s">
        <v>7</v>
      </c>
      <c r="AP26" t="s">
        <v>1</v>
      </c>
      <c r="AQ26" t="s">
        <v>8</v>
      </c>
      <c r="AR26" t="s">
        <v>3</v>
      </c>
      <c r="AS26" t="s">
        <v>4</v>
      </c>
      <c r="AT26" t="s">
        <v>5</v>
      </c>
      <c r="AU26" s="1">
        <v>1159.2</v>
      </c>
      <c r="AX26" t="s">
        <v>7</v>
      </c>
      <c r="AY26" t="s">
        <v>1</v>
      </c>
      <c r="AZ26" t="s">
        <v>8</v>
      </c>
      <c r="BA26" t="s">
        <v>3</v>
      </c>
      <c r="BB26" t="s">
        <v>4</v>
      </c>
      <c r="BC26" t="s">
        <v>5</v>
      </c>
      <c r="BD26" s="1">
        <v>92.8</v>
      </c>
    </row>
    <row r="27" spans="1:56" x14ac:dyDescent="0.4">
      <c r="A27" t="s">
        <v>10</v>
      </c>
      <c r="B27" t="s">
        <v>1</v>
      </c>
      <c r="C27" t="s">
        <v>9</v>
      </c>
      <c r="D27" t="s">
        <v>3</v>
      </c>
      <c r="E27" t="s">
        <v>4</v>
      </c>
      <c r="F27" t="s">
        <v>5</v>
      </c>
      <c r="G27" s="1">
        <v>2746</v>
      </c>
      <c r="I27" s="1"/>
      <c r="J27" s="1"/>
      <c r="K27" t="s">
        <v>7</v>
      </c>
      <c r="L27" s="1" t="s">
        <v>1</v>
      </c>
      <c r="M27" t="s">
        <v>2</v>
      </c>
      <c r="N27" t="s">
        <v>3</v>
      </c>
      <c r="O27" t="s">
        <v>4</v>
      </c>
      <c r="P27" t="s">
        <v>5</v>
      </c>
      <c r="Q27" s="1">
        <v>386.2</v>
      </c>
      <c r="U27" t="s">
        <v>7</v>
      </c>
      <c r="V27" t="s">
        <v>1</v>
      </c>
      <c r="W27" t="s">
        <v>9</v>
      </c>
      <c r="X27" t="s">
        <v>3</v>
      </c>
      <c r="Y27" t="s">
        <v>4</v>
      </c>
      <c r="Z27" t="s">
        <v>5</v>
      </c>
      <c r="AA27" s="1">
        <v>773</v>
      </c>
      <c r="AE27" t="s">
        <v>7</v>
      </c>
      <c r="AF27" t="s">
        <v>1</v>
      </c>
      <c r="AG27" t="s">
        <v>2</v>
      </c>
      <c r="AH27" t="s">
        <v>3</v>
      </c>
      <c r="AI27" t="s">
        <v>4</v>
      </c>
      <c r="AJ27" t="s">
        <v>5</v>
      </c>
      <c r="AK27" s="1">
        <v>533.6</v>
      </c>
      <c r="AO27" t="s">
        <v>10</v>
      </c>
      <c r="AP27" t="s">
        <v>1</v>
      </c>
      <c r="AQ27" t="s">
        <v>15</v>
      </c>
      <c r="AR27" t="s">
        <v>3</v>
      </c>
      <c r="AS27" t="s">
        <v>4</v>
      </c>
      <c r="AT27" t="s">
        <v>5</v>
      </c>
      <c r="AU27" s="1">
        <v>1774</v>
      </c>
      <c r="AX27" t="s">
        <v>7</v>
      </c>
      <c r="AY27" t="s">
        <v>1</v>
      </c>
      <c r="AZ27" t="s">
        <v>9</v>
      </c>
      <c r="BA27" t="s">
        <v>3</v>
      </c>
      <c r="BB27" t="s">
        <v>4</v>
      </c>
      <c r="BC27" t="s">
        <v>5</v>
      </c>
      <c r="BD27" s="1">
        <v>773</v>
      </c>
    </row>
    <row r="28" spans="1:56" x14ac:dyDescent="0.4">
      <c r="A28" t="s">
        <v>10</v>
      </c>
      <c r="B28" t="s">
        <v>1</v>
      </c>
      <c r="C28" t="s">
        <v>6</v>
      </c>
      <c r="D28" t="s">
        <v>3</v>
      </c>
      <c r="E28" t="s">
        <v>4</v>
      </c>
      <c r="F28" t="s">
        <v>5</v>
      </c>
      <c r="G28" s="1">
        <v>581</v>
      </c>
      <c r="I28" s="1"/>
      <c r="J28" s="1"/>
      <c r="K28" t="s">
        <v>10</v>
      </c>
      <c r="L28" s="1" t="s">
        <v>1</v>
      </c>
      <c r="M28" t="s">
        <v>9</v>
      </c>
      <c r="N28" t="s">
        <v>3</v>
      </c>
      <c r="O28" t="s">
        <v>4</v>
      </c>
      <c r="P28" t="s">
        <v>5</v>
      </c>
      <c r="Q28" s="1">
        <v>3327</v>
      </c>
      <c r="U28" t="s">
        <v>7</v>
      </c>
      <c r="V28" t="s">
        <v>1</v>
      </c>
      <c r="W28" t="s">
        <v>2</v>
      </c>
      <c r="X28" t="s">
        <v>3</v>
      </c>
      <c r="Y28" t="s">
        <v>4</v>
      </c>
      <c r="Z28" t="s">
        <v>5</v>
      </c>
      <c r="AA28" s="1">
        <v>386.2</v>
      </c>
      <c r="AE28" t="s">
        <v>10</v>
      </c>
      <c r="AF28" t="s">
        <v>1</v>
      </c>
      <c r="AG28" t="s">
        <v>8</v>
      </c>
      <c r="AH28" t="s">
        <v>3</v>
      </c>
      <c r="AI28" t="s">
        <v>4</v>
      </c>
      <c r="AJ28" t="s">
        <v>5</v>
      </c>
      <c r="AK28" s="1">
        <v>732.6</v>
      </c>
      <c r="AO28" t="s">
        <v>10</v>
      </c>
      <c r="AP28" t="s">
        <v>1</v>
      </c>
      <c r="AQ28" t="s">
        <v>6</v>
      </c>
      <c r="AR28" t="s">
        <v>3</v>
      </c>
      <c r="AS28" t="s">
        <v>4</v>
      </c>
      <c r="AT28" t="s">
        <v>5</v>
      </c>
      <c r="AU28" s="1">
        <v>1553</v>
      </c>
      <c r="AX28" t="s">
        <v>7</v>
      </c>
      <c r="AY28" t="s">
        <v>1</v>
      </c>
      <c r="AZ28" t="s">
        <v>6</v>
      </c>
      <c r="BA28" t="s">
        <v>3</v>
      </c>
      <c r="BB28" t="s">
        <v>4</v>
      </c>
      <c r="BC28" t="s">
        <v>5</v>
      </c>
      <c r="BD28" s="1">
        <v>293.39999999999998</v>
      </c>
    </row>
    <row r="29" spans="1:56" x14ac:dyDescent="0.4">
      <c r="A29" t="s">
        <v>11</v>
      </c>
      <c r="B29" t="s">
        <v>1</v>
      </c>
      <c r="C29" t="s">
        <v>9</v>
      </c>
      <c r="D29" t="s">
        <v>3</v>
      </c>
      <c r="E29" t="s">
        <v>4</v>
      </c>
      <c r="F29" t="s">
        <v>5</v>
      </c>
      <c r="G29" s="1">
        <v>1354</v>
      </c>
      <c r="I29" s="1"/>
      <c r="J29" s="1"/>
      <c r="K29" t="s">
        <v>11</v>
      </c>
      <c r="L29" s="1" t="s">
        <v>1</v>
      </c>
      <c r="M29" t="s">
        <v>8</v>
      </c>
      <c r="N29" t="s">
        <v>3</v>
      </c>
      <c r="O29" t="s">
        <v>4</v>
      </c>
      <c r="P29" t="s">
        <v>5</v>
      </c>
      <c r="Q29" s="1">
        <v>1206.5999999999999</v>
      </c>
      <c r="U29" t="s">
        <v>10</v>
      </c>
      <c r="V29" t="s">
        <v>1</v>
      </c>
      <c r="W29" t="s">
        <v>9</v>
      </c>
      <c r="X29" t="s">
        <v>3</v>
      </c>
      <c r="Y29" t="s">
        <v>4</v>
      </c>
      <c r="Z29" t="s">
        <v>5</v>
      </c>
      <c r="AA29" s="1">
        <v>3327</v>
      </c>
      <c r="AE29" t="s">
        <v>10</v>
      </c>
      <c r="AF29" t="s">
        <v>1</v>
      </c>
      <c r="AG29" t="s">
        <v>15</v>
      </c>
      <c r="AH29" t="s">
        <v>3</v>
      </c>
      <c r="AI29" t="s">
        <v>4</v>
      </c>
      <c r="AJ29" t="s">
        <v>5</v>
      </c>
      <c r="AK29" s="1">
        <v>2594.4</v>
      </c>
      <c r="AO29" t="s">
        <v>11</v>
      </c>
      <c r="AP29" t="s">
        <v>1</v>
      </c>
      <c r="AQ29" t="s">
        <v>15</v>
      </c>
      <c r="AR29" t="s">
        <v>3</v>
      </c>
      <c r="AS29" t="s">
        <v>4</v>
      </c>
      <c r="AT29" t="s">
        <v>5</v>
      </c>
      <c r="AU29" s="1">
        <v>820.4</v>
      </c>
      <c r="AX29" t="s">
        <v>10</v>
      </c>
      <c r="AY29" t="s">
        <v>1</v>
      </c>
      <c r="AZ29" t="s">
        <v>9</v>
      </c>
      <c r="BA29" t="s">
        <v>3</v>
      </c>
      <c r="BB29" t="s">
        <v>4</v>
      </c>
      <c r="BC29" t="s">
        <v>5</v>
      </c>
      <c r="BD29" s="1">
        <v>3327</v>
      </c>
    </row>
    <row r="30" spans="1:56" x14ac:dyDescent="0.4">
      <c r="A30" t="s">
        <v>12</v>
      </c>
      <c r="B30" t="s">
        <v>1</v>
      </c>
      <c r="C30" t="s">
        <v>6</v>
      </c>
      <c r="D30" t="s">
        <v>3</v>
      </c>
      <c r="E30" t="s">
        <v>4</v>
      </c>
      <c r="F30" t="s">
        <v>5</v>
      </c>
      <c r="G30" s="1">
        <v>1346</v>
      </c>
      <c r="I30" s="1"/>
      <c r="J30" s="1"/>
      <c r="K30" t="s">
        <v>11</v>
      </c>
      <c r="L30" s="1" t="s">
        <v>1</v>
      </c>
      <c r="M30" t="s">
        <v>2</v>
      </c>
      <c r="N30" t="s">
        <v>3</v>
      </c>
      <c r="O30" t="s">
        <v>4</v>
      </c>
      <c r="P30" t="s">
        <v>5</v>
      </c>
      <c r="Q30" s="1">
        <v>147.4</v>
      </c>
      <c r="U30" t="s">
        <v>11</v>
      </c>
      <c r="V30" t="s">
        <v>1</v>
      </c>
      <c r="W30" t="s">
        <v>6</v>
      </c>
      <c r="X30" t="s">
        <v>3</v>
      </c>
      <c r="Y30" t="s">
        <v>4</v>
      </c>
      <c r="Z30" t="s">
        <v>5</v>
      </c>
      <c r="AA30" s="1">
        <v>1354</v>
      </c>
      <c r="AE30" t="s">
        <v>11</v>
      </c>
      <c r="AF30" t="s">
        <v>1</v>
      </c>
      <c r="AG30" t="s">
        <v>9</v>
      </c>
      <c r="AH30" t="s">
        <v>3</v>
      </c>
      <c r="AI30" t="s">
        <v>4</v>
      </c>
      <c r="AJ30" t="s">
        <v>5</v>
      </c>
      <c r="AK30" s="1">
        <v>1354</v>
      </c>
      <c r="AO30" t="s">
        <v>11</v>
      </c>
      <c r="AP30" t="s">
        <v>1</v>
      </c>
      <c r="AQ30" t="s">
        <v>2</v>
      </c>
      <c r="AR30" t="s">
        <v>3</v>
      </c>
      <c r="AS30" t="s">
        <v>4</v>
      </c>
      <c r="AT30" t="s">
        <v>5</v>
      </c>
      <c r="AU30" s="1">
        <v>533.6</v>
      </c>
      <c r="AX30" t="s">
        <v>11</v>
      </c>
      <c r="AY30" t="s">
        <v>1</v>
      </c>
      <c r="AZ30" t="s">
        <v>6</v>
      </c>
      <c r="BA30" t="s">
        <v>3</v>
      </c>
      <c r="BB30" t="s">
        <v>4</v>
      </c>
      <c r="BC30" t="s">
        <v>5</v>
      </c>
      <c r="BD30" s="1">
        <v>1354</v>
      </c>
    </row>
    <row r="31" spans="1:56" x14ac:dyDescent="0.4">
      <c r="A31" t="s">
        <v>13</v>
      </c>
      <c r="B31" t="s">
        <v>1</v>
      </c>
      <c r="C31" t="s">
        <v>8</v>
      </c>
      <c r="D31" t="s">
        <v>3</v>
      </c>
      <c r="E31" t="s">
        <v>4</v>
      </c>
      <c r="F31" t="s">
        <v>5</v>
      </c>
      <c r="G31" s="1">
        <v>92.8</v>
      </c>
      <c r="I31" s="1"/>
      <c r="J31" s="1"/>
      <c r="K31" t="s">
        <v>12</v>
      </c>
      <c r="L31" s="1" t="s">
        <v>1</v>
      </c>
      <c r="M31" t="s">
        <v>6</v>
      </c>
      <c r="N31" t="s">
        <v>3</v>
      </c>
      <c r="O31" t="s">
        <v>4</v>
      </c>
      <c r="P31" t="s">
        <v>5</v>
      </c>
      <c r="Q31" s="1">
        <v>1346</v>
      </c>
      <c r="U31" t="s">
        <v>12</v>
      </c>
      <c r="V31" t="s">
        <v>1</v>
      </c>
      <c r="W31" t="s">
        <v>6</v>
      </c>
      <c r="X31" t="s">
        <v>3</v>
      </c>
      <c r="Y31" t="s">
        <v>4</v>
      </c>
      <c r="Z31" t="s">
        <v>5</v>
      </c>
      <c r="AA31" s="1">
        <v>1346</v>
      </c>
      <c r="AE31" t="s">
        <v>12</v>
      </c>
      <c r="AF31" t="s">
        <v>1</v>
      </c>
      <c r="AG31" t="s">
        <v>6</v>
      </c>
      <c r="AH31" t="s">
        <v>3</v>
      </c>
      <c r="AI31" t="s">
        <v>4</v>
      </c>
      <c r="AJ31" t="s">
        <v>5</v>
      </c>
      <c r="AK31" s="1">
        <v>1346</v>
      </c>
      <c r="AO31" t="s">
        <v>12</v>
      </c>
      <c r="AP31" t="s">
        <v>1</v>
      </c>
      <c r="AQ31" t="s">
        <v>6</v>
      </c>
      <c r="AR31" t="s">
        <v>3</v>
      </c>
      <c r="AS31" t="s">
        <v>4</v>
      </c>
      <c r="AT31" t="s">
        <v>5</v>
      </c>
      <c r="AU31" s="1">
        <v>1346</v>
      </c>
      <c r="AX31" t="s">
        <v>12</v>
      </c>
      <c r="AY31" t="s">
        <v>1</v>
      </c>
      <c r="AZ31" t="s">
        <v>6</v>
      </c>
      <c r="BA31" t="s">
        <v>3</v>
      </c>
      <c r="BB31" t="s">
        <v>4</v>
      </c>
      <c r="BC31" t="s">
        <v>5</v>
      </c>
      <c r="BD31" s="1">
        <v>1346</v>
      </c>
    </row>
    <row r="32" spans="1:56" x14ac:dyDescent="0.4">
      <c r="A32" t="s">
        <v>13</v>
      </c>
      <c r="B32" t="s">
        <v>1</v>
      </c>
      <c r="C32" t="s">
        <v>6</v>
      </c>
      <c r="D32" t="s">
        <v>3</v>
      </c>
      <c r="E32" t="s">
        <v>4</v>
      </c>
      <c r="F32" t="s">
        <v>5</v>
      </c>
      <c r="G32" s="1">
        <v>835.2</v>
      </c>
      <c r="I32" s="1"/>
      <c r="J32" s="1"/>
      <c r="K32" t="s">
        <v>13</v>
      </c>
      <c r="L32" s="1" t="s">
        <v>1</v>
      </c>
      <c r="M32" t="s">
        <v>6</v>
      </c>
      <c r="N32" t="s">
        <v>3</v>
      </c>
      <c r="O32" t="s">
        <v>4</v>
      </c>
      <c r="P32" t="s">
        <v>5</v>
      </c>
      <c r="Q32" s="1">
        <v>928</v>
      </c>
      <c r="U32" t="s">
        <v>13</v>
      </c>
      <c r="V32" t="s">
        <v>1</v>
      </c>
      <c r="W32" t="s">
        <v>6</v>
      </c>
      <c r="X32" t="s">
        <v>3</v>
      </c>
      <c r="Y32" t="s">
        <v>4</v>
      </c>
      <c r="Z32" t="s">
        <v>5</v>
      </c>
      <c r="AA32" s="1">
        <v>928</v>
      </c>
      <c r="AE32" t="s">
        <v>13</v>
      </c>
      <c r="AF32" t="s">
        <v>1</v>
      </c>
      <c r="AG32" t="s">
        <v>6</v>
      </c>
      <c r="AH32" t="s">
        <v>3</v>
      </c>
      <c r="AI32" t="s">
        <v>4</v>
      </c>
      <c r="AJ32" t="s">
        <v>5</v>
      </c>
      <c r="AK32" s="1">
        <v>928</v>
      </c>
      <c r="AO32" t="s">
        <v>13</v>
      </c>
      <c r="AP32" t="s">
        <v>1</v>
      </c>
      <c r="AQ32" t="s">
        <v>6</v>
      </c>
      <c r="AR32" t="s">
        <v>3</v>
      </c>
      <c r="AS32" t="s">
        <v>4</v>
      </c>
      <c r="AT32" t="s">
        <v>5</v>
      </c>
      <c r="AU32" s="1">
        <v>928</v>
      </c>
      <c r="AX32" t="s">
        <v>13</v>
      </c>
      <c r="AY32" t="s">
        <v>1</v>
      </c>
      <c r="AZ32" t="s">
        <v>6</v>
      </c>
      <c r="BA32" t="s">
        <v>3</v>
      </c>
      <c r="BB32" t="s">
        <v>4</v>
      </c>
      <c r="BC32" t="s">
        <v>5</v>
      </c>
      <c r="BD32" s="1">
        <v>928</v>
      </c>
    </row>
    <row r="33" spans="1:56" x14ac:dyDescent="0.4">
      <c r="A33" t="s">
        <v>17</v>
      </c>
      <c r="B33" t="s">
        <v>1</v>
      </c>
      <c r="C33" t="s">
        <v>8</v>
      </c>
      <c r="D33" t="s">
        <v>3</v>
      </c>
      <c r="E33" t="s">
        <v>4</v>
      </c>
      <c r="F33" t="s">
        <v>5</v>
      </c>
      <c r="G33" s="1">
        <v>228.7</v>
      </c>
      <c r="I33" s="1"/>
      <c r="J33" s="1"/>
      <c r="K33" t="s">
        <v>17</v>
      </c>
      <c r="L33" s="1" t="s">
        <v>1</v>
      </c>
      <c r="M33" t="s">
        <v>8</v>
      </c>
      <c r="N33" t="s">
        <v>3</v>
      </c>
      <c r="O33" t="s">
        <v>4</v>
      </c>
      <c r="P33" t="s">
        <v>5</v>
      </c>
      <c r="Q33" s="1">
        <v>51.3</v>
      </c>
      <c r="U33" t="s">
        <v>17</v>
      </c>
      <c r="V33" t="s">
        <v>1</v>
      </c>
      <c r="W33" t="s">
        <v>8</v>
      </c>
      <c r="X33" t="s">
        <v>3</v>
      </c>
      <c r="Y33" t="s">
        <v>4</v>
      </c>
      <c r="Z33" t="s">
        <v>5</v>
      </c>
      <c r="AA33" s="1">
        <v>51.3</v>
      </c>
      <c r="AE33" t="s">
        <v>17</v>
      </c>
      <c r="AF33" t="s">
        <v>1</v>
      </c>
      <c r="AG33" t="s">
        <v>8</v>
      </c>
      <c r="AH33" t="s">
        <v>3</v>
      </c>
      <c r="AI33" t="s">
        <v>4</v>
      </c>
      <c r="AJ33" t="s">
        <v>5</v>
      </c>
      <c r="AK33" s="1">
        <v>228.7</v>
      </c>
      <c r="AO33" t="s">
        <v>17</v>
      </c>
      <c r="AP33" t="s">
        <v>1</v>
      </c>
      <c r="AQ33" t="s">
        <v>8</v>
      </c>
      <c r="AR33" t="s">
        <v>3</v>
      </c>
      <c r="AS33" t="s">
        <v>4</v>
      </c>
      <c r="AT33" t="s">
        <v>5</v>
      </c>
      <c r="AU33" s="1">
        <v>51.3</v>
      </c>
      <c r="AX33" t="s">
        <v>17</v>
      </c>
      <c r="AY33" t="s">
        <v>1</v>
      </c>
      <c r="AZ33" t="s">
        <v>8</v>
      </c>
      <c r="BA33" t="s">
        <v>3</v>
      </c>
      <c r="BB33" t="s">
        <v>4</v>
      </c>
      <c r="BC33" t="s">
        <v>5</v>
      </c>
      <c r="BD33" s="1">
        <v>56.6</v>
      </c>
    </row>
    <row r="34" spans="1:56" x14ac:dyDescent="0.4">
      <c r="A34" t="s">
        <v>17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s="1">
        <v>331.2</v>
      </c>
      <c r="I34" s="1"/>
      <c r="J34" s="1"/>
      <c r="K34" t="s">
        <v>17</v>
      </c>
      <c r="L34" s="1" t="s">
        <v>1</v>
      </c>
      <c r="M34" t="s">
        <v>2</v>
      </c>
      <c r="N34" t="s">
        <v>3</v>
      </c>
      <c r="O34" t="s">
        <v>4</v>
      </c>
      <c r="P34" t="s">
        <v>5</v>
      </c>
      <c r="Q34" s="1">
        <v>331.2</v>
      </c>
      <c r="U34" t="s">
        <v>17</v>
      </c>
      <c r="V34" t="s">
        <v>1</v>
      </c>
      <c r="W34" t="s">
        <v>2</v>
      </c>
      <c r="X34" t="s">
        <v>3</v>
      </c>
      <c r="Y34" t="s">
        <v>4</v>
      </c>
      <c r="Z34" t="s">
        <v>5</v>
      </c>
      <c r="AA34" s="1">
        <v>331.2</v>
      </c>
      <c r="AE34" t="s">
        <v>17</v>
      </c>
      <c r="AF34" t="s">
        <v>1</v>
      </c>
      <c r="AG34" t="s">
        <v>2</v>
      </c>
      <c r="AH34" t="s">
        <v>3</v>
      </c>
      <c r="AI34" t="s">
        <v>4</v>
      </c>
      <c r="AJ34" t="s">
        <v>5</v>
      </c>
      <c r="AK34" s="1">
        <v>331.2</v>
      </c>
      <c r="AO34" t="s">
        <v>17</v>
      </c>
      <c r="AP34" t="s">
        <v>1</v>
      </c>
      <c r="AQ34" t="s">
        <v>2</v>
      </c>
      <c r="AR34" t="s">
        <v>3</v>
      </c>
      <c r="AS34" t="s">
        <v>4</v>
      </c>
      <c r="AT34" t="s">
        <v>5</v>
      </c>
      <c r="AU34" s="1">
        <v>331.2</v>
      </c>
      <c r="AX34" t="s">
        <v>17</v>
      </c>
      <c r="AY34" t="s">
        <v>1</v>
      </c>
      <c r="AZ34" t="s">
        <v>2</v>
      </c>
      <c r="BA34" t="s">
        <v>3</v>
      </c>
      <c r="BB34" t="s">
        <v>4</v>
      </c>
      <c r="BC34" t="s">
        <v>5</v>
      </c>
      <c r="BD34" s="1">
        <v>331.2</v>
      </c>
    </row>
    <row r="35" spans="1:56" x14ac:dyDescent="0.4">
      <c r="A35" t="s">
        <v>17</v>
      </c>
      <c r="B35" t="s">
        <v>1</v>
      </c>
      <c r="C35" t="s">
        <v>6</v>
      </c>
      <c r="D35" t="s">
        <v>3</v>
      </c>
      <c r="E35" t="s">
        <v>4</v>
      </c>
      <c r="F35" t="s">
        <v>5</v>
      </c>
      <c r="G35" s="1">
        <v>280.10000000000002</v>
      </c>
      <c r="I35" s="1"/>
      <c r="J35" s="1"/>
      <c r="K35" t="s">
        <v>17</v>
      </c>
      <c r="L35" s="1" t="s">
        <v>1</v>
      </c>
      <c r="M35" t="s">
        <v>6</v>
      </c>
      <c r="N35" t="s">
        <v>3</v>
      </c>
      <c r="O35" t="s">
        <v>4</v>
      </c>
      <c r="P35" t="s">
        <v>5</v>
      </c>
      <c r="Q35" s="1">
        <v>457.5</v>
      </c>
      <c r="U35" t="s">
        <v>17</v>
      </c>
      <c r="V35" t="s">
        <v>1</v>
      </c>
      <c r="W35" t="s">
        <v>6</v>
      </c>
      <c r="X35" t="s">
        <v>3</v>
      </c>
      <c r="Y35" t="s">
        <v>4</v>
      </c>
      <c r="Z35" t="s">
        <v>5</v>
      </c>
      <c r="AA35" s="1">
        <v>457.5</v>
      </c>
      <c r="AE35" t="s">
        <v>17</v>
      </c>
      <c r="AF35" t="s">
        <v>1</v>
      </c>
      <c r="AG35" t="s">
        <v>6</v>
      </c>
      <c r="AH35" t="s">
        <v>3</v>
      </c>
      <c r="AI35" t="s">
        <v>4</v>
      </c>
      <c r="AJ35" t="s">
        <v>5</v>
      </c>
      <c r="AK35" s="1">
        <v>280.10000000000002</v>
      </c>
      <c r="AO35" t="s">
        <v>17</v>
      </c>
      <c r="AP35" t="s">
        <v>1</v>
      </c>
      <c r="AQ35" t="s">
        <v>6</v>
      </c>
      <c r="AR35" t="s">
        <v>3</v>
      </c>
      <c r="AS35" t="s">
        <v>4</v>
      </c>
      <c r="AT35" t="s">
        <v>5</v>
      </c>
      <c r="AU35" s="1">
        <v>457.5</v>
      </c>
      <c r="AX35" t="s">
        <v>17</v>
      </c>
      <c r="AY35" t="s">
        <v>1</v>
      </c>
      <c r="AZ35" t="s">
        <v>6</v>
      </c>
      <c r="BA35" t="s">
        <v>3</v>
      </c>
      <c r="BB35" t="s">
        <v>4</v>
      </c>
      <c r="BC35" t="s">
        <v>5</v>
      </c>
      <c r="BD35" s="1">
        <v>452.2</v>
      </c>
    </row>
    <row r="36" spans="1:56" x14ac:dyDescent="0.4">
      <c r="A36" t="s">
        <v>18</v>
      </c>
      <c r="B36" t="s">
        <v>1</v>
      </c>
      <c r="C36" t="s">
        <v>8</v>
      </c>
      <c r="D36" t="s">
        <v>3</v>
      </c>
      <c r="E36" t="s">
        <v>4</v>
      </c>
      <c r="F36" t="s">
        <v>5</v>
      </c>
      <c r="G36" s="1">
        <v>2438.9</v>
      </c>
      <c r="I36" s="1"/>
      <c r="J36" s="1"/>
      <c r="K36" t="s">
        <v>18</v>
      </c>
      <c r="L36" s="1" t="s">
        <v>1</v>
      </c>
      <c r="M36" t="s">
        <v>8</v>
      </c>
      <c r="N36" t="s">
        <v>3</v>
      </c>
      <c r="O36" t="s">
        <v>4</v>
      </c>
      <c r="P36" t="s">
        <v>5</v>
      </c>
      <c r="Q36" s="1">
        <v>2616.3000000000002</v>
      </c>
      <c r="U36" t="s">
        <v>18</v>
      </c>
      <c r="V36" t="s">
        <v>1</v>
      </c>
      <c r="W36" t="s">
        <v>8</v>
      </c>
      <c r="X36" t="s">
        <v>3</v>
      </c>
      <c r="Y36" t="s">
        <v>4</v>
      </c>
      <c r="Z36" t="s">
        <v>5</v>
      </c>
      <c r="AA36" s="1">
        <v>2616.3000000000002</v>
      </c>
      <c r="AE36" t="s">
        <v>18</v>
      </c>
      <c r="AF36" t="s">
        <v>1</v>
      </c>
      <c r="AG36" t="s">
        <v>8</v>
      </c>
      <c r="AH36" t="s">
        <v>3</v>
      </c>
      <c r="AI36" t="s">
        <v>4</v>
      </c>
      <c r="AJ36" t="s">
        <v>5</v>
      </c>
      <c r="AK36" s="1">
        <v>2438.9</v>
      </c>
      <c r="AO36" t="s">
        <v>18</v>
      </c>
      <c r="AP36" t="s">
        <v>1</v>
      </c>
      <c r="AQ36" t="s">
        <v>8</v>
      </c>
      <c r="AR36" t="s">
        <v>3</v>
      </c>
      <c r="AS36" t="s">
        <v>4</v>
      </c>
      <c r="AT36" t="s">
        <v>5</v>
      </c>
      <c r="AU36" s="1">
        <v>2616.3000000000002</v>
      </c>
      <c r="AX36" t="s">
        <v>18</v>
      </c>
      <c r="AY36" t="s">
        <v>1</v>
      </c>
      <c r="AZ36" t="s">
        <v>8</v>
      </c>
      <c r="BA36" t="s">
        <v>3</v>
      </c>
      <c r="BB36" t="s">
        <v>4</v>
      </c>
      <c r="BC36" t="s">
        <v>5</v>
      </c>
      <c r="BD36" s="1">
        <v>2611</v>
      </c>
    </row>
    <row r="37" spans="1:56" x14ac:dyDescent="0.4">
      <c r="A37" t="s">
        <v>18</v>
      </c>
      <c r="B37" t="s">
        <v>1</v>
      </c>
      <c r="C37" t="s">
        <v>6</v>
      </c>
      <c r="D37" t="s">
        <v>3</v>
      </c>
      <c r="E37" t="s">
        <v>4</v>
      </c>
      <c r="F37" t="s">
        <v>5</v>
      </c>
      <c r="G37" s="1">
        <v>2801</v>
      </c>
      <c r="I37" s="1"/>
      <c r="J37" s="1"/>
      <c r="K37" t="s">
        <v>18</v>
      </c>
      <c r="L37" s="1" t="s">
        <v>1</v>
      </c>
      <c r="M37" t="s">
        <v>6</v>
      </c>
      <c r="N37" t="s">
        <v>3</v>
      </c>
      <c r="O37" t="s">
        <v>4</v>
      </c>
      <c r="P37" t="s">
        <v>5</v>
      </c>
      <c r="Q37" s="1">
        <v>2623.6</v>
      </c>
      <c r="U37" t="s">
        <v>18</v>
      </c>
      <c r="V37" t="s">
        <v>1</v>
      </c>
      <c r="W37" t="s">
        <v>6</v>
      </c>
      <c r="X37" t="s">
        <v>3</v>
      </c>
      <c r="Y37" t="s">
        <v>4</v>
      </c>
      <c r="Z37" t="s">
        <v>5</v>
      </c>
      <c r="AA37" s="1">
        <v>2623.6</v>
      </c>
      <c r="AE37" t="s">
        <v>18</v>
      </c>
      <c r="AF37" t="s">
        <v>1</v>
      </c>
      <c r="AG37" t="s">
        <v>6</v>
      </c>
      <c r="AH37" t="s">
        <v>3</v>
      </c>
      <c r="AI37" t="s">
        <v>4</v>
      </c>
      <c r="AJ37" t="s">
        <v>5</v>
      </c>
      <c r="AK37" s="1">
        <v>2801</v>
      </c>
      <c r="AO37" t="s">
        <v>18</v>
      </c>
      <c r="AP37" t="s">
        <v>1</v>
      </c>
      <c r="AQ37" t="s">
        <v>6</v>
      </c>
      <c r="AR37" t="s">
        <v>3</v>
      </c>
      <c r="AS37" t="s">
        <v>4</v>
      </c>
      <c r="AT37" t="s">
        <v>5</v>
      </c>
      <c r="AU37" s="1">
        <v>2623.6</v>
      </c>
      <c r="AX37" t="s">
        <v>18</v>
      </c>
      <c r="AY37" t="s">
        <v>1</v>
      </c>
      <c r="AZ37" t="s">
        <v>6</v>
      </c>
      <c r="BA37" t="s">
        <v>3</v>
      </c>
      <c r="BB37" t="s">
        <v>4</v>
      </c>
      <c r="BC37" t="s">
        <v>5</v>
      </c>
      <c r="BD37" s="1">
        <v>2628.9</v>
      </c>
    </row>
    <row r="38" spans="1:56" x14ac:dyDescent="0.4">
      <c r="A38" t="s">
        <v>18</v>
      </c>
      <c r="B38" t="s">
        <v>1</v>
      </c>
      <c r="C38" t="s">
        <v>19</v>
      </c>
      <c r="D38" t="s">
        <v>3</v>
      </c>
      <c r="E38" t="s">
        <v>4</v>
      </c>
      <c r="F38" t="s">
        <v>5</v>
      </c>
      <c r="G38" s="1">
        <v>6760.1</v>
      </c>
      <c r="I38" s="1"/>
      <c r="J38" s="1"/>
      <c r="K38" t="s">
        <v>18</v>
      </c>
      <c r="L38" s="1" t="s">
        <v>1</v>
      </c>
      <c r="M38" t="s">
        <v>19</v>
      </c>
      <c r="N38" t="s">
        <v>3</v>
      </c>
      <c r="O38" t="s">
        <v>4</v>
      </c>
      <c r="P38" t="s">
        <v>5</v>
      </c>
      <c r="Q38" s="1">
        <v>6760.1</v>
      </c>
      <c r="U38" t="s">
        <v>18</v>
      </c>
      <c r="V38" t="s">
        <v>1</v>
      </c>
      <c r="W38" t="s">
        <v>19</v>
      </c>
      <c r="X38" t="s">
        <v>3</v>
      </c>
      <c r="Y38" t="s">
        <v>4</v>
      </c>
      <c r="Z38" t="s">
        <v>5</v>
      </c>
      <c r="AA38" s="1">
        <v>6760.1</v>
      </c>
      <c r="AE38" t="s">
        <v>18</v>
      </c>
      <c r="AF38" t="s">
        <v>1</v>
      </c>
      <c r="AG38" t="s">
        <v>19</v>
      </c>
      <c r="AH38" t="s">
        <v>3</v>
      </c>
      <c r="AI38" t="s">
        <v>4</v>
      </c>
      <c r="AJ38" t="s">
        <v>5</v>
      </c>
      <c r="AK38" s="1">
        <v>6760.1</v>
      </c>
      <c r="AO38" t="s">
        <v>18</v>
      </c>
      <c r="AP38" t="s">
        <v>1</v>
      </c>
      <c r="AQ38" t="s">
        <v>19</v>
      </c>
      <c r="AR38" t="s">
        <v>3</v>
      </c>
      <c r="AS38" t="s">
        <v>4</v>
      </c>
      <c r="AT38" t="s">
        <v>5</v>
      </c>
      <c r="AU38" s="1">
        <v>6760.1</v>
      </c>
      <c r="AX38" t="s">
        <v>18</v>
      </c>
      <c r="AY38" t="s">
        <v>1</v>
      </c>
      <c r="AZ38" t="s">
        <v>19</v>
      </c>
      <c r="BA38" t="s">
        <v>3</v>
      </c>
      <c r="BB38" t="s">
        <v>4</v>
      </c>
      <c r="BC38" t="s">
        <v>5</v>
      </c>
      <c r="BD38" s="1">
        <v>6760.1</v>
      </c>
    </row>
    <row r="39" spans="1:56" x14ac:dyDescent="0.4">
      <c r="A39" t="s">
        <v>20</v>
      </c>
      <c r="B39" t="s">
        <v>1</v>
      </c>
      <c r="C39" t="s">
        <v>19</v>
      </c>
      <c r="D39" t="s">
        <v>3</v>
      </c>
      <c r="E39" t="s">
        <v>4</v>
      </c>
      <c r="F39" t="s">
        <v>5</v>
      </c>
      <c r="G39" s="1">
        <v>6113.9</v>
      </c>
      <c r="I39" s="1"/>
      <c r="J39" s="1"/>
      <c r="K39" t="s">
        <v>20</v>
      </c>
      <c r="L39" s="1" t="s">
        <v>1</v>
      </c>
      <c r="M39" t="s">
        <v>19</v>
      </c>
      <c r="N39" t="s">
        <v>3</v>
      </c>
      <c r="O39" t="s">
        <v>4</v>
      </c>
      <c r="P39" t="s">
        <v>5</v>
      </c>
      <c r="Q39" s="1">
        <v>6113.9</v>
      </c>
      <c r="U39" t="s">
        <v>20</v>
      </c>
      <c r="V39" t="s">
        <v>1</v>
      </c>
      <c r="W39" t="s">
        <v>19</v>
      </c>
      <c r="X39" t="s">
        <v>3</v>
      </c>
      <c r="Y39" t="s">
        <v>4</v>
      </c>
      <c r="Z39" t="s">
        <v>5</v>
      </c>
      <c r="AA39" s="1">
        <v>6113.9</v>
      </c>
      <c r="AE39" t="s">
        <v>20</v>
      </c>
      <c r="AF39" t="s">
        <v>1</v>
      </c>
      <c r="AG39" t="s">
        <v>19</v>
      </c>
      <c r="AH39" t="s">
        <v>3</v>
      </c>
      <c r="AI39" t="s">
        <v>4</v>
      </c>
      <c r="AJ39" t="s">
        <v>5</v>
      </c>
      <c r="AK39" s="1">
        <v>6113.9</v>
      </c>
      <c r="AO39" t="s">
        <v>20</v>
      </c>
      <c r="AP39" t="s">
        <v>1</v>
      </c>
      <c r="AQ39" t="s">
        <v>19</v>
      </c>
      <c r="AR39" t="s">
        <v>3</v>
      </c>
      <c r="AS39" t="s">
        <v>4</v>
      </c>
      <c r="AT39" t="s">
        <v>5</v>
      </c>
      <c r="AU39" s="1">
        <v>6113.9</v>
      </c>
      <c r="AX39" t="s">
        <v>20</v>
      </c>
      <c r="AY39" t="s">
        <v>1</v>
      </c>
      <c r="AZ39" t="s">
        <v>19</v>
      </c>
      <c r="BA39" t="s">
        <v>3</v>
      </c>
      <c r="BB39" t="s">
        <v>4</v>
      </c>
      <c r="BC39" t="s">
        <v>5</v>
      </c>
      <c r="BD39" s="1">
        <v>6113.9</v>
      </c>
    </row>
    <row r="40" spans="1:56" x14ac:dyDescent="0.4">
      <c r="A40" t="s">
        <v>20</v>
      </c>
      <c r="B40" t="s">
        <v>1</v>
      </c>
      <c r="C40" t="s">
        <v>16</v>
      </c>
      <c r="D40" t="s">
        <v>3</v>
      </c>
      <c r="E40" t="s">
        <v>4</v>
      </c>
      <c r="F40" t="s">
        <v>5</v>
      </c>
      <c r="G40" s="1">
        <v>1338.1</v>
      </c>
      <c r="I40" s="1"/>
      <c r="J40" s="1"/>
      <c r="K40" t="s">
        <v>20</v>
      </c>
      <c r="L40" s="1" t="s">
        <v>1</v>
      </c>
      <c r="M40" t="s">
        <v>16</v>
      </c>
      <c r="N40" t="s">
        <v>3</v>
      </c>
      <c r="O40" t="s">
        <v>4</v>
      </c>
      <c r="P40" t="s">
        <v>5</v>
      </c>
      <c r="Q40" s="1">
        <v>1338.1</v>
      </c>
      <c r="U40" t="s">
        <v>20</v>
      </c>
      <c r="V40" t="s">
        <v>1</v>
      </c>
      <c r="W40" t="s">
        <v>16</v>
      </c>
      <c r="X40" t="s">
        <v>3</v>
      </c>
      <c r="Y40" t="s">
        <v>4</v>
      </c>
      <c r="Z40" t="s">
        <v>5</v>
      </c>
      <c r="AA40" s="1">
        <v>1338.1</v>
      </c>
      <c r="AE40" t="s">
        <v>20</v>
      </c>
      <c r="AF40" t="s">
        <v>1</v>
      </c>
      <c r="AG40" t="s">
        <v>16</v>
      </c>
      <c r="AH40" t="s">
        <v>3</v>
      </c>
      <c r="AI40" t="s">
        <v>4</v>
      </c>
      <c r="AJ40" t="s">
        <v>5</v>
      </c>
      <c r="AK40" s="1">
        <v>1338.1</v>
      </c>
      <c r="AO40" t="s">
        <v>20</v>
      </c>
      <c r="AP40" t="s">
        <v>1</v>
      </c>
      <c r="AQ40" t="s">
        <v>16</v>
      </c>
      <c r="AR40" t="s">
        <v>3</v>
      </c>
      <c r="AS40" t="s">
        <v>4</v>
      </c>
      <c r="AT40" t="s">
        <v>5</v>
      </c>
      <c r="AU40" s="1">
        <v>1338.1</v>
      </c>
      <c r="AX40" t="s">
        <v>20</v>
      </c>
      <c r="AY40" t="s">
        <v>1</v>
      </c>
      <c r="AZ40" t="s">
        <v>16</v>
      </c>
      <c r="BA40" t="s">
        <v>3</v>
      </c>
      <c r="BB40" t="s">
        <v>4</v>
      </c>
      <c r="BC40" t="s">
        <v>5</v>
      </c>
      <c r="BD40" s="1">
        <v>1338.1</v>
      </c>
    </row>
    <row r="41" spans="1:56" x14ac:dyDescent="0.4">
      <c r="A41" t="s">
        <v>14</v>
      </c>
      <c r="B41" t="s">
        <v>1</v>
      </c>
      <c r="C41" t="s">
        <v>8</v>
      </c>
      <c r="D41" t="s">
        <v>3</v>
      </c>
      <c r="E41" t="s">
        <v>4</v>
      </c>
      <c r="F41" t="s">
        <v>5</v>
      </c>
      <c r="G41" s="1">
        <v>2700.5</v>
      </c>
      <c r="I41" s="1"/>
      <c r="J41" s="1"/>
      <c r="K41" t="s">
        <v>14</v>
      </c>
      <c r="L41" s="1" t="s">
        <v>1</v>
      </c>
      <c r="M41" t="s">
        <v>8</v>
      </c>
      <c r="N41" t="s">
        <v>3</v>
      </c>
      <c r="O41" t="s">
        <v>4</v>
      </c>
      <c r="P41" t="s">
        <v>5</v>
      </c>
      <c r="Q41" s="1">
        <v>1586.7</v>
      </c>
      <c r="U41" t="s">
        <v>14</v>
      </c>
      <c r="V41" t="s">
        <v>1</v>
      </c>
      <c r="W41" t="s">
        <v>8</v>
      </c>
      <c r="X41" t="s">
        <v>3</v>
      </c>
      <c r="Y41" t="s">
        <v>4</v>
      </c>
      <c r="Z41" t="s">
        <v>5</v>
      </c>
      <c r="AA41" s="1">
        <v>3086.7</v>
      </c>
      <c r="AE41" t="s">
        <v>14</v>
      </c>
      <c r="AF41" t="s">
        <v>1</v>
      </c>
      <c r="AG41" t="s">
        <v>8</v>
      </c>
      <c r="AH41" t="s">
        <v>3</v>
      </c>
      <c r="AI41" t="s">
        <v>4</v>
      </c>
      <c r="AJ41" t="s">
        <v>5</v>
      </c>
      <c r="AK41" s="1">
        <v>2060.6999999999998</v>
      </c>
      <c r="AO41" t="s">
        <v>14</v>
      </c>
      <c r="AP41" t="s">
        <v>1</v>
      </c>
      <c r="AQ41" t="s">
        <v>8</v>
      </c>
      <c r="AR41" t="s">
        <v>3</v>
      </c>
      <c r="AS41" t="s">
        <v>4</v>
      </c>
      <c r="AT41" t="s">
        <v>5</v>
      </c>
      <c r="AU41" s="1">
        <v>1634.1</v>
      </c>
      <c r="AX41" t="s">
        <v>14</v>
      </c>
      <c r="AY41" t="s">
        <v>1</v>
      </c>
      <c r="AZ41" t="s">
        <v>8</v>
      </c>
      <c r="BA41" t="s">
        <v>3</v>
      </c>
      <c r="BB41" t="s">
        <v>4</v>
      </c>
      <c r="BC41" t="s">
        <v>5</v>
      </c>
      <c r="BD41" s="1">
        <v>2700.5</v>
      </c>
    </row>
    <row r="42" spans="1:56" x14ac:dyDescent="0.4">
      <c r="A42" t="s">
        <v>14</v>
      </c>
      <c r="B42" t="s">
        <v>1</v>
      </c>
      <c r="C42" t="s">
        <v>15</v>
      </c>
      <c r="D42" t="s">
        <v>3</v>
      </c>
      <c r="E42" t="s">
        <v>4</v>
      </c>
      <c r="F42" t="s">
        <v>5</v>
      </c>
      <c r="G42" s="1">
        <v>2594.4</v>
      </c>
      <c r="I42" s="1"/>
      <c r="J42" s="1"/>
      <c r="K42" t="s">
        <v>14</v>
      </c>
      <c r="L42" s="1" t="s">
        <v>1</v>
      </c>
      <c r="M42" t="s">
        <v>15</v>
      </c>
      <c r="N42" t="s">
        <v>3</v>
      </c>
      <c r="O42" t="s">
        <v>4</v>
      </c>
      <c r="P42" t="s">
        <v>5</v>
      </c>
      <c r="Q42" s="1">
        <v>2594.4</v>
      </c>
      <c r="U42" t="s">
        <v>14</v>
      </c>
      <c r="V42" t="s">
        <v>1</v>
      </c>
      <c r="W42" t="s">
        <v>15</v>
      </c>
      <c r="X42" t="s">
        <v>3</v>
      </c>
      <c r="Y42" t="s">
        <v>4</v>
      </c>
      <c r="Z42" t="s">
        <v>5</v>
      </c>
      <c r="AA42" s="1">
        <v>2594.4</v>
      </c>
      <c r="AE42" t="s">
        <v>14</v>
      </c>
      <c r="AF42" t="s">
        <v>1</v>
      </c>
      <c r="AG42" t="s">
        <v>9</v>
      </c>
      <c r="AH42" t="s">
        <v>3</v>
      </c>
      <c r="AI42" t="s">
        <v>4</v>
      </c>
      <c r="AJ42" t="s">
        <v>5</v>
      </c>
      <c r="AK42" s="1">
        <v>2120.4</v>
      </c>
      <c r="AO42" t="s">
        <v>14</v>
      </c>
      <c r="AP42" t="s">
        <v>1</v>
      </c>
      <c r="AQ42" t="s">
        <v>9</v>
      </c>
      <c r="AR42" t="s">
        <v>3</v>
      </c>
      <c r="AS42" t="s">
        <v>4</v>
      </c>
      <c r="AT42" t="s">
        <v>5</v>
      </c>
      <c r="AU42" s="1">
        <v>4100</v>
      </c>
      <c r="AX42" t="s">
        <v>14</v>
      </c>
      <c r="AY42" t="s">
        <v>1</v>
      </c>
      <c r="AZ42" t="s">
        <v>15</v>
      </c>
      <c r="BA42" t="s">
        <v>3</v>
      </c>
      <c r="BB42" t="s">
        <v>4</v>
      </c>
      <c r="BC42" t="s">
        <v>5</v>
      </c>
      <c r="BD42" s="1">
        <v>2594.4</v>
      </c>
    </row>
    <row r="43" spans="1:56" x14ac:dyDescent="0.4">
      <c r="A43" t="s">
        <v>14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s="1">
        <v>533.6</v>
      </c>
      <c r="K43" t="s">
        <v>14</v>
      </c>
      <c r="L43" t="s">
        <v>1</v>
      </c>
      <c r="M43" t="s">
        <v>6</v>
      </c>
      <c r="N43" t="s">
        <v>3</v>
      </c>
      <c r="O43" t="s">
        <v>4</v>
      </c>
      <c r="P43" t="s">
        <v>5</v>
      </c>
      <c r="Q43" s="1">
        <v>1647.4</v>
      </c>
      <c r="U43" t="s">
        <v>14</v>
      </c>
      <c r="V43" t="s">
        <v>1</v>
      </c>
      <c r="W43" t="s">
        <v>2</v>
      </c>
      <c r="X43" t="s">
        <v>3</v>
      </c>
      <c r="Y43" t="s">
        <v>4</v>
      </c>
      <c r="Z43" t="s">
        <v>5</v>
      </c>
      <c r="AA43" s="1">
        <v>147.4</v>
      </c>
      <c r="AE43" t="s">
        <v>14</v>
      </c>
      <c r="AF43" t="s">
        <v>1</v>
      </c>
      <c r="AG43" t="s">
        <v>6</v>
      </c>
      <c r="AH43" t="s">
        <v>3</v>
      </c>
      <c r="AI43" t="s">
        <v>4</v>
      </c>
      <c r="AJ43" t="s">
        <v>5</v>
      </c>
      <c r="AK43" s="1">
        <v>1647.4</v>
      </c>
      <c r="AO43" t="s">
        <v>14</v>
      </c>
      <c r="AP43" t="s">
        <v>1</v>
      </c>
      <c r="AQ43" t="s">
        <v>6</v>
      </c>
      <c r="AR43" t="s">
        <v>3</v>
      </c>
      <c r="AS43" t="s">
        <v>4</v>
      </c>
      <c r="AT43" t="s">
        <v>5</v>
      </c>
      <c r="AU43" s="1">
        <v>94.4</v>
      </c>
      <c r="AX43" t="s">
        <v>14</v>
      </c>
      <c r="AY43" t="s">
        <v>1</v>
      </c>
      <c r="AZ43" t="s">
        <v>2</v>
      </c>
      <c r="BA43" t="s">
        <v>3</v>
      </c>
      <c r="BB43" t="s">
        <v>4</v>
      </c>
      <c r="BC43" t="s">
        <v>5</v>
      </c>
      <c r="BD43" s="1">
        <v>533.6</v>
      </c>
    </row>
    <row r="45" spans="1:56" x14ac:dyDescent="0.4">
      <c r="K45" t="s">
        <v>0</v>
      </c>
      <c r="L45" s="1">
        <f>SUMIF(K$3:K$22,K45,Q$3:Q$22)</f>
        <v>651.90000000000009</v>
      </c>
      <c r="M45" s="1">
        <f>SUMIF(K$25:K$44,K45,Q$25:Q$44)</f>
        <v>651.9</v>
      </c>
      <c r="Q45" s="1">
        <f>ABS(L45-M45)</f>
        <v>1.1368683772161603E-13</v>
      </c>
      <c r="U45" t="s">
        <v>0</v>
      </c>
      <c r="V45" s="1">
        <f>SUMIF(U$3:U$22,U45,AA$3:AA$22)</f>
        <v>651.9</v>
      </c>
      <c r="W45" s="1">
        <f>SUMIF(U$25:U$44,U45,AA$25:AA$44)</f>
        <v>651.9</v>
      </c>
      <c r="AA45" s="1">
        <f>ABS(V45-W45)</f>
        <v>0</v>
      </c>
      <c r="AE45" t="s">
        <v>0</v>
      </c>
      <c r="AF45" s="1">
        <f>SUMIF(AE$3:AE$22,AE45,AK$3:AK$22)</f>
        <v>651.90000000000009</v>
      </c>
      <c r="AG45" s="1">
        <f>SUMIF(AE$25:AE$44,AE45,AK$25:AK$44)</f>
        <v>651.9</v>
      </c>
      <c r="AK45" s="1">
        <f>ABS(AF45-AG45)</f>
        <v>1.1368683772161603E-13</v>
      </c>
      <c r="AO45" t="s">
        <v>0</v>
      </c>
      <c r="AP45" s="1">
        <f>SUMIF(AO$3:AO$22,AO45,AU$3:AU$22)</f>
        <v>651.90000000000009</v>
      </c>
      <c r="AQ45" s="1">
        <f>SUMIF(AO$25:AO$44,AO45,AU$25:AU$44)</f>
        <v>651.9</v>
      </c>
      <c r="AU45" s="1">
        <f>ABS(AP45-AQ45)</f>
        <v>1.1368683772161603E-13</v>
      </c>
      <c r="AX45" t="s">
        <v>0</v>
      </c>
      <c r="AY45" s="1">
        <f>SUMIF(AX$3:AX$22,AX45,BD$3:BD$22)</f>
        <v>651.90000000000009</v>
      </c>
      <c r="AZ45" s="1">
        <f>SUMIF(AX$25:AX$44,AX45,BD$25:BD$44)</f>
        <v>651.9</v>
      </c>
      <c r="BD45" s="1">
        <f>ABS(AY45-AZ45)</f>
        <v>1.1368683772161603E-13</v>
      </c>
    </row>
    <row r="46" spans="1:56" x14ac:dyDescent="0.4">
      <c r="K46" t="s">
        <v>7</v>
      </c>
      <c r="L46" s="1">
        <f t="shared" ref="L46:L54" si="3">SUMIF(K$3:K$22,K46,Q$3:Q$22)</f>
        <v>1159.2</v>
      </c>
      <c r="M46" s="1">
        <f t="shared" ref="M46:M54" si="4">SUMIF(K$25:K$44,K46,Q$25:Q$44)</f>
        <v>1159.2</v>
      </c>
      <c r="Q46" s="1">
        <f t="shared" ref="Q46:Q61" si="5">ABS(L46-M46)</f>
        <v>0</v>
      </c>
      <c r="U46" t="s">
        <v>7</v>
      </c>
      <c r="V46" s="1">
        <f t="shared" ref="V46:V54" si="6">SUMIF(U$3:U$22,U46,AA$3:AA$22)</f>
        <v>1159.2</v>
      </c>
      <c r="W46" s="1">
        <f t="shared" ref="W46:W54" si="7">SUMIF(U$25:U$44,U46,AA$25:AA$44)</f>
        <v>1159.2</v>
      </c>
      <c r="AA46" s="1">
        <f t="shared" ref="AA46:AA61" si="8">ABS(V46-W46)</f>
        <v>0</v>
      </c>
      <c r="AE46" t="s">
        <v>7</v>
      </c>
      <c r="AF46" s="1">
        <f t="shared" ref="AF46:AF54" si="9">SUMIF(AE$3:AE$22,AE46,AK$3:AK$22)</f>
        <v>1159.2</v>
      </c>
      <c r="AG46" s="1">
        <f t="shared" ref="AG46:AG54" si="10">SUMIF(AE$25:AE$44,AE46,AK$25:AK$44)</f>
        <v>1159.2</v>
      </c>
      <c r="AK46" s="1">
        <f t="shared" ref="AK46:AK61" si="11">ABS(AF46-AG46)</f>
        <v>0</v>
      </c>
      <c r="AO46" t="s">
        <v>7</v>
      </c>
      <c r="AP46" s="1">
        <f t="shared" ref="AP46:AP54" si="12">SUMIF(AO$3:AO$22,AO46,AU$3:AU$22)</f>
        <v>1159.2</v>
      </c>
      <c r="AQ46" s="1">
        <f t="shared" ref="AQ46:AQ54" si="13">SUMIF(AO$25:AO$44,AO46,AU$25:AU$44)</f>
        <v>1159.2</v>
      </c>
      <c r="AU46" s="1">
        <f t="shared" ref="AU46:AU61" si="14">ABS(AP46-AQ46)</f>
        <v>0</v>
      </c>
      <c r="AX46" t="s">
        <v>7</v>
      </c>
      <c r="AY46" s="1">
        <f t="shared" ref="AY46:AY54" si="15">SUMIF(AX$3:AX$22,AX46,BD$3:BD$22)</f>
        <v>1159.2</v>
      </c>
      <c r="AZ46" s="1">
        <f t="shared" ref="AZ46:AZ54" si="16">SUMIF(AX$25:AX$44,AX46,BD$25:BD$44)</f>
        <v>1159.1999999999998</v>
      </c>
      <c r="BD46" s="1">
        <f t="shared" ref="BD46:BD61" si="17">ABS(AY46-AZ46)</f>
        <v>2.2737367544323206E-13</v>
      </c>
    </row>
    <row r="47" spans="1:56" x14ac:dyDescent="0.4">
      <c r="K47" t="s">
        <v>10</v>
      </c>
      <c r="L47" s="1">
        <f t="shared" si="3"/>
        <v>3327</v>
      </c>
      <c r="M47" s="1">
        <f t="shared" si="4"/>
        <v>3327</v>
      </c>
      <c r="Q47" s="1">
        <f t="shared" si="5"/>
        <v>0</v>
      </c>
      <c r="U47" t="s">
        <v>10</v>
      </c>
      <c r="V47" s="1">
        <f t="shared" si="6"/>
        <v>3327</v>
      </c>
      <c r="W47" s="1">
        <f t="shared" si="7"/>
        <v>3327</v>
      </c>
      <c r="AA47" s="1">
        <f t="shared" si="8"/>
        <v>0</v>
      </c>
      <c r="AE47" t="s">
        <v>10</v>
      </c>
      <c r="AF47" s="1">
        <f t="shared" si="9"/>
        <v>3327</v>
      </c>
      <c r="AG47" s="1">
        <f t="shared" si="10"/>
        <v>3327</v>
      </c>
      <c r="AK47" s="1">
        <f t="shared" si="11"/>
        <v>0</v>
      </c>
      <c r="AO47" t="s">
        <v>10</v>
      </c>
      <c r="AP47" s="1">
        <f t="shared" si="12"/>
        <v>3327</v>
      </c>
      <c r="AQ47" s="1">
        <f t="shared" si="13"/>
        <v>3327</v>
      </c>
      <c r="AU47" s="1">
        <f t="shared" si="14"/>
        <v>0</v>
      </c>
      <c r="AX47" t="s">
        <v>10</v>
      </c>
      <c r="AY47" s="1">
        <f t="shared" si="15"/>
        <v>3327</v>
      </c>
      <c r="AZ47" s="1">
        <f t="shared" si="16"/>
        <v>3327</v>
      </c>
      <c r="BD47" s="1">
        <f t="shared" si="17"/>
        <v>0</v>
      </c>
    </row>
    <row r="48" spans="1:56" x14ac:dyDescent="0.4">
      <c r="A48" t="s">
        <v>92</v>
      </c>
      <c r="B48">
        <f>COUNTA(_xlfn.ANCHORARRAY(A49)) - 1</f>
        <v>23</v>
      </c>
      <c r="K48" t="s">
        <v>11</v>
      </c>
      <c r="L48" s="1">
        <f t="shared" si="3"/>
        <v>1354</v>
      </c>
      <c r="M48" s="1">
        <f t="shared" si="4"/>
        <v>1354</v>
      </c>
      <c r="Q48" s="1">
        <f t="shared" si="5"/>
        <v>0</v>
      </c>
      <c r="U48" t="s">
        <v>11</v>
      </c>
      <c r="V48" s="1">
        <f t="shared" si="6"/>
        <v>1354</v>
      </c>
      <c r="W48" s="1">
        <f t="shared" si="7"/>
        <v>1354</v>
      </c>
      <c r="AA48" s="1">
        <f t="shared" si="8"/>
        <v>0</v>
      </c>
      <c r="AE48" t="s">
        <v>11</v>
      </c>
      <c r="AF48" s="1">
        <f t="shared" si="9"/>
        <v>1354</v>
      </c>
      <c r="AG48" s="1">
        <f t="shared" si="10"/>
        <v>1354</v>
      </c>
      <c r="AK48" s="1">
        <f t="shared" si="11"/>
        <v>0</v>
      </c>
      <c r="AO48" t="s">
        <v>11</v>
      </c>
      <c r="AP48" s="1">
        <f t="shared" si="12"/>
        <v>1354</v>
      </c>
      <c r="AQ48" s="1">
        <f t="shared" si="13"/>
        <v>1354</v>
      </c>
      <c r="AU48" s="1">
        <f t="shared" si="14"/>
        <v>0</v>
      </c>
      <c r="AX48" t="s">
        <v>11</v>
      </c>
      <c r="AY48" s="1">
        <f t="shared" si="15"/>
        <v>1354</v>
      </c>
      <c r="AZ48" s="1">
        <f t="shared" si="16"/>
        <v>1354</v>
      </c>
      <c r="BD48" s="1">
        <f t="shared" si="17"/>
        <v>0</v>
      </c>
    </row>
    <row r="49" spans="1:56" x14ac:dyDescent="0.4">
      <c r="A49" cm="1">
        <f t="array" ref="A49:A72">_xlfn._xlws.SORT(_xlfn.UNIQUE(_xlfn.TOCOL(H5:I21)),,-1)</f>
        <v>150</v>
      </c>
      <c r="B49" cm="1">
        <f t="array" aca="1" ref="B49:B71" ca="1">OFFSET(_xlfn.ANCHORARRAY(A49),1,,COUNTA(_xlfn.ANCHORARRAY(A49))-1)</f>
        <v>149</v>
      </c>
      <c r="K49" t="s">
        <v>12</v>
      </c>
      <c r="L49" s="1">
        <f t="shared" si="3"/>
        <v>1346</v>
      </c>
      <c r="M49" s="1">
        <f t="shared" si="4"/>
        <v>1346</v>
      </c>
      <c r="Q49" s="1">
        <f t="shared" si="5"/>
        <v>0</v>
      </c>
      <c r="U49" t="s">
        <v>12</v>
      </c>
      <c r="V49" s="1">
        <f t="shared" si="6"/>
        <v>1346</v>
      </c>
      <c r="W49" s="1">
        <f t="shared" si="7"/>
        <v>1346</v>
      </c>
      <c r="AA49" s="1">
        <f t="shared" si="8"/>
        <v>0</v>
      </c>
      <c r="AE49" t="s">
        <v>12</v>
      </c>
      <c r="AF49" s="1">
        <f t="shared" si="9"/>
        <v>1346</v>
      </c>
      <c r="AG49" s="1">
        <f t="shared" si="10"/>
        <v>1346</v>
      </c>
      <c r="AK49" s="1">
        <f t="shared" si="11"/>
        <v>0</v>
      </c>
      <c r="AO49" t="s">
        <v>12</v>
      </c>
      <c r="AP49" s="1">
        <f t="shared" si="12"/>
        <v>1346</v>
      </c>
      <c r="AQ49" s="1">
        <f t="shared" si="13"/>
        <v>1346</v>
      </c>
      <c r="AU49" s="1">
        <f t="shared" si="14"/>
        <v>0</v>
      </c>
      <c r="AX49" t="s">
        <v>12</v>
      </c>
      <c r="AY49" s="1">
        <f t="shared" si="15"/>
        <v>1346</v>
      </c>
      <c r="AZ49" s="1">
        <f t="shared" si="16"/>
        <v>1346</v>
      </c>
      <c r="BD49" s="1">
        <f t="shared" si="17"/>
        <v>0</v>
      </c>
    </row>
    <row r="50" spans="1:56" x14ac:dyDescent="0.4">
      <c r="A50">
        <v>149</v>
      </c>
      <c r="B50">
        <f ca="1"/>
        <v>137</v>
      </c>
      <c r="K50" t="s">
        <v>13</v>
      </c>
      <c r="L50" s="1">
        <f t="shared" si="3"/>
        <v>928</v>
      </c>
      <c r="M50" s="1">
        <f t="shared" si="4"/>
        <v>928</v>
      </c>
      <c r="Q50" s="1">
        <f t="shared" si="5"/>
        <v>0</v>
      </c>
      <c r="U50" t="s">
        <v>13</v>
      </c>
      <c r="V50" s="1">
        <f t="shared" si="6"/>
        <v>928</v>
      </c>
      <c r="W50" s="1">
        <f t="shared" si="7"/>
        <v>928</v>
      </c>
      <c r="AA50" s="1">
        <f t="shared" si="8"/>
        <v>0</v>
      </c>
      <c r="AE50" t="s">
        <v>13</v>
      </c>
      <c r="AF50" s="1">
        <f t="shared" si="9"/>
        <v>928</v>
      </c>
      <c r="AG50" s="1">
        <f t="shared" si="10"/>
        <v>928</v>
      </c>
      <c r="AK50" s="1">
        <f t="shared" si="11"/>
        <v>0</v>
      </c>
      <c r="AO50" t="s">
        <v>13</v>
      </c>
      <c r="AP50" s="1">
        <f t="shared" si="12"/>
        <v>928</v>
      </c>
      <c r="AQ50" s="1">
        <f t="shared" si="13"/>
        <v>928</v>
      </c>
      <c r="AU50" s="1">
        <f t="shared" si="14"/>
        <v>0</v>
      </c>
      <c r="AX50" t="s">
        <v>13</v>
      </c>
      <c r="AY50" s="1">
        <f t="shared" si="15"/>
        <v>928</v>
      </c>
      <c r="AZ50" s="1">
        <f t="shared" si="16"/>
        <v>928</v>
      </c>
      <c r="BD50" s="1">
        <f t="shared" si="17"/>
        <v>0</v>
      </c>
    </row>
    <row r="51" spans="1:56" x14ac:dyDescent="0.4">
      <c r="A51">
        <v>137</v>
      </c>
      <c r="B51">
        <f ca="1"/>
        <v>135</v>
      </c>
      <c r="K51" t="s">
        <v>17</v>
      </c>
      <c r="L51" s="1">
        <f t="shared" si="3"/>
        <v>840</v>
      </c>
      <c r="M51" s="1">
        <f t="shared" si="4"/>
        <v>840</v>
      </c>
      <c r="Q51" s="1">
        <f t="shared" si="5"/>
        <v>0</v>
      </c>
      <c r="U51" t="s">
        <v>17</v>
      </c>
      <c r="V51" s="1">
        <f t="shared" si="6"/>
        <v>840</v>
      </c>
      <c r="W51" s="1">
        <f t="shared" si="7"/>
        <v>840</v>
      </c>
      <c r="AA51" s="1">
        <f t="shared" si="8"/>
        <v>0</v>
      </c>
      <c r="AE51" t="s">
        <v>17</v>
      </c>
      <c r="AF51" s="1">
        <f t="shared" si="9"/>
        <v>840</v>
      </c>
      <c r="AG51" s="1">
        <f t="shared" si="10"/>
        <v>840</v>
      </c>
      <c r="AK51" s="1">
        <f t="shared" si="11"/>
        <v>0</v>
      </c>
      <c r="AO51" t="s">
        <v>17</v>
      </c>
      <c r="AP51" s="1">
        <f t="shared" si="12"/>
        <v>840</v>
      </c>
      <c r="AQ51" s="1">
        <f t="shared" si="13"/>
        <v>840</v>
      </c>
      <c r="AU51" s="1">
        <f t="shared" si="14"/>
        <v>0</v>
      </c>
      <c r="AX51" t="s">
        <v>17</v>
      </c>
      <c r="AY51" s="1">
        <f t="shared" si="15"/>
        <v>840</v>
      </c>
      <c r="AZ51" s="1">
        <f t="shared" si="16"/>
        <v>840</v>
      </c>
      <c r="BD51" s="1">
        <f t="shared" si="17"/>
        <v>0</v>
      </c>
    </row>
    <row r="52" spans="1:56" x14ac:dyDescent="0.4">
      <c r="A52">
        <v>135</v>
      </c>
      <c r="B52">
        <f ca="1"/>
        <v>122</v>
      </c>
      <c r="K52" t="s">
        <v>18</v>
      </c>
      <c r="L52" s="1">
        <f t="shared" si="3"/>
        <v>12000</v>
      </c>
      <c r="M52" s="1">
        <f t="shared" si="4"/>
        <v>12000</v>
      </c>
      <c r="Q52" s="1">
        <f t="shared" si="5"/>
        <v>0</v>
      </c>
      <c r="U52" t="s">
        <v>18</v>
      </c>
      <c r="V52" s="1">
        <f t="shared" si="6"/>
        <v>12000</v>
      </c>
      <c r="W52" s="1">
        <f t="shared" si="7"/>
        <v>12000</v>
      </c>
      <c r="AA52" s="1">
        <f t="shared" si="8"/>
        <v>0</v>
      </c>
      <c r="AE52" t="s">
        <v>18</v>
      </c>
      <c r="AF52" s="1">
        <f t="shared" si="9"/>
        <v>12000</v>
      </c>
      <c r="AG52" s="1">
        <f t="shared" si="10"/>
        <v>12000</v>
      </c>
      <c r="AK52" s="1">
        <f t="shared" si="11"/>
        <v>0</v>
      </c>
      <c r="AO52" t="s">
        <v>18</v>
      </c>
      <c r="AP52" s="1">
        <f t="shared" si="12"/>
        <v>12000</v>
      </c>
      <c r="AQ52" s="1">
        <f t="shared" si="13"/>
        <v>12000</v>
      </c>
      <c r="AU52" s="1">
        <f t="shared" si="14"/>
        <v>0</v>
      </c>
      <c r="AX52" t="s">
        <v>18</v>
      </c>
      <c r="AY52" s="1">
        <f t="shared" si="15"/>
        <v>12000</v>
      </c>
      <c r="AZ52" s="1">
        <f t="shared" si="16"/>
        <v>12000</v>
      </c>
      <c r="BD52" s="1">
        <f t="shared" si="17"/>
        <v>0</v>
      </c>
    </row>
    <row r="53" spans="1:56" x14ac:dyDescent="0.4">
      <c r="A53">
        <v>122</v>
      </c>
      <c r="B53">
        <f ca="1"/>
        <v>111</v>
      </c>
      <c r="K53" t="s">
        <v>20</v>
      </c>
      <c r="L53" s="1">
        <f t="shared" si="3"/>
        <v>7452</v>
      </c>
      <c r="M53" s="1">
        <f t="shared" si="4"/>
        <v>7452</v>
      </c>
      <c r="Q53" s="1">
        <f t="shared" si="5"/>
        <v>0</v>
      </c>
      <c r="U53" t="s">
        <v>20</v>
      </c>
      <c r="V53" s="1">
        <f t="shared" si="6"/>
        <v>7452</v>
      </c>
      <c r="W53" s="1">
        <f t="shared" si="7"/>
        <v>7452</v>
      </c>
      <c r="AA53" s="1">
        <f t="shared" si="8"/>
        <v>0</v>
      </c>
      <c r="AE53" t="s">
        <v>20</v>
      </c>
      <c r="AF53" s="1">
        <f t="shared" si="9"/>
        <v>7452</v>
      </c>
      <c r="AG53" s="1">
        <f t="shared" si="10"/>
        <v>7452</v>
      </c>
      <c r="AK53" s="1">
        <f t="shared" si="11"/>
        <v>0</v>
      </c>
      <c r="AO53" t="s">
        <v>20</v>
      </c>
      <c r="AP53" s="1">
        <f t="shared" si="12"/>
        <v>7452</v>
      </c>
      <c r="AQ53" s="1">
        <f t="shared" si="13"/>
        <v>7452</v>
      </c>
      <c r="AU53" s="1">
        <f t="shared" si="14"/>
        <v>0</v>
      </c>
      <c r="AX53" t="s">
        <v>20</v>
      </c>
      <c r="AY53" s="1">
        <f t="shared" si="15"/>
        <v>7452</v>
      </c>
      <c r="AZ53" s="1">
        <f t="shared" si="16"/>
        <v>7452</v>
      </c>
      <c r="BD53" s="1">
        <f t="shared" si="17"/>
        <v>0</v>
      </c>
    </row>
    <row r="54" spans="1:56" x14ac:dyDescent="0.4">
      <c r="A54">
        <v>111</v>
      </c>
      <c r="B54">
        <f ca="1"/>
        <v>110</v>
      </c>
      <c r="K54" t="s">
        <v>14</v>
      </c>
      <c r="L54" s="1">
        <f t="shared" si="3"/>
        <v>5828.5</v>
      </c>
      <c r="M54" s="1">
        <f t="shared" si="4"/>
        <v>5828.5</v>
      </c>
      <c r="Q54" s="1">
        <f t="shared" si="5"/>
        <v>0</v>
      </c>
      <c r="U54" t="s">
        <v>14</v>
      </c>
      <c r="V54" s="1">
        <f t="shared" si="6"/>
        <v>5828.5</v>
      </c>
      <c r="W54" s="1">
        <f t="shared" si="7"/>
        <v>5828.5</v>
      </c>
      <c r="AA54" s="1">
        <f t="shared" si="8"/>
        <v>0</v>
      </c>
      <c r="AE54" t="s">
        <v>14</v>
      </c>
      <c r="AF54" s="1">
        <f t="shared" si="9"/>
        <v>5828.5</v>
      </c>
      <c r="AG54" s="1">
        <f t="shared" si="10"/>
        <v>5828.5</v>
      </c>
      <c r="AK54" s="1">
        <f t="shared" si="11"/>
        <v>0</v>
      </c>
      <c r="AO54" t="s">
        <v>14</v>
      </c>
      <c r="AP54" s="1">
        <f t="shared" si="12"/>
        <v>5828.5</v>
      </c>
      <c r="AQ54" s="1">
        <f t="shared" si="13"/>
        <v>5828.5</v>
      </c>
      <c r="AU54" s="1">
        <f t="shared" si="14"/>
        <v>0</v>
      </c>
      <c r="AX54" t="s">
        <v>14</v>
      </c>
      <c r="AY54" s="1">
        <f t="shared" si="15"/>
        <v>5828.5</v>
      </c>
      <c r="AZ54" s="1">
        <f t="shared" si="16"/>
        <v>5828.5</v>
      </c>
      <c r="BD54" s="1">
        <f t="shared" si="17"/>
        <v>0</v>
      </c>
    </row>
    <row r="55" spans="1:56" x14ac:dyDescent="0.4">
      <c r="A55">
        <v>110</v>
      </c>
      <c r="B55">
        <f ca="1"/>
        <v>105</v>
      </c>
      <c r="K55" t="s">
        <v>8</v>
      </c>
      <c r="L55" s="1">
        <f>SUMIF(M$3:M$22,K55,Q$3:Q$22)</f>
        <v>6112.7999999999993</v>
      </c>
      <c r="M55" s="1">
        <f>SUMIF(M$25:M$44,K55,Q$25:Q$44)</f>
        <v>6112.8</v>
      </c>
      <c r="Q55" s="1">
        <f t="shared" si="5"/>
        <v>9.0949470177292824E-13</v>
      </c>
      <c r="U55" t="s">
        <v>8</v>
      </c>
      <c r="V55" s="1">
        <f>SUMIF(W$3:W$22,U55,AA$3:AA$22)</f>
        <v>6112.7999999999993</v>
      </c>
      <c r="W55" s="1">
        <f>SUMIF(W$25:W$44,U55,AA$25:AA$44)</f>
        <v>6112.8</v>
      </c>
      <c r="AA55" s="1">
        <f t="shared" si="8"/>
        <v>9.0949470177292824E-13</v>
      </c>
      <c r="AE55" t="s">
        <v>8</v>
      </c>
      <c r="AF55" s="1">
        <f>SUMIF(AG$3:AG$22,AE55,AK$3:AK$22)</f>
        <v>6112.7999999999993</v>
      </c>
      <c r="AG55" s="1">
        <f>SUMIF(AG$25:AG$44,AE55,AK$25:AK$44)</f>
        <v>6112.8</v>
      </c>
      <c r="AK55" s="1">
        <f t="shared" si="11"/>
        <v>9.0949470177292824E-13</v>
      </c>
      <c r="AO55" t="s">
        <v>8</v>
      </c>
      <c r="AP55" s="1">
        <f>SUMIF(AQ$3:AQ$22,AO55,AU$3:AU$22)</f>
        <v>6112.7999999999993</v>
      </c>
      <c r="AQ55" s="1">
        <f>SUMIF(AQ$25:AQ$44,AO55,AU$25:AU$44)</f>
        <v>6112.7999999999993</v>
      </c>
      <c r="AU55" s="1">
        <f t="shared" si="14"/>
        <v>0</v>
      </c>
      <c r="AX55" t="s">
        <v>8</v>
      </c>
      <c r="AY55" s="1">
        <f>SUMIF(AZ$3:AZ$22,AX55,BD$3:BD$22)</f>
        <v>6112.7999999999993</v>
      </c>
      <c r="AZ55" s="1">
        <f>SUMIF(AZ$25:AZ$44,AX55,BD$25:BD$44)</f>
        <v>6112.8</v>
      </c>
      <c r="BD55" s="1">
        <f t="shared" si="17"/>
        <v>9.0949470177292824E-13</v>
      </c>
    </row>
    <row r="56" spans="1:56" x14ac:dyDescent="0.4">
      <c r="A56">
        <v>105</v>
      </c>
      <c r="B56">
        <f ca="1"/>
        <v>100</v>
      </c>
      <c r="K56" t="s">
        <v>15</v>
      </c>
      <c r="L56" s="1">
        <f t="shared" ref="L56:L61" si="18">SUMIF(M$3:M$22,K56,Q$3:Q$22)</f>
        <v>2594.4</v>
      </c>
      <c r="M56" s="1">
        <f t="shared" ref="M56:M61" si="19">SUMIF(M$25:M$44,K56,Q$25:Q$44)</f>
        <v>2594.4</v>
      </c>
      <c r="Q56" s="1">
        <f t="shared" si="5"/>
        <v>0</v>
      </c>
      <c r="U56" t="s">
        <v>15</v>
      </c>
      <c r="V56" s="1">
        <f t="shared" ref="V56:V61" si="20">SUMIF(W$3:W$22,U56,AA$3:AA$22)</f>
        <v>2594.4</v>
      </c>
      <c r="W56" s="1">
        <f t="shared" ref="W56:W61" si="21">SUMIF(W$25:W$44,U56,AA$25:AA$44)</f>
        <v>2594.4</v>
      </c>
      <c r="AA56" s="1">
        <f t="shared" si="8"/>
        <v>0</v>
      </c>
      <c r="AE56" t="s">
        <v>15</v>
      </c>
      <c r="AF56" s="1">
        <f t="shared" ref="AF56:AF61" si="22">SUMIF(AG$3:AG$22,AE56,AK$3:AK$22)</f>
        <v>2594.4</v>
      </c>
      <c r="AG56" s="1">
        <f t="shared" ref="AG56:AG61" si="23">SUMIF(AG$25:AG$44,AE56,AK$25:AK$44)</f>
        <v>2594.4</v>
      </c>
      <c r="AK56" s="1">
        <f t="shared" si="11"/>
        <v>0</v>
      </c>
      <c r="AO56" t="s">
        <v>15</v>
      </c>
      <c r="AP56" s="1">
        <f t="shared" ref="AP56:AP61" si="24">SUMIF(AQ$3:AQ$22,AO56,AU$3:AU$22)</f>
        <v>2594.4</v>
      </c>
      <c r="AQ56" s="1">
        <f t="shared" ref="AQ56:AQ61" si="25">SUMIF(AQ$25:AQ$44,AO56,AU$25:AU$44)</f>
        <v>2594.4</v>
      </c>
      <c r="AU56" s="1">
        <f t="shared" si="14"/>
        <v>0</v>
      </c>
      <c r="AX56" t="s">
        <v>15</v>
      </c>
      <c r="AY56" s="1">
        <f t="shared" ref="AY56:AY61" si="26">SUMIF(AZ$3:AZ$22,AX56,BD$3:BD$22)</f>
        <v>2594.4</v>
      </c>
      <c r="AZ56" s="1">
        <f t="shared" ref="AZ56:AZ61" si="27">SUMIF(AZ$25:AZ$44,AX56,BD$25:BD$44)</f>
        <v>2594.4</v>
      </c>
      <c r="BD56" s="1">
        <f t="shared" si="17"/>
        <v>0</v>
      </c>
    </row>
    <row r="57" spans="1:56" x14ac:dyDescent="0.4">
      <c r="A57">
        <v>100</v>
      </c>
      <c r="B57">
        <f ca="1"/>
        <v>95</v>
      </c>
      <c r="K57" t="s">
        <v>9</v>
      </c>
      <c r="L57" s="1">
        <f t="shared" si="18"/>
        <v>4100</v>
      </c>
      <c r="M57" s="1">
        <f t="shared" si="19"/>
        <v>4100</v>
      </c>
      <c r="Q57" s="1">
        <f t="shared" si="5"/>
        <v>0</v>
      </c>
      <c r="U57" t="s">
        <v>9</v>
      </c>
      <c r="V57" s="1">
        <f t="shared" si="20"/>
        <v>4100</v>
      </c>
      <c r="W57" s="1">
        <f t="shared" si="21"/>
        <v>4100</v>
      </c>
      <c r="AA57" s="1">
        <f t="shared" si="8"/>
        <v>0</v>
      </c>
      <c r="AE57" t="s">
        <v>9</v>
      </c>
      <c r="AF57" s="1">
        <f t="shared" si="22"/>
        <v>4100</v>
      </c>
      <c r="AG57" s="1">
        <f t="shared" si="23"/>
        <v>4100</v>
      </c>
      <c r="AK57" s="1">
        <f t="shared" si="11"/>
        <v>0</v>
      </c>
      <c r="AO57" t="s">
        <v>9</v>
      </c>
      <c r="AP57" s="1">
        <f t="shared" si="24"/>
        <v>4100</v>
      </c>
      <c r="AQ57" s="1">
        <f t="shared" si="25"/>
        <v>4100</v>
      </c>
      <c r="AU57" s="1">
        <f t="shared" si="14"/>
        <v>0</v>
      </c>
      <c r="AX57" t="s">
        <v>9</v>
      </c>
      <c r="AY57" s="1">
        <f t="shared" si="26"/>
        <v>4100</v>
      </c>
      <c r="AZ57" s="1">
        <f t="shared" si="27"/>
        <v>4100</v>
      </c>
      <c r="BD57" s="1">
        <f t="shared" si="17"/>
        <v>0</v>
      </c>
    </row>
    <row r="58" spans="1:56" x14ac:dyDescent="0.4">
      <c r="A58">
        <v>95</v>
      </c>
      <c r="B58">
        <f ca="1"/>
        <v>86</v>
      </c>
      <c r="K58" t="s">
        <v>2</v>
      </c>
      <c r="L58" s="1">
        <f t="shared" si="18"/>
        <v>864.8</v>
      </c>
      <c r="M58" s="1">
        <f t="shared" si="19"/>
        <v>864.8</v>
      </c>
      <c r="Q58" s="1">
        <f t="shared" si="5"/>
        <v>0</v>
      </c>
      <c r="U58" t="s">
        <v>2</v>
      </c>
      <c r="V58" s="1">
        <f t="shared" si="20"/>
        <v>864.8</v>
      </c>
      <c r="W58" s="1">
        <f t="shared" si="21"/>
        <v>864.8</v>
      </c>
      <c r="AA58" s="1">
        <f t="shared" si="8"/>
        <v>0</v>
      </c>
      <c r="AE58" t="s">
        <v>2</v>
      </c>
      <c r="AF58" s="1">
        <f t="shared" si="22"/>
        <v>864.8</v>
      </c>
      <c r="AG58" s="1">
        <f t="shared" si="23"/>
        <v>864.8</v>
      </c>
      <c r="AK58" s="1">
        <f t="shared" si="11"/>
        <v>0</v>
      </c>
      <c r="AO58" t="s">
        <v>2</v>
      </c>
      <c r="AP58" s="1">
        <f t="shared" si="24"/>
        <v>864.8</v>
      </c>
      <c r="AQ58" s="1">
        <f t="shared" si="25"/>
        <v>864.8</v>
      </c>
      <c r="AU58" s="1">
        <f t="shared" si="14"/>
        <v>0</v>
      </c>
      <c r="AX58" t="s">
        <v>2</v>
      </c>
      <c r="AY58" s="1">
        <f t="shared" si="26"/>
        <v>864.8</v>
      </c>
      <c r="AZ58" s="1">
        <f t="shared" si="27"/>
        <v>864.8</v>
      </c>
      <c r="BD58" s="1">
        <f t="shared" si="17"/>
        <v>0</v>
      </c>
    </row>
    <row r="59" spans="1:56" x14ac:dyDescent="0.4">
      <c r="A59">
        <v>86</v>
      </c>
      <c r="B59">
        <f ca="1"/>
        <v>80</v>
      </c>
      <c r="K59" t="s">
        <v>6</v>
      </c>
      <c r="L59" s="1">
        <f t="shared" si="18"/>
        <v>7002.5</v>
      </c>
      <c r="M59" s="1">
        <f t="shared" si="19"/>
        <v>7002.5</v>
      </c>
      <c r="Q59" s="1">
        <f t="shared" si="5"/>
        <v>0</v>
      </c>
      <c r="U59" t="s">
        <v>6</v>
      </c>
      <c r="V59" s="1">
        <f t="shared" si="20"/>
        <v>7002.5</v>
      </c>
      <c r="W59" s="1">
        <f t="shared" si="21"/>
        <v>7002.5</v>
      </c>
      <c r="AA59" s="1">
        <f t="shared" si="8"/>
        <v>0</v>
      </c>
      <c r="AE59" t="s">
        <v>6</v>
      </c>
      <c r="AF59" s="1">
        <f t="shared" si="22"/>
        <v>7002.5</v>
      </c>
      <c r="AG59" s="1">
        <f t="shared" si="23"/>
        <v>7002.5</v>
      </c>
      <c r="AK59" s="1">
        <f t="shared" si="11"/>
        <v>0</v>
      </c>
      <c r="AO59" t="s">
        <v>6</v>
      </c>
      <c r="AP59" s="1">
        <f t="shared" si="24"/>
        <v>7002.5</v>
      </c>
      <c r="AQ59" s="1">
        <f t="shared" si="25"/>
        <v>7002.5</v>
      </c>
      <c r="AU59" s="1">
        <f t="shared" si="14"/>
        <v>0</v>
      </c>
      <c r="AX59" t="s">
        <v>6</v>
      </c>
      <c r="AY59" s="1">
        <f t="shared" si="26"/>
        <v>7002.5</v>
      </c>
      <c r="AZ59" s="1">
        <f t="shared" si="27"/>
        <v>7002.5</v>
      </c>
      <c r="BD59" s="1">
        <f t="shared" si="17"/>
        <v>0</v>
      </c>
    </row>
    <row r="60" spans="1:56" x14ac:dyDescent="0.4">
      <c r="A60">
        <v>80</v>
      </c>
      <c r="B60">
        <f ca="1"/>
        <v>76</v>
      </c>
      <c r="K60" t="s">
        <v>19</v>
      </c>
      <c r="L60" s="1">
        <f t="shared" si="18"/>
        <v>12874</v>
      </c>
      <c r="M60" s="1">
        <f t="shared" si="19"/>
        <v>12874</v>
      </c>
      <c r="Q60" s="1">
        <f t="shared" si="5"/>
        <v>0</v>
      </c>
      <c r="U60" t="s">
        <v>19</v>
      </c>
      <c r="V60" s="1">
        <f t="shared" si="20"/>
        <v>12874</v>
      </c>
      <c r="W60" s="1">
        <f t="shared" si="21"/>
        <v>12874</v>
      </c>
      <c r="AA60" s="1">
        <f t="shared" si="8"/>
        <v>0</v>
      </c>
      <c r="AE60" t="s">
        <v>19</v>
      </c>
      <c r="AF60" s="1">
        <f t="shared" si="22"/>
        <v>12874</v>
      </c>
      <c r="AG60" s="1">
        <f t="shared" si="23"/>
        <v>12874</v>
      </c>
      <c r="AK60" s="1">
        <f t="shared" si="11"/>
        <v>0</v>
      </c>
      <c r="AO60" t="s">
        <v>19</v>
      </c>
      <c r="AP60" s="1">
        <f t="shared" si="24"/>
        <v>12874</v>
      </c>
      <c r="AQ60" s="1">
        <f t="shared" si="25"/>
        <v>12874</v>
      </c>
      <c r="AU60" s="1">
        <f t="shared" si="14"/>
        <v>0</v>
      </c>
      <c r="AX60" t="s">
        <v>19</v>
      </c>
      <c r="AY60" s="1">
        <f t="shared" si="26"/>
        <v>12874</v>
      </c>
      <c r="AZ60" s="1">
        <f t="shared" si="27"/>
        <v>12874</v>
      </c>
      <c r="BD60" s="1">
        <f t="shared" si="17"/>
        <v>0</v>
      </c>
    </row>
    <row r="61" spans="1:56" x14ac:dyDescent="0.4">
      <c r="A61">
        <v>76</v>
      </c>
      <c r="B61">
        <f ca="1"/>
        <v>75</v>
      </c>
      <c r="K61" t="s">
        <v>16</v>
      </c>
      <c r="L61" s="1">
        <f t="shared" si="18"/>
        <v>1338.1</v>
      </c>
      <c r="M61" s="1">
        <f t="shared" si="19"/>
        <v>1338.1</v>
      </c>
      <c r="Q61" s="1">
        <f t="shared" si="5"/>
        <v>0</v>
      </c>
      <c r="U61" t="s">
        <v>16</v>
      </c>
      <c r="V61" s="1">
        <f t="shared" si="20"/>
        <v>1338.1</v>
      </c>
      <c r="W61" s="1">
        <f t="shared" si="21"/>
        <v>1338.1</v>
      </c>
      <c r="AA61" s="1">
        <f t="shared" si="8"/>
        <v>0</v>
      </c>
      <c r="AE61" t="s">
        <v>16</v>
      </c>
      <c r="AF61" s="1">
        <f t="shared" si="22"/>
        <v>1338.1</v>
      </c>
      <c r="AG61" s="1">
        <f t="shared" si="23"/>
        <v>1338.1</v>
      </c>
      <c r="AK61" s="1">
        <f t="shared" si="11"/>
        <v>0</v>
      </c>
      <c r="AO61" t="s">
        <v>16</v>
      </c>
      <c r="AP61" s="1">
        <f t="shared" si="24"/>
        <v>1338.1</v>
      </c>
      <c r="AQ61" s="1">
        <f t="shared" si="25"/>
        <v>1338.1</v>
      </c>
      <c r="AU61" s="1">
        <f t="shared" si="14"/>
        <v>0</v>
      </c>
      <c r="AX61" t="s">
        <v>16</v>
      </c>
      <c r="AY61" s="1">
        <f t="shared" si="26"/>
        <v>1338.1</v>
      </c>
      <c r="AZ61" s="1">
        <f t="shared" si="27"/>
        <v>1338.1</v>
      </c>
      <c r="BD61" s="1">
        <f t="shared" si="17"/>
        <v>0</v>
      </c>
    </row>
    <row r="62" spans="1:56" x14ac:dyDescent="0.4">
      <c r="A62">
        <v>75</v>
      </c>
      <c r="B62">
        <f ca="1"/>
        <v>74</v>
      </c>
    </row>
    <row r="63" spans="1:56" x14ac:dyDescent="0.4">
      <c r="A63">
        <v>74</v>
      </c>
      <c r="B63">
        <f ca="1"/>
        <v>66</v>
      </c>
    </row>
    <row r="64" spans="1:56" x14ac:dyDescent="0.4">
      <c r="A64">
        <v>66</v>
      </c>
      <c r="B64">
        <f ca="1"/>
        <v>65</v>
      </c>
    </row>
    <row r="65" spans="1:2" x14ac:dyDescent="0.4">
      <c r="A65">
        <v>65</v>
      </c>
      <c r="B65">
        <f ca="1"/>
        <v>64</v>
      </c>
    </row>
    <row r="66" spans="1:2" x14ac:dyDescent="0.4">
      <c r="A66">
        <v>64</v>
      </c>
      <c r="B66">
        <f ca="1"/>
        <v>55</v>
      </c>
    </row>
    <row r="67" spans="1:2" x14ac:dyDescent="0.4">
      <c r="A67">
        <v>55</v>
      </c>
      <c r="B67">
        <f ca="1"/>
        <v>48</v>
      </c>
    </row>
    <row r="68" spans="1:2" x14ac:dyDescent="0.4">
      <c r="A68">
        <v>48</v>
      </c>
      <c r="B68">
        <f ca="1"/>
        <v>37</v>
      </c>
    </row>
    <row r="69" spans="1:2" x14ac:dyDescent="0.4">
      <c r="A69">
        <v>37</v>
      </c>
      <c r="B69">
        <f ca="1"/>
        <v>14</v>
      </c>
    </row>
    <row r="70" spans="1:2" x14ac:dyDescent="0.4">
      <c r="A70">
        <v>14</v>
      </c>
      <c r="B70">
        <f ca="1"/>
        <v>12</v>
      </c>
    </row>
    <row r="71" spans="1:2" x14ac:dyDescent="0.4">
      <c r="A71">
        <v>12</v>
      </c>
      <c r="B71">
        <f ca="1"/>
        <v>10</v>
      </c>
    </row>
    <row r="72" spans="1:2" x14ac:dyDescent="0.4">
      <c r="A72">
        <v>10</v>
      </c>
    </row>
  </sheetData>
  <conditionalFormatting sqref="BD45:BD61 AU45:AU61 AK45:AK61 AA45:AA61 Q45:Q61">
    <cfRule type="cellIs" dxfId="1" priority="1" operator="lessThanOrEqual">
      <formula>100000000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EF91-7074-4ADB-B73E-EB23F6A95110}">
  <dimension ref="A1:AN101"/>
  <sheetViews>
    <sheetView zoomScaleNormal="100" workbookViewId="0">
      <selection activeCell="AH27" sqref="AH27"/>
    </sheetView>
  </sheetViews>
  <sheetFormatPr defaultColWidth="12.9140625" defaultRowHeight="13.15" x14ac:dyDescent="0.4"/>
  <cols>
    <col min="1" max="1" width="14.25" style="2" customWidth="1"/>
    <col min="2" max="2" width="17.75" style="2" customWidth="1"/>
    <col min="3" max="3" width="16.83203125" style="2" customWidth="1"/>
    <col min="4" max="4" width="16.58203125" style="2" customWidth="1"/>
    <col min="5" max="5" width="13.08203125" style="2" customWidth="1"/>
    <col min="6" max="6" width="20.08203125" style="2" customWidth="1"/>
    <col min="7" max="7" width="12.9140625" style="2"/>
    <col min="8" max="8" width="14.25" style="2" customWidth="1"/>
    <col min="9" max="9" width="17.75" style="2" customWidth="1"/>
    <col min="10" max="10" width="16.83203125" style="2" customWidth="1"/>
    <col min="11" max="11" width="16.58203125" style="2" customWidth="1"/>
    <col min="12" max="12" width="14.6640625" style="2" customWidth="1"/>
    <col min="13" max="13" width="20.08203125" style="2" customWidth="1"/>
    <col min="14" max="14" width="12.9140625" style="2" customWidth="1"/>
    <col min="15" max="15" width="17.1640625" style="2" customWidth="1"/>
    <col min="16" max="16384" width="12.9140625" style="2"/>
  </cols>
  <sheetData>
    <row r="1" spans="1:16" ht="15.75" x14ac:dyDescent="0.5">
      <c r="A1" s="15" t="s">
        <v>31</v>
      </c>
      <c r="B1" s="15"/>
      <c r="C1" s="15"/>
      <c r="D1" s="15"/>
      <c r="E1" s="15"/>
      <c r="F1" s="15"/>
      <c r="H1" s="16" t="s">
        <v>32</v>
      </c>
      <c r="I1" s="16"/>
      <c r="J1" s="16"/>
      <c r="K1" s="16"/>
      <c r="L1" s="16"/>
      <c r="M1" s="16"/>
    </row>
    <row r="2" spans="1:16" ht="15.75" x14ac:dyDescent="0.5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O2" s="3" t="s">
        <v>39</v>
      </c>
      <c r="P2" s="4">
        <v>10</v>
      </c>
    </row>
    <row r="3" spans="1:16" x14ac:dyDescent="0.4">
      <c r="A3" s="5">
        <v>1</v>
      </c>
      <c r="B3" s="2" t="s">
        <v>40</v>
      </c>
      <c r="C3" s="6">
        <v>4</v>
      </c>
      <c r="D3" s="6">
        <v>112</v>
      </c>
      <c r="E3" s="6">
        <v>56.6</v>
      </c>
      <c r="F3" s="6">
        <f>IF(Table3[[#This Row],[Heat Cap]],ABS(Table3[[#This Row],[Target Temp]]-Table3[[#This Row],[Supply Temp]])*Table3[[#This Row],[Heat Cap]],0)</f>
        <v>6112.8</v>
      </c>
      <c r="H3" s="5">
        <v>1</v>
      </c>
      <c r="I3" s="2" t="s">
        <v>41</v>
      </c>
      <c r="J3" s="6">
        <v>137</v>
      </c>
      <c r="K3" s="6">
        <v>14</v>
      </c>
      <c r="L3" s="6">
        <v>5.3</v>
      </c>
      <c r="M3" s="6">
        <f>IF(Table4[[#This Row],[Heat Cap]],ABS(Table4[[#This Row],[Target Temp]]-Table4[[#This Row],[Supply Temp]])*Table4[[#This Row],[Heat Cap]],0)</f>
        <v>651.9</v>
      </c>
    </row>
    <row r="4" spans="1:16" x14ac:dyDescent="0.4">
      <c r="A4" s="5">
        <v>2</v>
      </c>
      <c r="B4" s="2" t="s">
        <v>42</v>
      </c>
      <c r="C4" s="6">
        <v>76</v>
      </c>
      <c r="D4" s="6">
        <v>100</v>
      </c>
      <c r="E4" s="6">
        <v>108.1</v>
      </c>
      <c r="F4" s="6">
        <f>IF(Table3[[#This Row],[Heat Cap]],ABS(Table3[[#This Row],[Target Temp]]-Table3[[#This Row],[Supply Temp]])*Table3[[#This Row],[Heat Cap]],0)</f>
        <v>2594.3999999999996</v>
      </c>
      <c r="H4" s="5">
        <v>2</v>
      </c>
      <c r="I4" s="2" t="s">
        <v>43</v>
      </c>
      <c r="J4" s="6">
        <v>135</v>
      </c>
      <c r="K4" s="6">
        <v>66</v>
      </c>
      <c r="L4" s="6">
        <v>16.8</v>
      </c>
      <c r="M4" s="6">
        <f>IF(Table4[[#This Row],[Heat Cap]],ABS(Table4[[#This Row],[Target Temp]]-Table4[[#This Row],[Supply Temp]])*Table4[[#This Row],[Heat Cap]],0)</f>
        <v>1159.2</v>
      </c>
      <c r="O4" s="2" t="s">
        <v>44</v>
      </c>
      <c r="P4" s="6">
        <f>INDEX($H$27:$H$46,MATCH(0,L27:L46,0))</f>
        <v>61</v>
      </c>
    </row>
    <row r="5" spans="1:16" x14ac:dyDescent="0.4">
      <c r="A5" s="5">
        <v>3</v>
      </c>
      <c r="B5" s="2" t="s">
        <v>45</v>
      </c>
      <c r="C5" s="6">
        <v>70</v>
      </c>
      <c r="D5" s="6">
        <v>90</v>
      </c>
      <c r="E5" s="6">
        <v>205</v>
      </c>
      <c r="F5" s="6">
        <f>IF(Table3[[#This Row],[Heat Cap]],ABS(Table3[[#This Row],[Target Temp]]-Table3[[#This Row],[Supply Temp]])*Table3[[#This Row],[Heat Cap]],0)</f>
        <v>4100</v>
      </c>
      <c r="H5" s="5">
        <v>3</v>
      </c>
      <c r="I5" s="2" t="s">
        <v>46</v>
      </c>
      <c r="J5" s="6">
        <v>111</v>
      </c>
      <c r="K5" s="6">
        <v>110</v>
      </c>
      <c r="L5" s="6">
        <v>3327</v>
      </c>
      <c r="M5" s="6">
        <f>IF(Table4[[#This Row],[Heat Cap]],ABS(Table4[[#This Row],[Target Temp]]-Table4[[#This Row],[Supply Temp]])*Table4[[#This Row],[Heat Cap]],0)</f>
        <v>3327</v>
      </c>
      <c r="O5" s="2" t="s">
        <v>47</v>
      </c>
      <c r="P5" s="6">
        <f>P4+P2/2</f>
        <v>66</v>
      </c>
    </row>
    <row r="6" spans="1:16" x14ac:dyDescent="0.4">
      <c r="A6" s="5">
        <v>4</v>
      </c>
      <c r="B6" s="2" t="s">
        <v>48</v>
      </c>
      <c r="C6" s="6">
        <v>38</v>
      </c>
      <c r="D6" s="6">
        <v>85</v>
      </c>
      <c r="E6" s="6">
        <v>18.399999999999999</v>
      </c>
      <c r="F6" s="6">
        <f>IF(Table3[[#This Row],[Heat Cap]],ABS(Table3[[#This Row],[Target Temp]]-Table3[[#This Row],[Supply Temp]])*Table3[[#This Row],[Heat Cap]],0)</f>
        <v>864.8</v>
      </c>
      <c r="H6" s="5">
        <v>4</v>
      </c>
      <c r="I6" s="2" t="s">
        <v>49</v>
      </c>
      <c r="J6" s="6">
        <v>105</v>
      </c>
      <c r="K6" s="6">
        <v>95</v>
      </c>
      <c r="L6" s="6">
        <v>135.4</v>
      </c>
      <c r="M6" s="6">
        <f>IF(Table4[[#This Row],[Heat Cap]],ABS(Table4[[#This Row],[Target Temp]]-Table4[[#This Row],[Supply Temp]])*Table4[[#This Row],[Heat Cap]],0)</f>
        <v>1354</v>
      </c>
      <c r="O6" s="2" t="s">
        <v>50</v>
      </c>
      <c r="P6" s="6">
        <f>P4-P2/2</f>
        <v>56</v>
      </c>
    </row>
    <row r="7" spans="1:16" x14ac:dyDescent="0.4">
      <c r="A7" s="5">
        <v>5</v>
      </c>
      <c r="B7" s="2" t="s">
        <v>51</v>
      </c>
      <c r="C7" s="6">
        <v>45</v>
      </c>
      <c r="D7" s="6">
        <v>70</v>
      </c>
      <c r="E7" s="6">
        <v>280.10000000000002</v>
      </c>
      <c r="F7" s="6">
        <f>IF(Table3[[#This Row],[Heat Cap]],ABS(Table3[[#This Row],[Target Temp]]-Table3[[#This Row],[Supply Temp]])*Table3[[#This Row],[Heat Cap]],0)</f>
        <v>7002.5000000000009</v>
      </c>
      <c r="H7" s="5">
        <v>5</v>
      </c>
      <c r="I7" s="2" t="s">
        <v>52</v>
      </c>
      <c r="J7" s="6">
        <v>76</v>
      </c>
      <c r="K7" s="6">
        <v>66</v>
      </c>
      <c r="L7" s="6">
        <v>134.6</v>
      </c>
      <c r="M7" s="6">
        <f>IF(Table4[[#This Row],[Heat Cap]],ABS(Table4[[#This Row],[Target Temp]]-Table4[[#This Row],[Supply Temp]])*Table4[[#This Row],[Heat Cap]],0)</f>
        <v>1346</v>
      </c>
      <c r="O7" s="2" t="s">
        <v>53</v>
      </c>
      <c r="P7" s="6">
        <f>L27</f>
        <v>5828.5</v>
      </c>
    </row>
    <row r="8" spans="1:16" x14ac:dyDescent="0.4">
      <c r="A8" s="5">
        <v>6</v>
      </c>
      <c r="B8" s="2" t="s">
        <v>54</v>
      </c>
      <c r="C8" s="6">
        <v>4</v>
      </c>
      <c r="D8" s="6">
        <v>45</v>
      </c>
      <c r="E8" s="6">
        <v>314</v>
      </c>
      <c r="F8" s="6">
        <f>IF(Table3[[#This Row],[Heat Cap]],ABS(Table3[[#This Row],[Target Temp]]-Table3[[#This Row],[Supply Temp]])*Table3[[#This Row],[Heat Cap]],0)</f>
        <v>12874</v>
      </c>
      <c r="H8" s="5">
        <v>6</v>
      </c>
      <c r="I8" s="2" t="s">
        <v>55</v>
      </c>
      <c r="J8" s="6">
        <v>75</v>
      </c>
      <c r="K8" s="6">
        <v>74</v>
      </c>
      <c r="L8" s="6">
        <v>928</v>
      </c>
      <c r="M8" s="6">
        <f>IF(Table4[[#This Row],[Heat Cap]],ABS(Table4[[#This Row],[Target Temp]]-Table4[[#This Row],[Supply Temp]])*Table4[[#This Row],[Heat Cap]],0)</f>
        <v>928</v>
      </c>
      <c r="O8" s="2" t="s">
        <v>56</v>
      </c>
      <c r="P8" s="6" cm="1">
        <f t="array" ref="P8">INDEX(L27:L46,COUNT(L27:L46))</f>
        <v>1338.0999999999976</v>
      </c>
    </row>
    <row r="9" spans="1:16" x14ac:dyDescent="0.4">
      <c r="A9" s="5">
        <v>7</v>
      </c>
      <c r="B9" s="2" t="s">
        <v>57</v>
      </c>
      <c r="C9" s="6"/>
      <c r="D9" s="6"/>
      <c r="E9" s="6"/>
      <c r="F9" s="6">
        <f>IF(Table3[[#This Row],[Heat Cap]],ABS(Table3[[#This Row],[Target Temp]]-Table3[[#This Row],[Supply Temp]])*Table3[[#This Row],[Heat Cap]],0)</f>
        <v>0</v>
      </c>
      <c r="H9" s="5">
        <v>7</v>
      </c>
      <c r="I9" s="2" t="s">
        <v>58</v>
      </c>
      <c r="J9" s="6">
        <v>66</v>
      </c>
      <c r="K9" s="6">
        <v>65</v>
      </c>
      <c r="L9" s="6">
        <v>840</v>
      </c>
      <c r="M9" s="6">
        <f>IF(Table4[[#This Row],[Heat Cap]],ABS(Table4[[#This Row],[Target Temp]]-Table4[[#This Row],[Supply Temp]])*Table4[[#This Row],[Heat Cap]],0)</f>
        <v>840</v>
      </c>
    </row>
    <row r="10" spans="1:16" x14ac:dyDescent="0.4">
      <c r="A10" s="5">
        <v>8</v>
      </c>
      <c r="B10" s="2" t="s">
        <v>59</v>
      </c>
      <c r="C10" s="6"/>
      <c r="D10" s="6"/>
      <c r="E10" s="6"/>
      <c r="F10" s="6">
        <f>IF(Table3[[#This Row],[Heat Cap]],ABS(Table3[[#This Row],[Target Temp]]-Table3[[#This Row],[Supply Temp]])*Table3[[#This Row],[Heat Cap]],0)</f>
        <v>0</v>
      </c>
      <c r="H10" s="5">
        <v>8</v>
      </c>
      <c r="I10" s="2" t="s">
        <v>60</v>
      </c>
      <c r="J10" s="6">
        <v>65</v>
      </c>
      <c r="K10" s="6">
        <v>64</v>
      </c>
      <c r="L10" s="6">
        <v>12000</v>
      </c>
      <c r="M10" s="6">
        <f>IF(Table4[[#This Row],[Heat Cap]],ABS(Table4[[#This Row],[Target Temp]]-Table4[[#This Row],[Supply Temp]])*Table4[[#This Row],[Heat Cap]],0)</f>
        <v>12000</v>
      </c>
    </row>
    <row r="11" spans="1:16" x14ac:dyDescent="0.4">
      <c r="A11" s="5">
        <v>9</v>
      </c>
      <c r="B11" s="2" t="s">
        <v>61</v>
      </c>
      <c r="C11" s="6"/>
      <c r="D11" s="6"/>
      <c r="E11" s="6"/>
      <c r="F11" s="6">
        <f>IF(Table3[[#This Row],[Heat Cap]],ABS(Table3[[#This Row],[Target Temp]]-Table3[[#This Row],[Supply Temp]])*Table3[[#This Row],[Heat Cap]],0)</f>
        <v>0</v>
      </c>
      <c r="H11" s="5">
        <v>9</v>
      </c>
      <c r="I11" s="2" t="s">
        <v>62</v>
      </c>
      <c r="J11" s="6">
        <v>37</v>
      </c>
      <c r="K11" s="6">
        <v>14</v>
      </c>
      <c r="L11" s="6">
        <v>324</v>
      </c>
      <c r="M11" s="6">
        <f>IF(Table4[[#This Row],[Heat Cap]],ABS(Table4[[#This Row],[Target Temp]]-Table4[[#This Row],[Supply Temp]])*Table4[[#This Row],[Heat Cap]],0)</f>
        <v>7452</v>
      </c>
    </row>
    <row r="12" spans="1:16" x14ac:dyDescent="0.4">
      <c r="A12" s="5">
        <v>10</v>
      </c>
      <c r="B12" s="2" t="s">
        <v>63</v>
      </c>
      <c r="C12" s="6"/>
      <c r="D12" s="6"/>
      <c r="E12" s="6"/>
      <c r="F12" s="6">
        <f>IF(Table3[[#This Row],[Heat Cap]],ABS(Table3[[#This Row],[Target Temp]]-Table3[[#This Row],[Supply Temp]])*Table3[[#This Row],[Heat Cap]],0)</f>
        <v>0</v>
      </c>
      <c r="H12" s="5">
        <v>10</v>
      </c>
      <c r="I12" s="2" t="s">
        <v>64</v>
      </c>
      <c r="J12" s="6"/>
      <c r="K12" s="6"/>
      <c r="L12" s="6"/>
      <c r="M12" s="6">
        <f>IF(Table4[[#This Row],[Heat Cap]],ABS(Table4[[#This Row],[Target Temp]]-Table4[[#This Row],[Supply Temp]])*Table4[[#This Row],[Heat Cap]],0)</f>
        <v>0</v>
      </c>
    </row>
    <row r="13" spans="1:16" x14ac:dyDescent="0.4">
      <c r="A13" s="5">
        <v>11</v>
      </c>
      <c r="B13" s="2" t="s">
        <v>65</v>
      </c>
      <c r="C13" s="6"/>
      <c r="D13" s="6"/>
      <c r="E13" s="6"/>
      <c r="F13" s="6">
        <f>IF(Table3[[#This Row],[Heat Cap]],ABS(Table3[[#This Row],[Target Temp]]-Table3[[#This Row],[Supply Temp]])*Table3[[#This Row],[Heat Cap]],0)</f>
        <v>0</v>
      </c>
      <c r="H13" s="5">
        <v>11</v>
      </c>
      <c r="I13" s="2" t="s">
        <v>66</v>
      </c>
      <c r="J13" s="6"/>
      <c r="K13" s="6"/>
      <c r="L13" s="6"/>
      <c r="M13" s="6">
        <f>IF(Table4[[#This Row],[Heat Cap]],ABS(Table4[[#This Row],[Target Temp]]-Table4[[#This Row],[Supply Temp]])*Table4[[#This Row],[Heat Cap]],0)</f>
        <v>0</v>
      </c>
    </row>
    <row r="14" spans="1:16" x14ac:dyDescent="0.4">
      <c r="A14" s="5">
        <v>12</v>
      </c>
      <c r="B14" s="2" t="s">
        <v>67</v>
      </c>
      <c r="C14" s="6"/>
      <c r="D14" s="6"/>
      <c r="E14" s="6"/>
      <c r="F14" s="6">
        <f>IF(Table3[[#This Row],[Heat Cap]],ABS(Table3[[#This Row],[Target Temp]]-Table3[[#This Row],[Supply Temp]])*Table3[[#This Row],[Heat Cap]],0)</f>
        <v>0</v>
      </c>
      <c r="H14" s="5">
        <v>12</v>
      </c>
      <c r="I14" s="2" t="s">
        <v>68</v>
      </c>
      <c r="J14" s="6"/>
      <c r="K14" s="6"/>
      <c r="L14" s="6"/>
      <c r="M14" s="6">
        <f>IF(Table4[[#This Row],[Heat Cap]],ABS(Table4[[#This Row],[Target Temp]]-Table4[[#This Row],[Supply Temp]])*Table4[[#This Row],[Heat Cap]],0)</f>
        <v>0</v>
      </c>
    </row>
    <row r="15" spans="1:16" x14ac:dyDescent="0.4">
      <c r="A15" s="5">
        <v>13</v>
      </c>
      <c r="B15" s="2" t="s">
        <v>69</v>
      </c>
      <c r="C15" s="6"/>
      <c r="D15" s="6"/>
      <c r="E15" s="6"/>
      <c r="F15" s="6">
        <f>IF(Table3[[#This Row],[Heat Cap]],ABS(Table3[[#This Row],[Target Temp]]-Table3[[#This Row],[Supply Temp]])*Table3[[#This Row],[Heat Cap]],0)</f>
        <v>0</v>
      </c>
      <c r="H15" s="5">
        <v>13</v>
      </c>
      <c r="I15" s="2" t="s">
        <v>70</v>
      </c>
      <c r="J15" s="6"/>
      <c r="K15" s="6"/>
      <c r="L15" s="6"/>
      <c r="M15" s="6">
        <f>IF(Table4[[#This Row],[Heat Cap]],ABS(Table4[[#This Row],[Target Temp]]-Table4[[#This Row],[Supply Temp]])*Table4[[#This Row],[Heat Cap]],0)</f>
        <v>0</v>
      </c>
    </row>
    <row r="16" spans="1:16" x14ac:dyDescent="0.4">
      <c r="A16" s="5">
        <v>14</v>
      </c>
      <c r="B16" s="2" t="s">
        <v>71</v>
      </c>
      <c r="C16" s="6"/>
      <c r="D16" s="6"/>
      <c r="E16" s="6"/>
      <c r="F16" s="6">
        <f>IF(Table3[[#This Row],[Heat Cap]],ABS(Table3[[#This Row],[Target Temp]]-Table3[[#This Row],[Supply Temp]])*Table3[[#This Row],[Heat Cap]],0)</f>
        <v>0</v>
      </c>
      <c r="H16" s="5">
        <v>14</v>
      </c>
      <c r="I16" s="2" t="s">
        <v>72</v>
      </c>
      <c r="J16" s="6"/>
      <c r="K16" s="6"/>
      <c r="L16" s="6"/>
      <c r="M16" s="6">
        <f>IF(Table4[[#This Row],[Heat Cap]],ABS(Table4[[#This Row],[Target Temp]]-Table4[[#This Row],[Supply Temp]])*Table4[[#This Row],[Heat Cap]],0)</f>
        <v>0</v>
      </c>
    </row>
    <row r="17" spans="1:40" x14ac:dyDescent="0.4">
      <c r="A17" s="5">
        <v>15</v>
      </c>
      <c r="B17" s="2" t="s">
        <v>73</v>
      </c>
      <c r="C17" s="6"/>
      <c r="D17" s="6"/>
      <c r="E17" s="6"/>
      <c r="F17" s="6">
        <f>IF(Table3[[#This Row],[Heat Cap]],ABS(Table3[[#This Row],[Target Temp]]-Table3[[#This Row],[Supply Temp]])*Table3[[#This Row],[Heat Cap]],0)</f>
        <v>0</v>
      </c>
      <c r="H17" s="5">
        <v>15</v>
      </c>
      <c r="I17" s="2" t="s">
        <v>74</v>
      </c>
      <c r="J17" s="6"/>
      <c r="K17" s="6"/>
      <c r="L17" s="6"/>
      <c r="M17" s="6">
        <f>IF(Table4[[#This Row],[Heat Cap]],ABS(Table4[[#This Row],[Target Temp]]-Table4[[#This Row],[Supply Temp]])*Table4[[#This Row],[Heat Cap]],0)</f>
        <v>0</v>
      </c>
    </row>
    <row r="18" spans="1:40" x14ac:dyDescent="0.4">
      <c r="A18" s="5">
        <v>16</v>
      </c>
      <c r="B18" s="2" t="s">
        <v>75</v>
      </c>
      <c r="C18" s="6"/>
      <c r="D18" s="6"/>
      <c r="E18" s="6"/>
      <c r="F18" s="6">
        <f>IF(Table3[[#This Row],[Heat Cap]],ABS(Table3[[#This Row],[Target Temp]]-Table3[[#This Row],[Supply Temp]])*Table3[[#This Row],[Heat Cap]],0)</f>
        <v>0</v>
      </c>
      <c r="H18" s="5">
        <v>16</v>
      </c>
      <c r="I18" s="2" t="s">
        <v>76</v>
      </c>
      <c r="J18" s="6"/>
      <c r="K18" s="6"/>
      <c r="L18" s="6"/>
      <c r="M18" s="6">
        <f>IF(Table4[[#This Row],[Heat Cap]],ABS(Table4[[#This Row],[Target Temp]]-Table4[[#This Row],[Supply Temp]])*Table4[[#This Row],[Heat Cap]],0)</f>
        <v>0</v>
      </c>
    </row>
    <row r="19" spans="1:40" x14ac:dyDescent="0.4">
      <c r="A19" s="5">
        <v>17</v>
      </c>
      <c r="B19" s="2" t="s">
        <v>77</v>
      </c>
      <c r="C19" s="6"/>
      <c r="D19" s="6"/>
      <c r="E19" s="6"/>
      <c r="F19" s="6">
        <f>IF(Table3[[#This Row],[Heat Cap]],ABS(Table3[[#This Row],[Target Temp]]-Table3[[#This Row],[Supply Temp]])*Table3[[#This Row],[Heat Cap]],0)</f>
        <v>0</v>
      </c>
      <c r="H19" s="5">
        <v>17</v>
      </c>
      <c r="I19" s="2" t="s">
        <v>78</v>
      </c>
      <c r="J19" s="6"/>
      <c r="K19" s="6"/>
      <c r="L19" s="6"/>
      <c r="M19" s="6">
        <f>IF(Table4[[#This Row],[Heat Cap]],ABS(Table4[[#This Row],[Target Temp]]-Table4[[#This Row],[Supply Temp]])*Table4[[#This Row],[Heat Cap]],0)</f>
        <v>0</v>
      </c>
    </row>
    <row r="20" spans="1:40" x14ac:dyDescent="0.4">
      <c r="A20" s="5">
        <v>18</v>
      </c>
      <c r="B20" s="2" t="s">
        <v>79</v>
      </c>
      <c r="C20" s="6"/>
      <c r="D20" s="6"/>
      <c r="E20" s="6"/>
      <c r="F20" s="6">
        <f>IF(Table3[[#This Row],[Heat Cap]],ABS(Table3[[#This Row],[Target Temp]]-Table3[[#This Row],[Supply Temp]])*Table3[[#This Row],[Heat Cap]],0)</f>
        <v>0</v>
      </c>
      <c r="H20" s="5">
        <v>18</v>
      </c>
      <c r="I20" s="2" t="s">
        <v>80</v>
      </c>
      <c r="J20" s="6"/>
      <c r="K20" s="6"/>
      <c r="L20" s="6"/>
      <c r="M20" s="6">
        <f>IF(Table4[[#This Row],[Heat Cap]],ABS(Table4[[#This Row],[Target Temp]]-Table4[[#This Row],[Supply Temp]])*Table4[[#This Row],[Heat Cap]],0)</f>
        <v>0</v>
      </c>
    </row>
    <row r="21" spans="1:40" x14ac:dyDescent="0.4">
      <c r="A21" s="5">
        <v>19</v>
      </c>
      <c r="B21" s="2" t="s">
        <v>81</v>
      </c>
      <c r="C21" s="6"/>
      <c r="D21" s="6"/>
      <c r="E21" s="6"/>
      <c r="F21" s="6">
        <f>IF(Table3[[#This Row],[Heat Cap]],ABS(Table3[[#This Row],[Target Temp]]-Table3[[#This Row],[Supply Temp]])*Table3[[#This Row],[Heat Cap]],0)</f>
        <v>0</v>
      </c>
      <c r="H21" s="5">
        <v>19</v>
      </c>
      <c r="I21" s="2" t="s">
        <v>82</v>
      </c>
      <c r="J21" s="6"/>
      <c r="K21" s="6"/>
      <c r="L21" s="6"/>
      <c r="M21" s="6">
        <f>IF(Table4[[#This Row],[Heat Cap]],ABS(Table4[[#This Row],[Target Temp]]-Table4[[#This Row],[Supply Temp]])*Table4[[#This Row],[Heat Cap]],0)</f>
        <v>0</v>
      </c>
      <c r="X21" s="2" t="s">
        <v>83</v>
      </c>
      <c r="Y21" s="2" cm="1">
        <f t="array" ref="Y21">MAX(MIN(_xlfn._xlws.FILTER(O27:O56,NOT(ISERROR(O27:O56)))),MIN(_xlfn._xlws.FILTER(R27:R56,NOT(ISERROR(R27:R56)))))</f>
        <v>1338.0999999999976</v>
      </c>
      <c r="Z21" s="2">
        <v>0</v>
      </c>
    </row>
    <row r="22" spans="1:40" x14ac:dyDescent="0.4">
      <c r="A22" s="5">
        <v>20</v>
      </c>
      <c r="B22" s="2" t="s">
        <v>84</v>
      </c>
      <c r="C22" s="6"/>
      <c r="D22" s="6"/>
      <c r="E22" s="6"/>
      <c r="F22" s="6">
        <f>IF(Table3[[#This Row],[Heat Cap]],ABS(Table3[[#This Row],[Target Temp]]-Table3[[#This Row],[Supply Temp]])*Table3[[#This Row],[Heat Cap]],0)</f>
        <v>0</v>
      </c>
      <c r="H22" s="5">
        <v>20</v>
      </c>
      <c r="I22" s="2" t="s">
        <v>85</v>
      </c>
      <c r="J22" s="6"/>
      <c r="K22" s="6"/>
      <c r="L22" s="6"/>
      <c r="M22" s="6">
        <f>IF(Table4[[#This Row],[Heat Cap]],ABS(Table4[[#This Row],[Target Temp]]-Table4[[#This Row],[Supply Temp]])*Table4[[#This Row],[Heat Cap]],0)</f>
        <v>0</v>
      </c>
      <c r="X22" s="2" t="s">
        <v>86</v>
      </c>
      <c r="Y22" s="2" cm="1">
        <f t="array" ref="Y22">MIN(MAX(_xlfn._xlws.FILTER(O27:O56,NOT(ISERROR(O27:O56)))),MAX(_xlfn._xlws.FILTER(R27:R56,NOT(ISERROR(R27:R56)))))</f>
        <v>29058.099999999995</v>
      </c>
      <c r="Z22" s="2">
        <v>40000</v>
      </c>
      <c r="AA22" s="7" t="s">
        <v>87</v>
      </c>
      <c r="AH22" s="2" t="s">
        <v>88</v>
      </c>
    </row>
    <row r="23" spans="1:40" x14ac:dyDescent="0.4">
      <c r="AG23" s="2">
        <v>0</v>
      </c>
      <c r="AH23" s="6">
        <f>P4</f>
        <v>61</v>
      </c>
      <c r="AI23" s="2">
        <f>MIN(AI27:AI52,AM27:AM52)-1</f>
        <v>0</v>
      </c>
    </row>
    <row r="24" spans="1:40" x14ac:dyDescent="0.4">
      <c r="AC24" s="2" t="s">
        <v>89</v>
      </c>
      <c r="AD24" s="2" t="s">
        <v>90</v>
      </c>
      <c r="AE24" s="2" t="s">
        <v>91</v>
      </c>
      <c r="AG24" s="2">
        <f>INDEX($O$27:$O$100,MATCH(AH24,$P$27:$P$100,0),1)</f>
        <v>20567.599999999999</v>
      </c>
      <c r="AH24" s="6">
        <f>AH23</f>
        <v>61</v>
      </c>
      <c r="AI24" s="2">
        <f>MAX(AI27:AI52,AM27:AM52)</f>
        <v>19</v>
      </c>
    </row>
    <row r="25" spans="1:40" x14ac:dyDescent="0.4">
      <c r="AB25" s="8">
        <v>0</v>
      </c>
      <c r="AC25" s="2">
        <v>0</v>
      </c>
      <c r="AD25" s="2">
        <v>0</v>
      </c>
      <c r="AG25" s="2">
        <f>AG24</f>
        <v>20567.599999999999</v>
      </c>
      <c r="AH25" s="2">
        <v>0</v>
      </c>
    </row>
    <row r="26" spans="1:40" ht="15.75" x14ac:dyDescent="0.5">
      <c r="H26" s="9" t="s">
        <v>92</v>
      </c>
      <c r="I26" s="9" t="s">
        <v>93</v>
      </c>
      <c r="J26" s="9" t="s">
        <v>94</v>
      </c>
      <c r="K26" s="9" t="s">
        <v>95</v>
      </c>
      <c r="L26" s="9" t="s">
        <v>96</v>
      </c>
      <c r="M26" s="9" t="s">
        <v>97</v>
      </c>
      <c r="O26" s="9" t="s">
        <v>98</v>
      </c>
      <c r="P26" s="9" t="s">
        <v>99</v>
      </c>
      <c r="R26" s="9" t="s">
        <v>100</v>
      </c>
      <c r="S26" s="9" t="s">
        <v>101</v>
      </c>
      <c r="U26" s="9" t="s">
        <v>102</v>
      </c>
      <c r="V26" s="9" t="s">
        <v>92</v>
      </c>
      <c r="Z26" s="2" t="s">
        <v>103</v>
      </c>
      <c r="AA26" s="2" t="s">
        <v>104</v>
      </c>
      <c r="AB26" s="8">
        <f>AB27</f>
        <v>33.452499999999944</v>
      </c>
      <c r="AC26" s="2">
        <v>0</v>
      </c>
      <c r="AD26" s="2">
        <v>0</v>
      </c>
    </row>
    <row r="27" spans="1:40" ht="15.75" x14ac:dyDescent="0.5">
      <c r="H27" s="10" cm="1">
        <f t="array" ref="H27:H46">_xlfn._xlws.SORT(_xlfn.UNIQUE(_xlfn.VSTACK(_xlfn._xlws.FILTER(Table3[Supply Temp]+MinAppTemp/2,Table3[Supply Temp]),_xlfn._xlws.FILTER(Table4[Supply Temp]-MinAppTemp/2,Table4[Supply Temp]),_xlfn._xlws.FILTER(Table3[Target Temp]+MinAppTemp/2,Table3[Target Temp]),_xlfn._xlws.FILTER(Table4[Target Temp]-MinAppTemp/2,Table4[Target Temp]))),,-1)</f>
        <v>132</v>
      </c>
      <c r="I27" s="10"/>
      <c r="J27" s="10"/>
      <c r="K27" s="10">
        <v>0</v>
      </c>
      <c r="L27" s="10">
        <f>ABS(MIN(0,_xlfn._xlws.FILTER(K28:K46,H28:H46)))</f>
        <v>5828.5</v>
      </c>
      <c r="M27" s="12" t="str">
        <f t="shared" ref="M27:M90" si="0">IF(L27&lt;0.000001,"&lt;--Pinch","")</f>
        <v/>
      </c>
      <c r="O27" s="10" t="e" cm="1">
        <f t="array" ref="O27">IF(H27=INDEX($H$27:$H$100,COUNT($H$27:$H$100)),ColdUtility,IF(SUM((H27&gt;=MIN(Table3[Supply Temp])+MinAppTemp/2)*(H27&lt;=MAX(Table3[Target Temp])+MinAppTemp/2)),IF(LEN(I28)&gt;0,I28,0)+O28,NA()))</f>
        <v>#N/A</v>
      </c>
      <c r="P27" s="10" t="e">
        <f>IFERROR(IF(LEN(O27)&gt;0,H27,""),NA())</f>
        <v>#N/A</v>
      </c>
      <c r="R27" s="10">
        <f>IF(SUM((H27&lt;=MAX(Table4[Supply Temp])-MinAppTemp/2)*(H27&gt;=MIN(Table4[Target Temp])-MinAppTemp/2)),IF(ISERROR(R28),0,R28+J28),NA())</f>
        <v>29058.099999999995</v>
      </c>
      <c r="S27" s="10">
        <f>IFERROR(IF(LEN(R27)&gt;0,H27,""),NA())</f>
        <v>132</v>
      </c>
      <c r="U27" s="2">
        <f>IF(LEN(L27)&gt;0,L27,NA())</f>
        <v>5828.5</v>
      </c>
      <c r="V27" s="2">
        <f>IF(H27,H27,NA())</f>
        <v>132</v>
      </c>
      <c r="X27" s="2" cm="1">
        <f t="array" ref="X27:Y56">_xlfn._xlws.SORT(_xlfn.UNIQUE(_xlfn.VSTACK(_xlfn._xlws.FILTER(O27:P56,IFERROR(NOT(ISERROR(O27:O56))*(O27:O56&gt;=MinRangeHeatFlow)*(O27:O56&lt;=MaxRangeHeatFlow),0)),_xlfn._xlws.FILTER(R27:S56,IFERROR(NOT(ISERROR(R27:R56))*(R27:R56&gt;=MinRangeHeatFlow)*(R27:R56&lt;=MaxRangeHeatFlow),0)))),2,1)</f>
        <v>1338.0999999999976</v>
      </c>
      <c r="Y27" s="2">
        <v>9</v>
      </c>
      <c r="Z27" s="13" cm="1">
        <f t="array" ref="Z27">_xlfn.LAMBDA(_xlpm.x,_xlpm.row,_xlpm.y,IF(NOT(ISERROR(_xlpm.row)),IF(COUNTIF($O$27:$O$100,_xlpm.x)=1,INDEX($P$27:$P$100,_xlpm.y),$Y27),INDEX($P$27:$P$100,_xlpm.y)-(INDEX($P$27:$P$100,_xlpm.y)-INDEX($P$27:$P$100,_xlpm.y+1))*(INDEX($O$27:$O$100,_xlpm.y)-_xlpm.x)/(INDEX($O$27:$O$100,_xlpm.y)-INDEX($O$27:$O$100,_xlpm.y+1))))($X27,MATCH($X27,$O$27:$O$100,0),MATCH($X27,$O$27:$O$100,-1))</f>
        <v>9</v>
      </c>
      <c r="AA27" s="13" cm="1">
        <f t="array" ref="AA27">_xlfn.LAMBDA(_xlpm.x,_xlpm.row,_xlpm.y,IF(NOT(ISERROR(_xlpm.row)),IF(COUNTIF($R$27:$R$100,_xlpm.x)=1,INDEX($S$27:$S$100,_xlpm.y),$Y27),INDEX($S$27:$S$100,_xlpm.y)-(INDEX($S$27:$S$100,_xlpm.y)-INDEX($S$27:$S$100,_xlpm.y+1))*(INDEX($R$27:$R$100,_xlpm.y)-_xlpm.x)/(INDEX($R$27:$R$100,_xlpm.y)-INDEX($R$27:$R$100,_xlpm.y+1))))($X27,MATCH($X27,$R$27:$R$100,0),MATCH($X27,$R$27:$R$100,-1))</f>
        <v>13.063467962344358</v>
      </c>
      <c r="AB27" s="8">
        <f t="shared" ref="AB27:AB90" si="1">IF(LEN($X27)&gt;0,1000*(X27-$Z$21)/($Z$22-$Z$21),AB26)</f>
        <v>33.452499999999944</v>
      </c>
      <c r="AC27" s="6">
        <f>IFERROR(Z27,0)</f>
        <v>9</v>
      </c>
      <c r="AD27" s="6">
        <f>IFERROR(AA27-Z27,0)</f>
        <v>4.0634679623443581</v>
      </c>
      <c r="AE27" s="2">
        <v>0</v>
      </c>
      <c r="AH27" s="2" cm="1">
        <f t="array" ref="AH27:AH86">_xlfn.TOCOL(_xlfn.HSTACK(_xlfn.TOCOL(Table4[Supply Temp],3),_xlfn.TOCOL(Table4[Target Temp],3),INDEX({""},_xlfn.SEQUENCE(COUNT(Table4[Stream no]),,1,0))))</f>
        <v>137</v>
      </c>
      <c r="AI27" s="2" cm="1">
        <f t="array" ref="AI27:AI86">IFERROR(10+_xlfn.TOCOL(_xlfn.HSTACK(_xlfn.SEQUENCE(COUNT(Table4[Stream no])),_xlfn.SEQUENCE(COUNT(Table4[Stream no])),INDEX({""},_xlfn.SEQUENCE(COUNT(Table3[Stream no]),,1,0)))),"")</f>
        <v>11</v>
      </c>
      <c r="AJ27" s="2" t="str" cm="1">
        <f t="array" ref="AJ27:AJ86">IFERROR(INDEX(Table4[Stream Name],_xlfn.TOCOL(_xlfn.HSTACK(_xlfn.SEQUENCE(COUNT(Table4[Stream no])),_xlfn.SEQUENCE(COUNT(Table4[Stream no])),INDEX({""},_xlfn.SEQUENCE(COUNT(Table3[Stream no]),,1,0))))),"")</f>
        <v>Hot 1</v>
      </c>
      <c r="AL27" s="2" cm="1">
        <f t="array" ref="AL27:AL86">_xlfn.TOCOL(_xlfn.HSTACK(_xlfn.TOCOL(Table3[Supply Temp],3),_xlfn.TOCOL(Table3[Target Temp],3),INDEX({""},_xlfn.SEQUENCE(COUNT(Table3[Stream no]),,1,0))))</f>
        <v>4</v>
      </c>
      <c r="AM27" s="2" cm="1">
        <f t="array" ref="AM27:AM86">_xlfn.TOCOL(_xlfn.HSTACK(_xlfn.SEQUENCE(COUNT(Table3[Stream no])),_xlfn.SEQUENCE(COUNT(Table3[Stream no])),INDEX({""},_xlfn.SEQUENCE(COUNT(Table3[Stream no]),,1,0))))</f>
        <v>1</v>
      </c>
      <c r="AN27" s="2" t="str" cm="1">
        <f t="array" ref="AN27:AN86">IFERROR(INDEX(Table3[Stream Name],_xlfn.TOCOL(_xlfn.HSTACK(_xlfn.SEQUENCE(COUNT(Table3[Stream no])),_xlfn.SEQUENCE(COUNT(Table3[Stream no])),INDEX({""},_xlfn.SEQUENCE(COUNT(Table3[Stream no]),,1,0))))),"")</f>
        <v>Cold 1</v>
      </c>
    </row>
    <row r="28" spans="1:40" ht="15.75" x14ac:dyDescent="0.5">
      <c r="H28" s="11">
        <v>130</v>
      </c>
      <c r="I28" s="11" cm="1">
        <f t="array" ref="I28">IF(H28,SUM(((Table3[Supply Temp]+MinAppTemp/2)&lt;=H28)*((Table3[Target Temp]+MinAppTemp/2)&gt;H28)*Table3[Heat Cap])*(H27-H28),"")</f>
        <v>0</v>
      </c>
      <c r="J28" s="11" cm="1">
        <f t="array" ref="J28">IF(H28,SUM(((Table4[Target Temp]-MinAppTemp/2)&lt;=H28)*((Table4[Supply Temp]-MinAppTemp/2)&gt;H28)*(Table4[Heat Cap])*(H27-H28)),"")</f>
        <v>10.6</v>
      </c>
      <c r="K28" s="11">
        <f>IF(H28,K27 - ($I28-$J28),"")</f>
        <v>10.6</v>
      </c>
      <c r="L28" s="11">
        <f>IF(H28,IF(L27-(I28-J28)&gt;0.00000001,L27-(I28-J28),0),"")</f>
        <v>5839.1</v>
      </c>
      <c r="M28" s="14" t="str">
        <f t="shared" si="0"/>
        <v/>
      </c>
      <c r="O28" s="11" t="e" cm="1">
        <f t="array" ref="O28">IF(H28=INDEX($H$27:$H$100,COUNT($H$27:$H$100)),ColdUtility,IF(SUM((H28&gt;=MIN(Table3[Supply Temp])+MinAppTemp/2)*(H28&lt;=MAX(Table3[Target Temp])+MinAppTemp/2)),IF(LEN(I29)&gt;0,I29,0)+O29,NA()))</f>
        <v>#N/A</v>
      </c>
      <c r="P28" s="11" t="e">
        <f t="shared" ref="P28:P91" si="2">IFERROR(IF(LEN(O28)&gt;0,H28,""),NA())</f>
        <v>#N/A</v>
      </c>
      <c r="R28" s="11">
        <f>IF(SUM((H28&lt;=MAX(Table4[Supply Temp])-MinAppTemp/2)*(H28&gt;=MIN(Table4[Target Temp])-MinAppTemp/2)),IF(ISERROR(R29),0,R29+J29),NA())</f>
        <v>29047.499999999996</v>
      </c>
      <c r="S28" s="11">
        <f t="shared" ref="S28:S91" si="3">IFERROR(IF(LEN(R28)&gt;0,H28,""),NA())</f>
        <v>130</v>
      </c>
      <c r="U28" s="2">
        <f t="shared" ref="U28:U91" si="4">IF(LEN(L28)&gt;0,L28,NA())</f>
        <v>5839.1</v>
      </c>
      <c r="V28" s="2">
        <f t="shared" ref="V28:V91" si="5">IF(H28,H28,NA())</f>
        <v>130</v>
      </c>
      <c r="X28" s="2">
        <v>9861.8999999999978</v>
      </c>
      <c r="Y28" s="2">
        <v>32</v>
      </c>
      <c r="Z28" s="13" cm="1">
        <f t="array" ref="Z28">_xlfn.LAMBDA(_xlpm.x,_xlpm.row,_xlpm.y,IF(NOT(ISERROR(_xlpm.row)),IF(COUNTIF($O$27:$O$100,_xlpm.x)=1,INDEX($P$27:$P$100,_xlpm.y),$Y28),INDEX($P$27:$P$100,_xlpm.y)-(INDEX($P$27:$P$100,_xlpm.y)-INDEX($P$27:$P$100,_xlpm.y+1))*(INDEX($O$27:$O$100,_xlpm.y)-_xlpm.x)/(INDEX($O$27:$O$100,_xlpm.y)-INDEX($O$27:$O$100,_xlpm.y+1))))($X28,MATCH($X28,$O$27:$O$100,0),MATCH($X28,$O$27:$O$100,-1))</f>
        <v>32</v>
      </c>
      <c r="AA28" s="13" cm="1">
        <f t="array" ref="AA28">_xlfn.LAMBDA(_xlpm.x,_xlpm.row,_xlpm.y,IF(NOT(ISERROR(_xlpm.row)),IF(COUNTIF($R$27:$R$100,_xlpm.x)=1,INDEX($S$27:$S$100,_xlpm.y),$Y28),INDEX($S$27:$S$100,_xlpm.y)-(INDEX($S$27:$S$100,_xlpm.y)-INDEX($S$27:$S$100,_xlpm.y+1))*(INDEX($R$27:$R$100,_xlpm.y)-_xlpm.x)/(INDEX($R$27:$R$100,_xlpm.y)-INDEX($R$27:$R$100,_xlpm.y+1))))($X28,MATCH($X28,$R$27:$R$100,0),MATCH($X28,$R$27:$R$100,-1))</f>
        <v>59.178662757282197</v>
      </c>
      <c r="AB28" s="8">
        <f t="shared" si="1"/>
        <v>246.54749999999996</v>
      </c>
      <c r="AC28" s="6">
        <f t="shared" ref="AC28:AC91" si="6">IFERROR(Z28,0)</f>
        <v>32</v>
      </c>
      <c r="AD28" s="6">
        <f t="shared" ref="AD28:AD91" si="7">IFERROR(AA28-Z28,0)</f>
        <v>27.178662757282197</v>
      </c>
      <c r="AE28" s="2" cm="1">
        <f t="array" ref="AE28">MAX(_xlfn._xlws.FILTER(S27:S56,NOT(ISERROR(S27:S56))))</f>
        <v>132</v>
      </c>
      <c r="AH28" s="2">
        <v>14</v>
      </c>
      <c r="AI28" s="2">
        <v>11</v>
      </c>
      <c r="AJ28" s="2" t="str">
        <v>Hot 1</v>
      </c>
      <c r="AL28" s="2">
        <v>112</v>
      </c>
      <c r="AM28" s="2">
        <v>1</v>
      </c>
      <c r="AN28" s="2" t="str">
        <v>Cold 1</v>
      </c>
    </row>
    <row r="29" spans="1:40" ht="15.75" x14ac:dyDescent="0.5">
      <c r="H29" s="10">
        <v>117</v>
      </c>
      <c r="I29" s="10" cm="1">
        <f t="array" ref="I29">IF(H29,SUM(((Table3[Supply Temp]+MinAppTemp/2)&lt;=H29)*((Table3[Target Temp]+MinAppTemp/2)&gt;H29)*Table3[Heat Cap])*(H28-H29),"")</f>
        <v>0</v>
      </c>
      <c r="J29" s="10" cm="1">
        <f t="array" ref="J29">IF(H29,SUM(((Table4[Target Temp]-MinAppTemp/2)&lt;=H29)*((Table4[Supply Temp]-MinAppTemp/2)&gt;H29)*(Table4[Heat Cap])*(H28-H29)),"")</f>
        <v>287.3</v>
      </c>
      <c r="K29" s="10">
        <f>IF(H29,K28 - ($I29-$J29),"")</f>
        <v>297.90000000000003</v>
      </c>
      <c r="L29" s="10">
        <f t="shared" ref="L29:L92" si="8">IF(H29,IF(L28-(I29-J29)&gt;0.00000001,L28-(I29-J29),0),"")</f>
        <v>6126.4000000000005</v>
      </c>
      <c r="M29" s="12" t="str">
        <f t="shared" si="0"/>
        <v/>
      </c>
      <c r="O29" s="10" cm="1">
        <f t="array" ref="O29">IF(H29=INDEX($H$27:$H$100,COUNT($H$27:$H$100)),ColdUtility,IF(SUM((H29&gt;=MIN(Table3[Supply Temp])+MinAppTemp/2)*(H29&lt;=MAX(Table3[Target Temp])+MinAppTemp/2)),IF(LEN(I30)&gt;0,I30,0)+O30,NA()))</f>
        <v>34886.599999999991</v>
      </c>
      <c r="P29" s="10">
        <f t="shared" si="2"/>
        <v>117</v>
      </c>
      <c r="R29" s="10">
        <f>IF(SUM((H29&lt;=MAX(Table4[Supply Temp])-MinAppTemp/2)*(H29&gt;=MIN(Table4[Target Temp])-MinAppTemp/2)),IF(ISERROR(R30),0,R30+J30),NA())</f>
        <v>28760.199999999997</v>
      </c>
      <c r="S29" s="10">
        <f t="shared" si="3"/>
        <v>117</v>
      </c>
      <c r="U29" s="2">
        <f t="shared" si="4"/>
        <v>6126.4000000000005</v>
      </c>
      <c r="V29" s="2">
        <f t="shared" si="5"/>
        <v>117</v>
      </c>
      <c r="X29" s="2">
        <v>7573.9</v>
      </c>
      <c r="Y29" s="2">
        <v>32</v>
      </c>
      <c r="Z29" s="13" cm="1">
        <f t="array" ref="Z29">_xlfn.LAMBDA(_xlpm.x,_xlpm.row,_xlpm.y,IF(NOT(ISERROR(_xlpm.row)),IF(COUNTIF($O$27:$O$100,_xlpm.x)=1,INDEX($P$27:$P$100,_xlpm.y),$Y29),INDEX($P$27:$P$100,_xlpm.y)-(INDEX($P$27:$P$100,_xlpm.y)-INDEX($P$27:$P$100,_xlpm.y+1))*(INDEX($O$27:$O$100,_xlpm.y)-_xlpm.x)/(INDEX($O$27:$O$100,_xlpm.y)-INDEX($O$27:$O$100,_xlpm.y+1))))($X29,MATCH($X29,$O$27:$O$100,0),MATCH($X29,$O$27:$O$100,-1))</f>
        <v>25.826227738801947</v>
      </c>
      <c r="AA29" s="13" cm="1">
        <f t="array" ref="AA29">_xlfn.LAMBDA(_xlpm.x,_xlpm.row,_xlpm.y,IF(NOT(ISERROR(_xlpm.row)),IF(COUNTIF($R$27:$R$100,_xlpm.x)=1,INDEX($S$27:$S$100,_xlpm.y),$Y29),INDEX($S$27:$S$100,_xlpm.y)-(INDEX($S$27:$S$100,_xlpm.y)-INDEX($S$27:$S$100,_xlpm.y+1))*(INDEX($R$27:$R$100,_xlpm.y)-_xlpm.x)/(INDEX($R$27:$R$100,_xlpm.y)-INDEX($R$27:$R$100,_xlpm.y+1))))($X29,MATCH($X29,$R$27:$R$100,0),MATCH($X29,$R$27:$R$100,-1))</f>
        <v>32</v>
      </c>
      <c r="AB29" s="8">
        <f t="shared" si="1"/>
        <v>189.3475</v>
      </c>
      <c r="AC29" s="6">
        <f t="shared" si="6"/>
        <v>25.826227738801947</v>
      </c>
      <c r="AD29" s="6">
        <f t="shared" si="7"/>
        <v>6.173772261198053</v>
      </c>
      <c r="AH29" s="2" t="str">
        <v/>
      </c>
      <c r="AI29" s="2" t="str">
        <v/>
      </c>
      <c r="AJ29" s="2" t="str">
        <v/>
      </c>
      <c r="AL29" s="2" t="str">
        <v/>
      </c>
      <c r="AM29" s="2" t="str">
        <v/>
      </c>
      <c r="AN29" s="2" t="str">
        <v/>
      </c>
    </row>
    <row r="30" spans="1:40" ht="15.75" x14ac:dyDescent="0.5">
      <c r="H30" s="11">
        <v>106</v>
      </c>
      <c r="I30" s="11" cm="1">
        <f t="array" ref="I30">IF(H30,SUM(((Table3[Supply Temp]+MinAppTemp/2)&lt;=H30)*((Table3[Target Temp]+MinAppTemp/2)&gt;H30)*Table3[Heat Cap])*(H29-H30),"")</f>
        <v>622.6</v>
      </c>
      <c r="J30" s="11" cm="1">
        <f t="array" ref="J30">IF(H30,SUM(((Table4[Target Temp]-MinAppTemp/2)&lt;=H30)*((Table4[Supply Temp]-MinAppTemp/2)&gt;H30)*(Table4[Heat Cap])*(H29-H30)),"")</f>
        <v>243.10000000000002</v>
      </c>
      <c r="K30" s="11">
        <f t="shared" ref="K30:K93" si="9">IF(H30,K29 - ($I30-$J30),"")</f>
        <v>-81.599999999999966</v>
      </c>
      <c r="L30" s="11">
        <f t="shared" si="8"/>
        <v>5746.9000000000005</v>
      </c>
      <c r="M30" s="14" t="str">
        <f t="shared" si="0"/>
        <v/>
      </c>
      <c r="O30" s="11" cm="1">
        <f t="array" ref="O30">IF(H30=INDEX($H$27:$H$100,COUNT($H$27:$H$100)),ColdUtility,IF(SUM((H30&gt;=MIN(Table3[Supply Temp])+MinAppTemp/2)*(H30&lt;=MAX(Table3[Target Temp])+MinAppTemp/2)),IF(LEN(I31)&gt;0,I31,0)+O31,NA()))</f>
        <v>34263.999999999993</v>
      </c>
      <c r="P30" s="11">
        <f t="shared" si="2"/>
        <v>106</v>
      </c>
      <c r="R30" s="11">
        <f>IF(SUM((H30&lt;=MAX(Table4[Supply Temp])-MinAppTemp/2)*(H30&gt;=MIN(Table4[Target Temp])-MinAppTemp/2)),IF(ISERROR(R31),0,R31+J31),NA())</f>
        <v>28517.1</v>
      </c>
      <c r="S30" s="11">
        <f t="shared" si="3"/>
        <v>106</v>
      </c>
      <c r="U30" s="2">
        <f t="shared" si="4"/>
        <v>5746.9000000000005</v>
      </c>
      <c r="V30" s="2">
        <f t="shared" si="5"/>
        <v>106</v>
      </c>
      <c r="X30" s="2">
        <v>13938.499999999998</v>
      </c>
      <c r="Y30" s="2">
        <v>43</v>
      </c>
      <c r="Z30" s="13" cm="1">
        <f t="array" ref="Z30">_xlfn.LAMBDA(_xlpm.x,_xlpm.row,_xlpm.y,IF(NOT(ISERROR(_xlpm.row)),IF(COUNTIF($O$27:$O$100,_xlpm.x)=1,INDEX($P$27:$P$100,_xlpm.y),$Y30),INDEX($P$27:$P$100,_xlpm.y)-(INDEX($P$27:$P$100,_xlpm.y)-INDEX($P$27:$P$100,_xlpm.y+1))*(INDEX($O$27:$O$100,_xlpm.y)-_xlpm.x)/(INDEX($O$27:$O$100,_xlpm.y)-INDEX($O$27:$O$100,_xlpm.y+1))))($X30,MATCH($X30,$O$27:$O$100,0),MATCH($X30,$O$27:$O$100,-1))</f>
        <v>43</v>
      </c>
      <c r="AA30" s="13" cm="1">
        <f t="array" ref="AA30">_xlfn.LAMBDA(_xlpm.x,_xlpm.row,_xlpm.y,IF(NOT(ISERROR(_xlpm.row)),IF(COUNTIF($R$27:$R$100,_xlpm.x)=1,INDEX($S$27:$S$100,_xlpm.y),$Y30),INDEX($S$27:$S$100,_xlpm.y)-(INDEX($S$27:$S$100,_xlpm.y)-INDEX($S$27:$S$100,_xlpm.y+1))*(INDEX($R$27:$R$100,_xlpm.y)-_xlpm.x)/(INDEX($R$27:$R$100,_xlpm.y)-INDEX($R$27:$R$100,_xlpm.y+1))))($X30,MATCH($X30,$R$27:$R$100,0),MATCH($X30,$R$27:$R$100,-1))</f>
        <v>59.518229448660172</v>
      </c>
      <c r="AB30" s="8">
        <f t="shared" si="1"/>
        <v>348.46249999999998</v>
      </c>
      <c r="AC30" s="6">
        <f t="shared" si="6"/>
        <v>43</v>
      </c>
      <c r="AD30" s="6">
        <f t="shared" si="7"/>
        <v>16.518229448660172</v>
      </c>
      <c r="AH30" s="2">
        <v>135</v>
      </c>
      <c r="AI30" s="2">
        <v>12</v>
      </c>
      <c r="AJ30" s="2" t="str">
        <v>Hot 2</v>
      </c>
      <c r="AL30" s="2">
        <v>76</v>
      </c>
      <c r="AM30" s="2">
        <v>2</v>
      </c>
      <c r="AN30" s="2" t="str">
        <v>Cold 2</v>
      </c>
    </row>
    <row r="31" spans="1:40" ht="15.75" x14ac:dyDescent="0.5">
      <c r="H31" s="10">
        <v>105</v>
      </c>
      <c r="I31" s="10" cm="1">
        <f t="array" ref="I31">IF(H31,SUM(((Table3[Supply Temp]+MinAppTemp/2)&lt;=H31)*((Table3[Target Temp]+MinAppTemp/2)&gt;H31)*Table3[Heat Cap])*(H30-H31),"")</f>
        <v>56.6</v>
      </c>
      <c r="J31" s="10" cm="1">
        <f t="array" ref="J31">IF(H31,SUM(((Table4[Target Temp]-MinAppTemp/2)&lt;=H31)*((Table4[Supply Temp]-MinAppTemp/2)&gt;H31)*(Table4[Heat Cap])*(H30-H31)),"")</f>
        <v>3349.1</v>
      </c>
      <c r="K31" s="10">
        <f t="shared" si="9"/>
        <v>3210.9</v>
      </c>
      <c r="L31" s="10">
        <f t="shared" si="8"/>
        <v>9039.4000000000015</v>
      </c>
      <c r="M31" s="12" t="str">
        <f t="shared" si="0"/>
        <v/>
      </c>
      <c r="O31" s="10" cm="1">
        <f t="array" ref="O31">IF(H31=INDEX($H$27:$H$100,COUNT($H$27:$H$100)),ColdUtility,IF(SUM((H31&gt;=MIN(Table3[Supply Temp])+MinAppTemp/2)*(H31&lt;=MAX(Table3[Target Temp])+MinAppTemp/2)),IF(LEN(I32)&gt;0,I32,0)+O32,NA()))</f>
        <v>34207.399999999994</v>
      </c>
      <c r="P31" s="10">
        <f t="shared" si="2"/>
        <v>105</v>
      </c>
      <c r="R31" s="10">
        <f>IF(SUM((H31&lt;=MAX(Table4[Supply Temp])-MinAppTemp/2)*(H31&gt;=MIN(Table4[Target Temp])-MinAppTemp/2)),IF(ISERROR(R32),0,R32+J32),NA())</f>
        <v>25168</v>
      </c>
      <c r="S31" s="10">
        <f t="shared" si="3"/>
        <v>105</v>
      </c>
      <c r="U31" s="2">
        <f t="shared" si="4"/>
        <v>9039.4000000000015</v>
      </c>
      <c r="V31" s="2">
        <f t="shared" si="5"/>
        <v>105</v>
      </c>
      <c r="X31" s="2">
        <v>7632.2</v>
      </c>
      <c r="Y31" s="2">
        <v>43</v>
      </c>
      <c r="Z31" s="13" cm="1">
        <f t="array" ref="Z31">_xlfn.LAMBDA(_xlpm.x,_xlpm.row,_xlpm.y,IF(NOT(ISERROR(_xlpm.row)),IF(COUNTIF($O$27:$O$100,_xlpm.x)=1,INDEX($P$27:$P$100,_xlpm.y),$Y31),INDEX($P$27:$P$100,_xlpm.y)-(INDEX($P$27:$P$100,_xlpm.y)-INDEX($P$27:$P$100,_xlpm.y+1))*(INDEX($O$27:$O$100,_xlpm.y)-_xlpm.x)/(INDEX($O$27:$O$100,_xlpm.y)-INDEX($O$27:$O$100,_xlpm.y+1))))($X31,MATCH($X31,$O$27:$O$100,0),MATCH($X31,$O$27:$O$100,-1))</f>
        <v>25.98354020507286</v>
      </c>
      <c r="AA31" s="13" cm="1">
        <f t="array" ref="AA31">_xlfn.LAMBDA(_xlpm.x,_xlpm.row,_xlpm.y,IF(NOT(ISERROR(_xlpm.row)),IF(COUNTIF($R$27:$R$100,_xlpm.x)=1,INDEX($S$27:$S$100,_xlpm.y),$Y31),INDEX($S$27:$S$100,_xlpm.y)-(INDEX($S$27:$S$100,_xlpm.y)-INDEX($S$27:$S$100,_xlpm.y+1))*(INDEX($R$27:$R$100,_xlpm.y)-_xlpm.x)/(INDEX($R$27:$R$100,_xlpm.y)-INDEX($R$27:$R$100,_xlpm.y+1))))($X31,MATCH($X31,$R$27:$R$100,0),MATCH($X31,$R$27:$R$100,-1))</f>
        <v>43</v>
      </c>
      <c r="AB31" s="8">
        <f t="shared" si="1"/>
        <v>190.80500000000001</v>
      </c>
      <c r="AC31" s="6">
        <f t="shared" si="6"/>
        <v>25.98354020507286</v>
      </c>
      <c r="AD31" s="6">
        <f t="shared" si="7"/>
        <v>17.01645979492714</v>
      </c>
      <c r="AH31" s="2">
        <v>66</v>
      </c>
      <c r="AI31" s="2">
        <v>12</v>
      </c>
      <c r="AJ31" s="2" t="str">
        <v>Hot 2</v>
      </c>
      <c r="AL31" s="2">
        <v>100</v>
      </c>
      <c r="AM31" s="2">
        <v>2</v>
      </c>
      <c r="AN31" s="2" t="str">
        <v>Cold 2</v>
      </c>
    </row>
    <row r="32" spans="1:40" ht="15.75" x14ac:dyDescent="0.5">
      <c r="H32" s="11">
        <v>100</v>
      </c>
      <c r="I32" s="11" cm="1">
        <f t="array" ref="I32">IF(H32,SUM(((Table3[Supply Temp]+MinAppTemp/2)&lt;=H32)*((Table3[Target Temp]+MinAppTemp/2)&gt;H32)*Table3[Heat Cap])*(H31-H32),"")</f>
        <v>823.5</v>
      </c>
      <c r="J32" s="11" cm="1">
        <f t="array" ref="J32">IF(H32,SUM(((Table4[Target Temp]-MinAppTemp/2)&lt;=H32)*((Table4[Supply Temp]-MinAppTemp/2)&gt;H32)*(Table4[Heat Cap])*(H31-H32)),"")</f>
        <v>110.5</v>
      </c>
      <c r="K32" s="11">
        <f t="shared" si="9"/>
        <v>2497.9</v>
      </c>
      <c r="L32" s="11">
        <f t="shared" si="8"/>
        <v>8326.4000000000015</v>
      </c>
      <c r="M32" s="14" t="str">
        <f t="shared" si="0"/>
        <v/>
      </c>
      <c r="O32" s="11" cm="1">
        <f t="array" ref="O32">IF(H32=INDEX($H$27:$H$100,COUNT($H$27:$H$100)),ColdUtility,IF(SUM((H32&gt;=MIN(Table3[Supply Temp])+MinAppTemp/2)*(H32&lt;=MAX(Table3[Target Temp])+MinAppTemp/2)),IF(LEN(I33)&gt;0,I33,0)+O33,NA()))</f>
        <v>33383.899999999994</v>
      </c>
      <c r="P32" s="11">
        <f t="shared" si="2"/>
        <v>100</v>
      </c>
      <c r="R32" s="11">
        <f>IF(SUM((H32&lt;=MAX(Table4[Supply Temp])-MinAppTemp/2)*(H32&gt;=MIN(Table4[Target Temp])-MinAppTemp/2)),IF(ISERROR(R33),0,R33+J33),NA())</f>
        <v>25057.5</v>
      </c>
      <c r="S32" s="11">
        <f t="shared" si="3"/>
        <v>100</v>
      </c>
      <c r="U32" s="2">
        <f t="shared" si="4"/>
        <v>8326.4000000000015</v>
      </c>
      <c r="V32" s="2">
        <f t="shared" si="5"/>
        <v>100</v>
      </c>
      <c r="X32" s="2">
        <v>16661.5</v>
      </c>
      <c r="Y32" s="2">
        <v>50</v>
      </c>
      <c r="Z32" s="13" cm="1">
        <f t="array" ref="Z32">_xlfn.LAMBDA(_xlpm.x,_xlpm.row,_xlpm.y,IF(NOT(ISERROR(_xlpm.row)),IF(COUNTIF($O$27:$O$100,_xlpm.x)=1,INDEX($P$27:$P$100,_xlpm.y),$Y32),INDEX($P$27:$P$100,_xlpm.y)-(INDEX($P$27:$P$100,_xlpm.y)-INDEX($P$27:$P$100,_xlpm.y+1))*(INDEX($O$27:$O$100,_xlpm.y)-_xlpm.x)/(INDEX($O$27:$O$100,_xlpm.y)-INDEX($O$27:$O$100,_xlpm.y+1))))($X32,MATCH($X32,$O$27:$O$100,0),MATCH($X32,$O$27:$O$100,-1))</f>
        <v>50</v>
      </c>
      <c r="AA32" s="13" cm="1">
        <f t="array" ref="AA32">_xlfn.LAMBDA(_xlpm.x,_xlpm.row,_xlpm.y,IF(NOT(ISERROR(_xlpm.row)),IF(COUNTIF($R$27:$R$100,_xlpm.x)=1,INDEX($S$27:$S$100,_xlpm.y),$Y32),INDEX($S$27:$S$100,_xlpm.y)-(INDEX($S$27:$S$100,_xlpm.y)-INDEX($S$27:$S$100,_xlpm.y+1))*(INDEX($R$27:$R$100,_xlpm.y)-_xlpm.x)/(INDEX($R$27:$R$100,_xlpm.y)-INDEX($R$27:$R$100,_xlpm.y+1))))($X32,MATCH($X32,$R$27:$R$100,0),MATCH($X32,$R$27:$R$100,-1))</f>
        <v>59.745045938044029</v>
      </c>
      <c r="AB32" s="8">
        <f t="shared" si="1"/>
        <v>416.53750000000002</v>
      </c>
      <c r="AC32" s="6">
        <f t="shared" si="6"/>
        <v>50</v>
      </c>
      <c r="AD32" s="6">
        <f t="shared" si="7"/>
        <v>9.7450459380440293</v>
      </c>
      <c r="AH32" s="2" t="str">
        <v/>
      </c>
      <c r="AI32" s="2" t="str">
        <v/>
      </c>
      <c r="AJ32" s="2" t="str">
        <v/>
      </c>
      <c r="AL32" s="2" t="str">
        <v/>
      </c>
      <c r="AM32" s="2" t="str">
        <v/>
      </c>
      <c r="AN32" s="2" t="str">
        <v/>
      </c>
    </row>
    <row r="33" spans="8:40" ht="15.75" x14ac:dyDescent="0.5">
      <c r="H33" s="10">
        <v>95</v>
      </c>
      <c r="I33" s="10" cm="1">
        <f t="array" ref="I33">IF(H33,SUM(((Table3[Supply Temp]+MinAppTemp/2)&lt;=H33)*((Table3[Target Temp]+MinAppTemp/2)&gt;H33)*Table3[Heat Cap])*(H32-H33),"")</f>
        <v>823.5</v>
      </c>
      <c r="J33" s="10" cm="1">
        <f t="array" ref="J33">IF(H33,SUM(((Table4[Target Temp]-MinAppTemp/2)&lt;=H33)*((Table4[Supply Temp]-MinAppTemp/2)&gt;H33)*(Table4[Heat Cap])*(H32-H33)),"")</f>
        <v>787.5</v>
      </c>
      <c r="K33" s="10">
        <f t="shared" si="9"/>
        <v>2461.9</v>
      </c>
      <c r="L33" s="10">
        <f t="shared" si="8"/>
        <v>8290.4000000000015</v>
      </c>
      <c r="M33" s="12" t="str">
        <f t="shared" si="0"/>
        <v/>
      </c>
      <c r="O33" s="10" cm="1">
        <f t="array" ref="O33">IF(H33=INDEX($H$27:$H$100,COUNT($H$27:$H$100)),ColdUtility,IF(SUM((H33&gt;=MIN(Table3[Supply Temp])+MinAppTemp/2)*(H33&lt;=MAX(Table3[Target Temp])+MinAppTemp/2)),IF(LEN(I34)&gt;0,I34,0)+O34,NA()))</f>
        <v>32560.399999999994</v>
      </c>
      <c r="P33" s="10">
        <f t="shared" si="2"/>
        <v>95</v>
      </c>
      <c r="R33" s="10">
        <f>IF(SUM((H33&lt;=MAX(Table4[Supply Temp])-MinAppTemp/2)*(H33&gt;=MIN(Table4[Target Temp])-MinAppTemp/2)),IF(ISERROR(R34),0,R34+J34),NA())</f>
        <v>24270</v>
      </c>
      <c r="S33" s="10">
        <f t="shared" si="3"/>
        <v>95</v>
      </c>
      <c r="U33" s="2">
        <f t="shared" si="4"/>
        <v>8290.4000000000015</v>
      </c>
      <c r="V33" s="2">
        <f t="shared" si="5"/>
        <v>95</v>
      </c>
      <c r="X33" s="2">
        <v>7669.3</v>
      </c>
      <c r="Y33" s="2">
        <v>50</v>
      </c>
      <c r="Z33" s="13" cm="1">
        <f t="array" ref="Z33">_xlfn.LAMBDA(_xlpm.x,_xlpm.row,_xlpm.y,IF(NOT(ISERROR(_xlpm.row)),IF(COUNTIF($O$27:$O$100,_xlpm.x)=1,INDEX($P$27:$P$100,_xlpm.y),$Y33),INDEX($P$27:$P$100,_xlpm.y)-(INDEX($P$27:$P$100,_xlpm.y)-INDEX($P$27:$P$100,_xlpm.y+1))*(INDEX($O$27:$O$100,_xlpm.y)-_xlpm.x)/(INDEX($O$27:$O$100,_xlpm.y)-INDEX($O$27:$O$100,_xlpm.y+1))))($X33,MATCH($X33,$O$27:$O$100,0),MATCH($X33,$O$27:$O$100,-1))</f>
        <v>26.083648138154352</v>
      </c>
      <c r="AA33" s="13" cm="1">
        <f t="array" ref="AA33">_xlfn.LAMBDA(_xlpm.x,_xlpm.row,_xlpm.y,IF(NOT(ISERROR(_xlpm.row)),IF(COUNTIF($R$27:$R$100,_xlpm.x)=1,INDEX($S$27:$S$100,_xlpm.y),$Y33),INDEX($S$27:$S$100,_xlpm.y)-(INDEX($S$27:$S$100,_xlpm.y)-INDEX($S$27:$S$100,_xlpm.y+1))*(INDEX($R$27:$R$100,_xlpm.y)-_xlpm.x)/(INDEX($R$27:$R$100,_xlpm.y)-INDEX($R$27:$R$100,_xlpm.y+1))))($X33,MATCH($X33,$R$27:$R$100,0),MATCH($X33,$R$27:$R$100,-1))</f>
        <v>50</v>
      </c>
      <c r="AB33" s="8">
        <f t="shared" si="1"/>
        <v>191.73249999999999</v>
      </c>
      <c r="AC33" s="6">
        <f t="shared" si="6"/>
        <v>26.083648138154352</v>
      </c>
      <c r="AD33" s="6">
        <f t="shared" si="7"/>
        <v>23.916351861845648</v>
      </c>
      <c r="AH33" s="2">
        <v>111</v>
      </c>
      <c r="AI33" s="2">
        <v>13</v>
      </c>
      <c r="AJ33" s="2" t="str">
        <v>Hot 3</v>
      </c>
      <c r="AL33" s="2">
        <v>70</v>
      </c>
      <c r="AM33" s="2">
        <v>3</v>
      </c>
      <c r="AN33" s="2" t="str">
        <v>Cold 3</v>
      </c>
    </row>
    <row r="34" spans="8:40" ht="15.75" x14ac:dyDescent="0.5">
      <c r="H34" s="11">
        <v>90</v>
      </c>
      <c r="I34" s="11" cm="1">
        <f t="array" ref="I34">IF(H34,SUM(((Table3[Supply Temp]+MinAppTemp/2)&lt;=H34)*((Table3[Target Temp]+MinAppTemp/2)&gt;H34)*Table3[Heat Cap])*(H33-H34),"")</f>
        <v>1848.5</v>
      </c>
      <c r="J34" s="11" cm="1">
        <f t="array" ref="J34">IF(H34,SUM(((Table4[Target Temp]-MinAppTemp/2)&lt;=H34)*((Table4[Supply Temp]-MinAppTemp/2)&gt;H34)*(Table4[Heat Cap])*(H33-H34)),"")</f>
        <v>787.5</v>
      </c>
      <c r="K34" s="11">
        <f t="shared" si="9"/>
        <v>1400.9</v>
      </c>
      <c r="L34" s="11">
        <f t="shared" si="8"/>
        <v>7229.4000000000015</v>
      </c>
      <c r="M34" s="14" t="str">
        <f t="shared" si="0"/>
        <v/>
      </c>
      <c r="O34" s="11" cm="1">
        <f t="array" ref="O34">IF(H34=INDEX($H$27:$H$100,COUNT($H$27:$H$100)),ColdUtility,IF(SUM((H34&gt;=MIN(Table3[Supply Temp])+MinAppTemp/2)*(H34&lt;=MAX(Table3[Target Temp])+MinAppTemp/2)),IF(LEN(I35)&gt;0,I35,0)+O35,NA()))</f>
        <v>30711.899999999994</v>
      </c>
      <c r="P34" s="11">
        <f t="shared" si="2"/>
        <v>90</v>
      </c>
      <c r="R34" s="11">
        <f>IF(SUM((H34&lt;=MAX(Table4[Supply Temp])-MinAppTemp/2)*(H34&gt;=MIN(Table4[Target Temp])-MinAppTemp/2)),IF(ISERROR(R35),0,R35+J35),NA())</f>
        <v>23482.5</v>
      </c>
      <c r="S34" s="11">
        <f t="shared" si="3"/>
        <v>90</v>
      </c>
      <c r="U34" s="2">
        <f t="shared" si="4"/>
        <v>7229.4000000000015</v>
      </c>
      <c r="V34" s="2">
        <f t="shared" si="5"/>
        <v>90</v>
      </c>
      <c r="X34" s="2">
        <v>19857.400000000001</v>
      </c>
      <c r="Y34" s="2">
        <v>59</v>
      </c>
      <c r="Z34" s="13" cm="1">
        <f t="array" ref="Z34">_xlfn.LAMBDA(_xlpm.x,_xlpm.row,_xlpm.y,IF(NOT(ISERROR(_xlpm.row)),IF(COUNTIF($O$27:$O$100,_xlpm.x)=1,INDEX($P$27:$P$100,_xlpm.y),$Y34),INDEX($P$27:$P$100,_xlpm.y)-(INDEX($P$27:$P$100,_xlpm.y)-INDEX($P$27:$P$100,_xlpm.y+1))*(INDEX($O$27:$O$100,_xlpm.y)-_xlpm.x)/(INDEX($O$27:$O$100,_xlpm.y)-INDEX($O$27:$O$100,_xlpm.y+1))))($X34,MATCH($X34,$O$27:$O$100,0),MATCH($X34,$O$27:$O$100,-1))</f>
        <v>59</v>
      </c>
      <c r="AA34" s="13" cm="1">
        <f t="array" ref="AA34">_xlfn.LAMBDA(_xlpm.x,_xlpm.row,_xlpm.y,IF(NOT(ISERROR(_xlpm.row)),IF(COUNTIF($R$27:$R$100,_xlpm.x)=1,INDEX($S$27:$S$100,_xlpm.y),$Y34),INDEX($S$27:$S$100,_xlpm.y)-(INDEX($S$27:$S$100,_xlpm.y)-INDEX($S$27:$S$100,_xlpm.y+1))*(INDEX($R$27:$R$100,_xlpm.y)-_xlpm.x)/(INDEX($R$27:$R$100,_xlpm.y)-INDEX($R$27:$R$100,_xlpm.y+1))))($X34,MATCH($X34,$R$27:$R$100,0),MATCH($X34,$R$27:$R$100,-1))</f>
        <v>60.159824914231635</v>
      </c>
      <c r="AB34" s="8">
        <f t="shared" si="1"/>
        <v>496.435</v>
      </c>
      <c r="AC34" s="6">
        <f t="shared" si="6"/>
        <v>59</v>
      </c>
      <c r="AD34" s="6">
        <f t="shared" si="7"/>
        <v>1.1598249142316348</v>
      </c>
      <c r="AH34" s="2">
        <v>110</v>
      </c>
      <c r="AI34" s="2">
        <v>13</v>
      </c>
      <c r="AJ34" s="2" t="str">
        <v>Hot 3</v>
      </c>
      <c r="AL34" s="2">
        <v>90</v>
      </c>
      <c r="AM34" s="2">
        <v>3</v>
      </c>
      <c r="AN34" s="2" t="str">
        <v>Cold 3</v>
      </c>
    </row>
    <row r="35" spans="8:40" ht="15.75" x14ac:dyDescent="0.5">
      <c r="H35" s="10">
        <v>81</v>
      </c>
      <c r="I35" s="10" cm="1">
        <f t="array" ref="I35">IF(H35,SUM(((Table3[Supply Temp]+MinAppTemp/2)&lt;=H35)*((Table3[Target Temp]+MinAppTemp/2)&gt;H35)*Table3[Heat Cap])*(H34-H35),"")</f>
        <v>3492.8999999999996</v>
      </c>
      <c r="J35" s="10" cm="1">
        <f t="array" ref="J35">IF(H35,SUM(((Table4[Target Temp]-MinAppTemp/2)&lt;=H35)*((Table4[Supply Temp]-MinAppTemp/2)&gt;H35)*(Table4[Heat Cap])*(H34-H35)),"")</f>
        <v>198.9</v>
      </c>
      <c r="K35" s="10">
        <f t="shared" si="9"/>
        <v>-1893.0999999999995</v>
      </c>
      <c r="L35" s="10">
        <f t="shared" si="8"/>
        <v>3935.4000000000019</v>
      </c>
      <c r="M35" s="12" t="str">
        <f t="shared" si="0"/>
        <v/>
      </c>
      <c r="O35" s="10" cm="1">
        <f t="array" ref="O35">IF(H35=INDEX($H$27:$H$100,COUNT($H$27:$H$100)),ColdUtility,IF(SUM((H35&gt;=MIN(Table3[Supply Temp])+MinAppTemp/2)*(H35&lt;=MAX(Table3[Target Temp])+MinAppTemp/2)),IF(LEN(I36)&gt;0,I36,0)+O36,NA()))</f>
        <v>27218.999999999996</v>
      </c>
      <c r="P35" s="10">
        <f t="shared" si="2"/>
        <v>81</v>
      </c>
      <c r="R35" s="10">
        <f>IF(SUM((H35&lt;=MAX(Table4[Supply Temp])-MinAppTemp/2)*(H35&gt;=MIN(Table4[Target Temp])-MinAppTemp/2)),IF(ISERROR(R36),0,R36+J36),NA())</f>
        <v>23283.599999999999</v>
      </c>
      <c r="S35" s="10">
        <f t="shared" si="3"/>
        <v>81</v>
      </c>
      <c r="U35" s="2">
        <f t="shared" si="4"/>
        <v>3935.4000000000019</v>
      </c>
      <c r="V35" s="2">
        <f t="shared" si="5"/>
        <v>81</v>
      </c>
      <c r="X35" s="2">
        <v>7717</v>
      </c>
      <c r="Y35" s="2">
        <v>59</v>
      </c>
      <c r="Z35" s="13" cm="1">
        <f t="array" ref="Z35">_xlfn.LAMBDA(_xlpm.x,_xlpm.row,_xlpm.y,IF(NOT(ISERROR(_xlpm.row)),IF(COUNTIF($O$27:$O$100,_xlpm.x)=1,INDEX($P$27:$P$100,_xlpm.y),$Y35),INDEX($P$27:$P$100,_xlpm.y)-(INDEX($P$27:$P$100,_xlpm.y)-INDEX($P$27:$P$100,_xlpm.y+1))*(INDEX($O$27:$O$100,_xlpm.y)-_xlpm.x)/(INDEX($O$27:$O$100,_xlpm.y)-INDEX($O$27:$O$100,_xlpm.y+1))))($X35,MATCH($X35,$O$27:$O$100,0),MATCH($X35,$O$27:$O$100,-1))</f>
        <v>26.212358337830551</v>
      </c>
      <c r="AA35" s="13" cm="1">
        <f t="array" ref="AA35">_xlfn.LAMBDA(_xlpm.x,_xlpm.row,_xlpm.y,IF(NOT(ISERROR(_xlpm.row)),IF(COUNTIF($R$27:$R$100,_xlpm.x)=1,INDEX($S$27:$S$100,_xlpm.y),$Y35),INDEX($S$27:$S$100,_xlpm.y)-(INDEX($S$27:$S$100,_xlpm.y)-INDEX($S$27:$S$100,_xlpm.y+1))*(INDEX($R$27:$R$100,_xlpm.y)-_xlpm.x)/(INDEX($R$27:$R$100,_xlpm.y)-INDEX($R$27:$R$100,_xlpm.y+1))))($X35,MATCH($X35,$R$27:$R$100,0),MATCH($X35,$R$27:$R$100,-1))</f>
        <v>59</v>
      </c>
      <c r="AB35" s="8">
        <f t="shared" si="1"/>
        <v>192.92500000000001</v>
      </c>
      <c r="AC35" s="6">
        <f t="shared" si="6"/>
        <v>26.212358337830551</v>
      </c>
      <c r="AD35" s="6">
        <f t="shared" si="7"/>
        <v>32.787641662169449</v>
      </c>
      <c r="AH35" s="2" t="str">
        <v/>
      </c>
      <c r="AI35" s="2" t="str">
        <v/>
      </c>
      <c r="AJ35" s="2" t="str">
        <v/>
      </c>
      <c r="AL35" s="2" t="str">
        <v/>
      </c>
      <c r="AM35" s="2" t="str">
        <v/>
      </c>
      <c r="AN35" s="2" t="str">
        <v/>
      </c>
    </row>
    <row r="36" spans="8:40" ht="15.75" x14ac:dyDescent="0.5">
      <c r="H36" s="11">
        <v>75</v>
      </c>
      <c r="I36" s="11" cm="1">
        <f t="array" ref="I36">IF(H36,SUM(((Table3[Supply Temp]+MinAppTemp/2)&lt;=H36)*((Table3[Target Temp]+MinAppTemp/2)&gt;H36)*Table3[Heat Cap])*(H35-H36),"")</f>
        <v>1680</v>
      </c>
      <c r="J36" s="11" cm="1">
        <f t="array" ref="J36">IF(H36,SUM(((Table4[Target Temp]-MinAppTemp/2)&lt;=H36)*((Table4[Supply Temp]-MinAppTemp/2)&gt;H36)*(Table4[Heat Cap])*(H35-H36)),"")</f>
        <v>132.60000000000002</v>
      </c>
      <c r="K36" s="11">
        <f t="shared" si="9"/>
        <v>-3440.4999999999995</v>
      </c>
      <c r="L36" s="11">
        <f t="shared" si="8"/>
        <v>2388.0000000000018</v>
      </c>
      <c r="M36" s="14" t="str">
        <f t="shared" si="0"/>
        <v/>
      </c>
      <c r="O36" s="11" cm="1">
        <f t="array" ref="O36">IF(H36=INDEX($H$27:$H$100,COUNT($H$27:$H$100)),ColdUtility,IF(SUM((H36&gt;=MIN(Table3[Supply Temp])+MinAppTemp/2)*(H36&lt;=MAX(Table3[Target Temp])+MinAppTemp/2)),IF(LEN(I37)&gt;0,I37,0)+O37,NA()))</f>
        <v>25538.999999999996</v>
      </c>
      <c r="P36" s="11">
        <f t="shared" si="2"/>
        <v>75</v>
      </c>
      <c r="R36" s="11">
        <f>IF(SUM((H36&lt;=MAX(Table4[Supply Temp])-MinAppTemp/2)*(H36&gt;=MIN(Table4[Target Temp])-MinAppTemp/2)),IF(ISERROR(R37),0,R37+J37),NA())</f>
        <v>23151</v>
      </c>
      <c r="S36" s="11">
        <f t="shared" si="3"/>
        <v>75</v>
      </c>
      <c r="U36" s="2">
        <f t="shared" si="4"/>
        <v>2388.0000000000018</v>
      </c>
      <c r="V36" s="2">
        <f t="shared" si="5"/>
        <v>75</v>
      </c>
      <c r="X36" s="2">
        <v>20212.5</v>
      </c>
      <c r="Y36" s="2">
        <v>60</v>
      </c>
      <c r="Z36" s="13" cm="1">
        <f t="array" ref="Z36">_xlfn.LAMBDA(_xlpm.x,_xlpm.row,_xlpm.y,IF(NOT(ISERROR(_xlpm.row)),IF(COUNTIF($O$27:$O$100,_xlpm.x)=1,INDEX($P$27:$P$100,_xlpm.y),$Y36),INDEX($P$27:$P$100,_xlpm.y)-(INDEX($P$27:$P$100,_xlpm.y)-INDEX($P$27:$P$100,_xlpm.y+1))*(INDEX($O$27:$O$100,_xlpm.y)-_xlpm.x)/(INDEX($O$27:$O$100,_xlpm.y)-INDEX($O$27:$O$100,_xlpm.y+1))))($X36,MATCH($X36,$O$27:$O$100,0),MATCH($X36,$O$27:$O$100,-1))</f>
        <v>60</v>
      </c>
      <c r="AA36" s="13" cm="1">
        <f t="array" ref="AA36">_xlfn.LAMBDA(_xlpm.x,_xlpm.row,_xlpm.y,IF(NOT(ISERROR(_xlpm.row)),IF(COUNTIF($R$27:$R$100,_xlpm.x)=1,INDEX($S$27:$S$100,_xlpm.y),$Y36),INDEX($S$27:$S$100,_xlpm.y)-(INDEX($S$27:$S$100,_xlpm.y)-INDEX($S$27:$S$100,_xlpm.y+1))*(INDEX($R$27:$R$100,_xlpm.y)-_xlpm.x)/(INDEX($R$27:$R$100,_xlpm.y)-INDEX($R$27:$R$100,_xlpm.y+1))))($X36,MATCH($X36,$R$27:$R$100,0),MATCH($X36,$R$27:$R$100,-1))</f>
        <v>60.579912457115817</v>
      </c>
      <c r="AB36" s="8">
        <f t="shared" si="1"/>
        <v>505.3125</v>
      </c>
      <c r="AC36" s="6">
        <f t="shared" si="6"/>
        <v>60</v>
      </c>
      <c r="AD36" s="6">
        <f t="shared" si="7"/>
        <v>0.5799124571158174</v>
      </c>
      <c r="AH36" s="2">
        <v>105</v>
      </c>
      <c r="AI36" s="2">
        <v>14</v>
      </c>
      <c r="AJ36" s="2" t="str">
        <v>Hot 4</v>
      </c>
      <c r="AL36" s="2">
        <v>38</v>
      </c>
      <c r="AM36" s="2">
        <v>4</v>
      </c>
      <c r="AN36" s="2" t="str">
        <v>Cold 4</v>
      </c>
    </row>
    <row r="37" spans="8:40" ht="15.75" x14ac:dyDescent="0.5">
      <c r="H37" s="10">
        <v>71</v>
      </c>
      <c r="I37" s="10" cm="1">
        <f t="array" ref="I37">IF(H37,SUM(((Table3[Supply Temp]+MinAppTemp/2)&lt;=H37)*((Table3[Target Temp]+MinAppTemp/2)&gt;H37)*Table3[Heat Cap])*(H36-H37),"")</f>
        <v>1420.4</v>
      </c>
      <c r="J37" s="10" cm="1">
        <f t="array" ref="J37">IF(H37,SUM(((Table4[Target Temp]-MinAppTemp/2)&lt;=H37)*((Table4[Supply Temp]-MinAppTemp/2)&gt;H37)*(Table4[Heat Cap])*(H36-H37)),"")</f>
        <v>88.4</v>
      </c>
      <c r="K37" s="10">
        <f t="shared" si="9"/>
        <v>-4772.5</v>
      </c>
      <c r="L37" s="10">
        <f t="shared" si="8"/>
        <v>1056.0000000000018</v>
      </c>
      <c r="M37" s="12" t="str">
        <f t="shared" si="0"/>
        <v/>
      </c>
      <c r="O37" s="10" cm="1">
        <f t="array" ref="O37">IF(H37=INDEX($H$27:$H$100,COUNT($H$27:$H$100)),ColdUtility,IF(SUM((H37&gt;=MIN(Table3[Supply Temp])+MinAppTemp/2)*(H37&lt;=MAX(Table3[Target Temp])+MinAppTemp/2)),IF(LEN(I38)&gt;0,I38,0)+O38,NA()))</f>
        <v>24118.599999999995</v>
      </c>
      <c r="P37" s="10">
        <f t="shared" si="2"/>
        <v>71</v>
      </c>
      <c r="R37" s="10">
        <f>IF(SUM((H37&lt;=MAX(Table4[Supply Temp])-MinAppTemp/2)*(H37&gt;=MIN(Table4[Target Temp])-MinAppTemp/2)),IF(ISERROR(R38),0,R38+J38),NA())</f>
        <v>23062.6</v>
      </c>
      <c r="S37" s="10">
        <f t="shared" si="3"/>
        <v>71</v>
      </c>
      <c r="U37" s="2">
        <f t="shared" si="4"/>
        <v>1056.0000000000018</v>
      </c>
      <c r="V37" s="2">
        <f t="shared" si="5"/>
        <v>71</v>
      </c>
      <c r="X37" s="2">
        <v>19722.3</v>
      </c>
      <c r="Y37" s="2">
        <v>60</v>
      </c>
      <c r="Z37" s="13" cm="1">
        <f t="array" ref="Z37">_xlfn.LAMBDA(_xlpm.x,_xlpm.row,_xlpm.y,IF(NOT(ISERROR(_xlpm.row)),IF(COUNTIF($O$27:$O$100,_xlpm.x)=1,INDEX($P$27:$P$100,_xlpm.y),$Y37),INDEX($P$27:$P$100,_xlpm.y)-(INDEX($P$27:$P$100,_xlpm.y)-INDEX($P$27:$P$100,_xlpm.y+1))*(INDEX($O$27:$O$100,_xlpm.y)-_xlpm.x)/(INDEX($O$27:$O$100,_xlpm.y)-INDEX($O$27:$O$100,_xlpm.y+1))))($X37,MATCH($X37,$O$27:$O$100,0),MATCH($X37,$O$27:$O$100,-1))</f>
        <v>58.619543790481551</v>
      </c>
      <c r="AA37" s="13" cm="1">
        <f t="array" ref="AA37">_xlfn.LAMBDA(_xlpm.x,_xlpm.row,_xlpm.y,IF(NOT(ISERROR(_xlpm.row)),IF(COUNTIF($R$27:$R$100,_xlpm.x)=1,INDEX($S$27:$S$100,_xlpm.y),$Y37),INDEX($S$27:$S$100,_xlpm.y)-(INDEX($S$27:$S$100,_xlpm.y)-INDEX($S$27:$S$100,_xlpm.y+1))*(INDEX($R$27:$R$100,_xlpm.y)-_xlpm.x)/(INDEX($R$27:$R$100,_xlpm.y)-INDEX($R$27:$R$100,_xlpm.y+1))))($X37,MATCH($X37,$R$27:$R$100,0),MATCH($X37,$R$27:$R$100,-1))</f>
        <v>60</v>
      </c>
      <c r="AB37" s="8">
        <f t="shared" si="1"/>
        <v>493.0575</v>
      </c>
      <c r="AC37" s="6">
        <f t="shared" si="6"/>
        <v>58.619543790481551</v>
      </c>
      <c r="AD37" s="6">
        <f t="shared" si="7"/>
        <v>1.3804562095184494</v>
      </c>
      <c r="AH37" s="2">
        <v>95</v>
      </c>
      <c r="AI37" s="2">
        <v>14</v>
      </c>
      <c r="AJ37" s="2" t="str">
        <v>Hot 4</v>
      </c>
      <c r="AL37" s="2">
        <v>85</v>
      </c>
      <c r="AM37" s="2">
        <v>4</v>
      </c>
      <c r="AN37" s="2" t="str">
        <v>Cold 4</v>
      </c>
    </row>
    <row r="38" spans="8:40" ht="15.75" x14ac:dyDescent="0.5">
      <c r="H38" s="11">
        <v>70</v>
      </c>
      <c r="I38" s="11" cm="1">
        <f t="array" ref="I38">IF(H38,SUM(((Table3[Supply Temp]+MinAppTemp/2)&lt;=H38)*((Table3[Target Temp]+MinAppTemp/2)&gt;H38)*Table3[Heat Cap])*(H37-H38),"")</f>
        <v>355.1</v>
      </c>
      <c r="J38" s="11" cm="1">
        <f t="array" ref="J38">IF(H38,SUM(((Table4[Target Temp]-MinAppTemp/2)&lt;=H38)*((Table4[Supply Temp]-MinAppTemp/2)&gt;H38)*(Table4[Heat Cap])*(H37-H38)),"")</f>
        <v>156.69999999999999</v>
      </c>
      <c r="K38" s="11">
        <f t="shared" si="9"/>
        <v>-4970.8999999999996</v>
      </c>
      <c r="L38" s="11">
        <f t="shared" si="8"/>
        <v>857.60000000000173</v>
      </c>
      <c r="M38" s="14" t="str">
        <f t="shared" si="0"/>
        <v/>
      </c>
      <c r="O38" s="11" cm="1">
        <f t="array" ref="O38">IF(H38=INDEX($H$27:$H$100,COUNT($H$27:$H$100)),ColdUtility,IF(SUM((H38&gt;=MIN(Table3[Supply Temp])+MinAppTemp/2)*(H38&lt;=MAX(Table3[Target Temp])+MinAppTemp/2)),IF(LEN(I39)&gt;0,I39,0)+O39,NA()))</f>
        <v>23763.499999999996</v>
      </c>
      <c r="P38" s="11">
        <f t="shared" si="2"/>
        <v>70</v>
      </c>
      <c r="R38" s="11">
        <f>IF(SUM((H38&lt;=MAX(Table4[Supply Temp])-MinAppTemp/2)*(H38&gt;=MIN(Table4[Target Temp])-MinAppTemp/2)),IF(ISERROR(R39),0,R39+J39),NA())</f>
        <v>22905.899999999998</v>
      </c>
      <c r="S38" s="11">
        <f t="shared" si="3"/>
        <v>70</v>
      </c>
      <c r="U38" s="2">
        <f t="shared" si="4"/>
        <v>857.60000000000173</v>
      </c>
      <c r="V38" s="2">
        <f t="shared" si="5"/>
        <v>70</v>
      </c>
      <c r="X38" s="2">
        <v>20567.599999999999</v>
      </c>
      <c r="Y38" s="2">
        <v>61</v>
      </c>
      <c r="Z38" s="13" cm="1">
        <f t="array" ref="Z38">_xlfn.LAMBDA(_xlpm.x,_xlpm.row,_xlpm.y,IF(NOT(ISERROR(_xlpm.row)),IF(COUNTIF($O$27:$O$100,_xlpm.x)=1,INDEX($P$27:$P$100,_xlpm.y),$Y38),INDEX($P$27:$P$100,_xlpm.y)-(INDEX($P$27:$P$100,_xlpm.y)-INDEX($P$27:$P$100,_xlpm.y+1))*(INDEX($O$27:$O$100,_xlpm.y)-_xlpm.x)/(INDEX($O$27:$O$100,_xlpm.y)-INDEX($O$27:$O$100,_xlpm.y+1))))($X38,MATCH($X38,$O$27:$O$100,0),MATCH($X38,$O$27:$O$100,-1))</f>
        <v>61</v>
      </c>
      <c r="AA38" s="13" cm="1">
        <f t="array" ref="AA38">_xlfn.LAMBDA(_xlpm.x,_xlpm.row,_xlpm.y,IF(NOT(ISERROR(_xlpm.row)),IF(COUNTIF($R$27:$R$100,_xlpm.x)=1,INDEX($S$27:$S$100,_xlpm.y),$Y38),INDEX($S$27:$S$100,_xlpm.y)-(INDEX($S$27:$S$100,_xlpm.y)-INDEX($S$27:$S$100,_xlpm.y+1))*(INDEX($R$27:$R$100,_xlpm.y)-_xlpm.x)/(INDEX($R$27:$R$100,_xlpm.y)-INDEX($R$27:$R$100,_xlpm.y+1))))($X38,MATCH($X38,$R$27:$R$100,0),MATCH($X38,$R$27:$R$100,-1))</f>
        <v>61</v>
      </c>
      <c r="AB38" s="8">
        <f t="shared" si="1"/>
        <v>514.19000000000005</v>
      </c>
      <c r="AC38" s="6">
        <f t="shared" si="6"/>
        <v>61</v>
      </c>
      <c r="AD38" s="6">
        <f t="shared" si="7"/>
        <v>0</v>
      </c>
      <c r="AH38" s="2" t="str">
        <v/>
      </c>
      <c r="AI38" s="2" t="str">
        <v/>
      </c>
      <c r="AJ38" s="2" t="str">
        <v/>
      </c>
      <c r="AL38" s="2" t="str">
        <v/>
      </c>
      <c r="AM38" s="2" t="str">
        <v/>
      </c>
      <c r="AN38" s="2" t="str">
        <v/>
      </c>
    </row>
    <row r="39" spans="8:40" ht="15.75" x14ac:dyDescent="0.5">
      <c r="H39" s="10">
        <v>69</v>
      </c>
      <c r="I39" s="10" cm="1">
        <f t="array" ref="I39">IF(H39,SUM(((Table3[Supply Temp]+MinAppTemp/2)&lt;=H39)*((Table3[Target Temp]+MinAppTemp/2)&gt;H39)*Table3[Heat Cap])*(H38-H39),"")</f>
        <v>355.1</v>
      </c>
      <c r="J39" s="10" cm="1">
        <f t="array" ref="J39">IF(H39,SUM(((Table4[Target Temp]-MinAppTemp/2)&lt;=H39)*((Table4[Supply Temp]-MinAppTemp/2)&gt;H39)*(Table4[Heat Cap])*(H38-H39)),"")</f>
        <v>1084.7</v>
      </c>
      <c r="K39" s="10">
        <f t="shared" si="9"/>
        <v>-4241.2999999999993</v>
      </c>
      <c r="L39" s="10">
        <f t="shared" si="8"/>
        <v>1587.2000000000016</v>
      </c>
      <c r="M39" s="12" t="str">
        <f t="shared" si="0"/>
        <v/>
      </c>
      <c r="O39" s="10" cm="1">
        <f t="array" ref="O39">IF(H39=INDEX($H$27:$H$100,COUNT($H$27:$H$100)),ColdUtility,IF(SUM((H39&gt;=MIN(Table3[Supply Temp])+MinAppTemp/2)*(H39&lt;=MAX(Table3[Target Temp])+MinAppTemp/2)),IF(LEN(I40)&gt;0,I40,0)+O40,NA()))</f>
        <v>23408.399999999998</v>
      </c>
      <c r="P39" s="10">
        <f t="shared" si="2"/>
        <v>69</v>
      </c>
      <c r="R39" s="10">
        <f>IF(SUM((H39&lt;=MAX(Table4[Supply Temp])-MinAppTemp/2)*(H39&gt;=MIN(Table4[Target Temp])-MinAppTemp/2)),IF(ISERROR(R40),0,R40+J40),NA())</f>
        <v>21821.199999999997</v>
      </c>
      <c r="S39" s="10">
        <f t="shared" si="3"/>
        <v>69</v>
      </c>
      <c r="U39" s="2">
        <f t="shared" si="4"/>
        <v>1587.2000000000016</v>
      </c>
      <c r="V39" s="2">
        <f t="shared" si="5"/>
        <v>69</v>
      </c>
      <c r="X39" s="2">
        <v>23408.399999999998</v>
      </c>
      <c r="Y39" s="2">
        <v>69</v>
      </c>
      <c r="Z39" s="13" cm="1">
        <f t="array" ref="Z39">_xlfn.LAMBDA(_xlpm.x,_xlpm.row,_xlpm.y,IF(NOT(ISERROR(_xlpm.row)),IF(COUNTIF($O$27:$O$100,_xlpm.x)=1,INDEX($P$27:$P$100,_xlpm.y),$Y39),INDEX($P$27:$P$100,_xlpm.y)-(INDEX($P$27:$P$100,_xlpm.y)-INDEX($P$27:$P$100,_xlpm.y+1))*(INDEX($O$27:$O$100,_xlpm.y)-_xlpm.x)/(INDEX($O$27:$O$100,_xlpm.y)-INDEX($O$27:$O$100,_xlpm.y+1))))($X39,MATCH($X39,$O$27:$O$100,0),MATCH($X39,$O$27:$O$100,-1))</f>
        <v>69</v>
      </c>
      <c r="AA39" s="13" cm="1">
        <f t="array" ref="AA39">_xlfn.LAMBDA(_xlpm.x,_xlpm.row,_xlpm.y,IF(NOT(ISERROR(_xlpm.row)),IF(COUNTIF($R$27:$R$100,_xlpm.x)=1,INDEX($S$27:$S$100,_xlpm.y),$Y39),INDEX($S$27:$S$100,_xlpm.y)-(INDEX($S$27:$S$100,_xlpm.y)-INDEX($S$27:$S$100,_xlpm.y+1))*(INDEX($R$27:$R$100,_xlpm.y)-_xlpm.x)/(INDEX($R$27:$R$100,_xlpm.y)-INDEX($R$27:$R$100,_xlpm.y+1))))($X39,MATCH($X39,$R$27:$R$100,0),MATCH($X39,$R$27:$R$100,-1))</f>
        <v>86.647058823529335</v>
      </c>
      <c r="AB39" s="8">
        <f t="shared" si="1"/>
        <v>585.20999999999992</v>
      </c>
      <c r="AC39" s="6">
        <f t="shared" si="6"/>
        <v>69</v>
      </c>
      <c r="AD39" s="6">
        <f t="shared" si="7"/>
        <v>17.647058823529335</v>
      </c>
      <c r="AH39" s="2">
        <v>76</v>
      </c>
      <c r="AI39" s="2">
        <v>15</v>
      </c>
      <c r="AJ39" s="2" t="str">
        <v>Hot 5</v>
      </c>
      <c r="AL39" s="2">
        <v>45</v>
      </c>
      <c r="AM39" s="2">
        <v>5</v>
      </c>
      <c r="AN39" s="2" t="str">
        <v>Cold 5</v>
      </c>
    </row>
    <row r="40" spans="8:40" ht="15.75" x14ac:dyDescent="0.5">
      <c r="H40" s="11">
        <v>61</v>
      </c>
      <c r="I40" s="11" cm="1">
        <f t="array" ref="I40">IF(H40,SUM(((Table3[Supply Temp]+MinAppTemp/2)&lt;=H40)*((Table3[Target Temp]+MinAppTemp/2)&gt;H40)*Table3[Heat Cap])*(H39-H40),"")</f>
        <v>2840.8</v>
      </c>
      <c r="J40" s="11" cm="1">
        <f t="array" ref="J40">IF(H40,SUM(((Table4[Target Temp]-MinAppTemp/2)&lt;=H40)*((Table4[Supply Temp]-MinAppTemp/2)&gt;H40)*(Table4[Heat Cap])*(H39-H40)),"")</f>
        <v>1253.5999999999999</v>
      </c>
      <c r="K40" s="11">
        <f t="shared" si="9"/>
        <v>-5828.5</v>
      </c>
      <c r="L40" s="11">
        <f t="shared" si="8"/>
        <v>0</v>
      </c>
      <c r="M40" s="14" t="str">
        <f t="shared" si="0"/>
        <v>&lt;--Pinch</v>
      </c>
      <c r="O40" s="11" cm="1">
        <f t="array" ref="O40">IF(H40=INDEX($H$27:$H$100,COUNT($H$27:$H$100)),ColdUtility,IF(SUM((H40&gt;=MIN(Table3[Supply Temp])+MinAppTemp/2)*(H40&lt;=MAX(Table3[Target Temp])+MinAppTemp/2)),IF(LEN(I41)&gt;0,I41,0)+O41,NA()))</f>
        <v>20567.599999999999</v>
      </c>
      <c r="P40" s="11">
        <f t="shared" si="2"/>
        <v>61</v>
      </c>
      <c r="R40" s="11">
        <f>IF(SUM((H40&lt;=MAX(Table4[Supply Temp])-MinAppTemp/2)*(H40&gt;=MIN(Table4[Target Temp])-MinAppTemp/2)),IF(ISERROR(R41),0,R41+J41),NA())</f>
        <v>20567.599999999999</v>
      </c>
      <c r="S40" s="11">
        <f t="shared" si="3"/>
        <v>61</v>
      </c>
      <c r="U40" s="2">
        <f t="shared" si="4"/>
        <v>0</v>
      </c>
      <c r="V40" s="2">
        <f t="shared" si="5"/>
        <v>61</v>
      </c>
      <c r="X40" s="2">
        <v>21821.199999999997</v>
      </c>
      <c r="Y40" s="2">
        <v>69</v>
      </c>
      <c r="Z40" s="13" cm="1">
        <f t="array" ref="Z40">_xlfn.LAMBDA(_xlpm.x,_xlpm.row,_xlpm.y,IF(NOT(ISERROR(_xlpm.row)),IF(COUNTIF($O$27:$O$100,_xlpm.x)=1,INDEX($P$27:$P$100,_xlpm.y),$Y40),INDEX($P$27:$P$100,_xlpm.y)-(INDEX($P$27:$P$100,_xlpm.y)-INDEX($P$27:$P$100,_xlpm.y+1))*(INDEX($O$27:$O$100,_xlpm.y)-_xlpm.x)/(INDEX($O$27:$O$100,_xlpm.y)-INDEX($O$27:$O$100,_xlpm.y+1))))($X40,MATCH($X40,$O$27:$O$100,0),MATCH($X40,$O$27:$O$100,-1))</f>
        <v>64.530273162489436</v>
      </c>
      <c r="AA40" s="13" cm="1">
        <f t="array" ref="AA40">_xlfn.LAMBDA(_xlpm.x,_xlpm.row,_xlpm.y,IF(NOT(ISERROR(_xlpm.row)),IF(COUNTIF($R$27:$R$100,_xlpm.x)=1,INDEX($S$27:$S$100,_xlpm.y),$Y40),INDEX($S$27:$S$100,_xlpm.y)-(INDEX($S$27:$S$100,_xlpm.y)-INDEX($S$27:$S$100,_xlpm.y+1))*(INDEX($R$27:$R$100,_xlpm.y)-_xlpm.x)/(INDEX($R$27:$R$100,_xlpm.y)-INDEX($R$27:$R$100,_xlpm.y+1))))($X40,MATCH($X40,$R$27:$R$100,0),MATCH($X40,$R$27:$R$100,-1))</f>
        <v>69</v>
      </c>
      <c r="AB40" s="8">
        <f t="shared" si="1"/>
        <v>545.52999999999986</v>
      </c>
      <c r="AC40" s="6">
        <f t="shared" si="6"/>
        <v>64.530273162489436</v>
      </c>
      <c r="AD40" s="6">
        <f t="shared" si="7"/>
        <v>4.4697268375105637</v>
      </c>
      <c r="AH40" s="2">
        <v>66</v>
      </c>
      <c r="AI40" s="2">
        <v>15</v>
      </c>
      <c r="AJ40" s="2" t="str">
        <v>Hot 5</v>
      </c>
      <c r="AL40" s="2">
        <v>70</v>
      </c>
      <c r="AM40" s="2">
        <v>5</v>
      </c>
      <c r="AN40" s="2" t="str">
        <v>Cold 5</v>
      </c>
    </row>
    <row r="41" spans="8:40" ht="15.75" x14ac:dyDescent="0.5">
      <c r="H41" s="10">
        <v>60</v>
      </c>
      <c r="I41" s="10" cm="1">
        <f t="array" ref="I41">IF(H41,SUM(((Table3[Supply Temp]+MinAppTemp/2)&lt;=H41)*((Table3[Target Temp]+MinAppTemp/2)&gt;H41)*Table3[Heat Cap])*(H40-H41),"")</f>
        <v>355.1</v>
      </c>
      <c r="J41" s="10" cm="1">
        <f t="array" ref="J41">IF(H41,SUM(((Table4[Target Temp]-MinAppTemp/2)&lt;=H41)*((Table4[Supply Temp]-MinAppTemp/2)&gt;H41)*(Table4[Heat Cap])*(H40-H41)),"")</f>
        <v>845.3</v>
      </c>
      <c r="K41" s="10">
        <f t="shared" si="9"/>
        <v>-5338.3</v>
      </c>
      <c r="L41" s="10">
        <f t="shared" si="8"/>
        <v>490.19999999999993</v>
      </c>
      <c r="M41" s="12" t="str">
        <f t="shared" si="0"/>
        <v/>
      </c>
      <c r="O41" s="10" cm="1">
        <f t="array" ref="O41">IF(H41=INDEX($H$27:$H$100,COUNT($H$27:$H$100)),ColdUtility,IF(SUM((H41&gt;=MIN(Table3[Supply Temp])+MinAppTemp/2)*(H41&lt;=MAX(Table3[Target Temp])+MinAppTemp/2)),IF(LEN(I42)&gt;0,I42,0)+O42,NA()))</f>
        <v>20212.5</v>
      </c>
      <c r="P41" s="10">
        <f t="shared" si="2"/>
        <v>60</v>
      </c>
      <c r="R41" s="10">
        <f>IF(SUM((H41&lt;=MAX(Table4[Supply Temp])-MinAppTemp/2)*(H41&gt;=MIN(Table4[Target Temp])-MinAppTemp/2)),IF(ISERROR(R42),0,R42+J42),NA())</f>
        <v>19722.3</v>
      </c>
      <c r="S41" s="10">
        <f t="shared" si="3"/>
        <v>60</v>
      </c>
      <c r="U41" s="2">
        <f t="shared" si="4"/>
        <v>490.19999999999993</v>
      </c>
      <c r="V41" s="2">
        <f t="shared" si="5"/>
        <v>60</v>
      </c>
      <c r="X41" s="2">
        <v>23763.499999999996</v>
      </c>
      <c r="Y41" s="2">
        <v>70</v>
      </c>
      <c r="Z41" s="13" cm="1">
        <f t="array" ref="Z41">_xlfn.LAMBDA(_xlpm.x,_xlpm.row,_xlpm.y,IF(NOT(ISERROR(_xlpm.row)),IF(COUNTIF($O$27:$O$100,_xlpm.x)=1,INDEX($P$27:$P$100,_xlpm.y),$Y41),INDEX($P$27:$P$100,_xlpm.y)-(INDEX($P$27:$P$100,_xlpm.y)-INDEX($P$27:$P$100,_xlpm.y+1))*(INDEX($O$27:$O$100,_xlpm.y)-_xlpm.x)/(INDEX($O$27:$O$100,_xlpm.y)-INDEX($O$27:$O$100,_xlpm.y+1))))($X41,MATCH($X41,$O$27:$O$100,0),MATCH($X41,$O$27:$O$100,-1))</f>
        <v>70</v>
      </c>
      <c r="AA41" s="13" cm="1">
        <f t="array" ref="AA41">_xlfn.LAMBDA(_xlpm.x,_xlpm.row,_xlpm.y,IF(NOT(ISERROR(_xlpm.row)),IF(COUNTIF($R$27:$R$100,_xlpm.x)=1,INDEX($S$27:$S$100,_xlpm.y),$Y41),INDEX($S$27:$S$100,_xlpm.y)-(INDEX($S$27:$S$100,_xlpm.y)-INDEX($S$27:$S$100,_xlpm.y+1))*(INDEX($R$27:$R$100,_xlpm.y)-_xlpm.x)/(INDEX($R$27:$R$100,_xlpm.y)-INDEX($R$27:$R$100,_xlpm.y+1))))($X41,MATCH($X41,$R$27:$R$100,0),MATCH($X41,$R$27:$R$100,-1))</f>
        <v>91.784126984126956</v>
      </c>
      <c r="AB41" s="8">
        <f t="shared" si="1"/>
        <v>594.08749999999986</v>
      </c>
      <c r="AC41" s="6">
        <f t="shared" si="6"/>
        <v>70</v>
      </c>
      <c r="AD41" s="6">
        <f t="shared" si="7"/>
        <v>21.784126984126956</v>
      </c>
      <c r="AH41" s="2" t="str">
        <v/>
      </c>
      <c r="AI41" s="2" t="str">
        <v/>
      </c>
      <c r="AJ41" s="2" t="str">
        <v/>
      </c>
      <c r="AL41" s="2" t="str">
        <v/>
      </c>
      <c r="AM41" s="2" t="str">
        <v/>
      </c>
      <c r="AN41" s="2" t="str">
        <v/>
      </c>
    </row>
    <row r="42" spans="8:40" ht="15.75" x14ac:dyDescent="0.5">
      <c r="H42" s="11">
        <v>59</v>
      </c>
      <c r="I42" s="11" cm="1">
        <f t="array" ref="I42">IF(H42,SUM(((Table3[Supply Temp]+MinAppTemp/2)&lt;=H42)*((Table3[Target Temp]+MinAppTemp/2)&gt;H42)*Table3[Heat Cap])*(H41-H42),"")</f>
        <v>355.1</v>
      </c>
      <c r="J42" s="11" cm="1">
        <f t="array" ref="J42">IF(H42,SUM(((Table4[Target Temp]-MinAppTemp/2)&lt;=H42)*((Table4[Supply Temp]-MinAppTemp/2)&gt;H42)*(Table4[Heat Cap])*(H41-H42)),"")</f>
        <v>12005.3</v>
      </c>
      <c r="K42" s="11">
        <f t="shared" si="9"/>
        <v>6311.8999999999987</v>
      </c>
      <c r="L42" s="11">
        <f t="shared" si="8"/>
        <v>12140.4</v>
      </c>
      <c r="M42" s="14" t="str">
        <f t="shared" si="0"/>
        <v/>
      </c>
      <c r="O42" s="11" cm="1">
        <f t="array" ref="O42">IF(H42=INDEX($H$27:$H$100,COUNT($H$27:$H$100)),ColdUtility,IF(SUM((H42&gt;=MIN(Table3[Supply Temp])+MinAppTemp/2)*(H42&lt;=MAX(Table3[Target Temp])+MinAppTemp/2)),IF(LEN(I43)&gt;0,I43,0)+O43,NA()))</f>
        <v>19857.400000000001</v>
      </c>
      <c r="P42" s="11">
        <f t="shared" si="2"/>
        <v>59</v>
      </c>
      <c r="R42" s="11">
        <f>IF(SUM((H42&lt;=MAX(Table4[Supply Temp])-MinAppTemp/2)*(H42&gt;=MIN(Table4[Target Temp])-MinAppTemp/2)),IF(ISERROR(R43),0,R43+J43),NA())</f>
        <v>7717</v>
      </c>
      <c r="S42" s="11">
        <f t="shared" si="3"/>
        <v>59</v>
      </c>
      <c r="U42" s="2">
        <f t="shared" si="4"/>
        <v>12140.4</v>
      </c>
      <c r="V42" s="2">
        <f t="shared" si="5"/>
        <v>59</v>
      </c>
      <c r="X42" s="2">
        <v>22905.899999999998</v>
      </c>
      <c r="Y42" s="2">
        <v>70</v>
      </c>
      <c r="Z42" s="13" cm="1">
        <f t="array" ref="Z42">_xlfn.LAMBDA(_xlpm.x,_xlpm.row,_xlpm.y,IF(NOT(ISERROR(_xlpm.row)),IF(COUNTIF($O$27:$O$100,_xlpm.x)=1,INDEX($P$27:$P$100,_xlpm.y),$Y42),INDEX($P$27:$P$100,_xlpm.y)-(INDEX($P$27:$P$100,_xlpm.y)-INDEX($P$27:$P$100,_xlpm.y+1))*(INDEX($O$27:$O$100,_xlpm.y)-_xlpm.x)/(INDEX($O$27:$O$100,_xlpm.y)-INDEX($O$27:$O$100,_xlpm.y+1))))($X42,MATCH($X42,$O$27:$O$100,0),MATCH($X42,$O$27:$O$100,-1))</f>
        <v>67.584905660377359</v>
      </c>
      <c r="AA42" s="13" cm="1">
        <f t="array" ref="AA42">_xlfn.LAMBDA(_xlpm.x,_xlpm.row,_xlpm.y,IF(NOT(ISERROR(_xlpm.row)),IF(COUNTIF($R$27:$R$100,_xlpm.x)=1,INDEX($S$27:$S$100,_xlpm.y),$Y42),INDEX($S$27:$S$100,_xlpm.y)-(INDEX($S$27:$S$100,_xlpm.y)-INDEX($S$27:$S$100,_xlpm.y+1))*(INDEX($R$27:$R$100,_xlpm.y)-_xlpm.x)/(INDEX($R$27:$R$100,_xlpm.y)-INDEX($R$27:$R$100,_xlpm.y+1))))($X42,MATCH($X42,$R$27:$R$100,0),MATCH($X42,$R$27:$R$100,-1))</f>
        <v>70</v>
      </c>
      <c r="AB42" s="8">
        <f t="shared" si="1"/>
        <v>572.64749999999992</v>
      </c>
      <c r="AC42" s="6">
        <f t="shared" si="6"/>
        <v>67.584905660377359</v>
      </c>
      <c r="AD42" s="6">
        <f t="shared" si="7"/>
        <v>2.415094339622641</v>
      </c>
      <c r="AH42" s="2">
        <v>75</v>
      </c>
      <c r="AI42" s="2">
        <v>16</v>
      </c>
      <c r="AJ42" s="2" t="str">
        <v>Hot 6</v>
      </c>
      <c r="AL42" s="2">
        <v>4</v>
      </c>
      <c r="AM42" s="2">
        <v>6</v>
      </c>
      <c r="AN42" s="2" t="str">
        <v>Cold 6</v>
      </c>
    </row>
    <row r="43" spans="8:40" ht="15.75" x14ac:dyDescent="0.5">
      <c r="H43" s="10">
        <v>50</v>
      </c>
      <c r="I43" s="10" cm="1">
        <f t="array" ref="I43">IF(H43,SUM(((Table3[Supply Temp]+MinAppTemp/2)&lt;=H43)*((Table3[Target Temp]+MinAppTemp/2)&gt;H43)*Table3[Heat Cap])*(H42-H43),"")</f>
        <v>3195.9</v>
      </c>
      <c r="J43" s="10" cm="1">
        <f t="array" ref="J43">IF(H43,SUM(((Table4[Target Temp]-MinAppTemp/2)&lt;=H43)*((Table4[Supply Temp]-MinAppTemp/2)&gt;H43)*(Table4[Heat Cap])*(H42-H43)),"")</f>
        <v>47.699999999999996</v>
      </c>
      <c r="K43" s="10">
        <f t="shared" si="9"/>
        <v>3163.6999999999985</v>
      </c>
      <c r="L43" s="10">
        <f t="shared" si="8"/>
        <v>8992.1999999999989</v>
      </c>
      <c r="M43" s="12" t="str">
        <f t="shared" si="0"/>
        <v/>
      </c>
      <c r="O43" s="10" cm="1">
        <f t="array" ref="O43">IF(H43=INDEX($H$27:$H$100,COUNT($H$27:$H$100)),ColdUtility,IF(SUM((H43&gt;=MIN(Table3[Supply Temp])+MinAppTemp/2)*(H43&lt;=MAX(Table3[Target Temp])+MinAppTemp/2)),IF(LEN(I44)&gt;0,I44,0)+O44,NA()))</f>
        <v>16661.5</v>
      </c>
      <c r="P43" s="10">
        <f t="shared" si="2"/>
        <v>50</v>
      </c>
      <c r="R43" s="10">
        <f>IF(SUM((H43&lt;=MAX(Table4[Supply Temp])-MinAppTemp/2)*(H43&gt;=MIN(Table4[Target Temp])-MinAppTemp/2)),IF(ISERROR(R44),0,R44+J44),NA())</f>
        <v>7669.3</v>
      </c>
      <c r="S43" s="10">
        <f t="shared" si="3"/>
        <v>50</v>
      </c>
      <c r="U43" s="2">
        <f t="shared" si="4"/>
        <v>8992.1999999999989</v>
      </c>
      <c r="V43" s="2">
        <f t="shared" si="5"/>
        <v>50</v>
      </c>
      <c r="X43" s="2">
        <v>24118.599999999995</v>
      </c>
      <c r="Y43" s="2">
        <v>71</v>
      </c>
      <c r="Z43" s="13" cm="1">
        <f t="array" ref="Z43">_xlfn.LAMBDA(_xlpm.x,_xlpm.row,_xlpm.y,IF(NOT(ISERROR(_xlpm.row)),IF(COUNTIF($O$27:$O$100,_xlpm.x)=1,INDEX($P$27:$P$100,_xlpm.y),$Y43),INDEX($P$27:$P$100,_xlpm.y)-(INDEX($P$27:$P$100,_xlpm.y)-INDEX($P$27:$P$100,_xlpm.y+1))*(INDEX($O$27:$O$100,_xlpm.y)-_xlpm.x)/(INDEX($O$27:$O$100,_xlpm.y)-INDEX($O$27:$O$100,_xlpm.y+1))))($X43,MATCH($X43,$O$27:$O$100,0),MATCH($X43,$O$27:$O$100,-1))</f>
        <v>71</v>
      </c>
      <c r="AA43" s="13" cm="1">
        <f t="array" ref="AA43">_xlfn.LAMBDA(_xlpm.x,_xlpm.row,_xlpm.y,IF(NOT(ISERROR(_xlpm.row)),IF(COUNTIF($R$27:$R$100,_xlpm.x)=1,INDEX($S$27:$S$100,_xlpm.y),$Y43),INDEX($S$27:$S$100,_xlpm.y)-(INDEX($S$27:$S$100,_xlpm.y)-INDEX($S$27:$S$100,_xlpm.y+1))*(INDEX($R$27:$R$100,_xlpm.y)-_xlpm.x)/(INDEX($R$27:$R$100,_xlpm.y)-INDEX($R$27:$R$100,_xlpm.y+1))))($X43,MATCH($X43,$R$27:$R$100,0),MATCH($X43,$R$27:$R$100,-1))</f>
        <v>94.038730158730132</v>
      </c>
      <c r="AB43" s="8">
        <f t="shared" si="1"/>
        <v>602.96499999999992</v>
      </c>
      <c r="AC43" s="6">
        <f t="shared" si="6"/>
        <v>71</v>
      </c>
      <c r="AD43" s="6">
        <f t="shared" si="7"/>
        <v>23.038730158730132</v>
      </c>
      <c r="AH43" s="2">
        <v>74</v>
      </c>
      <c r="AI43" s="2">
        <v>16</v>
      </c>
      <c r="AJ43" s="2" t="str">
        <v>Hot 6</v>
      </c>
      <c r="AL43" s="2">
        <v>45</v>
      </c>
      <c r="AM43" s="2">
        <v>6</v>
      </c>
      <c r="AN43" s="2" t="str">
        <v>Cold 6</v>
      </c>
    </row>
    <row r="44" spans="8:40" ht="15.75" x14ac:dyDescent="0.5">
      <c r="H44" s="11">
        <v>43</v>
      </c>
      <c r="I44" s="11" cm="1">
        <f t="array" ref="I44">IF(H44,SUM(((Table3[Supply Temp]+MinAppTemp/2)&lt;=H44)*((Table3[Target Temp]+MinAppTemp/2)&gt;H44)*Table3[Heat Cap])*(H43-H44),"")</f>
        <v>2723</v>
      </c>
      <c r="J44" s="11" cm="1">
        <f t="array" ref="J44">IF(H44,SUM(((Table4[Target Temp]-MinAppTemp/2)&lt;=H44)*((Table4[Supply Temp]-MinAppTemp/2)&gt;H44)*(Table4[Heat Cap])*(H43-H44)),"")</f>
        <v>37.1</v>
      </c>
      <c r="K44" s="11">
        <f t="shared" si="9"/>
        <v>477.79999999999836</v>
      </c>
      <c r="L44" s="11">
        <f t="shared" si="8"/>
        <v>6306.2999999999993</v>
      </c>
      <c r="M44" s="14" t="str">
        <f t="shared" si="0"/>
        <v/>
      </c>
      <c r="O44" s="11" cm="1">
        <f t="array" ref="O44">IF(H44=INDEX($H$27:$H$100,COUNT($H$27:$H$100)),ColdUtility,IF(SUM((H44&gt;=MIN(Table3[Supply Temp])+MinAppTemp/2)*(H44&lt;=MAX(Table3[Target Temp])+MinAppTemp/2)),IF(LEN(I45)&gt;0,I45,0)+O45,NA()))</f>
        <v>13938.499999999998</v>
      </c>
      <c r="P44" s="11">
        <f t="shared" si="2"/>
        <v>43</v>
      </c>
      <c r="R44" s="11">
        <f>IF(SUM((H44&lt;=MAX(Table4[Supply Temp])-MinAppTemp/2)*(H44&gt;=MIN(Table4[Target Temp])-MinAppTemp/2)),IF(ISERROR(R45),0,R45+J45),NA())</f>
        <v>7632.2</v>
      </c>
      <c r="S44" s="11">
        <f t="shared" si="3"/>
        <v>43</v>
      </c>
      <c r="U44" s="2">
        <f t="shared" si="4"/>
        <v>6306.2999999999993</v>
      </c>
      <c r="V44" s="2">
        <f t="shared" si="5"/>
        <v>43</v>
      </c>
      <c r="X44" s="2">
        <v>23062.6</v>
      </c>
      <c r="Y44" s="2">
        <v>71</v>
      </c>
      <c r="Z44" s="13" cm="1">
        <f t="array" ref="Z44">_xlfn.LAMBDA(_xlpm.x,_xlpm.row,_xlpm.y,IF(NOT(ISERROR(_xlpm.row)),IF(COUNTIF($O$27:$O$100,_xlpm.x)=1,INDEX($P$27:$P$100,_xlpm.y),$Y44),INDEX($P$27:$P$100,_xlpm.y)-(INDEX($P$27:$P$100,_xlpm.y)-INDEX($P$27:$P$100,_xlpm.y+1))*(INDEX($O$27:$O$100,_xlpm.y)-_xlpm.x)/(INDEX($O$27:$O$100,_xlpm.y)-INDEX($O$27:$O$100,_xlpm.y+1))))($X44,MATCH($X44,$O$27:$O$100,0),MATCH($X44,$O$27:$O$100,-1))</f>
        <v>68.026189805688546</v>
      </c>
      <c r="AA44" s="13" cm="1">
        <f t="array" ref="AA44">_xlfn.LAMBDA(_xlpm.x,_xlpm.row,_xlpm.y,IF(NOT(ISERROR(_xlpm.row)),IF(COUNTIF($R$27:$R$100,_xlpm.x)=1,INDEX($S$27:$S$100,_xlpm.y),$Y44),INDEX($S$27:$S$100,_xlpm.y)-(INDEX($S$27:$S$100,_xlpm.y)-INDEX($S$27:$S$100,_xlpm.y+1))*(INDEX($R$27:$R$100,_xlpm.y)-_xlpm.x)/(INDEX($R$27:$R$100,_xlpm.y)-INDEX($R$27:$R$100,_xlpm.y+1))))($X44,MATCH($X44,$R$27:$R$100,0),MATCH($X44,$R$27:$R$100,-1))</f>
        <v>71</v>
      </c>
      <c r="AB44" s="8">
        <f t="shared" si="1"/>
        <v>576.56500000000005</v>
      </c>
      <c r="AC44" s="6">
        <f t="shared" si="6"/>
        <v>68.026189805688546</v>
      </c>
      <c r="AD44" s="6">
        <f t="shared" si="7"/>
        <v>2.9738101943114543</v>
      </c>
      <c r="AH44" s="2" t="str">
        <v/>
      </c>
      <c r="AI44" s="2" t="str">
        <v/>
      </c>
      <c r="AJ44" s="2" t="str">
        <v/>
      </c>
      <c r="AL44" s="2" t="str">
        <v/>
      </c>
      <c r="AM44" s="2" t="str">
        <v/>
      </c>
      <c r="AN44" s="2" t="str">
        <v/>
      </c>
    </row>
    <row r="45" spans="8:40" ht="15.75" x14ac:dyDescent="0.5">
      <c r="H45" s="10">
        <v>32</v>
      </c>
      <c r="I45" s="10" cm="1">
        <f t="array" ref="I45">IF(H45,SUM(((Table3[Supply Temp]+MinAppTemp/2)&lt;=H45)*((Table3[Target Temp]+MinAppTemp/2)&gt;H45)*Table3[Heat Cap])*(H44-H45),"")</f>
        <v>4076.6000000000004</v>
      </c>
      <c r="J45" s="10" cm="1">
        <f t="array" ref="J45">IF(H45,SUM(((Table4[Target Temp]-MinAppTemp/2)&lt;=H45)*((Table4[Supply Temp]-MinAppTemp/2)&gt;H45)*(Table4[Heat Cap])*(H44-H45)),"")</f>
        <v>58.3</v>
      </c>
      <c r="K45" s="10">
        <f t="shared" si="9"/>
        <v>-3540.5000000000018</v>
      </c>
      <c r="L45" s="10">
        <f t="shared" si="8"/>
        <v>2287.9999999999991</v>
      </c>
      <c r="M45" s="12" t="str">
        <f t="shared" si="0"/>
        <v/>
      </c>
      <c r="O45" s="10" cm="1">
        <f t="array" ref="O45">IF(H45=INDEX($H$27:$H$100,COUNT($H$27:$H$100)),ColdUtility,IF(SUM((H45&gt;=MIN(Table3[Supply Temp])+MinAppTemp/2)*(H45&lt;=MAX(Table3[Target Temp])+MinAppTemp/2)),IF(LEN(I46)&gt;0,I46,0)+O46,NA()))</f>
        <v>9861.8999999999978</v>
      </c>
      <c r="P45" s="10">
        <f t="shared" si="2"/>
        <v>32</v>
      </c>
      <c r="R45" s="10">
        <f>IF(SUM((H45&lt;=MAX(Table4[Supply Temp])-MinAppTemp/2)*(H45&gt;=MIN(Table4[Target Temp])-MinAppTemp/2)),IF(ISERROR(R46),0,R46+J46),NA())</f>
        <v>7573.9</v>
      </c>
      <c r="S45" s="10">
        <f t="shared" si="3"/>
        <v>32</v>
      </c>
      <c r="U45" s="2">
        <f t="shared" si="4"/>
        <v>2287.9999999999991</v>
      </c>
      <c r="V45" s="2">
        <f t="shared" si="5"/>
        <v>32</v>
      </c>
      <c r="X45" s="2">
        <v>25538.999999999996</v>
      </c>
      <c r="Y45" s="2">
        <v>75</v>
      </c>
      <c r="Z45" s="13" cm="1">
        <f t="array" ref="Z45">_xlfn.LAMBDA(_xlpm.x,_xlpm.row,_xlpm.y,IF(NOT(ISERROR(_xlpm.row)),IF(COUNTIF($O$27:$O$100,_xlpm.x)=1,INDEX($P$27:$P$100,_xlpm.y),$Y45),INDEX($P$27:$P$100,_xlpm.y)-(INDEX($P$27:$P$100,_xlpm.y)-INDEX($P$27:$P$100,_xlpm.y+1))*(INDEX($O$27:$O$100,_xlpm.y)-_xlpm.x)/(INDEX($O$27:$O$100,_xlpm.y)-INDEX($O$27:$O$100,_xlpm.y+1))))($X45,MATCH($X45,$O$27:$O$100,0),MATCH($X45,$O$27:$O$100,-1))</f>
        <v>75</v>
      </c>
      <c r="AA45" s="13" cm="1">
        <f t="array" ref="AA45">_xlfn.LAMBDA(_xlpm.x,_xlpm.row,_xlpm.y,IF(NOT(ISERROR(_xlpm.row)),IF(COUNTIF($R$27:$R$100,_xlpm.x)=1,INDEX($S$27:$S$100,_xlpm.y),$Y45),INDEX($S$27:$S$100,_xlpm.y)-(INDEX($S$27:$S$100,_xlpm.y)-INDEX($S$27:$S$100,_xlpm.y+1))*(INDEX($R$27:$R$100,_xlpm.y)-_xlpm.x)/(INDEX($R$27:$R$100,_xlpm.y)-INDEX($R$27:$R$100,_xlpm.y+1))))($X45,MATCH($X45,$R$27:$R$100,0),MATCH($X45,$R$27:$R$100,-1))</f>
        <v>105.11077602938103</v>
      </c>
      <c r="AB45" s="8">
        <f t="shared" si="1"/>
        <v>638.47499999999991</v>
      </c>
      <c r="AC45" s="6">
        <f t="shared" si="6"/>
        <v>75</v>
      </c>
      <c r="AD45" s="6">
        <f t="shared" si="7"/>
        <v>30.110776029381029</v>
      </c>
      <c r="AH45" s="2">
        <v>66</v>
      </c>
      <c r="AI45" s="2">
        <v>17</v>
      </c>
      <c r="AJ45" s="2" t="str">
        <v>Hot 7</v>
      </c>
      <c r="AL45" s="2" t="e">
        <v>#N/A</v>
      </c>
      <c r="AM45" s="2">
        <v>7</v>
      </c>
      <c r="AN45" s="2" t="str">
        <v>Cold 7</v>
      </c>
    </row>
    <row r="46" spans="8:40" ht="15.75" x14ac:dyDescent="0.5">
      <c r="H46" s="11">
        <v>9</v>
      </c>
      <c r="I46" s="11" cm="1">
        <f t="array" ref="I46">IF(H46,SUM(((Table3[Supply Temp]+MinAppTemp/2)&lt;=H46)*((Table3[Target Temp]+MinAppTemp/2)&gt;H46)*Table3[Heat Cap])*(H45-H46),"")</f>
        <v>8523.8000000000011</v>
      </c>
      <c r="J46" s="11" cm="1">
        <f t="array" ref="J46">IF(H46,SUM(((Table4[Target Temp]-MinAppTemp/2)&lt;=H46)*((Table4[Supply Temp]-MinAppTemp/2)&gt;H46)*(Table4[Heat Cap])*(H45-H46)),"")</f>
        <v>7573.9</v>
      </c>
      <c r="K46" s="11">
        <f t="shared" si="9"/>
        <v>-4490.4000000000033</v>
      </c>
      <c r="L46" s="11">
        <f t="shared" si="8"/>
        <v>1338.0999999999976</v>
      </c>
      <c r="M46" s="14" t="str">
        <f t="shared" si="0"/>
        <v/>
      </c>
      <c r="O46" s="11" cm="1">
        <f t="array" ref="O46">IF(H46=INDEX($H$27:$H$100,COUNT($H$27:$H$100)),ColdUtility,IF(SUM((H46&gt;=MIN(Table3[Supply Temp])+MinAppTemp/2)*(H46&lt;=MAX(Table3[Target Temp])+MinAppTemp/2)),IF(LEN(I47)&gt;0,I47,0)+O47,NA()))</f>
        <v>1338.0999999999976</v>
      </c>
      <c r="P46" s="11">
        <f t="shared" si="2"/>
        <v>9</v>
      </c>
      <c r="R46" s="11">
        <f>IF(SUM((H46&lt;=MAX(Table4[Supply Temp])-MinAppTemp/2)*(H46&gt;=MIN(Table4[Target Temp])-MinAppTemp/2)),IF(ISERROR(R47),0,R47+J47),NA())</f>
        <v>0</v>
      </c>
      <c r="S46" s="11">
        <f t="shared" si="3"/>
        <v>9</v>
      </c>
      <c r="U46" s="2">
        <f t="shared" si="4"/>
        <v>1338.0999999999976</v>
      </c>
      <c r="V46" s="2">
        <f t="shared" si="5"/>
        <v>9</v>
      </c>
      <c r="X46" s="2">
        <v>23151</v>
      </c>
      <c r="Y46" s="2">
        <v>75</v>
      </c>
      <c r="Z46" s="13" cm="1">
        <f t="array" ref="Z46">_xlfn.LAMBDA(_xlpm.x,_xlpm.row,_xlpm.y,IF(NOT(ISERROR(_xlpm.row)),IF(COUNTIF($O$27:$O$100,_xlpm.x)=1,INDEX($P$27:$P$100,_xlpm.y),$Y46),INDEX($P$27:$P$100,_xlpm.y)-(INDEX($P$27:$P$100,_xlpm.y)-INDEX($P$27:$P$100,_xlpm.y+1))*(INDEX($O$27:$O$100,_xlpm.y)-_xlpm.x)/(INDEX($O$27:$O$100,_xlpm.y)-INDEX($O$27:$O$100,_xlpm.y+1))))($X46,MATCH($X46,$O$27:$O$100,0),MATCH($X46,$O$27:$O$100,-1))</f>
        <v>68.275133765136587</v>
      </c>
      <c r="AA46" s="13" cm="1">
        <f t="array" ref="AA46">_xlfn.LAMBDA(_xlpm.x,_xlpm.row,_xlpm.y,IF(NOT(ISERROR(_xlpm.row)),IF(COUNTIF($R$27:$R$100,_xlpm.x)=1,INDEX($S$27:$S$100,_xlpm.y),$Y46),INDEX($S$27:$S$100,_xlpm.y)-(INDEX($S$27:$S$100,_xlpm.y)-INDEX($S$27:$S$100,_xlpm.y+1))*(INDEX($R$27:$R$100,_xlpm.y)-_xlpm.x)/(INDEX($R$27:$R$100,_xlpm.y)-INDEX($R$27:$R$100,_xlpm.y+1))))($X46,MATCH($X46,$R$27:$R$100,0),MATCH($X46,$R$27:$R$100,-1))</f>
        <v>75</v>
      </c>
      <c r="AB46" s="8">
        <f t="shared" si="1"/>
        <v>578.77499999999998</v>
      </c>
      <c r="AC46" s="6">
        <f t="shared" si="6"/>
        <v>68.275133765136587</v>
      </c>
      <c r="AD46" s="6">
        <f t="shared" si="7"/>
        <v>6.7248662348634127</v>
      </c>
      <c r="AH46" s="2">
        <v>65</v>
      </c>
      <c r="AI46" s="2">
        <v>17</v>
      </c>
      <c r="AJ46" s="2" t="str">
        <v>Hot 7</v>
      </c>
      <c r="AL46" s="2" t="e">
        <v>#N/A</v>
      </c>
      <c r="AM46" s="2">
        <v>7</v>
      </c>
      <c r="AN46" s="2" t="str">
        <v>Cold 7</v>
      </c>
    </row>
    <row r="47" spans="8:40" ht="15.75" x14ac:dyDescent="0.5">
      <c r="H47" s="10"/>
      <c r="I47" s="10" t="str" cm="1">
        <f t="array" ref="I47">IF(H47,SUM(((Table3[Supply Temp]+MinAppTemp/2)&lt;=H47)*((Table3[Target Temp]+MinAppTemp/2)&gt;H47)*Table3[Heat Cap])*(H46-H47),"")</f>
        <v/>
      </c>
      <c r="J47" s="10" t="str" cm="1">
        <f t="array" ref="J47">IF(H47,SUM(((Table4[Target Temp]-MinAppTemp/2)&lt;=H47)*((Table4[Supply Temp]-MinAppTemp/2)&gt;H47)*(Table4[Heat Cap])*(H46-H47)),"")</f>
        <v/>
      </c>
      <c r="K47" s="10" t="str">
        <f t="shared" si="9"/>
        <v/>
      </c>
      <c r="L47" s="10" t="str">
        <f t="shared" si="8"/>
        <v/>
      </c>
      <c r="M47" s="12" t="str">
        <f t="shared" si="0"/>
        <v/>
      </c>
      <c r="O47" s="10" t="e" cm="1">
        <f t="array" ref="O47">IF(H47=INDEX($H$27:$H$100,COUNT($H$27:$H$100)),ColdUtility,IF(SUM((H47&gt;=MIN(Table3[Supply Temp])+MinAppTemp/2)*(H47&lt;=MAX(Table3[Target Temp])+MinAppTemp/2)),IF(LEN(I48)&gt;0,I48,0)+O48,NA()))</f>
        <v>#N/A</v>
      </c>
      <c r="P47" s="10" t="e">
        <f t="shared" si="2"/>
        <v>#N/A</v>
      </c>
      <c r="R47" s="10" t="e">
        <f>IF(SUM((H47&lt;=MAX(Table4[Supply Temp])-MinAppTemp/2)*(H47&gt;=MIN(Table4[Target Temp])-MinAppTemp/2)),IF(ISERROR(R48),0,R48+J48),NA())</f>
        <v>#N/A</v>
      </c>
      <c r="S47" s="10" t="e">
        <f t="shared" si="3"/>
        <v>#N/A</v>
      </c>
      <c r="U47" s="2" t="e">
        <f t="shared" si="4"/>
        <v>#N/A</v>
      </c>
      <c r="V47" s="2" t="e">
        <f t="shared" si="5"/>
        <v>#N/A</v>
      </c>
      <c r="X47" s="2">
        <v>27218.999999999996</v>
      </c>
      <c r="Y47" s="2">
        <v>81</v>
      </c>
      <c r="Z47" s="13" cm="1">
        <f t="array" ref="Z47">_xlfn.LAMBDA(_xlpm.x,_xlpm.row,_xlpm.y,IF(NOT(ISERROR(_xlpm.row)),IF(COUNTIF($O$27:$O$100,_xlpm.x)=1,INDEX($P$27:$P$100,_xlpm.y),$Y47),INDEX($P$27:$P$100,_xlpm.y)-(INDEX($P$27:$P$100,_xlpm.y)-INDEX($P$27:$P$100,_xlpm.y+1))*(INDEX($O$27:$O$100,_xlpm.y)-_xlpm.x)/(INDEX($O$27:$O$100,_xlpm.y)-INDEX($O$27:$O$100,_xlpm.y+1))))($X47,MATCH($X47,$O$27:$O$100,0),MATCH($X47,$O$27:$O$100,-1))</f>
        <v>81</v>
      </c>
      <c r="AA47" s="13" cm="1">
        <f t="array" ref="AA47">_xlfn.LAMBDA(_xlpm.x,_xlpm.row,_xlpm.y,IF(NOT(ISERROR(_xlpm.row)),IF(COUNTIF($R$27:$R$100,_xlpm.x)=1,INDEX($S$27:$S$100,_xlpm.y),$Y47),INDEX($S$27:$S$100,_xlpm.y)-(INDEX($S$27:$S$100,_xlpm.y)-INDEX($S$27:$S$100,_xlpm.y+1))*(INDEX($R$27:$R$100,_xlpm.y)-_xlpm.x)/(INDEX($R$27:$R$100,_xlpm.y)-INDEX($R$27:$R$100,_xlpm.y+1))))($X47,MATCH($X47,$R$27:$R$100,0),MATCH($X47,$R$27:$R$100,-1))</f>
        <v>105.61240333223851</v>
      </c>
      <c r="AB47" s="8">
        <f t="shared" si="1"/>
        <v>680.47499999999991</v>
      </c>
      <c r="AC47" s="6">
        <f t="shared" si="6"/>
        <v>81</v>
      </c>
      <c r="AD47" s="6">
        <f t="shared" si="7"/>
        <v>24.612403332238515</v>
      </c>
      <c r="AH47" s="2" t="str">
        <v/>
      </c>
      <c r="AI47" s="2" t="str">
        <v/>
      </c>
      <c r="AJ47" s="2" t="str">
        <v/>
      </c>
      <c r="AL47" s="2" t="str">
        <v/>
      </c>
      <c r="AM47" s="2" t="str">
        <v/>
      </c>
      <c r="AN47" s="2" t="str">
        <v/>
      </c>
    </row>
    <row r="48" spans="8:40" ht="15.75" x14ac:dyDescent="0.5">
      <c r="H48" s="11"/>
      <c r="I48" s="11" t="str" cm="1">
        <f t="array" ref="I48">IF(H48,SUM(((Table3[Supply Temp]+MinAppTemp/2)&lt;=H48)*((Table3[Target Temp]+MinAppTemp/2)&gt;H48)*Table3[Heat Cap])*(H47-H48),"")</f>
        <v/>
      </c>
      <c r="J48" s="11" t="str" cm="1">
        <f t="array" ref="J48">IF(H48,SUM(((Table4[Target Temp]-MinAppTemp/2)&lt;=H48)*((Table4[Supply Temp]-MinAppTemp/2)&gt;H48)*(Table4[Heat Cap])*(H47-H48)),"")</f>
        <v/>
      </c>
      <c r="K48" s="11" t="str">
        <f t="shared" si="9"/>
        <v/>
      </c>
      <c r="L48" s="11" t="str">
        <f t="shared" si="8"/>
        <v/>
      </c>
      <c r="M48" s="14" t="str">
        <f t="shared" si="0"/>
        <v/>
      </c>
      <c r="O48" s="11" t="e" cm="1">
        <f t="array" ref="O48">IF(H48=INDEX($H$27:$H$100,COUNT($H$27:$H$100)),ColdUtility,IF(SUM((H48&gt;=MIN(Table3[Supply Temp])+MinAppTemp/2)*(H48&lt;=MAX(Table3[Target Temp])+MinAppTemp/2)),IF(LEN(I49)&gt;0,I49,0)+O49,NA()))</f>
        <v>#N/A</v>
      </c>
      <c r="P48" s="11" t="e">
        <f t="shared" si="2"/>
        <v>#N/A</v>
      </c>
      <c r="R48" s="11" t="e">
        <f>IF(SUM((H48&lt;=MAX(Table4[Supply Temp])-MinAppTemp/2)*(H48&gt;=MIN(Table4[Target Temp])-MinAppTemp/2)),IF(ISERROR(R49),0,R49+J49),NA())</f>
        <v>#N/A</v>
      </c>
      <c r="S48" s="11" t="e">
        <f t="shared" si="3"/>
        <v>#N/A</v>
      </c>
      <c r="U48" s="2" t="e">
        <f t="shared" si="4"/>
        <v>#N/A</v>
      </c>
      <c r="V48" s="2" t="e">
        <f t="shared" si="5"/>
        <v>#N/A</v>
      </c>
      <c r="X48" s="2">
        <v>23283.599999999999</v>
      </c>
      <c r="Y48" s="2">
        <v>81</v>
      </c>
      <c r="Z48" s="13" cm="1">
        <f t="array" ref="Z48">_xlfn.LAMBDA(_xlpm.x,_xlpm.row,_xlpm.y,IF(NOT(ISERROR(_xlpm.row)),IF(COUNTIF($O$27:$O$100,_xlpm.x)=1,INDEX($P$27:$P$100,_xlpm.y),$Y48),INDEX($P$27:$P$100,_xlpm.y)-(INDEX($P$27:$P$100,_xlpm.y)-INDEX($P$27:$P$100,_xlpm.y+1))*(INDEX($O$27:$O$100,_xlpm.y)-_xlpm.x)/(INDEX($O$27:$O$100,_xlpm.y)-INDEX($O$27:$O$100,_xlpm.y+1))))($X48,MATCH($X48,$O$27:$O$100,0),MATCH($X48,$O$27:$O$100,-1))</f>
        <v>68.64854970430865</v>
      </c>
      <c r="AA48" s="13" cm="1">
        <f t="array" ref="AA48">_xlfn.LAMBDA(_xlpm.x,_xlpm.row,_xlpm.y,IF(NOT(ISERROR(_xlpm.row)),IF(COUNTIF($R$27:$R$100,_xlpm.x)=1,INDEX($S$27:$S$100,_xlpm.y),$Y48),INDEX($S$27:$S$100,_xlpm.y)-(INDEX($S$27:$S$100,_xlpm.y)-INDEX($S$27:$S$100,_xlpm.y+1))*(INDEX($R$27:$R$100,_xlpm.y)-_xlpm.x)/(INDEX($R$27:$R$100,_xlpm.y)-INDEX($R$27:$R$100,_xlpm.y+1))))($X48,MATCH($X48,$R$27:$R$100,0),MATCH($X48,$R$27:$R$100,-1))</f>
        <v>81</v>
      </c>
      <c r="AB48" s="8">
        <f t="shared" si="1"/>
        <v>582.09</v>
      </c>
      <c r="AC48" s="6">
        <f t="shared" si="6"/>
        <v>68.64854970430865</v>
      </c>
      <c r="AD48" s="6">
        <f t="shared" si="7"/>
        <v>12.35145029569135</v>
      </c>
      <c r="AH48" s="2">
        <v>65</v>
      </c>
      <c r="AI48" s="2">
        <v>18</v>
      </c>
      <c r="AJ48" s="2" t="str">
        <v>Hot 8</v>
      </c>
      <c r="AL48" s="2" t="e">
        <v>#N/A</v>
      </c>
      <c r="AM48" s="2">
        <v>8</v>
      </c>
      <c r="AN48" s="2" t="str">
        <v>Cold 8</v>
      </c>
    </row>
    <row r="49" spans="8:40" ht="15.75" x14ac:dyDescent="0.5">
      <c r="H49" s="10"/>
      <c r="I49" s="10" t="str" cm="1">
        <f t="array" ref="I49">IF(H49,SUM(((Table3[Supply Temp]+MinAppTemp/2)&lt;=H49)*((Table3[Target Temp]+MinAppTemp/2)&gt;H49)*Table3[Heat Cap])*(H48-H49),"")</f>
        <v/>
      </c>
      <c r="J49" s="10" t="str" cm="1">
        <f t="array" ref="J49">IF(H49,SUM(((Table4[Target Temp]-MinAppTemp/2)&lt;=H49)*((Table4[Supply Temp]-MinAppTemp/2)&gt;H49)*(Table4[Heat Cap])*(H48-H49)),"")</f>
        <v/>
      </c>
      <c r="K49" s="10" t="str">
        <f t="shared" si="9"/>
        <v/>
      </c>
      <c r="L49" s="10" t="str">
        <f t="shared" si="8"/>
        <v/>
      </c>
      <c r="M49" s="12" t="str">
        <f t="shared" si="0"/>
        <v/>
      </c>
      <c r="O49" s="10" t="e" cm="1">
        <f t="array" ref="O49">IF(H49=INDEX($H$27:$H$100,COUNT($H$27:$H$100)),ColdUtility,IF(SUM((H49&gt;=MIN(Table3[Supply Temp])+MinAppTemp/2)*(H49&lt;=MAX(Table3[Target Temp])+MinAppTemp/2)),IF(LEN(I50)&gt;0,I50,0)+O50,NA()))</f>
        <v>#N/A</v>
      </c>
      <c r="P49" s="10" t="e">
        <f t="shared" si="2"/>
        <v>#N/A</v>
      </c>
      <c r="R49" s="10" t="e">
        <f>IF(SUM((H49&lt;=MAX(Table4[Supply Temp])-MinAppTemp/2)*(H49&gt;=MIN(Table4[Target Temp])-MinAppTemp/2)),IF(ISERROR(R50),0,R50+J50),NA())</f>
        <v>#N/A</v>
      </c>
      <c r="S49" s="10" t="e">
        <f t="shared" si="3"/>
        <v>#N/A</v>
      </c>
      <c r="U49" s="2" t="e">
        <f t="shared" si="4"/>
        <v>#N/A</v>
      </c>
      <c r="V49" s="2" t="e">
        <f t="shared" si="5"/>
        <v>#N/A</v>
      </c>
      <c r="X49" s="2">
        <v>23482.5</v>
      </c>
      <c r="Y49" s="2">
        <v>90</v>
      </c>
      <c r="Z49" s="13" cm="1">
        <f t="array" ref="Z49">_xlfn.LAMBDA(_xlpm.x,_xlpm.row,_xlpm.y,IF(NOT(ISERROR(_xlpm.row)),IF(COUNTIF($O$27:$O$100,_xlpm.x)=1,INDEX($P$27:$P$100,_xlpm.y),$Y49),INDEX($P$27:$P$100,_xlpm.y)-(INDEX($P$27:$P$100,_xlpm.y)-INDEX($P$27:$P$100,_xlpm.y+1))*(INDEX($O$27:$O$100,_xlpm.y)-_xlpm.x)/(INDEX($O$27:$O$100,_xlpm.y)-INDEX($O$27:$O$100,_xlpm.y+1))))($X49,MATCH($X49,$O$27:$O$100,0),MATCH($X49,$O$27:$O$100,-1))</f>
        <v>69.20867361306675</v>
      </c>
      <c r="AA49" s="13" cm="1">
        <f t="array" ref="AA49">_xlfn.LAMBDA(_xlpm.x,_xlpm.row,_xlpm.y,IF(NOT(ISERROR(_xlpm.row)),IF(COUNTIF($R$27:$R$100,_xlpm.x)=1,INDEX($S$27:$S$100,_xlpm.y),$Y49),INDEX($S$27:$S$100,_xlpm.y)-(INDEX($S$27:$S$100,_xlpm.y)-INDEX($S$27:$S$100,_xlpm.y+1))*(INDEX($R$27:$R$100,_xlpm.y)-_xlpm.x)/(INDEX($R$27:$R$100,_xlpm.y)-INDEX($R$27:$R$100,_xlpm.y+1))))($X49,MATCH($X49,$R$27:$R$100,0),MATCH($X49,$R$27:$R$100,-1))</f>
        <v>90</v>
      </c>
      <c r="AB49" s="8">
        <f t="shared" si="1"/>
        <v>587.0625</v>
      </c>
      <c r="AC49" s="6">
        <f t="shared" si="6"/>
        <v>69.20867361306675</v>
      </c>
      <c r="AD49" s="6">
        <f t="shared" si="7"/>
        <v>20.79132638693325</v>
      </c>
      <c r="AH49" s="2">
        <v>64</v>
      </c>
      <c r="AI49" s="2">
        <v>18</v>
      </c>
      <c r="AJ49" s="2" t="str">
        <v>Hot 8</v>
      </c>
      <c r="AL49" s="2" t="e">
        <v>#N/A</v>
      </c>
      <c r="AM49" s="2">
        <v>8</v>
      </c>
      <c r="AN49" s="2" t="str">
        <v>Cold 8</v>
      </c>
    </row>
    <row r="50" spans="8:40" ht="15.75" x14ac:dyDescent="0.5">
      <c r="H50" s="11"/>
      <c r="I50" s="11" t="str" cm="1">
        <f t="array" ref="I50">IF(H50,SUM(((Table3[Supply Temp]+MinAppTemp/2)&lt;=H50)*((Table3[Target Temp]+MinAppTemp/2)&gt;H50)*Table3[Heat Cap])*(H49-H50),"")</f>
        <v/>
      </c>
      <c r="J50" s="11" t="str" cm="1">
        <f t="array" ref="J50">IF(H50,SUM(((Table4[Target Temp]-MinAppTemp/2)&lt;=H50)*((Table4[Supply Temp]-MinAppTemp/2)&gt;H50)*(Table4[Heat Cap])*(H49-H50)),"")</f>
        <v/>
      </c>
      <c r="K50" s="11" t="str">
        <f t="shared" si="9"/>
        <v/>
      </c>
      <c r="L50" s="11" t="str">
        <f t="shared" si="8"/>
        <v/>
      </c>
      <c r="M50" s="14" t="str">
        <f t="shared" si="0"/>
        <v/>
      </c>
      <c r="O50" s="11" t="e" cm="1">
        <f t="array" ref="O50">IF(H50=INDEX($H$27:$H$100,COUNT($H$27:$H$100)),ColdUtility,IF(SUM((H50&gt;=MIN(Table3[Supply Temp])+MinAppTemp/2)*(H50&lt;=MAX(Table3[Target Temp])+MinAppTemp/2)),IF(LEN(I51)&gt;0,I51,0)+O51,NA()))</f>
        <v>#N/A</v>
      </c>
      <c r="P50" s="11" t="e">
        <f t="shared" si="2"/>
        <v>#N/A</v>
      </c>
      <c r="R50" s="11" t="e">
        <f>IF(SUM((H50&lt;=MAX(Table4[Supply Temp])-MinAppTemp/2)*(H50&gt;=MIN(Table4[Target Temp])-MinAppTemp/2)),IF(ISERROR(R51),0,R51+J51),NA())</f>
        <v>#N/A</v>
      </c>
      <c r="S50" s="11" t="e">
        <f t="shared" si="3"/>
        <v>#N/A</v>
      </c>
      <c r="U50" s="2" t="e">
        <f t="shared" si="4"/>
        <v>#N/A</v>
      </c>
      <c r="V50" s="2" t="e">
        <f t="shared" si="5"/>
        <v>#N/A</v>
      </c>
      <c r="X50" s="2">
        <v>24270</v>
      </c>
      <c r="Y50" s="2">
        <v>95</v>
      </c>
      <c r="Z50" s="13" cm="1">
        <f t="array" ref="Z50">_xlfn.LAMBDA(_xlpm.x,_xlpm.row,_xlpm.y,IF(NOT(ISERROR(_xlpm.row)),IF(COUNTIF($O$27:$O$100,_xlpm.x)=1,INDEX($P$27:$P$100,_xlpm.y),$Y50),INDEX($P$27:$P$100,_xlpm.y)-(INDEX($P$27:$P$100,_xlpm.y)-INDEX($P$27:$P$100,_xlpm.y+1))*(INDEX($O$27:$O$100,_xlpm.y)-_xlpm.x)/(INDEX($O$27:$O$100,_xlpm.y)-INDEX($O$27:$O$100,_xlpm.y+1))))($X50,MATCH($X50,$O$27:$O$100,0),MATCH($X50,$O$27:$O$100,-1))</f>
        <v>71.426358772176869</v>
      </c>
      <c r="AA50" s="13" cm="1">
        <f t="array" ref="AA50">_xlfn.LAMBDA(_xlpm.x,_xlpm.row,_xlpm.y,IF(NOT(ISERROR(_xlpm.row)),IF(COUNTIF($R$27:$R$100,_xlpm.x)=1,INDEX($S$27:$S$100,_xlpm.y),$Y50),INDEX($S$27:$S$100,_xlpm.y)-(INDEX($S$27:$S$100,_xlpm.y)-INDEX($S$27:$S$100,_xlpm.y+1))*(INDEX($R$27:$R$100,_xlpm.y)-_xlpm.x)/(INDEX($R$27:$R$100,_xlpm.y)-INDEX($R$27:$R$100,_xlpm.y+1))))($X50,MATCH($X50,$R$27:$R$100,0),MATCH($X50,$R$27:$R$100,-1))</f>
        <v>95</v>
      </c>
      <c r="AB50" s="8">
        <f t="shared" si="1"/>
        <v>606.75</v>
      </c>
      <c r="AC50" s="6">
        <f t="shared" si="6"/>
        <v>71.426358772176869</v>
      </c>
      <c r="AD50" s="6">
        <f t="shared" si="7"/>
        <v>23.573641227823131</v>
      </c>
      <c r="AH50" s="2" t="str">
        <v/>
      </c>
      <c r="AI50" s="2" t="str">
        <v/>
      </c>
      <c r="AJ50" s="2" t="str">
        <v/>
      </c>
      <c r="AL50" s="2" t="str">
        <v/>
      </c>
      <c r="AM50" s="2" t="str">
        <v/>
      </c>
      <c r="AN50" s="2" t="str">
        <v/>
      </c>
    </row>
    <row r="51" spans="8:40" ht="15.75" x14ac:dyDescent="0.5">
      <c r="H51" s="10"/>
      <c r="I51" s="10" t="str" cm="1">
        <f t="array" ref="I51">IF(H51,SUM(((Table3[Supply Temp]+MinAppTemp/2)&lt;=H51)*((Table3[Target Temp]+MinAppTemp/2)&gt;H51)*Table3[Heat Cap])*(H50-H51),"")</f>
        <v/>
      </c>
      <c r="J51" s="10" t="str" cm="1">
        <f t="array" ref="J51">IF(H51,SUM(((Table4[Target Temp]-MinAppTemp/2)&lt;=H51)*((Table4[Supply Temp]-MinAppTemp/2)&gt;H51)*(Table4[Heat Cap])*(H50-H51)),"")</f>
        <v/>
      </c>
      <c r="K51" s="10" t="str">
        <f t="shared" si="9"/>
        <v/>
      </c>
      <c r="L51" s="10" t="str">
        <f t="shared" si="8"/>
        <v/>
      </c>
      <c r="M51" s="12" t="str">
        <f t="shared" si="0"/>
        <v/>
      </c>
      <c r="O51" s="10" t="e" cm="1">
        <f t="array" ref="O51">IF(H51=INDEX($H$27:$H$100,COUNT($H$27:$H$100)),ColdUtility,IF(SUM((H51&gt;=MIN(Table3[Supply Temp])+MinAppTemp/2)*(H51&lt;=MAX(Table3[Target Temp])+MinAppTemp/2)),IF(LEN(I52)&gt;0,I52,0)+O52,NA()))</f>
        <v>#N/A</v>
      </c>
      <c r="P51" s="10" t="e">
        <f t="shared" si="2"/>
        <v>#N/A</v>
      </c>
      <c r="R51" s="10" t="e">
        <f>IF(SUM((H51&lt;=MAX(Table4[Supply Temp])-MinAppTemp/2)*(H51&gt;=MIN(Table4[Target Temp])-MinAppTemp/2)),IF(ISERROR(R52),0,R52+J52),NA())</f>
        <v>#N/A</v>
      </c>
      <c r="S51" s="10" t="e">
        <f t="shared" si="3"/>
        <v>#N/A</v>
      </c>
      <c r="U51" s="2" t="e">
        <f t="shared" si="4"/>
        <v>#N/A</v>
      </c>
      <c r="V51" s="2" t="e">
        <f t="shared" si="5"/>
        <v>#N/A</v>
      </c>
      <c r="X51" s="2">
        <v>25057.5</v>
      </c>
      <c r="Y51" s="2">
        <v>100</v>
      </c>
      <c r="Z51" s="13" cm="1">
        <f t="array" ref="Z51">_xlfn.LAMBDA(_xlpm.x,_xlpm.row,_xlpm.y,IF(NOT(ISERROR(_xlpm.row)),IF(COUNTIF($O$27:$O$100,_xlpm.x)=1,INDEX($P$27:$P$100,_xlpm.y),$Y51),INDEX($P$27:$P$100,_xlpm.y)-(INDEX($P$27:$P$100,_xlpm.y)-INDEX($P$27:$P$100,_xlpm.y+1))*(INDEX($O$27:$O$100,_xlpm.y)-_xlpm.x)/(INDEX($O$27:$O$100,_xlpm.y)-INDEX($O$27:$O$100,_xlpm.y+1))))($X51,MATCH($X51,$O$27:$O$100,0),MATCH($X51,$O$27:$O$100,-1))</f>
        <v>73.644043931286973</v>
      </c>
      <c r="AA51" s="13" cm="1">
        <f t="array" ref="AA51">_xlfn.LAMBDA(_xlpm.x,_xlpm.row,_xlpm.y,IF(NOT(ISERROR(_xlpm.row)),IF(COUNTIF($R$27:$R$100,_xlpm.x)=1,INDEX($S$27:$S$100,_xlpm.y),$Y51),INDEX($S$27:$S$100,_xlpm.y)-(INDEX($S$27:$S$100,_xlpm.y)-INDEX($S$27:$S$100,_xlpm.y+1))*(INDEX($R$27:$R$100,_xlpm.y)-_xlpm.x)/(INDEX($R$27:$R$100,_xlpm.y)-INDEX($R$27:$R$100,_xlpm.y+1))))($X51,MATCH($X51,$R$27:$R$100,0),MATCH($X51,$R$27:$R$100,-1))</f>
        <v>100</v>
      </c>
      <c r="AB51" s="8">
        <f t="shared" si="1"/>
        <v>626.4375</v>
      </c>
      <c r="AC51" s="6">
        <f t="shared" si="6"/>
        <v>73.644043931286973</v>
      </c>
      <c r="AD51" s="6">
        <f t="shared" si="7"/>
        <v>26.355956068713027</v>
      </c>
      <c r="AH51" s="2">
        <v>37</v>
      </c>
      <c r="AI51" s="2">
        <v>19</v>
      </c>
      <c r="AJ51" s="2" t="str">
        <v>Hot 9</v>
      </c>
      <c r="AL51" s="2" t="e">
        <v>#N/A</v>
      </c>
      <c r="AM51" s="2">
        <v>9</v>
      </c>
      <c r="AN51" s="2" t="str">
        <v>Cold 9</v>
      </c>
    </row>
    <row r="52" spans="8:40" ht="15.75" x14ac:dyDescent="0.5">
      <c r="H52" s="11"/>
      <c r="I52" s="11" t="str" cm="1">
        <f t="array" ref="I52">IF(H52,SUM(((Table3[Supply Temp]+MinAppTemp/2)&lt;=H52)*((Table3[Target Temp]+MinAppTemp/2)&gt;H52)*Table3[Heat Cap])*(H51-H52),"")</f>
        <v/>
      </c>
      <c r="J52" s="11" t="str" cm="1">
        <f t="array" ref="J52">IF(H52,SUM(((Table4[Target Temp]-MinAppTemp/2)&lt;=H52)*((Table4[Supply Temp]-MinAppTemp/2)&gt;H52)*(Table4[Heat Cap])*(H51-H52)),"")</f>
        <v/>
      </c>
      <c r="K52" s="11" t="str">
        <f t="shared" si="9"/>
        <v/>
      </c>
      <c r="L52" s="11" t="str">
        <f t="shared" si="8"/>
        <v/>
      </c>
      <c r="M52" s="14" t="str">
        <f t="shared" si="0"/>
        <v/>
      </c>
      <c r="O52" s="11" t="e" cm="1">
        <f t="array" ref="O52">IF(H52=INDEX($H$27:$H$100,COUNT($H$27:$H$100)),ColdUtility,IF(SUM((H52&gt;=MIN(Table3[Supply Temp])+MinAppTemp/2)*(H52&lt;=MAX(Table3[Target Temp])+MinAppTemp/2)),IF(LEN(I53)&gt;0,I53,0)+O53,NA()))</f>
        <v>#N/A</v>
      </c>
      <c r="P52" s="11" t="e">
        <f t="shared" si="2"/>
        <v>#N/A</v>
      </c>
      <c r="R52" s="11" t="e">
        <f>IF(SUM((H52&lt;=MAX(Table4[Supply Temp])-MinAppTemp/2)*(H52&gt;=MIN(Table4[Target Temp])-MinAppTemp/2)),IF(ISERROR(R53),0,R53+J53),NA())</f>
        <v>#N/A</v>
      </c>
      <c r="S52" s="11" t="e">
        <f t="shared" si="3"/>
        <v>#N/A</v>
      </c>
      <c r="U52" s="2" t="e">
        <f t="shared" si="4"/>
        <v>#N/A</v>
      </c>
      <c r="V52" s="2" t="e">
        <f t="shared" si="5"/>
        <v>#N/A</v>
      </c>
      <c r="X52" s="2">
        <v>25168</v>
      </c>
      <c r="Y52" s="2">
        <v>105</v>
      </c>
      <c r="Z52" s="13" cm="1">
        <f t="array" ref="Z52">_xlfn.LAMBDA(_xlpm.x,_xlpm.row,_xlpm.y,IF(NOT(ISERROR(_xlpm.row)),IF(COUNTIF($O$27:$O$100,_xlpm.x)=1,INDEX($P$27:$P$100,_xlpm.y),$Y52),INDEX($P$27:$P$100,_xlpm.y)-(INDEX($P$27:$P$100,_xlpm.y)-INDEX($P$27:$P$100,_xlpm.y+1))*(INDEX($O$27:$O$100,_xlpm.y)-_xlpm.x)/(INDEX($O$27:$O$100,_xlpm.y)-INDEX($O$27:$O$100,_xlpm.y+1))))($X52,MATCH($X52,$O$27:$O$100,0),MATCH($X52,$O$27:$O$100,-1))</f>
        <v>73.955223880597032</v>
      </c>
      <c r="AA52" s="13" cm="1">
        <f t="array" ref="AA52">_xlfn.LAMBDA(_xlpm.x,_xlpm.row,_xlpm.y,IF(NOT(ISERROR(_xlpm.row)),IF(COUNTIF($R$27:$R$100,_xlpm.x)=1,INDEX($S$27:$S$100,_xlpm.y),$Y52),INDEX($S$27:$S$100,_xlpm.y)-(INDEX($S$27:$S$100,_xlpm.y)-INDEX($S$27:$S$100,_xlpm.y+1))*(INDEX($R$27:$R$100,_xlpm.y)-_xlpm.x)/(INDEX($R$27:$R$100,_xlpm.y)-INDEX($R$27:$R$100,_xlpm.y+1))))($X52,MATCH($X52,$R$27:$R$100,0),MATCH($X52,$R$27:$R$100,-1))</f>
        <v>105</v>
      </c>
      <c r="AB52" s="8">
        <f t="shared" si="1"/>
        <v>629.20000000000005</v>
      </c>
      <c r="AC52" s="6">
        <f t="shared" si="6"/>
        <v>73.955223880597032</v>
      </c>
      <c r="AD52" s="6">
        <f t="shared" si="7"/>
        <v>31.044776119402968</v>
      </c>
      <c r="AH52" s="2">
        <v>14</v>
      </c>
      <c r="AI52" s="2">
        <v>19</v>
      </c>
      <c r="AJ52" s="2" t="str">
        <v>Hot 9</v>
      </c>
      <c r="AL52" s="2" t="e">
        <v>#N/A</v>
      </c>
      <c r="AM52" s="2">
        <v>9</v>
      </c>
      <c r="AN52" s="2" t="str">
        <v>Cold 9</v>
      </c>
    </row>
    <row r="53" spans="8:40" ht="15.75" x14ac:dyDescent="0.5">
      <c r="H53" s="10"/>
      <c r="I53" s="10" t="str" cm="1">
        <f t="array" ref="I53">IF(H53,SUM(((Table3[Supply Temp]+MinAppTemp/2)&lt;=H53)*((Table3[Target Temp]+MinAppTemp/2)&gt;H53)*Table3[Heat Cap])*(H52-H53),"")</f>
        <v/>
      </c>
      <c r="J53" s="10" t="str" cm="1">
        <f t="array" ref="J53">IF(H53,SUM(((Table4[Target Temp]-MinAppTemp/2)&lt;=H53)*((Table4[Supply Temp]-MinAppTemp/2)&gt;H53)*(Table4[Heat Cap])*(H52-H53)),"")</f>
        <v/>
      </c>
      <c r="K53" s="10" t="str">
        <f t="shared" si="9"/>
        <v/>
      </c>
      <c r="L53" s="10" t="str">
        <f t="shared" si="8"/>
        <v/>
      </c>
      <c r="M53" s="12" t="str">
        <f t="shared" si="0"/>
        <v/>
      </c>
      <c r="O53" s="10" t="e" cm="1">
        <f t="array" ref="O53">IF(H53=INDEX($H$27:$H$100,COUNT($H$27:$H$100)),ColdUtility,IF(SUM((H53&gt;=MIN(Table3[Supply Temp])+MinAppTemp/2)*(H53&lt;=MAX(Table3[Target Temp])+MinAppTemp/2)),IF(LEN(I54)&gt;0,I54,0)+O54,NA()))</f>
        <v>#N/A</v>
      </c>
      <c r="P53" s="10" t="e">
        <f t="shared" si="2"/>
        <v>#N/A</v>
      </c>
      <c r="R53" s="10" t="e">
        <f>IF(SUM((H53&lt;=MAX(Table4[Supply Temp])-MinAppTemp/2)*(H53&gt;=MIN(Table4[Target Temp])-MinAppTemp/2)),IF(ISERROR(R54),0,R54+J54),NA())</f>
        <v>#N/A</v>
      </c>
      <c r="S53" s="10" t="e">
        <f t="shared" si="3"/>
        <v>#N/A</v>
      </c>
      <c r="U53" s="2" t="e">
        <f t="shared" si="4"/>
        <v>#N/A</v>
      </c>
      <c r="V53" s="2" t="e">
        <f t="shared" si="5"/>
        <v>#N/A</v>
      </c>
      <c r="X53" s="2">
        <v>28517.1</v>
      </c>
      <c r="Y53" s="2">
        <v>106</v>
      </c>
      <c r="Z53" s="13" cm="1">
        <f t="array" ref="Z53">_xlfn.LAMBDA(_xlpm.x,_xlpm.row,_xlpm.y,IF(NOT(ISERROR(_xlpm.row)),IF(COUNTIF($O$27:$O$100,_xlpm.x)=1,INDEX($P$27:$P$100,_xlpm.y),$Y53),INDEX($P$27:$P$100,_xlpm.y)-(INDEX($P$27:$P$100,_xlpm.y)-INDEX($P$27:$P$100,_xlpm.y+1))*(INDEX($O$27:$O$100,_xlpm.y)-_xlpm.x)/(INDEX($O$27:$O$100,_xlpm.y)-INDEX($O$27:$O$100,_xlpm.y+1))))($X53,MATCH($X53,$O$27:$O$100,0),MATCH($X53,$O$27:$O$100,-1))</f>
        <v>84.344756506055148</v>
      </c>
      <c r="AA53" s="13" cm="1">
        <f t="array" ref="AA53">_xlfn.LAMBDA(_xlpm.x,_xlpm.row,_xlpm.y,IF(NOT(ISERROR(_xlpm.row)),IF(COUNTIF($R$27:$R$100,_xlpm.x)=1,INDEX($S$27:$S$100,_xlpm.y),$Y53),INDEX($S$27:$S$100,_xlpm.y)-(INDEX($S$27:$S$100,_xlpm.y)-INDEX($S$27:$S$100,_xlpm.y+1))*(INDEX($R$27:$R$100,_xlpm.y)-_xlpm.x)/(INDEX($R$27:$R$100,_xlpm.y)-INDEX($R$27:$R$100,_xlpm.y+1))))($X53,MATCH($X53,$R$27:$R$100,0),MATCH($X53,$R$27:$R$100,-1))</f>
        <v>106</v>
      </c>
      <c r="AB53" s="8">
        <f t="shared" si="1"/>
        <v>712.92750000000001</v>
      </c>
      <c r="AC53" s="6">
        <f t="shared" si="6"/>
        <v>84.344756506055148</v>
      </c>
      <c r="AD53" s="6">
        <f t="shared" si="7"/>
        <v>21.655243493944852</v>
      </c>
      <c r="AH53" s="2" t="str">
        <v/>
      </c>
      <c r="AI53" s="2" t="str">
        <v/>
      </c>
      <c r="AJ53" s="2" t="str">
        <v/>
      </c>
      <c r="AL53" s="2" t="str">
        <v/>
      </c>
      <c r="AM53" s="2" t="str">
        <v/>
      </c>
      <c r="AN53" s="2" t="str">
        <v/>
      </c>
    </row>
    <row r="54" spans="8:40" ht="15.75" x14ac:dyDescent="0.5">
      <c r="H54" s="11"/>
      <c r="I54" s="11" t="str" cm="1">
        <f t="array" ref="I54">IF(H54,SUM(((Table3[Supply Temp]+MinAppTemp/2)&lt;=H54)*((Table3[Target Temp]+MinAppTemp/2)&gt;H54)*Table3[Heat Cap])*(H53-H54),"")</f>
        <v/>
      </c>
      <c r="J54" s="11" t="str" cm="1">
        <f t="array" ref="J54">IF(H54,SUM(((Table4[Target Temp]-MinAppTemp/2)&lt;=H54)*((Table4[Supply Temp]-MinAppTemp/2)&gt;H54)*(Table4[Heat Cap])*(H53-H54)),"")</f>
        <v/>
      </c>
      <c r="K54" s="11" t="str">
        <f t="shared" si="9"/>
        <v/>
      </c>
      <c r="L54" s="11" t="str">
        <f t="shared" si="8"/>
        <v/>
      </c>
      <c r="M54" s="14" t="str">
        <f t="shared" si="0"/>
        <v/>
      </c>
      <c r="O54" s="11" t="e" cm="1">
        <f t="array" ref="O54">IF(H54=INDEX($H$27:$H$100,COUNT($H$27:$H$100)),ColdUtility,IF(SUM((H54&gt;=MIN(Table3[Supply Temp])+MinAppTemp/2)*(H54&lt;=MAX(Table3[Target Temp])+MinAppTemp/2)),IF(LEN(I55)&gt;0,I55,0)+O55,NA()))</f>
        <v>#N/A</v>
      </c>
      <c r="P54" s="11" t="e">
        <f t="shared" si="2"/>
        <v>#N/A</v>
      </c>
      <c r="R54" s="11" t="e">
        <f>IF(SUM((H54&lt;=MAX(Table4[Supply Temp])-MinAppTemp/2)*(H54&gt;=MIN(Table4[Target Temp])-MinAppTemp/2)),IF(ISERROR(R55),0,R55+J55),NA())</f>
        <v>#N/A</v>
      </c>
      <c r="S54" s="11" t="e">
        <f t="shared" si="3"/>
        <v>#N/A</v>
      </c>
      <c r="U54" s="2" t="e">
        <f t="shared" si="4"/>
        <v>#N/A</v>
      </c>
      <c r="V54" s="2" t="e">
        <f t="shared" si="5"/>
        <v>#N/A</v>
      </c>
      <c r="X54" s="2">
        <v>28760.199999999997</v>
      </c>
      <c r="Y54" s="2">
        <v>117</v>
      </c>
      <c r="Z54" s="13" cm="1">
        <f t="array" ref="Z54">_xlfn.LAMBDA(_xlpm.x,_xlpm.row,_xlpm.y,IF(NOT(ISERROR(_xlpm.row)),IF(COUNTIF($O$27:$O$100,_xlpm.x)=1,INDEX($P$27:$P$100,_xlpm.y),$Y54),INDEX($P$27:$P$100,_xlpm.y)-(INDEX($P$27:$P$100,_xlpm.y)-INDEX($P$27:$P$100,_xlpm.y+1))*(INDEX($O$27:$O$100,_xlpm.y)-_xlpm.x)/(INDEX($O$27:$O$100,_xlpm.y)-INDEX($O$27:$O$100,_xlpm.y+1))))($X54,MATCH($X54,$O$27:$O$100,0),MATCH($X54,$O$27:$O$100,-1))</f>
        <v>84.971141458387024</v>
      </c>
      <c r="AA54" s="13" cm="1">
        <f t="array" ref="AA54">_xlfn.LAMBDA(_xlpm.x,_xlpm.row,_xlpm.y,IF(NOT(ISERROR(_xlpm.row)),IF(COUNTIF($R$27:$R$100,_xlpm.x)=1,INDEX($S$27:$S$100,_xlpm.y),$Y54),INDEX($S$27:$S$100,_xlpm.y)-(INDEX($S$27:$S$100,_xlpm.y)-INDEX($S$27:$S$100,_xlpm.y+1))*(INDEX($R$27:$R$100,_xlpm.y)-_xlpm.x)/(INDEX($R$27:$R$100,_xlpm.y)-INDEX($R$27:$R$100,_xlpm.y+1))))($X54,MATCH($X54,$R$27:$R$100,0),MATCH($X54,$R$27:$R$100,-1))</f>
        <v>117</v>
      </c>
      <c r="AB54" s="8">
        <f t="shared" si="1"/>
        <v>719.00499999999988</v>
      </c>
      <c r="AC54" s="6">
        <f t="shared" si="6"/>
        <v>84.971141458387024</v>
      </c>
      <c r="AD54" s="6">
        <f t="shared" si="7"/>
        <v>32.028858541612976</v>
      </c>
      <c r="AH54" s="2" t="e">
        <v>#N/A</v>
      </c>
      <c r="AI54" s="2">
        <v>20</v>
      </c>
      <c r="AJ54" s="2" t="str">
        <v>Hot 10</v>
      </c>
      <c r="AL54" s="2" t="e">
        <v>#N/A</v>
      </c>
      <c r="AM54" s="2">
        <v>10</v>
      </c>
      <c r="AN54" s="2" t="str">
        <v>Cold 10</v>
      </c>
    </row>
    <row r="55" spans="8:40" ht="15.75" x14ac:dyDescent="0.5">
      <c r="H55" s="10"/>
      <c r="I55" s="10" t="str" cm="1">
        <f t="array" ref="I55">IF(H55,SUM(((Table3[Supply Temp]+MinAppTemp/2)&lt;=H55)*((Table3[Target Temp]+MinAppTemp/2)&gt;H55)*Table3[Heat Cap])*(H54-H55),"")</f>
        <v/>
      </c>
      <c r="J55" s="10" t="str" cm="1">
        <f t="array" ref="J55">IF(H55,SUM(((Table4[Target Temp]-MinAppTemp/2)&lt;=H55)*((Table4[Supply Temp]-MinAppTemp/2)&gt;H55)*(Table4[Heat Cap])*(H54-H55)),"")</f>
        <v/>
      </c>
      <c r="K55" s="10" t="str">
        <f t="shared" si="9"/>
        <v/>
      </c>
      <c r="L55" s="10" t="str">
        <f t="shared" si="8"/>
        <v/>
      </c>
      <c r="M55" s="12" t="str">
        <f t="shared" si="0"/>
        <v/>
      </c>
      <c r="O55" s="10" t="e" cm="1">
        <f t="array" ref="O55">IF(H55=INDEX($H$27:$H$100,COUNT($H$27:$H$100)),ColdUtility,IF(SUM((H55&gt;=MIN(Table3[Supply Temp])+MinAppTemp/2)*(H55&lt;=MAX(Table3[Target Temp])+MinAppTemp/2)),IF(LEN(I56)&gt;0,I56,0)+O56,NA()))</f>
        <v>#N/A</v>
      </c>
      <c r="P55" s="10" t="e">
        <f t="shared" si="2"/>
        <v>#N/A</v>
      </c>
      <c r="R55" s="10" t="e">
        <f>IF(SUM((H55&lt;=MAX(Table4[Supply Temp])-MinAppTemp/2)*(H55&gt;=MIN(Table4[Target Temp])-MinAppTemp/2)),IF(ISERROR(R56),0,R56+J56),NA())</f>
        <v>#N/A</v>
      </c>
      <c r="S55" s="10" t="e">
        <f t="shared" si="3"/>
        <v>#N/A</v>
      </c>
      <c r="U55" s="2" t="e">
        <f t="shared" si="4"/>
        <v>#N/A</v>
      </c>
      <c r="V55" s="2" t="e">
        <f t="shared" si="5"/>
        <v>#N/A</v>
      </c>
      <c r="X55" s="2">
        <v>29047.499999999996</v>
      </c>
      <c r="Y55" s="2">
        <v>130</v>
      </c>
      <c r="Z55" s="13" cm="1">
        <f t="array" ref="Z55">_xlfn.LAMBDA(_xlpm.x,_xlpm.row,_xlpm.y,IF(NOT(ISERROR(_xlpm.row)),IF(COUNTIF($O$27:$O$100,_xlpm.x)=1,INDEX($P$27:$P$100,_xlpm.y),$Y55),INDEX($P$27:$P$100,_xlpm.y)-(INDEX($P$27:$P$100,_xlpm.y)-INDEX($P$27:$P$100,_xlpm.y+1))*(INDEX($O$27:$O$100,_xlpm.y)-_xlpm.x)/(INDEX($O$27:$O$100,_xlpm.y)-INDEX($O$27:$O$100,_xlpm.y+1))))($X55,MATCH($X55,$O$27:$O$100,0),MATCH($X55,$O$27:$O$100,-1))</f>
        <v>85.711414583870138</v>
      </c>
      <c r="AA55" s="13" cm="1">
        <f t="array" ref="AA55">_xlfn.LAMBDA(_xlpm.x,_xlpm.row,_xlpm.y,IF(NOT(ISERROR(_xlpm.row)),IF(COUNTIF($R$27:$R$100,_xlpm.x)=1,INDEX($S$27:$S$100,_xlpm.y),$Y55),INDEX($S$27:$S$100,_xlpm.y)-(INDEX($S$27:$S$100,_xlpm.y)-INDEX($S$27:$S$100,_xlpm.y+1))*(INDEX($R$27:$R$100,_xlpm.y)-_xlpm.x)/(INDEX($R$27:$R$100,_xlpm.y)-INDEX($R$27:$R$100,_xlpm.y+1))))($X55,MATCH($X55,$R$27:$R$100,0),MATCH($X55,$R$27:$R$100,-1))</f>
        <v>130</v>
      </c>
      <c r="AB55" s="8">
        <f t="shared" si="1"/>
        <v>726.18749999999989</v>
      </c>
      <c r="AC55" s="6">
        <f t="shared" si="6"/>
        <v>85.711414583870138</v>
      </c>
      <c r="AD55" s="6">
        <f t="shared" si="7"/>
        <v>44.288585416129862</v>
      </c>
      <c r="AH55" s="2" t="e">
        <v>#N/A</v>
      </c>
      <c r="AI55" s="2">
        <v>20</v>
      </c>
      <c r="AJ55" s="2" t="str">
        <v>Hot 10</v>
      </c>
      <c r="AL55" s="2" t="e">
        <v>#N/A</v>
      </c>
      <c r="AM55" s="2">
        <v>10</v>
      </c>
      <c r="AN55" s="2" t="str">
        <v>Cold 10</v>
      </c>
    </row>
    <row r="56" spans="8:40" ht="15.75" x14ac:dyDescent="0.5">
      <c r="H56" s="11"/>
      <c r="I56" s="11" t="str" cm="1">
        <f t="array" ref="I56">IF(H56,SUM(((Table3[Supply Temp]+MinAppTemp/2)&lt;=H56)*((Table3[Target Temp]+MinAppTemp/2)&gt;H56)*Table3[Heat Cap])*(H55-H56),"")</f>
        <v/>
      </c>
      <c r="J56" s="11" t="str" cm="1">
        <f t="array" ref="J56">IF(H56,SUM(((Table4[Target Temp]-MinAppTemp/2)&lt;=H56)*((Table4[Supply Temp]-MinAppTemp/2)&gt;H56)*(Table4[Heat Cap])*(H55-H56)),"")</f>
        <v/>
      </c>
      <c r="K56" s="11" t="str">
        <f t="shared" si="9"/>
        <v/>
      </c>
      <c r="L56" s="11" t="str">
        <f t="shared" si="8"/>
        <v/>
      </c>
      <c r="M56" s="14" t="str">
        <f t="shared" si="0"/>
        <v/>
      </c>
      <c r="O56" s="11" t="e" cm="1">
        <f t="array" ref="O56">IF(H56=INDEX($H$27:$H$100,COUNT($H$27:$H$100)),ColdUtility,IF(SUM((H56&gt;=MIN(Table3[Supply Temp])+MinAppTemp/2)*(H56&lt;=MAX(Table3[Target Temp])+MinAppTemp/2)),IF(LEN(I57)&gt;0,I57,0)+O57,NA()))</f>
        <v>#N/A</v>
      </c>
      <c r="P56" s="11" t="e">
        <f t="shared" si="2"/>
        <v>#N/A</v>
      </c>
      <c r="R56" s="11" t="e">
        <f>IF(SUM((H56&lt;=MAX(Table4[Supply Temp])-MinAppTemp/2)*(H56&gt;=MIN(Table4[Target Temp])-MinAppTemp/2)),IF(ISERROR(R57),0,R57+J57),NA())</f>
        <v>#N/A</v>
      </c>
      <c r="S56" s="11" t="e">
        <f t="shared" si="3"/>
        <v>#N/A</v>
      </c>
      <c r="U56" s="2" t="e">
        <f t="shared" si="4"/>
        <v>#N/A</v>
      </c>
      <c r="V56" s="2" t="e">
        <f t="shared" si="5"/>
        <v>#N/A</v>
      </c>
      <c r="X56" s="2">
        <v>29058.099999999995</v>
      </c>
      <c r="Y56" s="2">
        <v>132</v>
      </c>
      <c r="Z56" s="13" cm="1">
        <f t="array" ref="Z56">_xlfn.LAMBDA(_xlpm.x,_xlpm.row,_xlpm.y,IF(NOT(ISERROR(_xlpm.row)),IF(COUNTIF($O$27:$O$100,_xlpm.x)=1,INDEX($P$27:$P$100,_xlpm.y),$Y56),INDEX($P$27:$P$100,_xlpm.y)-(INDEX($P$27:$P$100,_xlpm.y)-INDEX($P$27:$P$100,_xlpm.y+1))*(INDEX($O$27:$O$100,_xlpm.y)-_xlpm.x)/(INDEX($O$27:$O$100,_xlpm.y)-INDEX($O$27:$O$100,_xlpm.y+1))))($X56,MATCH($X56,$O$27:$O$100,0),MATCH($X56,$O$27:$O$100,-1))</f>
        <v>85.738727132182433</v>
      </c>
      <c r="AA56" s="13" cm="1">
        <f t="array" ref="AA56">_xlfn.LAMBDA(_xlpm.x,_xlpm.row,_xlpm.y,IF(NOT(ISERROR(_xlpm.row)),IF(COUNTIF($R$27:$R$100,_xlpm.x)=1,INDEX($S$27:$S$100,_xlpm.y),$Y56),INDEX($S$27:$S$100,_xlpm.y)-(INDEX($S$27:$S$100,_xlpm.y)-INDEX($S$27:$S$100,_xlpm.y+1))*(INDEX($R$27:$R$100,_xlpm.y)-_xlpm.x)/(INDEX($R$27:$R$100,_xlpm.y)-INDEX($R$27:$R$100,_xlpm.y+1))))($X56,MATCH($X56,$R$27:$R$100,0),MATCH($X56,$R$27:$R$100,-1))</f>
        <v>132</v>
      </c>
      <c r="AB56" s="8">
        <f t="shared" si="1"/>
        <v>726.45249999999987</v>
      </c>
      <c r="AC56" s="6">
        <f t="shared" si="6"/>
        <v>85.738727132182433</v>
      </c>
      <c r="AD56" s="6">
        <f t="shared" si="7"/>
        <v>46.261272867817567</v>
      </c>
      <c r="AH56" s="2" t="str">
        <v/>
      </c>
      <c r="AI56" s="2" t="str">
        <v/>
      </c>
      <c r="AJ56" s="2" t="str">
        <v/>
      </c>
      <c r="AL56" s="2" t="str">
        <v/>
      </c>
      <c r="AM56" s="2" t="str">
        <v/>
      </c>
      <c r="AN56" s="2" t="str">
        <v/>
      </c>
    </row>
    <row r="57" spans="8:40" ht="15.75" x14ac:dyDescent="0.5">
      <c r="H57" s="10"/>
      <c r="I57" s="10" t="str" cm="1">
        <f t="array" ref="I57">IF(H57,SUM(((Table3[Supply Temp]+MinAppTemp/2)&lt;=H57)*((Table3[Target Temp]+MinAppTemp/2)&gt;H57)*Table3[Heat Cap])*(H56-H57),"")</f>
        <v/>
      </c>
      <c r="J57" s="10" t="str" cm="1">
        <f t="array" ref="J57">IF(H57,SUM(((Table4[Target Temp]-MinAppTemp/2)&lt;=H57)*((Table4[Supply Temp]-MinAppTemp/2)&gt;H57)*(Table4[Heat Cap])*(H56-H57)),"")</f>
        <v/>
      </c>
      <c r="K57" s="10" t="str">
        <f t="shared" si="9"/>
        <v/>
      </c>
      <c r="L57" s="10" t="str">
        <f t="shared" si="8"/>
        <v/>
      </c>
      <c r="M57" s="12" t="str">
        <f t="shared" si="0"/>
        <v/>
      </c>
      <c r="O57" s="10" t="e" cm="1">
        <f t="array" ref="O57">IF(H57=INDEX($H$27:$H$100,COUNT($H$27:$H$100)),ColdUtility,IF(SUM((H57&gt;=MIN(Table3[Supply Temp])+MinAppTemp/2)*(H57&lt;=MAX(Table3[Target Temp])+MinAppTemp/2)),IF(LEN(I58)&gt;0,I58,0)+O58,NA()))</f>
        <v>#N/A</v>
      </c>
      <c r="P57" s="10" t="e">
        <f t="shared" si="2"/>
        <v>#N/A</v>
      </c>
      <c r="R57" s="10" t="e">
        <f>IF(SUM((H57&lt;=MAX(Table4[Supply Temp])-MinAppTemp/2)*(H57&gt;=MIN(Table4[Target Temp])-MinAppTemp/2)),IF(ISERROR(R58),0,R58+J58),NA())</f>
        <v>#N/A</v>
      </c>
      <c r="S57" s="10" t="e">
        <f t="shared" si="3"/>
        <v>#N/A</v>
      </c>
      <c r="U57" s="2" t="e">
        <f t="shared" si="4"/>
        <v>#N/A</v>
      </c>
      <c r="V57" s="2" t="e">
        <f t="shared" si="5"/>
        <v>#N/A</v>
      </c>
      <c r="Z57" s="13" t="e" cm="1">
        <f t="array" ref="Z57">_xlfn.LAMBDA(_xlpm.x,_xlpm.row,_xlpm.y,IF(NOT(ISERROR(_xlpm.row)),IF(COUNTIF($O$27:$O$100,_xlpm.x)=1,INDEX($P$27:$P$100,_xlpm.y),$Y57),INDEX($P$27:$P$100,_xlpm.y)-(INDEX($P$27:$P$100,_xlpm.y)-INDEX($P$27:$P$100,_xlpm.y+1))*(INDEX($O$27:$O$100,_xlpm.y)-_xlpm.x)/(INDEX($O$27:$O$100,_xlpm.y)-INDEX($O$27:$O$100,_xlpm.y+1))))($X57,MATCH($X57,$O$27:$O$100,0),MATCH($X57,$O$27:$O$100,-1))</f>
        <v>#N/A</v>
      </c>
      <c r="AA57" s="13" cm="1">
        <f t="array" ref="AA57">_xlfn.LAMBDA(_xlpm.x,_xlpm.row,_xlpm.y,IF(NOT(ISERROR(_xlpm.row)),IF(COUNTIF($R$27:$R$100,_xlpm.x)=1,INDEX($S$27:$S$100,_xlpm.y),$Y57),INDEX($S$27:$S$100,_xlpm.y)-(INDEX($S$27:$S$100,_xlpm.y)-INDEX($S$27:$S$100,_xlpm.y+1))*(INDEX($R$27:$R$100,_xlpm.y)-_xlpm.x)/(INDEX($R$27:$R$100,_xlpm.y)-INDEX($R$27:$R$100,_xlpm.y+1))))($X57,MATCH($X57,$R$27:$R$100,0),MATCH($X57,$R$27:$R$100,-1))</f>
        <v>9</v>
      </c>
      <c r="AB57" s="8">
        <f t="shared" si="1"/>
        <v>726.45249999999987</v>
      </c>
      <c r="AC57" s="6">
        <f t="shared" si="6"/>
        <v>0</v>
      </c>
      <c r="AD57" s="6">
        <f t="shared" si="7"/>
        <v>0</v>
      </c>
      <c r="AH57" s="2" t="e">
        <v>#N/A</v>
      </c>
      <c r="AI57" s="2">
        <v>21</v>
      </c>
      <c r="AJ57" s="2" t="str">
        <v>Hot 11</v>
      </c>
      <c r="AL57" s="2" t="e">
        <v>#N/A</v>
      </c>
      <c r="AM57" s="2">
        <v>11</v>
      </c>
      <c r="AN57" s="2" t="str">
        <v>Cold 11</v>
      </c>
    </row>
    <row r="58" spans="8:40" ht="15.75" x14ac:dyDescent="0.5">
      <c r="H58" s="11"/>
      <c r="I58" s="11" t="str" cm="1">
        <f t="array" ref="I58">IF(H58,SUM(((Table3[Supply Temp]+MinAppTemp/2)&lt;=H58)*((Table3[Target Temp]+MinAppTemp/2)&gt;H58)*Table3[Heat Cap])*(H57-H58),"")</f>
        <v/>
      </c>
      <c r="J58" s="11" t="str" cm="1">
        <f t="array" ref="J58">IF(H58,SUM(((Table4[Target Temp]-MinAppTemp/2)&lt;=H58)*((Table4[Supply Temp]-MinAppTemp/2)&gt;H58)*(Table4[Heat Cap])*(H57-H58)),"")</f>
        <v/>
      </c>
      <c r="K58" s="11" t="str">
        <f t="shared" si="9"/>
        <v/>
      </c>
      <c r="L58" s="11" t="str">
        <f t="shared" si="8"/>
        <v/>
      </c>
      <c r="M58" s="14" t="str">
        <f t="shared" si="0"/>
        <v/>
      </c>
      <c r="O58" s="11" t="e" cm="1">
        <f t="array" ref="O58">IF(H58=INDEX($H$27:$H$100,COUNT($H$27:$H$100)),ColdUtility,IF(SUM((H58&gt;=MIN(Table3[Supply Temp])+MinAppTemp/2)*(H58&lt;=MAX(Table3[Target Temp])+MinAppTemp/2)),IF(LEN(I59)&gt;0,I59,0)+O59,NA()))</f>
        <v>#N/A</v>
      </c>
      <c r="P58" s="11" t="e">
        <f t="shared" si="2"/>
        <v>#N/A</v>
      </c>
      <c r="R58" s="11" t="e">
        <f>IF(SUM((H58&lt;=MAX(Table4[Supply Temp])-MinAppTemp/2)*(H58&gt;=MIN(Table4[Target Temp])-MinAppTemp/2)),IF(ISERROR(R59),0,R59+J59),NA())</f>
        <v>#N/A</v>
      </c>
      <c r="S58" s="11" t="e">
        <f t="shared" si="3"/>
        <v>#N/A</v>
      </c>
      <c r="U58" s="2" t="e">
        <f t="shared" si="4"/>
        <v>#N/A</v>
      </c>
      <c r="V58" s="2" t="e">
        <f t="shared" si="5"/>
        <v>#N/A</v>
      </c>
      <c r="Z58" s="13" t="e" cm="1">
        <f t="array" ref="Z58">_xlfn.LAMBDA(_xlpm.x,_xlpm.row,_xlpm.y,IF(NOT(ISERROR(_xlpm.row)),IF(COUNTIF($O$27:$O$100,_xlpm.x)=1,INDEX($P$27:$P$100,_xlpm.y),$Y58),INDEX($P$27:$P$100,_xlpm.y)-(INDEX($P$27:$P$100,_xlpm.y)-INDEX($P$27:$P$100,_xlpm.y+1))*(INDEX($O$27:$O$100,_xlpm.y)-_xlpm.x)/(INDEX($O$27:$O$100,_xlpm.y)-INDEX($O$27:$O$100,_xlpm.y+1))))($X58,MATCH($X58,$O$27:$O$100,0),MATCH($X58,$O$27:$O$100,-1))</f>
        <v>#N/A</v>
      </c>
      <c r="AA58" s="13" cm="1">
        <f t="array" ref="AA58">_xlfn.LAMBDA(_xlpm.x,_xlpm.row,_xlpm.y,IF(NOT(ISERROR(_xlpm.row)),IF(COUNTIF($R$27:$R$100,_xlpm.x)=1,INDEX($S$27:$S$100,_xlpm.y),$Y58),INDEX($S$27:$S$100,_xlpm.y)-(INDEX($S$27:$S$100,_xlpm.y)-INDEX($S$27:$S$100,_xlpm.y+1))*(INDEX($R$27:$R$100,_xlpm.y)-_xlpm.x)/(INDEX($R$27:$R$100,_xlpm.y)-INDEX($R$27:$R$100,_xlpm.y+1))))($X58,MATCH($X58,$R$27:$R$100,0),MATCH($X58,$R$27:$R$100,-1))</f>
        <v>9</v>
      </c>
      <c r="AB58" s="8">
        <f t="shared" si="1"/>
        <v>726.45249999999987</v>
      </c>
      <c r="AC58" s="6">
        <f t="shared" si="6"/>
        <v>0</v>
      </c>
      <c r="AD58" s="6">
        <f t="shared" si="7"/>
        <v>0</v>
      </c>
      <c r="AH58" s="2" t="e">
        <v>#N/A</v>
      </c>
      <c r="AI58" s="2">
        <v>21</v>
      </c>
      <c r="AJ58" s="2" t="str">
        <v>Hot 11</v>
      </c>
      <c r="AL58" s="2" t="e">
        <v>#N/A</v>
      </c>
      <c r="AM58" s="2">
        <v>11</v>
      </c>
      <c r="AN58" s="2" t="str">
        <v>Cold 11</v>
      </c>
    </row>
    <row r="59" spans="8:40" ht="15.75" x14ac:dyDescent="0.5">
      <c r="H59" s="10"/>
      <c r="I59" s="10" t="str" cm="1">
        <f t="array" ref="I59">IF(H59,SUM(((Table3[Supply Temp]+MinAppTemp/2)&lt;=H59)*((Table3[Target Temp]+MinAppTemp/2)&gt;H59)*Table3[Heat Cap])*(H58-H59),"")</f>
        <v/>
      </c>
      <c r="J59" s="10" t="str" cm="1">
        <f t="array" ref="J59">IF(H59,SUM(((Table4[Target Temp]-MinAppTemp/2)&lt;=H59)*((Table4[Supply Temp]-MinAppTemp/2)&gt;H59)*(Table4[Heat Cap])*(H58-H59)),"")</f>
        <v/>
      </c>
      <c r="K59" s="10" t="str">
        <f t="shared" si="9"/>
        <v/>
      </c>
      <c r="L59" s="10" t="str">
        <f t="shared" si="8"/>
        <v/>
      </c>
      <c r="M59" s="12" t="str">
        <f t="shared" si="0"/>
        <v/>
      </c>
      <c r="O59" s="10" t="e" cm="1">
        <f t="array" ref="O59">IF(H59=INDEX($H$27:$H$100,COUNT($H$27:$H$100)),ColdUtility,IF(SUM((H59&gt;=MIN(Table3[Supply Temp])+MinAppTemp/2)*(H59&lt;=MAX(Table3[Target Temp])+MinAppTemp/2)),IF(LEN(I60)&gt;0,I60,0)+O60,NA()))</f>
        <v>#N/A</v>
      </c>
      <c r="P59" s="10" t="e">
        <f t="shared" si="2"/>
        <v>#N/A</v>
      </c>
      <c r="R59" s="10" t="e">
        <f>IF(SUM((H59&lt;=MAX(Table4[Supply Temp])-MinAppTemp/2)*(H59&gt;=MIN(Table4[Target Temp])-MinAppTemp/2)),IF(ISERROR(R60),0,R60+J60),NA())</f>
        <v>#N/A</v>
      </c>
      <c r="S59" s="10" t="e">
        <f t="shared" si="3"/>
        <v>#N/A</v>
      </c>
      <c r="U59" s="2" t="e">
        <f t="shared" si="4"/>
        <v>#N/A</v>
      </c>
      <c r="V59" s="2" t="e">
        <f t="shared" si="5"/>
        <v>#N/A</v>
      </c>
      <c r="Z59" s="13" t="e" cm="1">
        <f t="array" ref="Z59">_xlfn.LAMBDA(_xlpm.x,_xlpm.row,_xlpm.y,IF(NOT(ISERROR(_xlpm.row)),IF(COUNTIF($O$27:$O$100,_xlpm.x)=1,INDEX($P$27:$P$100,_xlpm.y),$Y59),INDEX($P$27:$P$100,_xlpm.y)-(INDEX($P$27:$P$100,_xlpm.y)-INDEX($P$27:$P$100,_xlpm.y+1))*(INDEX($O$27:$O$100,_xlpm.y)-_xlpm.x)/(INDEX($O$27:$O$100,_xlpm.y)-INDEX($O$27:$O$100,_xlpm.y+1))))($X59,MATCH($X59,$O$27:$O$100,0),MATCH($X59,$O$27:$O$100,-1))</f>
        <v>#N/A</v>
      </c>
      <c r="AA59" s="13" cm="1">
        <f t="array" ref="AA59">_xlfn.LAMBDA(_xlpm.x,_xlpm.row,_xlpm.y,IF(NOT(ISERROR(_xlpm.row)),IF(COUNTIF($R$27:$R$100,_xlpm.x)=1,INDEX($S$27:$S$100,_xlpm.y),$Y59),INDEX($S$27:$S$100,_xlpm.y)-(INDEX($S$27:$S$100,_xlpm.y)-INDEX($S$27:$S$100,_xlpm.y+1))*(INDEX($R$27:$R$100,_xlpm.y)-_xlpm.x)/(INDEX($R$27:$R$100,_xlpm.y)-INDEX($R$27:$R$100,_xlpm.y+1))))($X59,MATCH($X59,$R$27:$R$100,0),MATCH($X59,$R$27:$R$100,-1))</f>
        <v>9</v>
      </c>
      <c r="AB59" s="8">
        <f t="shared" si="1"/>
        <v>726.45249999999987</v>
      </c>
      <c r="AC59" s="6">
        <f t="shared" si="6"/>
        <v>0</v>
      </c>
      <c r="AD59" s="6">
        <f t="shared" si="7"/>
        <v>0</v>
      </c>
      <c r="AH59" s="2" t="str">
        <v/>
      </c>
      <c r="AI59" s="2" t="str">
        <v/>
      </c>
      <c r="AJ59" s="2" t="str">
        <v/>
      </c>
      <c r="AL59" s="2" t="str">
        <v/>
      </c>
      <c r="AM59" s="2" t="str">
        <v/>
      </c>
      <c r="AN59" s="2" t="str">
        <v/>
      </c>
    </row>
    <row r="60" spans="8:40" ht="15.75" x14ac:dyDescent="0.5">
      <c r="H60" s="11"/>
      <c r="I60" s="11" t="str" cm="1">
        <f t="array" ref="I60">IF(H60,SUM(((Table3[Supply Temp]+MinAppTemp/2)&lt;=H60)*((Table3[Target Temp]+MinAppTemp/2)&gt;H60)*Table3[Heat Cap])*(H59-H60),"")</f>
        <v/>
      </c>
      <c r="J60" s="11" t="str" cm="1">
        <f t="array" ref="J60">IF(H60,SUM(((Table4[Target Temp]-MinAppTemp/2)&lt;=H60)*((Table4[Supply Temp]-MinAppTemp/2)&gt;H60)*(Table4[Heat Cap])*(H59-H60)),"")</f>
        <v/>
      </c>
      <c r="K60" s="11" t="str">
        <f t="shared" si="9"/>
        <v/>
      </c>
      <c r="L60" s="11" t="str">
        <f t="shared" si="8"/>
        <v/>
      </c>
      <c r="M60" s="14" t="str">
        <f t="shared" si="0"/>
        <v/>
      </c>
      <c r="O60" s="11" t="e" cm="1">
        <f t="array" ref="O60">IF(H60=INDEX($H$27:$H$100,COUNT($H$27:$H$100)),ColdUtility,IF(SUM((H60&gt;=MIN(Table3[Supply Temp])+MinAppTemp/2)*(H60&lt;=MAX(Table3[Target Temp])+MinAppTemp/2)),IF(LEN(I61)&gt;0,I61,0)+O61,NA()))</f>
        <v>#N/A</v>
      </c>
      <c r="P60" s="11" t="e">
        <f t="shared" si="2"/>
        <v>#N/A</v>
      </c>
      <c r="R60" s="11" t="e">
        <f>IF(SUM((H60&lt;=MAX(Table4[Supply Temp])-MinAppTemp/2)*(H60&gt;=MIN(Table4[Target Temp])-MinAppTemp/2)),IF(ISERROR(R61),0,R61+J61),NA())</f>
        <v>#N/A</v>
      </c>
      <c r="S60" s="11" t="e">
        <f t="shared" si="3"/>
        <v>#N/A</v>
      </c>
      <c r="U60" s="2" t="e">
        <f t="shared" si="4"/>
        <v>#N/A</v>
      </c>
      <c r="V60" s="2" t="e">
        <f t="shared" si="5"/>
        <v>#N/A</v>
      </c>
      <c r="Z60" s="13" t="e" cm="1">
        <f t="array" ref="Z60">_xlfn.LAMBDA(_xlpm.x,_xlpm.row,_xlpm.y,IF(NOT(ISERROR(_xlpm.row)),IF(COUNTIF($O$27:$O$100,_xlpm.x)=1,INDEX($P$27:$P$100,_xlpm.y),$Y60),INDEX($P$27:$P$100,_xlpm.y)-(INDEX($P$27:$P$100,_xlpm.y)-INDEX($P$27:$P$100,_xlpm.y+1))*(INDEX($O$27:$O$100,_xlpm.y)-_xlpm.x)/(INDEX($O$27:$O$100,_xlpm.y)-INDEX($O$27:$O$100,_xlpm.y+1))))($X60,MATCH($X60,$O$27:$O$100,0),MATCH($X60,$O$27:$O$100,-1))</f>
        <v>#N/A</v>
      </c>
      <c r="AA60" s="13" cm="1">
        <f t="array" ref="AA60">_xlfn.LAMBDA(_xlpm.x,_xlpm.row,_xlpm.y,IF(NOT(ISERROR(_xlpm.row)),IF(COUNTIF($R$27:$R$100,_xlpm.x)=1,INDEX($S$27:$S$100,_xlpm.y),$Y60),INDEX($S$27:$S$100,_xlpm.y)-(INDEX($S$27:$S$100,_xlpm.y)-INDEX($S$27:$S$100,_xlpm.y+1))*(INDEX($R$27:$R$100,_xlpm.y)-_xlpm.x)/(INDEX($R$27:$R$100,_xlpm.y)-INDEX($R$27:$R$100,_xlpm.y+1))))($X60,MATCH($X60,$R$27:$R$100,0),MATCH($X60,$R$27:$R$100,-1))</f>
        <v>9</v>
      </c>
      <c r="AB60" s="8">
        <f t="shared" si="1"/>
        <v>726.45249999999987</v>
      </c>
      <c r="AC60" s="6">
        <f t="shared" si="6"/>
        <v>0</v>
      </c>
      <c r="AD60" s="6">
        <f t="shared" si="7"/>
        <v>0</v>
      </c>
      <c r="AH60" s="2" t="e">
        <v>#N/A</v>
      </c>
      <c r="AI60" s="2">
        <v>22</v>
      </c>
      <c r="AJ60" s="2" t="str">
        <v>Hot 12</v>
      </c>
      <c r="AL60" s="2" t="e">
        <v>#N/A</v>
      </c>
      <c r="AM60" s="2">
        <v>12</v>
      </c>
      <c r="AN60" s="2" t="str">
        <v>Cold 12</v>
      </c>
    </row>
    <row r="61" spans="8:40" ht="15.75" x14ac:dyDescent="0.5">
      <c r="H61" s="10"/>
      <c r="I61" s="10" t="str" cm="1">
        <f t="array" ref="I61">IF(H61,SUM(((Table3[Supply Temp]+MinAppTemp/2)&lt;=H61)*((Table3[Target Temp]+MinAppTemp/2)&gt;H61)*Table3[Heat Cap])*(H60-H61),"")</f>
        <v/>
      </c>
      <c r="J61" s="10" t="str" cm="1">
        <f t="array" ref="J61">IF(H61,SUM(((Table4[Target Temp]-MinAppTemp/2)&lt;=H61)*((Table4[Supply Temp]-MinAppTemp/2)&gt;H61)*(Table4[Heat Cap])*(H60-H61)),"")</f>
        <v/>
      </c>
      <c r="K61" s="10" t="str">
        <f t="shared" si="9"/>
        <v/>
      </c>
      <c r="L61" s="10" t="str">
        <f t="shared" si="8"/>
        <v/>
      </c>
      <c r="M61" s="12" t="str">
        <f t="shared" si="0"/>
        <v/>
      </c>
      <c r="O61" s="10" t="e" cm="1">
        <f t="array" ref="O61">IF(H61=INDEX($H$27:$H$100,COUNT($H$27:$H$100)),ColdUtility,IF(SUM((H61&gt;=MIN(Table3[Supply Temp])+MinAppTemp/2)*(H61&lt;=MAX(Table3[Target Temp])+MinAppTemp/2)),IF(LEN(I62)&gt;0,I62,0)+O62,NA()))</f>
        <v>#N/A</v>
      </c>
      <c r="P61" s="10" t="e">
        <f t="shared" si="2"/>
        <v>#N/A</v>
      </c>
      <c r="R61" s="10" t="e">
        <f>IF(SUM((H61&lt;=MAX(Table4[Supply Temp])-MinAppTemp/2)*(H61&gt;=MIN(Table4[Target Temp])-MinAppTemp/2)),IF(ISERROR(R62),0,R62+J62),NA())</f>
        <v>#N/A</v>
      </c>
      <c r="S61" s="10" t="e">
        <f t="shared" si="3"/>
        <v>#N/A</v>
      </c>
      <c r="U61" s="2" t="e">
        <f t="shared" si="4"/>
        <v>#N/A</v>
      </c>
      <c r="V61" s="2" t="e">
        <f t="shared" si="5"/>
        <v>#N/A</v>
      </c>
      <c r="Z61" s="13" t="e" cm="1">
        <f t="array" ref="Z61">_xlfn.LAMBDA(_xlpm.x,_xlpm.row,_xlpm.y,IF(NOT(ISERROR(_xlpm.row)),IF(COUNTIF($O$27:$O$100,_xlpm.x)=1,INDEX($P$27:$P$100,_xlpm.y),$Y61),INDEX($P$27:$P$100,_xlpm.y)-(INDEX($P$27:$P$100,_xlpm.y)-INDEX($P$27:$P$100,_xlpm.y+1))*(INDEX($O$27:$O$100,_xlpm.y)-_xlpm.x)/(INDEX($O$27:$O$100,_xlpm.y)-INDEX($O$27:$O$100,_xlpm.y+1))))($X61,MATCH($X61,$O$27:$O$100,0),MATCH($X61,$O$27:$O$100,-1))</f>
        <v>#N/A</v>
      </c>
      <c r="AA61" s="13" cm="1">
        <f t="array" ref="AA61">_xlfn.LAMBDA(_xlpm.x,_xlpm.row,_xlpm.y,IF(NOT(ISERROR(_xlpm.row)),IF(COUNTIF($R$27:$R$100,_xlpm.x)=1,INDEX($S$27:$S$100,_xlpm.y),$Y61),INDEX($S$27:$S$100,_xlpm.y)-(INDEX($S$27:$S$100,_xlpm.y)-INDEX($S$27:$S$100,_xlpm.y+1))*(INDEX($R$27:$R$100,_xlpm.y)-_xlpm.x)/(INDEX($R$27:$R$100,_xlpm.y)-INDEX($R$27:$R$100,_xlpm.y+1))))($X61,MATCH($X61,$R$27:$R$100,0),MATCH($X61,$R$27:$R$100,-1))</f>
        <v>9</v>
      </c>
      <c r="AB61" s="8">
        <f t="shared" si="1"/>
        <v>726.45249999999987</v>
      </c>
      <c r="AC61" s="6">
        <f t="shared" si="6"/>
        <v>0</v>
      </c>
      <c r="AD61" s="6">
        <f t="shared" si="7"/>
        <v>0</v>
      </c>
      <c r="AH61" s="2" t="e">
        <v>#N/A</v>
      </c>
      <c r="AI61" s="2">
        <v>22</v>
      </c>
      <c r="AJ61" s="2" t="str">
        <v>Hot 12</v>
      </c>
      <c r="AL61" s="2" t="e">
        <v>#N/A</v>
      </c>
      <c r="AM61" s="2">
        <v>12</v>
      </c>
      <c r="AN61" s="2" t="str">
        <v>Cold 12</v>
      </c>
    </row>
    <row r="62" spans="8:40" ht="15.75" x14ac:dyDescent="0.5">
      <c r="H62" s="11"/>
      <c r="I62" s="11" t="str" cm="1">
        <f t="array" ref="I62">IF(H62,SUM(((Table3[Supply Temp]+MinAppTemp/2)&lt;=H62)*((Table3[Target Temp]+MinAppTemp/2)&gt;H62)*Table3[Heat Cap])*(H61-H62),"")</f>
        <v/>
      </c>
      <c r="J62" s="11" t="str" cm="1">
        <f t="array" ref="J62">IF(H62,SUM(((Table4[Target Temp]-MinAppTemp/2)&lt;=H62)*((Table4[Supply Temp]-MinAppTemp/2)&gt;H62)*(Table4[Heat Cap])*(H61-H62)),"")</f>
        <v/>
      </c>
      <c r="K62" s="11" t="str">
        <f t="shared" si="9"/>
        <v/>
      </c>
      <c r="L62" s="11" t="str">
        <f t="shared" si="8"/>
        <v/>
      </c>
      <c r="M62" s="14" t="str">
        <f t="shared" si="0"/>
        <v/>
      </c>
      <c r="O62" s="11" t="e" cm="1">
        <f t="array" ref="O62">IF(H62=INDEX($H$27:$H$100,COUNT($H$27:$H$100)),ColdUtility,IF(SUM((H62&gt;=MIN(Table3[Supply Temp])+MinAppTemp/2)*(H62&lt;=MAX(Table3[Target Temp])+MinAppTemp/2)),IF(LEN(I63)&gt;0,I63,0)+O63,NA()))</f>
        <v>#N/A</v>
      </c>
      <c r="P62" s="11" t="e">
        <f t="shared" si="2"/>
        <v>#N/A</v>
      </c>
      <c r="R62" s="11" t="e">
        <f>IF(SUM((H62&lt;=MAX(Table4[Supply Temp])-MinAppTemp/2)*(H62&gt;=MIN(Table4[Target Temp])-MinAppTemp/2)),IF(ISERROR(R63),0,R63+J63),NA())</f>
        <v>#N/A</v>
      </c>
      <c r="S62" s="11" t="e">
        <f t="shared" si="3"/>
        <v>#N/A</v>
      </c>
      <c r="U62" s="2" t="e">
        <f t="shared" si="4"/>
        <v>#N/A</v>
      </c>
      <c r="V62" s="2" t="e">
        <f t="shared" si="5"/>
        <v>#N/A</v>
      </c>
      <c r="Z62" s="13" t="e" cm="1">
        <f t="array" ref="Z62">_xlfn.LAMBDA(_xlpm.x,_xlpm.row,_xlpm.y,IF(NOT(ISERROR(_xlpm.row)),IF(COUNTIF($O$27:$O$100,_xlpm.x)=1,INDEX($P$27:$P$100,_xlpm.y),$Y62),INDEX($P$27:$P$100,_xlpm.y)-(INDEX($P$27:$P$100,_xlpm.y)-INDEX($P$27:$P$100,_xlpm.y+1))*(INDEX($O$27:$O$100,_xlpm.y)-_xlpm.x)/(INDEX($O$27:$O$100,_xlpm.y)-INDEX($O$27:$O$100,_xlpm.y+1))))($X62,MATCH($X62,$O$27:$O$100,0),MATCH($X62,$O$27:$O$100,-1))</f>
        <v>#N/A</v>
      </c>
      <c r="AA62" s="13" cm="1">
        <f t="array" ref="AA62">_xlfn.LAMBDA(_xlpm.x,_xlpm.row,_xlpm.y,IF(NOT(ISERROR(_xlpm.row)),IF(COUNTIF($R$27:$R$100,_xlpm.x)=1,INDEX($S$27:$S$100,_xlpm.y),$Y62),INDEX($S$27:$S$100,_xlpm.y)-(INDEX($S$27:$S$100,_xlpm.y)-INDEX($S$27:$S$100,_xlpm.y+1))*(INDEX($R$27:$R$100,_xlpm.y)-_xlpm.x)/(INDEX($R$27:$R$100,_xlpm.y)-INDEX($R$27:$R$100,_xlpm.y+1))))($X62,MATCH($X62,$R$27:$R$100,0),MATCH($X62,$R$27:$R$100,-1))</f>
        <v>9</v>
      </c>
      <c r="AB62" s="8">
        <f t="shared" si="1"/>
        <v>726.45249999999987</v>
      </c>
      <c r="AC62" s="6">
        <f t="shared" si="6"/>
        <v>0</v>
      </c>
      <c r="AD62" s="6">
        <f t="shared" si="7"/>
        <v>0</v>
      </c>
      <c r="AH62" s="2" t="str">
        <v/>
      </c>
      <c r="AI62" s="2" t="str">
        <v/>
      </c>
      <c r="AJ62" s="2" t="str">
        <v/>
      </c>
      <c r="AL62" s="2" t="str">
        <v/>
      </c>
      <c r="AM62" s="2" t="str">
        <v/>
      </c>
      <c r="AN62" s="2" t="str">
        <v/>
      </c>
    </row>
    <row r="63" spans="8:40" ht="15.75" x14ac:dyDescent="0.5">
      <c r="H63" s="10"/>
      <c r="I63" s="10" t="str" cm="1">
        <f t="array" ref="I63">IF(H63,SUM(((Table3[Supply Temp]+MinAppTemp/2)&lt;=H63)*((Table3[Target Temp]+MinAppTemp/2)&gt;H63)*Table3[Heat Cap])*(H62-H63),"")</f>
        <v/>
      </c>
      <c r="J63" s="10" t="str" cm="1">
        <f t="array" ref="J63">IF(H63,SUM(((Table4[Target Temp]-MinAppTemp/2)&lt;=H63)*((Table4[Supply Temp]-MinAppTemp/2)&gt;H63)*(Table4[Heat Cap])*(H62-H63)),"")</f>
        <v/>
      </c>
      <c r="K63" s="10" t="str">
        <f t="shared" si="9"/>
        <v/>
      </c>
      <c r="L63" s="10" t="str">
        <f t="shared" si="8"/>
        <v/>
      </c>
      <c r="M63" s="12" t="str">
        <f t="shared" si="0"/>
        <v/>
      </c>
      <c r="O63" s="10" t="e" cm="1">
        <f t="array" ref="O63">IF(H63=INDEX($H$27:$H$100,COUNT($H$27:$H$100)),ColdUtility,IF(SUM((H63&gt;=MIN(Table3[Supply Temp])+MinAppTemp/2)*(H63&lt;=MAX(Table3[Target Temp])+MinAppTemp/2)),IF(LEN(I64)&gt;0,I64,0)+O64,NA()))</f>
        <v>#N/A</v>
      </c>
      <c r="P63" s="10" t="e">
        <f t="shared" si="2"/>
        <v>#N/A</v>
      </c>
      <c r="R63" s="10" t="e">
        <f>IF(SUM((H63&lt;=MAX(Table4[Supply Temp])-MinAppTemp/2)*(H63&gt;=MIN(Table4[Target Temp])-MinAppTemp/2)),IF(ISERROR(R64),0,R64+J64),NA())</f>
        <v>#N/A</v>
      </c>
      <c r="S63" s="10" t="e">
        <f t="shared" si="3"/>
        <v>#N/A</v>
      </c>
      <c r="U63" s="2" t="e">
        <f t="shared" si="4"/>
        <v>#N/A</v>
      </c>
      <c r="V63" s="2" t="e">
        <f t="shared" si="5"/>
        <v>#N/A</v>
      </c>
      <c r="Z63" s="13" t="e" cm="1">
        <f t="array" ref="Z63">_xlfn.LAMBDA(_xlpm.x,_xlpm.row,_xlpm.y,IF(NOT(ISERROR(_xlpm.row)),IF(COUNTIF($O$27:$O$100,_xlpm.x)=1,INDEX($P$27:$P$100,_xlpm.y),$Y63),INDEX($P$27:$P$100,_xlpm.y)-(INDEX($P$27:$P$100,_xlpm.y)-INDEX($P$27:$P$100,_xlpm.y+1))*(INDEX($O$27:$O$100,_xlpm.y)-_xlpm.x)/(INDEX($O$27:$O$100,_xlpm.y)-INDEX($O$27:$O$100,_xlpm.y+1))))($X63,MATCH($X63,$O$27:$O$100,0),MATCH($X63,$O$27:$O$100,-1))</f>
        <v>#N/A</v>
      </c>
      <c r="AA63" s="13" cm="1">
        <f t="array" ref="AA63">_xlfn.LAMBDA(_xlpm.x,_xlpm.row,_xlpm.y,IF(NOT(ISERROR(_xlpm.row)),IF(COUNTIF($R$27:$R$100,_xlpm.x)=1,INDEX($S$27:$S$100,_xlpm.y),$Y63),INDEX($S$27:$S$100,_xlpm.y)-(INDEX($S$27:$S$100,_xlpm.y)-INDEX($S$27:$S$100,_xlpm.y+1))*(INDEX($R$27:$R$100,_xlpm.y)-_xlpm.x)/(INDEX($R$27:$R$100,_xlpm.y)-INDEX($R$27:$R$100,_xlpm.y+1))))($X63,MATCH($X63,$R$27:$R$100,0),MATCH($X63,$R$27:$R$100,-1))</f>
        <v>9</v>
      </c>
      <c r="AB63" s="8">
        <f t="shared" si="1"/>
        <v>726.45249999999987</v>
      </c>
      <c r="AC63" s="6">
        <f t="shared" si="6"/>
        <v>0</v>
      </c>
      <c r="AD63" s="6">
        <f t="shared" si="7"/>
        <v>0</v>
      </c>
      <c r="AH63" s="2" t="e">
        <v>#N/A</v>
      </c>
      <c r="AI63" s="2">
        <v>23</v>
      </c>
      <c r="AJ63" s="2" t="str">
        <v>Hot 13</v>
      </c>
      <c r="AL63" s="2" t="e">
        <v>#N/A</v>
      </c>
      <c r="AM63" s="2">
        <v>13</v>
      </c>
      <c r="AN63" s="2" t="str">
        <v>Cold 13</v>
      </c>
    </row>
    <row r="64" spans="8:40" ht="15.75" x14ac:dyDescent="0.5">
      <c r="H64" s="11"/>
      <c r="I64" s="11" t="str" cm="1">
        <f t="array" ref="I64">IF(H64,SUM(((Table3[Supply Temp]+MinAppTemp/2)&lt;=H64)*((Table3[Target Temp]+MinAppTemp/2)&gt;H64)*Table3[Heat Cap])*(H63-H64),"")</f>
        <v/>
      </c>
      <c r="J64" s="11" t="str" cm="1">
        <f t="array" ref="J64">IF(H64,SUM(((Table4[Target Temp]-MinAppTemp/2)&lt;=H64)*((Table4[Supply Temp]-MinAppTemp/2)&gt;H64)*(Table4[Heat Cap])*(H63-H64)),"")</f>
        <v/>
      </c>
      <c r="K64" s="11" t="str">
        <f t="shared" si="9"/>
        <v/>
      </c>
      <c r="L64" s="11" t="str">
        <f t="shared" si="8"/>
        <v/>
      </c>
      <c r="M64" s="14" t="str">
        <f t="shared" si="0"/>
        <v/>
      </c>
      <c r="O64" s="11" t="e" cm="1">
        <f t="array" ref="O64">IF(H64=INDEX($H$27:$H$100,COUNT($H$27:$H$100)),ColdUtility,IF(SUM((H64&gt;=MIN(Table3[Supply Temp])+MinAppTemp/2)*(H64&lt;=MAX(Table3[Target Temp])+MinAppTemp/2)),IF(LEN(I65)&gt;0,I65,0)+O65,NA()))</f>
        <v>#N/A</v>
      </c>
      <c r="P64" s="11" t="e">
        <f t="shared" si="2"/>
        <v>#N/A</v>
      </c>
      <c r="R64" s="11" t="e">
        <f>IF(SUM((H64&lt;=MAX(Table4[Supply Temp])-MinAppTemp/2)*(H64&gt;=MIN(Table4[Target Temp])-MinAppTemp/2)),IF(ISERROR(R65),0,R65+J65),NA())</f>
        <v>#N/A</v>
      </c>
      <c r="S64" s="11" t="e">
        <f t="shared" si="3"/>
        <v>#N/A</v>
      </c>
      <c r="U64" s="2" t="e">
        <f t="shared" si="4"/>
        <v>#N/A</v>
      </c>
      <c r="V64" s="2" t="e">
        <f t="shared" si="5"/>
        <v>#N/A</v>
      </c>
      <c r="Z64" s="13" t="e" cm="1">
        <f t="array" ref="Z64">_xlfn.LAMBDA(_xlpm.x,_xlpm.row,_xlpm.y,IF(NOT(ISERROR(_xlpm.row)),IF(COUNTIF($O$27:$O$100,_xlpm.x)=1,INDEX($P$27:$P$100,_xlpm.y),$Y64),INDEX($P$27:$P$100,_xlpm.y)-(INDEX($P$27:$P$100,_xlpm.y)-INDEX($P$27:$P$100,_xlpm.y+1))*(INDEX($O$27:$O$100,_xlpm.y)-_xlpm.x)/(INDEX($O$27:$O$100,_xlpm.y)-INDEX($O$27:$O$100,_xlpm.y+1))))($X64,MATCH($X64,$O$27:$O$100,0),MATCH($X64,$O$27:$O$100,-1))</f>
        <v>#N/A</v>
      </c>
      <c r="AA64" s="13" cm="1">
        <f t="array" ref="AA64">_xlfn.LAMBDA(_xlpm.x,_xlpm.row,_xlpm.y,IF(NOT(ISERROR(_xlpm.row)),IF(COUNTIF($R$27:$R$100,_xlpm.x)=1,INDEX($S$27:$S$100,_xlpm.y),$Y64),INDEX($S$27:$S$100,_xlpm.y)-(INDEX($S$27:$S$100,_xlpm.y)-INDEX($S$27:$S$100,_xlpm.y+1))*(INDEX($R$27:$R$100,_xlpm.y)-_xlpm.x)/(INDEX($R$27:$R$100,_xlpm.y)-INDEX($R$27:$R$100,_xlpm.y+1))))($X64,MATCH($X64,$R$27:$R$100,0),MATCH($X64,$R$27:$R$100,-1))</f>
        <v>9</v>
      </c>
      <c r="AB64" s="8">
        <f t="shared" si="1"/>
        <v>726.45249999999987</v>
      </c>
      <c r="AC64" s="6">
        <f t="shared" si="6"/>
        <v>0</v>
      </c>
      <c r="AD64" s="6">
        <f t="shared" si="7"/>
        <v>0</v>
      </c>
      <c r="AH64" s="2" t="e">
        <v>#N/A</v>
      </c>
      <c r="AI64" s="2">
        <v>23</v>
      </c>
      <c r="AJ64" s="2" t="str">
        <v>Hot 13</v>
      </c>
      <c r="AL64" s="2" t="e">
        <v>#N/A</v>
      </c>
      <c r="AM64" s="2">
        <v>13</v>
      </c>
      <c r="AN64" s="2" t="str">
        <v>Cold 13</v>
      </c>
    </row>
    <row r="65" spans="8:40" ht="15.75" x14ac:dyDescent="0.5">
      <c r="H65" s="10"/>
      <c r="I65" s="10" t="str" cm="1">
        <f t="array" ref="I65">IF(H65,SUM(((Table3[Supply Temp]+MinAppTemp/2)&lt;=H65)*((Table3[Target Temp]+MinAppTemp/2)&gt;H65)*Table3[Heat Cap])*(H64-H65),"")</f>
        <v/>
      </c>
      <c r="J65" s="10" t="str" cm="1">
        <f t="array" ref="J65">IF(H65,SUM(((Table4[Target Temp]-MinAppTemp/2)&lt;=H65)*((Table4[Supply Temp]-MinAppTemp/2)&gt;H65)*(Table4[Heat Cap])*(H64-H65)),"")</f>
        <v/>
      </c>
      <c r="K65" s="10" t="str">
        <f t="shared" si="9"/>
        <v/>
      </c>
      <c r="L65" s="10" t="str">
        <f t="shared" si="8"/>
        <v/>
      </c>
      <c r="M65" s="12" t="str">
        <f t="shared" si="0"/>
        <v/>
      </c>
      <c r="O65" s="10" t="e" cm="1">
        <f t="array" ref="O65">IF(H65=INDEX($H$27:$H$100,COUNT($H$27:$H$100)),ColdUtility,IF(SUM((H65&gt;=MIN(Table3[Supply Temp])+MinAppTemp/2)*(H65&lt;=MAX(Table3[Target Temp])+MinAppTemp/2)),IF(LEN(I66)&gt;0,I66,0)+O66,NA()))</f>
        <v>#N/A</v>
      </c>
      <c r="P65" s="10" t="e">
        <f t="shared" si="2"/>
        <v>#N/A</v>
      </c>
      <c r="R65" s="10" t="e">
        <f>IF(SUM((H65&lt;=MAX(Table4[Supply Temp])-MinAppTemp/2)*(H65&gt;=MIN(Table4[Target Temp])-MinAppTemp/2)),IF(ISERROR(R66),0,R66+J66),NA())</f>
        <v>#N/A</v>
      </c>
      <c r="S65" s="10" t="e">
        <f t="shared" si="3"/>
        <v>#N/A</v>
      </c>
      <c r="U65" s="2" t="e">
        <f t="shared" si="4"/>
        <v>#N/A</v>
      </c>
      <c r="V65" s="2" t="e">
        <f t="shared" si="5"/>
        <v>#N/A</v>
      </c>
      <c r="Z65" s="13" t="e" cm="1">
        <f t="array" ref="Z65">_xlfn.LAMBDA(_xlpm.x,_xlpm.row,_xlpm.y,IF(NOT(ISERROR(_xlpm.row)),IF(COUNTIF($O$27:$O$100,_xlpm.x)=1,INDEX($P$27:$P$100,_xlpm.y),$Y65),INDEX($P$27:$P$100,_xlpm.y)-(INDEX($P$27:$P$100,_xlpm.y)-INDEX($P$27:$P$100,_xlpm.y+1))*(INDEX($O$27:$O$100,_xlpm.y)-_xlpm.x)/(INDEX($O$27:$O$100,_xlpm.y)-INDEX($O$27:$O$100,_xlpm.y+1))))($X65,MATCH($X65,$O$27:$O$100,0),MATCH($X65,$O$27:$O$100,-1))</f>
        <v>#N/A</v>
      </c>
      <c r="AA65" s="13" cm="1">
        <f t="array" ref="AA65">_xlfn.LAMBDA(_xlpm.x,_xlpm.row,_xlpm.y,IF(NOT(ISERROR(_xlpm.row)),IF(COUNTIF($R$27:$R$100,_xlpm.x)=1,INDEX($S$27:$S$100,_xlpm.y),$Y65),INDEX($S$27:$S$100,_xlpm.y)-(INDEX($S$27:$S$100,_xlpm.y)-INDEX($S$27:$S$100,_xlpm.y+1))*(INDEX($R$27:$R$100,_xlpm.y)-_xlpm.x)/(INDEX($R$27:$R$100,_xlpm.y)-INDEX($R$27:$R$100,_xlpm.y+1))))($X65,MATCH($X65,$R$27:$R$100,0),MATCH($X65,$R$27:$R$100,-1))</f>
        <v>9</v>
      </c>
      <c r="AB65" s="8">
        <f t="shared" si="1"/>
        <v>726.45249999999987</v>
      </c>
      <c r="AC65" s="6">
        <f t="shared" si="6"/>
        <v>0</v>
      </c>
      <c r="AD65" s="6">
        <f t="shared" si="7"/>
        <v>0</v>
      </c>
      <c r="AH65" s="2" t="str">
        <v/>
      </c>
      <c r="AI65" s="2" t="str">
        <v/>
      </c>
      <c r="AJ65" s="2" t="str">
        <v/>
      </c>
      <c r="AL65" s="2" t="str">
        <v/>
      </c>
      <c r="AM65" s="2" t="str">
        <v/>
      </c>
      <c r="AN65" s="2" t="str">
        <v/>
      </c>
    </row>
    <row r="66" spans="8:40" ht="15.75" x14ac:dyDescent="0.5">
      <c r="H66" s="11"/>
      <c r="I66" s="11" t="str" cm="1">
        <f t="array" ref="I66">IF(H66,SUM(((Table3[Supply Temp]+MinAppTemp/2)&lt;=H66)*((Table3[Target Temp]+MinAppTemp/2)&gt;H66)*Table3[Heat Cap])*(H65-H66),"")</f>
        <v/>
      </c>
      <c r="J66" s="11" t="str" cm="1">
        <f t="array" ref="J66">IF(H66,SUM(((Table4[Target Temp]-MinAppTemp/2)&lt;=H66)*((Table4[Supply Temp]-MinAppTemp/2)&gt;H66)*(Table4[Heat Cap])*(H65-H66)),"")</f>
        <v/>
      </c>
      <c r="K66" s="11" t="str">
        <f t="shared" si="9"/>
        <v/>
      </c>
      <c r="L66" s="11" t="str">
        <f t="shared" si="8"/>
        <v/>
      </c>
      <c r="M66" s="14" t="str">
        <f t="shared" si="0"/>
        <v/>
      </c>
      <c r="O66" s="11" t="e" cm="1">
        <f t="array" ref="O66">IF(H66=INDEX($H$27:$H$100,COUNT($H$27:$H$100)),ColdUtility,IF(SUM((H66&gt;=MIN(Table3[Supply Temp])+MinAppTemp/2)*(H66&lt;=MAX(Table3[Target Temp])+MinAppTemp/2)),IF(LEN(I67)&gt;0,I67,0)+O67,NA()))</f>
        <v>#N/A</v>
      </c>
      <c r="P66" s="11" t="e">
        <f t="shared" si="2"/>
        <v>#N/A</v>
      </c>
      <c r="R66" s="11" t="e">
        <f>IF(SUM((H66&lt;=MAX(Table4[Supply Temp])-MinAppTemp/2)*(H66&gt;=MIN(Table4[Target Temp])-MinAppTemp/2)),IF(ISERROR(R67),0,R67+J67),NA())</f>
        <v>#N/A</v>
      </c>
      <c r="S66" s="11" t="e">
        <f t="shared" si="3"/>
        <v>#N/A</v>
      </c>
      <c r="U66" s="2" t="e">
        <f t="shared" si="4"/>
        <v>#N/A</v>
      </c>
      <c r="V66" s="2" t="e">
        <f t="shared" si="5"/>
        <v>#N/A</v>
      </c>
      <c r="Z66" s="13" t="e" cm="1">
        <f t="array" ref="Z66">_xlfn.LAMBDA(_xlpm.x,_xlpm.row,_xlpm.y,IF(NOT(ISERROR(_xlpm.row)),IF(COUNTIF($O$27:$O$100,_xlpm.x)=1,INDEX($P$27:$P$100,_xlpm.y),$Y66),INDEX($P$27:$P$100,_xlpm.y)-(INDEX($P$27:$P$100,_xlpm.y)-INDEX($P$27:$P$100,_xlpm.y+1))*(INDEX($O$27:$O$100,_xlpm.y)-_xlpm.x)/(INDEX($O$27:$O$100,_xlpm.y)-INDEX($O$27:$O$100,_xlpm.y+1))))($X66,MATCH($X66,$O$27:$O$100,0),MATCH($X66,$O$27:$O$100,-1))</f>
        <v>#N/A</v>
      </c>
      <c r="AA66" s="13" cm="1">
        <f t="array" ref="AA66">_xlfn.LAMBDA(_xlpm.x,_xlpm.row,_xlpm.y,IF(NOT(ISERROR(_xlpm.row)),IF(COUNTIF($R$27:$R$100,_xlpm.x)=1,INDEX($S$27:$S$100,_xlpm.y),$Y66),INDEX($S$27:$S$100,_xlpm.y)-(INDEX($S$27:$S$100,_xlpm.y)-INDEX($S$27:$S$100,_xlpm.y+1))*(INDEX($R$27:$R$100,_xlpm.y)-_xlpm.x)/(INDEX($R$27:$R$100,_xlpm.y)-INDEX($R$27:$R$100,_xlpm.y+1))))($X66,MATCH($X66,$R$27:$R$100,0),MATCH($X66,$R$27:$R$100,-1))</f>
        <v>9</v>
      </c>
      <c r="AB66" s="8">
        <f t="shared" si="1"/>
        <v>726.45249999999987</v>
      </c>
      <c r="AC66" s="6">
        <f t="shared" si="6"/>
        <v>0</v>
      </c>
      <c r="AD66" s="6">
        <f t="shared" si="7"/>
        <v>0</v>
      </c>
      <c r="AH66" s="2" t="e">
        <v>#N/A</v>
      </c>
      <c r="AI66" s="2">
        <v>24</v>
      </c>
      <c r="AJ66" s="2" t="str">
        <v>Hot 14</v>
      </c>
      <c r="AL66" s="2" t="e">
        <v>#N/A</v>
      </c>
      <c r="AM66" s="2">
        <v>14</v>
      </c>
      <c r="AN66" s="2" t="str">
        <v>Cold 14</v>
      </c>
    </row>
    <row r="67" spans="8:40" ht="15.75" x14ac:dyDescent="0.5">
      <c r="H67" s="10"/>
      <c r="I67" s="10" t="str" cm="1">
        <f t="array" ref="I67">IF(H67,SUM(((Table3[Supply Temp]+MinAppTemp/2)&lt;=H67)*((Table3[Target Temp]+MinAppTemp/2)&gt;H67)*Table3[Heat Cap])*(H66-H67),"")</f>
        <v/>
      </c>
      <c r="J67" s="10" t="str" cm="1">
        <f t="array" ref="J67">IF(H67,SUM(((Table4[Target Temp]-MinAppTemp/2)&lt;=H67)*((Table4[Supply Temp]-MinAppTemp/2)&gt;H67)*(Table4[Heat Cap])*(H66-H67)),"")</f>
        <v/>
      </c>
      <c r="K67" s="10" t="str">
        <f t="shared" si="9"/>
        <v/>
      </c>
      <c r="L67" s="10" t="str">
        <f t="shared" si="8"/>
        <v/>
      </c>
      <c r="M67" s="12" t="str">
        <f t="shared" si="0"/>
        <v/>
      </c>
      <c r="O67" s="10" t="e" cm="1">
        <f t="array" ref="O67">IF(H67=INDEX($H$27:$H$100,COUNT($H$27:$H$100)),ColdUtility,IF(SUM((H67&gt;=MIN(Table3[Supply Temp])+MinAppTemp/2)*(H67&lt;=MAX(Table3[Target Temp])+MinAppTemp/2)),IF(LEN(I68)&gt;0,I68,0)+O68,NA()))</f>
        <v>#N/A</v>
      </c>
      <c r="P67" s="10" t="e">
        <f t="shared" si="2"/>
        <v>#N/A</v>
      </c>
      <c r="R67" s="10" t="e">
        <f>IF(SUM((H67&lt;=MAX(Table4[Supply Temp])-MinAppTemp/2)*(H67&gt;=MIN(Table4[Target Temp])-MinAppTemp/2)),IF(ISERROR(R68),0,R68+J68),NA())</f>
        <v>#N/A</v>
      </c>
      <c r="S67" s="10" t="e">
        <f t="shared" si="3"/>
        <v>#N/A</v>
      </c>
      <c r="U67" s="2" t="e">
        <f t="shared" si="4"/>
        <v>#N/A</v>
      </c>
      <c r="V67" s="2" t="e">
        <f t="shared" si="5"/>
        <v>#N/A</v>
      </c>
      <c r="Z67" s="13" t="e" cm="1">
        <f t="array" ref="Z67">_xlfn.LAMBDA(_xlpm.x,_xlpm.row,_xlpm.y,IF(NOT(ISERROR(_xlpm.row)),IF(COUNTIF($O$27:$O$100,_xlpm.x)=1,INDEX($P$27:$P$100,_xlpm.y),$Y67),INDEX($P$27:$P$100,_xlpm.y)-(INDEX($P$27:$P$100,_xlpm.y)-INDEX($P$27:$P$100,_xlpm.y+1))*(INDEX($O$27:$O$100,_xlpm.y)-_xlpm.x)/(INDEX($O$27:$O$100,_xlpm.y)-INDEX($O$27:$O$100,_xlpm.y+1))))($X67,MATCH($X67,$O$27:$O$100,0),MATCH($X67,$O$27:$O$100,-1))</f>
        <v>#N/A</v>
      </c>
      <c r="AA67" s="13" cm="1">
        <f t="array" ref="AA67">_xlfn.LAMBDA(_xlpm.x,_xlpm.row,_xlpm.y,IF(NOT(ISERROR(_xlpm.row)),IF(COUNTIF($R$27:$R$100,_xlpm.x)=1,INDEX($S$27:$S$100,_xlpm.y),$Y67),INDEX($S$27:$S$100,_xlpm.y)-(INDEX($S$27:$S$100,_xlpm.y)-INDEX($S$27:$S$100,_xlpm.y+1))*(INDEX($R$27:$R$100,_xlpm.y)-_xlpm.x)/(INDEX($R$27:$R$100,_xlpm.y)-INDEX($R$27:$R$100,_xlpm.y+1))))($X67,MATCH($X67,$R$27:$R$100,0),MATCH($X67,$R$27:$R$100,-1))</f>
        <v>9</v>
      </c>
      <c r="AB67" s="8">
        <f t="shared" si="1"/>
        <v>726.45249999999987</v>
      </c>
      <c r="AC67" s="6">
        <f t="shared" si="6"/>
        <v>0</v>
      </c>
      <c r="AD67" s="6">
        <f t="shared" si="7"/>
        <v>0</v>
      </c>
      <c r="AH67" s="2" t="e">
        <v>#N/A</v>
      </c>
      <c r="AI67" s="2">
        <v>24</v>
      </c>
      <c r="AJ67" s="2" t="str">
        <v>Hot 14</v>
      </c>
      <c r="AL67" s="2" t="e">
        <v>#N/A</v>
      </c>
      <c r="AM67" s="2">
        <v>14</v>
      </c>
      <c r="AN67" s="2" t="str">
        <v>Cold 14</v>
      </c>
    </row>
    <row r="68" spans="8:40" ht="15.75" x14ac:dyDescent="0.5">
      <c r="H68" s="11"/>
      <c r="I68" s="11" t="str" cm="1">
        <f t="array" ref="I68">IF(H68,SUM(((Table3[Supply Temp]+MinAppTemp/2)&lt;=H68)*((Table3[Target Temp]+MinAppTemp/2)&gt;H68)*Table3[Heat Cap])*(H67-H68),"")</f>
        <v/>
      </c>
      <c r="J68" s="11" t="str" cm="1">
        <f t="array" ref="J68">IF(H68,SUM(((Table4[Target Temp]-MinAppTemp/2)&lt;=H68)*((Table4[Supply Temp]-MinAppTemp/2)&gt;H68)*(Table4[Heat Cap])*(H67-H68)),"")</f>
        <v/>
      </c>
      <c r="K68" s="11" t="str">
        <f t="shared" si="9"/>
        <v/>
      </c>
      <c r="L68" s="11" t="str">
        <f t="shared" si="8"/>
        <v/>
      </c>
      <c r="M68" s="14" t="str">
        <f t="shared" si="0"/>
        <v/>
      </c>
      <c r="O68" s="11" t="e" cm="1">
        <f t="array" ref="O68">IF(H68=INDEX($H$27:$H$100,COUNT($H$27:$H$100)),ColdUtility,IF(SUM((H68&gt;=MIN(Table3[Supply Temp])+MinAppTemp/2)*(H68&lt;=MAX(Table3[Target Temp])+MinAppTemp/2)),IF(LEN(I69)&gt;0,I69,0)+O69,NA()))</f>
        <v>#N/A</v>
      </c>
      <c r="P68" s="11" t="e">
        <f t="shared" si="2"/>
        <v>#N/A</v>
      </c>
      <c r="R68" s="11" t="e">
        <f>IF(SUM((H68&lt;=MAX(Table4[Supply Temp])-MinAppTemp/2)*(H68&gt;=MIN(Table4[Target Temp])-MinAppTemp/2)),IF(ISERROR(R69),0,R69+J69),NA())</f>
        <v>#N/A</v>
      </c>
      <c r="S68" s="11" t="e">
        <f t="shared" si="3"/>
        <v>#N/A</v>
      </c>
      <c r="U68" s="2" t="e">
        <f t="shared" si="4"/>
        <v>#N/A</v>
      </c>
      <c r="V68" s="2" t="e">
        <f t="shared" si="5"/>
        <v>#N/A</v>
      </c>
      <c r="Z68" s="13" t="e" cm="1">
        <f t="array" ref="Z68">_xlfn.LAMBDA(_xlpm.x,_xlpm.row,_xlpm.y,IF(NOT(ISERROR(_xlpm.row)),IF(COUNTIF($O$27:$O$100,_xlpm.x)=1,INDEX($P$27:$P$100,_xlpm.y),$Y68),INDEX($P$27:$P$100,_xlpm.y)-(INDEX($P$27:$P$100,_xlpm.y)-INDEX($P$27:$P$100,_xlpm.y+1))*(INDEX($O$27:$O$100,_xlpm.y)-_xlpm.x)/(INDEX($O$27:$O$100,_xlpm.y)-INDEX($O$27:$O$100,_xlpm.y+1))))($X68,MATCH($X68,$O$27:$O$100,0),MATCH($X68,$O$27:$O$100,-1))</f>
        <v>#N/A</v>
      </c>
      <c r="AA68" s="13" cm="1">
        <f t="array" ref="AA68">_xlfn.LAMBDA(_xlpm.x,_xlpm.row,_xlpm.y,IF(NOT(ISERROR(_xlpm.row)),IF(COUNTIF($R$27:$R$100,_xlpm.x)=1,INDEX($S$27:$S$100,_xlpm.y),$Y68),INDEX($S$27:$S$100,_xlpm.y)-(INDEX($S$27:$S$100,_xlpm.y)-INDEX($S$27:$S$100,_xlpm.y+1))*(INDEX($R$27:$R$100,_xlpm.y)-_xlpm.x)/(INDEX($R$27:$R$100,_xlpm.y)-INDEX($R$27:$R$100,_xlpm.y+1))))($X68,MATCH($X68,$R$27:$R$100,0),MATCH($X68,$R$27:$R$100,-1))</f>
        <v>9</v>
      </c>
      <c r="AB68" s="8">
        <f t="shared" si="1"/>
        <v>726.45249999999987</v>
      </c>
      <c r="AC68" s="6">
        <f t="shared" si="6"/>
        <v>0</v>
      </c>
      <c r="AD68" s="6">
        <f t="shared" si="7"/>
        <v>0</v>
      </c>
      <c r="AH68" s="2" t="str">
        <v/>
      </c>
      <c r="AI68" s="2" t="str">
        <v/>
      </c>
      <c r="AJ68" s="2" t="str">
        <v/>
      </c>
      <c r="AL68" s="2" t="str">
        <v/>
      </c>
      <c r="AM68" s="2" t="str">
        <v/>
      </c>
      <c r="AN68" s="2" t="str">
        <v/>
      </c>
    </row>
    <row r="69" spans="8:40" ht="15.75" x14ac:dyDescent="0.5">
      <c r="H69" s="10"/>
      <c r="I69" s="10" t="str" cm="1">
        <f t="array" ref="I69">IF(H69,SUM(((Table3[Supply Temp]+MinAppTemp/2)&lt;=H69)*((Table3[Target Temp]+MinAppTemp/2)&gt;H69)*Table3[Heat Cap])*(H68-H69),"")</f>
        <v/>
      </c>
      <c r="J69" s="10" t="str" cm="1">
        <f t="array" ref="J69">IF(H69,SUM(((Table4[Target Temp]-MinAppTemp/2)&lt;=H69)*((Table4[Supply Temp]-MinAppTemp/2)&gt;H69)*(Table4[Heat Cap])*(H68-H69)),"")</f>
        <v/>
      </c>
      <c r="K69" s="10" t="str">
        <f t="shared" si="9"/>
        <v/>
      </c>
      <c r="L69" s="10" t="str">
        <f t="shared" si="8"/>
        <v/>
      </c>
      <c r="M69" s="12" t="str">
        <f t="shared" si="0"/>
        <v/>
      </c>
      <c r="O69" s="10" t="e" cm="1">
        <f t="array" ref="O69">IF(H69=INDEX($H$27:$H$100,COUNT($H$27:$H$100)),ColdUtility,IF(SUM((H69&gt;=MIN(Table3[Supply Temp])+MinAppTemp/2)*(H69&lt;=MAX(Table3[Target Temp])+MinAppTemp/2)),IF(LEN(I70)&gt;0,I70,0)+O70,NA()))</f>
        <v>#N/A</v>
      </c>
      <c r="P69" s="10" t="e">
        <f t="shared" si="2"/>
        <v>#N/A</v>
      </c>
      <c r="R69" s="10" t="e">
        <f>IF(SUM((H69&lt;=MAX(Table4[Supply Temp])-MinAppTemp/2)*(H69&gt;=MIN(Table4[Target Temp])-MinAppTemp/2)),IF(ISERROR(R70),0,R70+J70),NA())</f>
        <v>#N/A</v>
      </c>
      <c r="S69" s="10" t="e">
        <f t="shared" si="3"/>
        <v>#N/A</v>
      </c>
      <c r="U69" s="2" t="e">
        <f t="shared" si="4"/>
        <v>#N/A</v>
      </c>
      <c r="V69" s="2" t="e">
        <f t="shared" si="5"/>
        <v>#N/A</v>
      </c>
      <c r="Z69" s="13" t="e" cm="1">
        <f t="array" ref="Z69">_xlfn.LAMBDA(_xlpm.x,_xlpm.row,_xlpm.y,IF(NOT(ISERROR(_xlpm.row)),IF(COUNTIF($O$27:$O$100,_xlpm.x)=1,INDEX($P$27:$P$100,_xlpm.y),$Y69),INDEX($P$27:$P$100,_xlpm.y)-(INDEX($P$27:$P$100,_xlpm.y)-INDEX($P$27:$P$100,_xlpm.y+1))*(INDEX($O$27:$O$100,_xlpm.y)-_xlpm.x)/(INDEX($O$27:$O$100,_xlpm.y)-INDEX($O$27:$O$100,_xlpm.y+1))))($X69,MATCH($X69,$O$27:$O$100,0),MATCH($X69,$O$27:$O$100,-1))</f>
        <v>#N/A</v>
      </c>
      <c r="AA69" s="13" cm="1">
        <f t="array" ref="AA69">_xlfn.LAMBDA(_xlpm.x,_xlpm.row,_xlpm.y,IF(NOT(ISERROR(_xlpm.row)),IF(COUNTIF($R$27:$R$100,_xlpm.x)=1,INDEX($S$27:$S$100,_xlpm.y),$Y69),INDEX($S$27:$S$100,_xlpm.y)-(INDEX($S$27:$S$100,_xlpm.y)-INDEX($S$27:$S$100,_xlpm.y+1))*(INDEX($R$27:$R$100,_xlpm.y)-_xlpm.x)/(INDEX($R$27:$R$100,_xlpm.y)-INDEX($R$27:$R$100,_xlpm.y+1))))($X69,MATCH($X69,$R$27:$R$100,0),MATCH($X69,$R$27:$R$100,-1))</f>
        <v>9</v>
      </c>
      <c r="AB69" s="8">
        <f t="shared" si="1"/>
        <v>726.45249999999987</v>
      </c>
      <c r="AC69" s="6">
        <f t="shared" si="6"/>
        <v>0</v>
      </c>
      <c r="AD69" s="6">
        <f t="shared" si="7"/>
        <v>0</v>
      </c>
      <c r="AH69" s="2" t="e">
        <v>#N/A</v>
      </c>
      <c r="AI69" s="2">
        <v>25</v>
      </c>
      <c r="AJ69" s="2" t="str">
        <v>Hot 15</v>
      </c>
      <c r="AL69" s="2" t="e">
        <v>#N/A</v>
      </c>
      <c r="AM69" s="2">
        <v>15</v>
      </c>
      <c r="AN69" s="2" t="str">
        <v>Cold 15</v>
      </c>
    </row>
    <row r="70" spans="8:40" ht="15.75" x14ac:dyDescent="0.5">
      <c r="H70" s="11"/>
      <c r="I70" s="11" t="str" cm="1">
        <f t="array" ref="I70">IF(H70,SUM(((Table3[Supply Temp]+MinAppTemp/2)&lt;=H70)*((Table3[Target Temp]+MinAppTemp/2)&gt;H70)*Table3[Heat Cap])*(H69-H70),"")</f>
        <v/>
      </c>
      <c r="J70" s="11" t="str" cm="1">
        <f t="array" ref="J70">IF(H70,SUM(((Table4[Target Temp]-MinAppTemp/2)&lt;=H70)*((Table4[Supply Temp]-MinAppTemp/2)&gt;H70)*(Table4[Heat Cap])*(H69-H70)),"")</f>
        <v/>
      </c>
      <c r="K70" s="11" t="str">
        <f t="shared" si="9"/>
        <v/>
      </c>
      <c r="L70" s="11" t="str">
        <f t="shared" si="8"/>
        <v/>
      </c>
      <c r="M70" s="14" t="str">
        <f t="shared" si="0"/>
        <v/>
      </c>
      <c r="O70" s="11" t="e" cm="1">
        <f t="array" ref="O70">IF(H70=INDEX($H$27:$H$100,COUNT($H$27:$H$100)),ColdUtility,IF(SUM((H70&gt;=MIN(Table3[Supply Temp])+MinAppTemp/2)*(H70&lt;=MAX(Table3[Target Temp])+MinAppTemp/2)),IF(LEN(I71)&gt;0,I71,0)+O71,NA()))</f>
        <v>#N/A</v>
      </c>
      <c r="P70" s="11" t="e">
        <f t="shared" si="2"/>
        <v>#N/A</v>
      </c>
      <c r="R70" s="11" t="e">
        <f>IF(SUM((H70&lt;=MAX(Table4[Supply Temp])-MinAppTemp/2)*(H70&gt;=MIN(Table4[Target Temp])-MinAppTemp/2)),IF(ISERROR(R71),0,R71+J71),NA())</f>
        <v>#N/A</v>
      </c>
      <c r="S70" s="11" t="e">
        <f t="shared" si="3"/>
        <v>#N/A</v>
      </c>
      <c r="U70" s="2" t="e">
        <f t="shared" si="4"/>
        <v>#N/A</v>
      </c>
      <c r="V70" s="2" t="e">
        <f t="shared" si="5"/>
        <v>#N/A</v>
      </c>
      <c r="Z70" s="13" t="e" cm="1">
        <f t="array" ref="Z70">_xlfn.LAMBDA(_xlpm.x,_xlpm.row,_xlpm.y,IF(NOT(ISERROR(_xlpm.row)),IF(COUNTIF($O$27:$O$100,_xlpm.x)=1,INDEX($P$27:$P$100,_xlpm.y),$Y70),INDEX($P$27:$P$100,_xlpm.y)-(INDEX($P$27:$P$100,_xlpm.y)-INDEX($P$27:$P$100,_xlpm.y+1))*(INDEX($O$27:$O$100,_xlpm.y)-_xlpm.x)/(INDEX($O$27:$O$100,_xlpm.y)-INDEX($O$27:$O$100,_xlpm.y+1))))($X70,MATCH($X70,$O$27:$O$100,0),MATCH($X70,$O$27:$O$100,-1))</f>
        <v>#N/A</v>
      </c>
      <c r="AA70" s="13" cm="1">
        <f t="array" ref="AA70">_xlfn.LAMBDA(_xlpm.x,_xlpm.row,_xlpm.y,IF(NOT(ISERROR(_xlpm.row)),IF(COUNTIF($R$27:$R$100,_xlpm.x)=1,INDEX($S$27:$S$100,_xlpm.y),$Y70),INDEX($S$27:$S$100,_xlpm.y)-(INDEX($S$27:$S$100,_xlpm.y)-INDEX($S$27:$S$100,_xlpm.y+1))*(INDEX($R$27:$R$100,_xlpm.y)-_xlpm.x)/(INDEX($R$27:$R$100,_xlpm.y)-INDEX($R$27:$R$100,_xlpm.y+1))))($X70,MATCH($X70,$R$27:$R$100,0),MATCH($X70,$R$27:$R$100,-1))</f>
        <v>9</v>
      </c>
      <c r="AB70" s="8">
        <f t="shared" si="1"/>
        <v>726.45249999999987</v>
      </c>
      <c r="AC70" s="6">
        <f t="shared" si="6"/>
        <v>0</v>
      </c>
      <c r="AD70" s="6">
        <f t="shared" si="7"/>
        <v>0</v>
      </c>
      <c r="AH70" s="2" t="e">
        <v>#N/A</v>
      </c>
      <c r="AI70" s="2">
        <v>25</v>
      </c>
      <c r="AJ70" s="2" t="str">
        <v>Hot 15</v>
      </c>
      <c r="AL70" s="2" t="e">
        <v>#N/A</v>
      </c>
      <c r="AM70" s="2">
        <v>15</v>
      </c>
      <c r="AN70" s="2" t="str">
        <v>Cold 15</v>
      </c>
    </row>
    <row r="71" spans="8:40" ht="15.75" x14ac:dyDescent="0.5">
      <c r="H71" s="10"/>
      <c r="I71" s="10" t="str" cm="1">
        <f t="array" ref="I71">IF(H71,SUM(((Table3[Supply Temp]+MinAppTemp/2)&lt;=H71)*((Table3[Target Temp]+MinAppTemp/2)&gt;H71)*Table3[Heat Cap])*(H70-H71),"")</f>
        <v/>
      </c>
      <c r="J71" s="10" t="str" cm="1">
        <f t="array" ref="J71">IF(H71,SUM(((Table4[Target Temp]-MinAppTemp/2)&lt;=H71)*((Table4[Supply Temp]-MinAppTemp/2)&gt;H71)*(Table4[Heat Cap])*(H70-H71)),"")</f>
        <v/>
      </c>
      <c r="K71" s="10" t="str">
        <f t="shared" si="9"/>
        <v/>
      </c>
      <c r="L71" s="10" t="str">
        <f t="shared" si="8"/>
        <v/>
      </c>
      <c r="M71" s="12" t="str">
        <f t="shared" si="0"/>
        <v/>
      </c>
      <c r="O71" s="10" t="e" cm="1">
        <f t="array" ref="O71">IF(H71=INDEX($H$27:$H$100,COUNT($H$27:$H$100)),ColdUtility,IF(SUM((H71&gt;=MIN(Table3[Supply Temp])+MinAppTemp/2)*(H71&lt;=MAX(Table3[Target Temp])+MinAppTemp/2)),IF(LEN(I72)&gt;0,I72,0)+O72,NA()))</f>
        <v>#N/A</v>
      </c>
      <c r="P71" s="10" t="e">
        <f t="shared" si="2"/>
        <v>#N/A</v>
      </c>
      <c r="R71" s="10" t="e">
        <f>IF(SUM((H71&lt;=MAX(Table4[Supply Temp])-MinAppTemp/2)*(H71&gt;=MIN(Table4[Target Temp])-MinAppTemp/2)),IF(ISERROR(R72),0,R72+J72),NA())</f>
        <v>#N/A</v>
      </c>
      <c r="S71" s="10" t="e">
        <f t="shared" si="3"/>
        <v>#N/A</v>
      </c>
      <c r="U71" s="2" t="e">
        <f t="shared" si="4"/>
        <v>#N/A</v>
      </c>
      <c r="V71" s="2" t="e">
        <f t="shared" si="5"/>
        <v>#N/A</v>
      </c>
      <c r="Z71" s="13" t="e" cm="1">
        <f t="array" ref="Z71">_xlfn.LAMBDA(_xlpm.x,_xlpm.row,_xlpm.y,IF(NOT(ISERROR(_xlpm.row)),IF(COUNTIF($O$27:$O$100,_xlpm.x)=1,INDEX($P$27:$P$100,_xlpm.y),$Y71),INDEX($P$27:$P$100,_xlpm.y)-(INDEX($P$27:$P$100,_xlpm.y)-INDEX($P$27:$P$100,_xlpm.y+1))*(INDEX($O$27:$O$100,_xlpm.y)-_xlpm.x)/(INDEX($O$27:$O$100,_xlpm.y)-INDEX($O$27:$O$100,_xlpm.y+1))))($X71,MATCH($X71,$O$27:$O$100,0),MATCH($X71,$O$27:$O$100,-1))</f>
        <v>#N/A</v>
      </c>
      <c r="AA71" s="13" cm="1">
        <f t="array" ref="AA71">_xlfn.LAMBDA(_xlpm.x,_xlpm.row,_xlpm.y,IF(NOT(ISERROR(_xlpm.row)),IF(COUNTIF($R$27:$R$100,_xlpm.x)=1,INDEX($S$27:$S$100,_xlpm.y),$Y71),INDEX($S$27:$S$100,_xlpm.y)-(INDEX($S$27:$S$100,_xlpm.y)-INDEX($S$27:$S$100,_xlpm.y+1))*(INDEX($R$27:$R$100,_xlpm.y)-_xlpm.x)/(INDEX($R$27:$R$100,_xlpm.y)-INDEX($R$27:$R$100,_xlpm.y+1))))($X71,MATCH($X71,$R$27:$R$100,0),MATCH($X71,$R$27:$R$100,-1))</f>
        <v>9</v>
      </c>
      <c r="AB71" s="8">
        <f t="shared" si="1"/>
        <v>726.45249999999987</v>
      </c>
      <c r="AC71" s="6">
        <f t="shared" si="6"/>
        <v>0</v>
      </c>
      <c r="AD71" s="6">
        <f t="shared" si="7"/>
        <v>0</v>
      </c>
      <c r="AH71" s="2" t="str">
        <v/>
      </c>
      <c r="AI71" s="2" t="str">
        <v/>
      </c>
      <c r="AJ71" s="2" t="str">
        <v/>
      </c>
      <c r="AL71" s="2" t="str">
        <v/>
      </c>
      <c r="AM71" s="2" t="str">
        <v/>
      </c>
      <c r="AN71" s="2" t="str">
        <v/>
      </c>
    </row>
    <row r="72" spans="8:40" ht="15.75" x14ac:dyDescent="0.5">
      <c r="H72" s="11"/>
      <c r="I72" s="11" t="str" cm="1">
        <f t="array" ref="I72">IF(H72,SUM(((Table3[Supply Temp]+MinAppTemp/2)&lt;=H72)*((Table3[Target Temp]+MinAppTemp/2)&gt;H72)*Table3[Heat Cap])*(H71-H72),"")</f>
        <v/>
      </c>
      <c r="J72" s="11" t="str" cm="1">
        <f t="array" ref="J72">IF(H72,SUM(((Table4[Target Temp]-MinAppTemp/2)&lt;=H72)*((Table4[Supply Temp]-MinAppTemp/2)&gt;H72)*(Table4[Heat Cap])*(H71-H72)),"")</f>
        <v/>
      </c>
      <c r="K72" s="11" t="str">
        <f t="shared" si="9"/>
        <v/>
      </c>
      <c r="L72" s="11" t="str">
        <f t="shared" si="8"/>
        <v/>
      </c>
      <c r="M72" s="14" t="str">
        <f t="shared" si="0"/>
        <v/>
      </c>
      <c r="O72" s="11" t="e" cm="1">
        <f t="array" ref="O72">IF(H72=INDEX($H$27:$H$100,COUNT($H$27:$H$100)),ColdUtility,IF(SUM((H72&gt;=MIN(Table3[Supply Temp])+MinAppTemp/2)*(H72&lt;=MAX(Table3[Target Temp])+MinAppTemp/2)),IF(LEN(I73)&gt;0,I73,0)+O73,NA()))</f>
        <v>#N/A</v>
      </c>
      <c r="P72" s="11" t="e">
        <f t="shared" si="2"/>
        <v>#N/A</v>
      </c>
      <c r="R72" s="11" t="e">
        <f>IF(SUM((H72&lt;=MAX(Table4[Supply Temp])-MinAppTemp/2)*(H72&gt;=MIN(Table4[Target Temp])-MinAppTemp/2)),IF(ISERROR(R73),0,R73+J73),NA())</f>
        <v>#N/A</v>
      </c>
      <c r="S72" s="11" t="e">
        <f t="shared" si="3"/>
        <v>#N/A</v>
      </c>
      <c r="U72" s="2" t="e">
        <f t="shared" si="4"/>
        <v>#N/A</v>
      </c>
      <c r="V72" s="2" t="e">
        <f t="shared" si="5"/>
        <v>#N/A</v>
      </c>
      <c r="Z72" s="13" t="e" cm="1">
        <f t="array" ref="Z72">_xlfn.LAMBDA(_xlpm.x,_xlpm.row,_xlpm.y,IF(NOT(ISERROR(_xlpm.row)),IF(COUNTIF($O$27:$O$100,_xlpm.x)=1,INDEX($P$27:$P$100,_xlpm.y),$Y72),INDEX($P$27:$P$100,_xlpm.y)-(INDEX($P$27:$P$100,_xlpm.y)-INDEX($P$27:$P$100,_xlpm.y+1))*(INDEX($O$27:$O$100,_xlpm.y)-_xlpm.x)/(INDEX($O$27:$O$100,_xlpm.y)-INDEX($O$27:$O$100,_xlpm.y+1))))($X72,MATCH($X72,$O$27:$O$100,0),MATCH($X72,$O$27:$O$100,-1))</f>
        <v>#N/A</v>
      </c>
      <c r="AA72" s="13" cm="1">
        <f t="array" ref="AA72">_xlfn.LAMBDA(_xlpm.x,_xlpm.row,_xlpm.y,IF(NOT(ISERROR(_xlpm.row)),IF(COUNTIF($R$27:$R$100,_xlpm.x)=1,INDEX($S$27:$S$100,_xlpm.y),$Y72),INDEX($S$27:$S$100,_xlpm.y)-(INDEX($S$27:$S$100,_xlpm.y)-INDEX($S$27:$S$100,_xlpm.y+1))*(INDEX($R$27:$R$100,_xlpm.y)-_xlpm.x)/(INDEX($R$27:$R$100,_xlpm.y)-INDEX($R$27:$R$100,_xlpm.y+1))))($X72,MATCH($X72,$R$27:$R$100,0),MATCH($X72,$R$27:$R$100,-1))</f>
        <v>9</v>
      </c>
      <c r="AB72" s="8">
        <f t="shared" si="1"/>
        <v>726.45249999999987</v>
      </c>
      <c r="AC72" s="6">
        <f t="shared" si="6"/>
        <v>0</v>
      </c>
      <c r="AD72" s="6">
        <f t="shared" si="7"/>
        <v>0</v>
      </c>
      <c r="AH72" s="2" t="e">
        <v>#N/A</v>
      </c>
      <c r="AI72" s="2">
        <v>26</v>
      </c>
      <c r="AJ72" s="2" t="str">
        <v>Hot 16</v>
      </c>
      <c r="AL72" s="2" t="e">
        <v>#N/A</v>
      </c>
      <c r="AM72" s="2">
        <v>16</v>
      </c>
      <c r="AN72" s="2" t="str">
        <v>Cold 16</v>
      </c>
    </row>
    <row r="73" spans="8:40" ht="15.75" x14ac:dyDescent="0.5">
      <c r="H73" s="10"/>
      <c r="I73" s="10" t="str" cm="1">
        <f t="array" ref="I73">IF(H73,SUM(((Table3[Supply Temp]+MinAppTemp/2)&lt;=H73)*((Table3[Target Temp]+MinAppTemp/2)&gt;H73)*Table3[Heat Cap])*(H72-H73),"")</f>
        <v/>
      </c>
      <c r="J73" s="10" t="str" cm="1">
        <f t="array" ref="J73">IF(H73,SUM(((Table4[Target Temp]-MinAppTemp/2)&lt;=H73)*((Table4[Supply Temp]-MinAppTemp/2)&gt;H73)*(Table4[Heat Cap])*(H72-H73)),"")</f>
        <v/>
      </c>
      <c r="K73" s="10" t="str">
        <f t="shared" si="9"/>
        <v/>
      </c>
      <c r="L73" s="10" t="str">
        <f t="shared" si="8"/>
        <v/>
      </c>
      <c r="M73" s="12" t="str">
        <f t="shared" si="0"/>
        <v/>
      </c>
      <c r="O73" s="10" t="e" cm="1">
        <f t="array" ref="O73">IF(H73=INDEX($H$27:$H$100,COUNT($H$27:$H$100)),ColdUtility,IF(SUM((H73&gt;=MIN(Table3[Supply Temp])+MinAppTemp/2)*(H73&lt;=MAX(Table3[Target Temp])+MinAppTemp/2)),IF(LEN(I74)&gt;0,I74,0)+O74,NA()))</f>
        <v>#N/A</v>
      </c>
      <c r="P73" s="10" t="e">
        <f t="shared" si="2"/>
        <v>#N/A</v>
      </c>
      <c r="R73" s="10" t="e">
        <f>IF(SUM((H73&lt;=MAX(Table4[Supply Temp])-MinAppTemp/2)*(H73&gt;=MIN(Table4[Target Temp])-MinAppTemp/2)),IF(ISERROR(R74),0,R74+J74),NA())</f>
        <v>#N/A</v>
      </c>
      <c r="S73" s="10" t="e">
        <f t="shared" si="3"/>
        <v>#N/A</v>
      </c>
      <c r="U73" s="2" t="e">
        <f t="shared" si="4"/>
        <v>#N/A</v>
      </c>
      <c r="V73" s="2" t="e">
        <f t="shared" si="5"/>
        <v>#N/A</v>
      </c>
      <c r="Z73" s="13" t="e" cm="1">
        <f t="array" ref="Z73">_xlfn.LAMBDA(_xlpm.x,_xlpm.row,_xlpm.y,IF(NOT(ISERROR(_xlpm.row)),IF(COUNTIF($O$27:$O$100,_xlpm.x)=1,INDEX($P$27:$P$100,_xlpm.y),$Y73),INDEX($P$27:$P$100,_xlpm.y)-(INDEX($P$27:$P$100,_xlpm.y)-INDEX($P$27:$P$100,_xlpm.y+1))*(INDEX($O$27:$O$100,_xlpm.y)-_xlpm.x)/(INDEX($O$27:$O$100,_xlpm.y)-INDEX($O$27:$O$100,_xlpm.y+1))))($X73,MATCH($X73,$O$27:$O$100,0),MATCH($X73,$O$27:$O$100,-1))</f>
        <v>#N/A</v>
      </c>
      <c r="AA73" s="13" cm="1">
        <f t="array" ref="AA73">_xlfn.LAMBDA(_xlpm.x,_xlpm.row,_xlpm.y,IF(NOT(ISERROR(_xlpm.row)),IF(COUNTIF($R$27:$R$100,_xlpm.x)=1,INDEX($S$27:$S$100,_xlpm.y),$Y73),INDEX($S$27:$S$100,_xlpm.y)-(INDEX($S$27:$S$100,_xlpm.y)-INDEX($S$27:$S$100,_xlpm.y+1))*(INDEX($R$27:$R$100,_xlpm.y)-_xlpm.x)/(INDEX($R$27:$R$100,_xlpm.y)-INDEX($R$27:$R$100,_xlpm.y+1))))($X73,MATCH($X73,$R$27:$R$100,0),MATCH($X73,$R$27:$R$100,-1))</f>
        <v>9</v>
      </c>
      <c r="AB73" s="8">
        <f t="shared" si="1"/>
        <v>726.45249999999987</v>
      </c>
      <c r="AC73" s="6">
        <f t="shared" si="6"/>
        <v>0</v>
      </c>
      <c r="AD73" s="6">
        <f t="shared" si="7"/>
        <v>0</v>
      </c>
      <c r="AH73" s="2" t="e">
        <v>#N/A</v>
      </c>
      <c r="AI73" s="2">
        <v>26</v>
      </c>
      <c r="AJ73" s="2" t="str">
        <v>Hot 16</v>
      </c>
      <c r="AL73" s="2" t="e">
        <v>#N/A</v>
      </c>
      <c r="AM73" s="2">
        <v>16</v>
      </c>
      <c r="AN73" s="2" t="str">
        <v>Cold 16</v>
      </c>
    </row>
    <row r="74" spans="8:40" ht="15.75" x14ac:dyDescent="0.5">
      <c r="H74" s="11"/>
      <c r="I74" s="11" t="str" cm="1">
        <f t="array" ref="I74">IF(H74,SUM(((Table3[Supply Temp]+MinAppTemp/2)&lt;=H74)*((Table3[Target Temp]+MinAppTemp/2)&gt;H74)*Table3[Heat Cap])*(H73-H74),"")</f>
        <v/>
      </c>
      <c r="J74" s="11" t="str" cm="1">
        <f t="array" ref="J74">IF(H74,SUM(((Table4[Target Temp]-MinAppTemp/2)&lt;=H74)*((Table4[Supply Temp]-MinAppTemp/2)&gt;H74)*(Table4[Heat Cap])*(H73-H74)),"")</f>
        <v/>
      </c>
      <c r="K74" s="11" t="str">
        <f t="shared" si="9"/>
        <v/>
      </c>
      <c r="L74" s="11" t="str">
        <f t="shared" si="8"/>
        <v/>
      </c>
      <c r="M74" s="14" t="str">
        <f t="shared" si="0"/>
        <v/>
      </c>
      <c r="O74" s="11" t="e" cm="1">
        <f t="array" ref="O74">IF(H74=INDEX($H$27:$H$100,COUNT($H$27:$H$100)),ColdUtility,IF(SUM((H74&gt;=MIN(Table3[Supply Temp])+MinAppTemp/2)*(H74&lt;=MAX(Table3[Target Temp])+MinAppTemp/2)),IF(LEN(I75)&gt;0,I75,0)+O75,NA()))</f>
        <v>#N/A</v>
      </c>
      <c r="P74" s="11" t="e">
        <f t="shared" si="2"/>
        <v>#N/A</v>
      </c>
      <c r="R74" s="11" t="e">
        <f>IF(SUM((H74&lt;=MAX(Table4[Supply Temp])-MinAppTemp/2)*(H74&gt;=MIN(Table4[Target Temp])-MinAppTemp/2)),IF(ISERROR(R75),0,R75+J75),NA())</f>
        <v>#N/A</v>
      </c>
      <c r="S74" s="11" t="e">
        <f t="shared" si="3"/>
        <v>#N/A</v>
      </c>
      <c r="U74" s="2" t="e">
        <f t="shared" si="4"/>
        <v>#N/A</v>
      </c>
      <c r="V74" s="2" t="e">
        <f t="shared" si="5"/>
        <v>#N/A</v>
      </c>
      <c r="Z74" s="13" t="e" cm="1">
        <f t="array" ref="Z74">_xlfn.LAMBDA(_xlpm.x,_xlpm.row,_xlpm.y,IF(NOT(ISERROR(_xlpm.row)),IF(COUNTIF($O$27:$O$100,_xlpm.x)=1,INDEX($P$27:$P$100,_xlpm.y),$Y74),INDEX($P$27:$P$100,_xlpm.y)-(INDEX($P$27:$P$100,_xlpm.y)-INDEX($P$27:$P$100,_xlpm.y+1))*(INDEX($O$27:$O$100,_xlpm.y)-_xlpm.x)/(INDEX($O$27:$O$100,_xlpm.y)-INDEX($O$27:$O$100,_xlpm.y+1))))($X74,MATCH($X74,$O$27:$O$100,0),MATCH($X74,$O$27:$O$100,-1))</f>
        <v>#N/A</v>
      </c>
      <c r="AA74" s="13" cm="1">
        <f t="array" ref="AA74">_xlfn.LAMBDA(_xlpm.x,_xlpm.row,_xlpm.y,IF(NOT(ISERROR(_xlpm.row)),IF(COUNTIF($R$27:$R$100,_xlpm.x)=1,INDEX($S$27:$S$100,_xlpm.y),$Y74),INDEX($S$27:$S$100,_xlpm.y)-(INDEX($S$27:$S$100,_xlpm.y)-INDEX($S$27:$S$100,_xlpm.y+1))*(INDEX($R$27:$R$100,_xlpm.y)-_xlpm.x)/(INDEX($R$27:$R$100,_xlpm.y)-INDEX($R$27:$R$100,_xlpm.y+1))))($X74,MATCH($X74,$R$27:$R$100,0),MATCH($X74,$R$27:$R$100,-1))</f>
        <v>9</v>
      </c>
      <c r="AB74" s="8">
        <f t="shared" si="1"/>
        <v>726.45249999999987</v>
      </c>
      <c r="AC74" s="6">
        <f t="shared" si="6"/>
        <v>0</v>
      </c>
      <c r="AD74" s="6">
        <f t="shared" si="7"/>
        <v>0</v>
      </c>
      <c r="AH74" s="2" t="str">
        <v/>
      </c>
      <c r="AI74" s="2" t="str">
        <v/>
      </c>
      <c r="AJ74" s="2" t="str">
        <v/>
      </c>
      <c r="AL74" s="2" t="str">
        <v/>
      </c>
      <c r="AM74" s="2" t="str">
        <v/>
      </c>
      <c r="AN74" s="2" t="str">
        <v/>
      </c>
    </row>
    <row r="75" spans="8:40" ht="15.75" x14ac:dyDescent="0.5">
      <c r="H75" s="10"/>
      <c r="I75" s="10" t="str" cm="1">
        <f t="array" ref="I75">IF(H75,SUM(((Table3[Supply Temp]+MinAppTemp/2)&lt;=H75)*((Table3[Target Temp]+MinAppTemp/2)&gt;H75)*Table3[Heat Cap])*(H74-H75),"")</f>
        <v/>
      </c>
      <c r="J75" s="10" t="str" cm="1">
        <f t="array" ref="J75">IF(H75,SUM(((Table4[Target Temp]-MinAppTemp/2)&lt;=H75)*((Table4[Supply Temp]-MinAppTemp/2)&gt;H75)*(Table4[Heat Cap])*(H74-H75)),"")</f>
        <v/>
      </c>
      <c r="K75" s="10" t="str">
        <f t="shared" si="9"/>
        <v/>
      </c>
      <c r="L75" s="10" t="str">
        <f t="shared" si="8"/>
        <v/>
      </c>
      <c r="M75" s="12" t="str">
        <f t="shared" si="0"/>
        <v/>
      </c>
      <c r="O75" s="10" t="e" cm="1">
        <f t="array" ref="O75">IF(H75=INDEX($H$27:$H$100,COUNT($H$27:$H$100)),ColdUtility,IF(SUM((H75&gt;=MIN(Table3[Supply Temp])+MinAppTemp/2)*(H75&lt;=MAX(Table3[Target Temp])+MinAppTemp/2)),IF(LEN(I76)&gt;0,I76,0)+O76,NA()))</f>
        <v>#N/A</v>
      </c>
      <c r="P75" s="10" t="e">
        <f t="shared" si="2"/>
        <v>#N/A</v>
      </c>
      <c r="R75" s="10" t="e">
        <f>IF(SUM((H75&lt;=MAX(Table4[Supply Temp])-MinAppTemp/2)*(H75&gt;=MIN(Table4[Target Temp])-MinAppTemp/2)),IF(ISERROR(R76),0,R76+J76),NA())</f>
        <v>#N/A</v>
      </c>
      <c r="S75" s="10" t="e">
        <f t="shared" si="3"/>
        <v>#N/A</v>
      </c>
      <c r="U75" s="2" t="e">
        <f t="shared" si="4"/>
        <v>#N/A</v>
      </c>
      <c r="V75" s="2" t="e">
        <f t="shared" si="5"/>
        <v>#N/A</v>
      </c>
      <c r="Z75" s="13" t="e" cm="1">
        <f t="array" ref="Z75">_xlfn.LAMBDA(_xlpm.x,_xlpm.row,_xlpm.y,IF(NOT(ISERROR(_xlpm.row)),IF(COUNTIF($O$27:$O$100,_xlpm.x)=1,INDEX($P$27:$P$100,_xlpm.y),$Y75),INDEX($P$27:$P$100,_xlpm.y)-(INDEX($P$27:$P$100,_xlpm.y)-INDEX($P$27:$P$100,_xlpm.y+1))*(INDEX($O$27:$O$100,_xlpm.y)-_xlpm.x)/(INDEX($O$27:$O$100,_xlpm.y)-INDEX($O$27:$O$100,_xlpm.y+1))))($X75,MATCH($X75,$O$27:$O$100,0),MATCH($X75,$O$27:$O$100,-1))</f>
        <v>#N/A</v>
      </c>
      <c r="AA75" s="13" cm="1">
        <f t="array" ref="AA75">_xlfn.LAMBDA(_xlpm.x,_xlpm.row,_xlpm.y,IF(NOT(ISERROR(_xlpm.row)),IF(COUNTIF($R$27:$R$100,_xlpm.x)=1,INDEX($S$27:$S$100,_xlpm.y),$Y75),INDEX($S$27:$S$100,_xlpm.y)-(INDEX($S$27:$S$100,_xlpm.y)-INDEX($S$27:$S$100,_xlpm.y+1))*(INDEX($R$27:$R$100,_xlpm.y)-_xlpm.x)/(INDEX($R$27:$R$100,_xlpm.y)-INDEX($R$27:$R$100,_xlpm.y+1))))($X75,MATCH($X75,$R$27:$R$100,0),MATCH($X75,$R$27:$R$100,-1))</f>
        <v>9</v>
      </c>
      <c r="AB75" s="8">
        <f t="shared" si="1"/>
        <v>726.45249999999987</v>
      </c>
      <c r="AC75" s="6">
        <f t="shared" si="6"/>
        <v>0</v>
      </c>
      <c r="AD75" s="6">
        <f t="shared" si="7"/>
        <v>0</v>
      </c>
      <c r="AH75" s="2" t="e">
        <v>#N/A</v>
      </c>
      <c r="AI75" s="2">
        <v>27</v>
      </c>
      <c r="AJ75" s="2" t="str">
        <v>Hot 17</v>
      </c>
      <c r="AL75" s="2" t="e">
        <v>#N/A</v>
      </c>
      <c r="AM75" s="2">
        <v>17</v>
      </c>
      <c r="AN75" s="2" t="str">
        <v>Cold 17</v>
      </c>
    </row>
    <row r="76" spans="8:40" ht="15.75" x14ac:dyDescent="0.5">
      <c r="H76" s="11"/>
      <c r="I76" s="11" t="str" cm="1">
        <f t="array" ref="I76">IF(H76,SUM(((Table3[Supply Temp]+MinAppTemp/2)&lt;=H76)*((Table3[Target Temp]+MinAppTemp/2)&gt;H76)*Table3[Heat Cap])*(H75-H76),"")</f>
        <v/>
      </c>
      <c r="J76" s="11" t="str" cm="1">
        <f t="array" ref="J76">IF(H76,SUM(((Table4[Target Temp]-MinAppTemp/2)&lt;=H76)*((Table4[Supply Temp]-MinAppTemp/2)&gt;H76)*(Table4[Heat Cap])*(H75-H76)),"")</f>
        <v/>
      </c>
      <c r="K76" s="11" t="str">
        <f t="shared" si="9"/>
        <v/>
      </c>
      <c r="L76" s="11" t="str">
        <f t="shared" si="8"/>
        <v/>
      </c>
      <c r="M76" s="14" t="str">
        <f t="shared" si="0"/>
        <v/>
      </c>
      <c r="O76" s="11" t="e" cm="1">
        <f t="array" ref="O76">IF(H76=INDEX($H$27:$H$100,COUNT($H$27:$H$100)),ColdUtility,IF(SUM((H76&gt;=MIN(Table3[Supply Temp])+MinAppTemp/2)*(H76&lt;=MAX(Table3[Target Temp])+MinAppTemp/2)),IF(LEN(I77)&gt;0,I77,0)+O77,NA()))</f>
        <v>#N/A</v>
      </c>
      <c r="P76" s="11" t="e">
        <f t="shared" si="2"/>
        <v>#N/A</v>
      </c>
      <c r="R76" s="11" t="e">
        <f>IF(SUM((H76&lt;=MAX(Table4[Supply Temp])-MinAppTemp/2)*(H76&gt;=MIN(Table4[Target Temp])-MinAppTemp/2)),IF(ISERROR(R77),0,R77+J77),NA())</f>
        <v>#N/A</v>
      </c>
      <c r="S76" s="11" t="e">
        <f t="shared" si="3"/>
        <v>#N/A</v>
      </c>
      <c r="U76" s="2" t="e">
        <f t="shared" si="4"/>
        <v>#N/A</v>
      </c>
      <c r="V76" s="2" t="e">
        <f t="shared" si="5"/>
        <v>#N/A</v>
      </c>
      <c r="Z76" s="13" t="e" cm="1">
        <f t="array" ref="Z76">_xlfn.LAMBDA(_xlpm.x,_xlpm.row,_xlpm.y,IF(NOT(ISERROR(_xlpm.row)),IF(COUNTIF($O$27:$O$100,_xlpm.x)=1,INDEX($P$27:$P$100,_xlpm.y),$Y76),INDEX($P$27:$P$100,_xlpm.y)-(INDEX($P$27:$P$100,_xlpm.y)-INDEX($P$27:$P$100,_xlpm.y+1))*(INDEX($O$27:$O$100,_xlpm.y)-_xlpm.x)/(INDEX($O$27:$O$100,_xlpm.y)-INDEX($O$27:$O$100,_xlpm.y+1))))($X76,MATCH($X76,$O$27:$O$100,0),MATCH($X76,$O$27:$O$100,-1))</f>
        <v>#N/A</v>
      </c>
      <c r="AA76" s="13" cm="1">
        <f t="array" ref="AA76">_xlfn.LAMBDA(_xlpm.x,_xlpm.row,_xlpm.y,IF(NOT(ISERROR(_xlpm.row)),IF(COUNTIF($R$27:$R$100,_xlpm.x)=1,INDEX($S$27:$S$100,_xlpm.y),$Y76),INDEX($S$27:$S$100,_xlpm.y)-(INDEX($S$27:$S$100,_xlpm.y)-INDEX($S$27:$S$100,_xlpm.y+1))*(INDEX($R$27:$R$100,_xlpm.y)-_xlpm.x)/(INDEX($R$27:$R$100,_xlpm.y)-INDEX($R$27:$R$100,_xlpm.y+1))))($X76,MATCH($X76,$R$27:$R$100,0),MATCH($X76,$R$27:$R$100,-1))</f>
        <v>9</v>
      </c>
      <c r="AB76" s="8">
        <f t="shared" si="1"/>
        <v>726.45249999999987</v>
      </c>
      <c r="AC76" s="6">
        <f t="shared" si="6"/>
        <v>0</v>
      </c>
      <c r="AD76" s="6">
        <f t="shared" si="7"/>
        <v>0</v>
      </c>
      <c r="AH76" s="2" t="e">
        <v>#N/A</v>
      </c>
      <c r="AI76" s="2">
        <v>27</v>
      </c>
      <c r="AJ76" s="2" t="str">
        <v>Hot 17</v>
      </c>
      <c r="AL76" s="2" t="e">
        <v>#N/A</v>
      </c>
      <c r="AM76" s="2">
        <v>17</v>
      </c>
      <c r="AN76" s="2" t="str">
        <v>Cold 17</v>
      </c>
    </row>
    <row r="77" spans="8:40" ht="15.75" x14ac:dyDescent="0.5">
      <c r="H77" s="10"/>
      <c r="I77" s="10" t="str" cm="1">
        <f t="array" ref="I77">IF(H77,SUM(((Table3[Supply Temp]+MinAppTemp/2)&lt;=H77)*((Table3[Target Temp]+MinAppTemp/2)&gt;H77)*Table3[Heat Cap])*(H76-H77),"")</f>
        <v/>
      </c>
      <c r="J77" s="10" t="str" cm="1">
        <f t="array" ref="J77">IF(H77,SUM(((Table4[Target Temp]-MinAppTemp/2)&lt;=H77)*((Table4[Supply Temp]-MinAppTemp/2)&gt;H77)*(Table4[Heat Cap])*(H76-H77)),"")</f>
        <v/>
      </c>
      <c r="K77" s="10" t="str">
        <f t="shared" si="9"/>
        <v/>
      </c>
      <c r="L77" s="10" t="str">
        <f t="shared" si="8"/>
        <v/>
      </c>
      <c r="M77" s="12" t="str">
        <f t="shared" si="0"/>
        <v/>
      </c>
      <c r="O77" s="10" t="e" cm="1">
        <f t="array" ref="O77">IF(H77=INDEX($H$27:$H$100,COUNT($H$27:$H$100)),ColdUtility,IF(SUM((H77&gt;=MIN(Table3[Supply Temp])+MinAppTemp/2)*(H77&lt;=MAX(Table3[Target Temp])+MinAppTemp/2)),IF(LEN(I78)&gt;0,I78,0)+O78,NA()))</f>
        <v>#N/A</v>
      </c>
      <c r="P77" s="10" t="e">
        <f t="shared" si="2"/>
        <v>#N/A</v>
      </c>
      <c r="R77" s="10" t="e">
        <f>IF(SUM((H77&lt;=MAX(Table4[Supply Temp])-MinAppTemp/2)*(H77&gt;=MIN(Table4[Target Temp])-MinAppTemp/2)),IF(ISERROR(R78),0,R78+J78),NA())</f>
        <v>#N/A</v>
      </c>
      <c r="S77" s="10" t="e">
        <f t="shared" si="3"/>
        <v>#N/A</v>
      </c>
      <c r="U77" s="2" t="e">
        <f t="shared" si="4"/>
        <v>#N/A</v>
      </c>
      <c r="V77" s="2" t="e">
        <f t="shared" si="5"/>
        <v>#N/A</v>
      </c>
      <c r="Z77" s="13" t="e" cm="1">
        <f t="array" ref="Z77">_xlfn.LAMBDA(_xlpm.x,_xlpm.row,_xlpm.y,IF(NOT(ISERROR(_xlpm.row)),IF(COUNTIF($O$27:$O$100,_xlpm.x)=1,INDEX($P$27:$P$100,_xlpm.y),$Y77),INDEX($P$27:$P$100,_xlpm.y)-(INDEX($P$27:$P$100,_xlpm.y)-INDEX($P$27:$P$100,_xlpm.y+1))*(INDEX($O$27:$O$100,_xlpm.y)-_xlpm.x)/(INDEX($O$27:$O$100,_xlpm.y)-INDEX($O$27:$O$100,_xlpm.y+1))))($X77,MATCH($X77,$O$27:$O$100,0),MATCH($X77,$O$27:$O$100,-1))</f>
        <v>#N/A</v>
      </c>
      <c r="AA77" s="13" cm="1">
        <f t="array" ref="AA77">_xlfn.LAMBDA(_xlpm.x,_xlpm.row,_xlpm.y,IF(NOT(ISERROR(_xlpm.row)),IF(COUNTIF($R$27:$R$100,_xlpm.x)=1,INDEX($S$27:$S$100,_xlpm.y),$Y77),INDEX($S$27:$S$100,_xlpm.y)-(INDEX($S$27:$S$100,_xlpm.y)-INDEX($S$27:$S$100,_xlpm.y+1))*(INDEX($R$27:$R$100,_xlpm.y)-_xlpm.x)/(INDEX($R$27:$R$100,_xlpm.y)-INDEX($R$27:$R$100,_xlpm.y+1))))($X77,MATCH($X77,$R$27:$R$100,0),MATCH($X77,$R$27:$R$100,-1))</f>
        <v>9</v>
      </c>
      <c r="AB77" s="8">
        <f t="shared" si="1"/>
        <v>726.45249999999987</v>
      </c>
      <c r="AC77" s="6">
        <f t="shared" si="6"/>
        <v>0</v>
      </c>
      <c r="AD77" s="6">
        <f t="shared" si="7"/>
        <v>0</v>
      </c>
      <c r="AH77" s="2" t="str">
        <v/>
      </c>
      <c r="AI77" s="2" t="str">
        <v/>
      </c>
      <c r="AJ77" s="2" t="str">
        <v/>
      </c>
      <c r="AL77" s="2" t="str">
        <v/>
      </c>
      <c r="AM77" s="2" t="str">
        <v/>
      </c>
      <c r="AN77" s="2" t="str">
        <v/>
      </c>
    </row>
    <row r="78" spans="8:40" ht="15.75" x14ac:dyDescent="0.5">
      <c r="H78" s="11"/>
      <c r="I78" s="11" t="str" cm="1">
        <f t="array" ref="I78">IF(H78,SUM(((Table3[Supply Temp]+MinAppTemp/2)&lt;=H78)*((Table3[Target Temp]+MinAppTemp/2)&gt;H78)*Table3[Heat Cap])*(H77-H78),"")</f>
        <v/>
      </c>
      <c r="J78" s="11" t="str" cm="1">
        <f t="array" ref="J78">IF(H78,SUM(((Table4[Target Temp]-MinAppTemp/2)&lt;=H78)*((Table4[Supply Temp]-MinAppTemp/2)&gt;H78)*(Table4[Heat Cap])*(H77-H78)),"")</f>
        <v/>
      </c>
      <c r="K78" s="11" t="str">
        <f t="shared" si="9"/>
        <v/>
      </c>
      <c r="L78" s="11" t="str">
        <f t="shared" si="8"/>
        <v/>
      </c>
      <c r="M78" s="14" t="str">
        <f t="shared" si="0"/>
        <v/>
      </c>
      <c r="O78" s="11" t="e" cm="1">
        <f t="array" ref="O78">IF(H78=INDEX($H$27:$H$100,COUNT($H$27:$H$100)),ColdUtility,IF(SUM((H78&gt;=MIN(Table3[Supply Temp])+MinAppTemp/2)*(H78&lt;=MAX(Table3[Target Temp])+MinAppTemp/2)),IF(LEN(I79)&gt;0,I79,0)+O79,NA()))</f>
        <v>#N/A</v>
      </c>
      <c r="P78" s="11" t="e">
        <f t="shared" si="2"/>
        <v>#N/A</v>
      </c>
      <c r="R78" s="11" t="e">
        <f>IF(SUM((H78&lt;=MAX(Table4[Supply Temp])-MinAppTemp/2)*(H78&gt;=MIN(Table4[Target Temp])-MinAppTemp/2)),IF(ISERROR(R79),0,R79+J79),NA())</f>
        <v>#N/A</v>
      </c>
      <c r="S78" s="11" t="e">
        <f t="shared" si="3"/>
        <v>#N/A</v>
      </c>
      <c r="U78" s="2" t="e">
        <f t="shared" si="4"/>
        <v>#N/A</v>
      </c>
      <c r="V78" s="2" t="e">
        <f t="shared" si="5"/>
        <v>#N/A</v>
      </c>
      <c r="Z78" s="13" t="e" cm="1">
        <f t="array" ref="Z78">_xlfn.LAMBDA(_xlpm.x,_xlpm.row,_xlpm.y,IF(NOT(ISERROR(_xlpm.row)),IF(COUNTIF($O$27:$O$100,_xlpm.x)=1,INDEX($P$27:$P$100,_xlpm.y),$Y78),INDEX($P$27:$P$100,_xlpm.y)-(INDEX($P$27:$P$100,_xlpm.y)-INDEX($P$27:$P$100,_xlpm.y+1))*(INDEX($O$27:$O$100,_xlpm.y)-_xlpm.x)/(INDEX($O$27:$O$100,_xlpm.y)-INDEX($O$27:$O$100,_xlpm.y+1))))($X78,MATCH($X78,$O$27:$O$100,0),MATCH($X78,$O$27:$O$100,-1))</f>
        <v>#N/A</v>
      </c>
      <c r="AA78" s="13" cm="1">
        <f t="array" ref="AA78">_xlfn.LAMBDA(_xlpm.x,_xlpm.row,_xlpm.y,IF(NOT(ISERROR(_xlpm.row)),IF(COUNTIF($R$27:$R$100,_xlpm.x)=1,INDEX($S$27:$S$100,_xlpm.y),$Y78),INDEX($S$27:$S$100,_xlpm.y)-(INDEX($S$27:$S$100,_xlpm.y)-INDEX($S$27:$S$100,_xlpm.y+1))*(INDEX($R$27:$R$100,_xlpm.y)-_xlpm.x)/(INDEX($R$27:$R$100,_xlpm.y)-INDEX($R$27:$R$100,_xlpm.y+1))))($X78,MATCH($X78,$R$27:$R$100,0),MATCH($X78,$R$27:$R$100,-1))</f>
        <v>9</v>
      </c>
      <c r="AB78" s="8">
        <f t="shared" si="1"/>
        <v>726.45249999999987</v>
      </c>
      <c r="AC78" s="6">
        <f t="shared" si="6"/>
        <v>0</v>
      </c>
      <c r="AD78" s="6">
        <f t="shared" si="7"/>
        <v>0</v>
      </c>
      <c r="AH78" s="2" t="e">
        <v>#N/A</v>
      </c>
      <c r="AI78" s="2">
        <v>28</v>
      </c>
      <c r="AJ78" s="2" t="str">
        <v>Hot 18</v>
      </c>
      <c r="AL78" s="2" t="e">
        <v>#N/A</v>
      </c>
      <c r="AM78" s="2">
        <v>18</v>
      </c>
      <c r="AN78" s="2" t="str">
        <v>Cold 18</v>
      </c>
    </row>
    <row r="79" spans="8:40" ht="15.75" x14ac:dyDescent="0.5">
      <c r="H79" s="10"/>
      <c r="I79" s="10" t="str" cm="1">
        <f t="array" ref="I79">IF(H79,SUM(((Table3[Supply Temp]+MinAppTemp/2)&lt;=H79)*((Table3[Target Temp]+MinAppTemp/2)&gt;H79)*Table3[Heat Cap])*(H78-H79),"")</f>
        <v/>
      </c>
      <c r="J79" s="10" t="str" cm="1">
        <f t="array" ref="J79">IF(H79,SUM(((Table4[Target Temp]-MinAppTemp/2)&lt;=H79)*((Table4[Supply Temp]-MinAppTemp/2)&gt;H79)*(Table4[Heat Cap])*(H78-H79)),"")</f>
        <v/>
      </c>
      <c r="K79" s="10" t="str">
        <f t="shared" si="9"/>
        <v/>
      </c>
      <c r="L79" s="10" t="str">
        <f t="shared" si="8"/>
        <v/>
      </c>
      <c r="M79" s="12" t="str">
        <f t="shared" si="0"/>
        <v/>
      </c>
      <c r="O79" s="10" t="e" cm="1">
        <f t="array" ref="O79">IF(H79=INDEX($H$27:$H$100,COUNT($H$27:$H$100)),ColdUtility,IF(SUM((H79&gt;=MIN(Table3[Supply Temp])+MinAppTemp/2)*(H79&lt;=MAX(Table3[Target Temp])+MinAppTemp/2)),IF(LEN(I80)&gt;0,I80,0)+O80,NA()))</f>
        <v>#N/A</v>
      </c>
      <c r="P79" s="10" t="e">
        <f t="shared" si="2"/>
        <v>#N/A</v>
      </c>
      <c r="R79" s="10" t="e">
        <f>IF(SUM((H79&lt;=MAX(Table4[Supply Temp])-MinAppTemp/2)*(H79&gt;=MIN(Table4[Target Temp])-MinAppTemp/2)),IF(ISERROR(R80),0,R80+J80),NA())</f>
        <v>#N/A</v>
      </c>
      <c r="S79" s="10" t="e">
        <f t="shared" si="3"/>
        <v>#N/A</v>
      </c>
      <c r="U79" s="2" t="e">
        <f t="shared" si="4"/>
        <v>#N/A</v>
      </c>
      <c r="V79" s="2" t="e">
        <f t="shared" si="5"/>
        <v>#N/A</v>
      </c>
      <c r="Z79" s="13" t="e" cm="1">
        <f t="array" ref="Z79">_xlfn.LAMBDA(_xlpm.x,_xlpm.row,_xlpm.y,IF(NOT(ISERROR(_xlpm.row)),IF(COUNTIF($O$27:$O$100,_xlpm.x)=1,INDEX($P$27:$P$100,_xlpm.y),$Y79),INDEX($P$27:$P$100,_xlpm.y)-(INDEX($P$27:$P$100,_xlpm.y)-INDEX($P$27:$P$100,_xlpm.y+1))*(INDEX($O$27:$O$100,_xlpm.y)-_xlpm.x)/(INDEX($O$27:$O$100,_xlpm.y)-INDEX($O$27:$O$100,_xlpm.y+1))))($X79,MATCH($X79,$O$27:$O$100,0),MATCH($X79,$O$27:$O$100,-1))</f>
        <v>#N/A</v>
      </c>
      <c r="AA79" s="13" cm="1">
        <f t="array" ref="AA79">_xlfn.LAMBDA(_xlpm.x,_xlpm.row,_xlpm.y,IF(NOT(ISERROR(_xlpm.row)),IF(COUNTIF($R$27:$R$100,_xlpm.x)=1,INDEX($S$27:$S$100,_xlpm.y),$Y79),INDEX($S$27:$S$100,_xlpm.y)-(INDEX($S$27:$S$100,_xlpm.y)-INDEX($S$27:$S$100,_xlpm.y+1))*(INDEX($R$27:$R$100,_xlpm.y)-_xlpm.x)/(INDEX($R$27:$R$100,_xlpm.y)-INDEX($R$27:$R$100,_xlpm.y+1))))($X79,MATCH($X79,$R$27:$R$100,0),MATCH($X79,$R$27:$R$100,-1))</f>
        <v>9</v>
      </c>
      <c r="AB79" s="8">
        <f t="shared" si="1"/>
        <v>726.45249999999987</v>
      </c>
      <c r="AC79" s="6">
        <f t="shared" si="6"/>
        <v>0</v>
      </c>
      <c r="AD79" s="6">
        <f t="shared" si="7"/>
        <v>0</v>
      </c>
      <c r="AH79" s="2" t="e">
        <v>#N/A</v>
      </c>
      <c r="AI79" s="2">
        <v>28</v>
      </c>
      <c r="AJ79" s="2" t="str">
        <v>Hot 18</v>
      </c>
      <c r="AL79" s="2" t="e">
        <v>#N/A</v>
      </c>
      <c r="AM79" s="2">
        <v>18</v>
      </c>
      <c r="AN79" s="2" t="str">
        <v>Cold 18</v>
      </c>
    </row>
    <row r="80" spans="8:40" ht="15.75" x14ac:dyDescent="0.5">
      <c r="H80" s="11"/>
      <c r="I80" s="11" t="str" cm="1">
        <f t="array" ref="I80">IF(H80,SUM(((Table3[Supply Temp]+MinAppTemp/2)&lt;=H80)*((Table3[Target Temp]+MinAppTemp/2)&gt;H80)*Table3[Heat Cap])*(H79-H80),"")</f>
        <v/>
      </c>
      <c r="J80" s="11" t="str" cm="1">
        <f t="array" ref="J80">IF(H80,SUM(((Table4[Target Temp]-MinAppTemp/2)&lt;=H80)*((Table4[Supply Temp]-MinAppTemp/2)&gt;H80)*(Table4[Heat Cap])*(H79-H80)),"")</f>
        <v/>
      </c>
      <c r="K80" s="11" t="str">
        <f t="shared" si="9"/>
        <v/>
      </c>
      <c r="L80" s="11" t="str">
        <f t="shared" si="8"/>
        <v/>
      </c>
      <c r="M80" s="14" t="str">
        <f t="shared" si="0"/>
        <v/>
      </c>
      <c r="O80" s="11" t="e" cm="1">
        <f t="array" ref="O80">IF(H80=INDEX($H$27:$H$100,COUNT($H$27:$H$100)),ColdUtility,IF(SUM((H80&gt;=MIN(Table3[Supply Temp])+MinAppTemp/2)*(H80&lt;=MAX(Table3[Target Temp])+MinAppTemp/2)),IF(LEN(I81)&gt;0,I81,0)+O81,NA()))</f>
        <v>#N/A</v>
      </c>
      <c r="P80" s="11" t="e">
        <f t="shared" si="2"/>
        <v>#N/A</v>
      </c>
      <c r="R80" s="11" t="e">
        <f>IF(SUM((H80&lt;=MAX(Table4[Supply Temp])-MinAppTemp/2)*(H80&gt;=MIN(Table4[Target Temp])-MinAppTemp/2)),IF(ISERROR(R81),0,R81+J81),NA())</f>
        <v>#N/A</v>
      </c>
      <c r="S80" s="11" t="e">
        <f t="shared" si="3"/>
        <v>#N/A</v>
      </c>
      <c r="U80" s="2" t="e">
        <f t="shared" si="4"/>
        <v>#N/A</v>
      </c>
      <c r="V80" s="2" t="e">
        <f t="shared" si="5"/>
        <v>#N/A</v>
      </c>
      <c r="Z80" s="13" t="e" cm="1">
        <f t="array" ref="Z80">_xlfn.LAMBDA(_xlpm.x,_xlpm.row,_xlpm.y,IF(NOT(ISERROR(_xlpm.row)),IF(COUNTIF($O$27:$O$100,_xlpm.x)=1,INDEX($P$27:$P$100,_xlpm.y),$Y80),INDEX($P$27:$P$100,_xlpm.y)-(INDEX($P$27:$P$100,_xlpm.y)-INDEX($P$27:$P$100,_xlpm.y+1))*(INDEX($O$27:$O$100,_xlpm.y)-_xlpm.x)/(INDEX($O$27:$O$100,_xlpm.y)-INDEX($O$27:$O$100,_xlpm.y+1))))($X80,MATCH($X80,$O$27:$O$100,0),MATCH($X80,$O$27:$O$100,-1))</f>
        <v>#N/A</v>
      </c>
      <c r="AA80" s="13" cm="1">
        <f t="array" ref="AA80">_xlfn.LAMBDA(_xlpm.x,_xlpm.row,_xlpm.y,IF(NOT(ISERROR(_xlpm.row)),IF(COUNTIF($R$27:$R$100,_xlpm.x)=1,INDEX($S$27:$S$100,_xlpm.y),$Y80),INDEX($S$27:$S$100,_xlpm.y)-(INDEX($S$27:$S$100,_xlpm.y)-INDEX($S$27:$S$100,_xlpm.y+1))*(INDEX($R$27:$R$100,_xlpm.y)-_xlpm.x)/(INDEX($R$27:$R$100,_xlpm.y)-INDEX($R$27:$R$100,_xlpm.y+1))))($X80,MATCH($X80,$R$27:$R$100,0),MATCH($X80,$R$27:$R$100,-1))</f>
        <v>9</v>
      </c>
      <c r="AB80" s="8">
        <f t="shared" si="1"/>
        <v>726.45249999999987</v>
      </c>
      <c r="AC80" s="6">
        <f t="shared" si="6"/>
        <v>0</v>
      </c>
      <c r="AD80" s="6">
        <f t="shared" si="7"/>
        <v>0</v>
      </c>
      <c r="AH80" s="2" t="str">
        <v/>
      </c>
      <c r="AI80" s="2" t="str">
        <v/>
      </c>
      <c r="AJ80" s="2" t="str">
        <v/>
      </c>
      <c r="AL80" s="2" t="str">
        <v/>
      </c>
      <c r="AM80" s="2" t="str">
        <v/>
      </c>
      <c r="AN80" s="2" t="str">
        <v/>
      </c>
    </row>
    <row r="81" spans="8:40" ht="15.75" x14ac:dyDescent="0.5">
      <c r="H81" s="10"/>
      <c r="I81" s="10" t="str" cm="1">
        <f t="array" ref="I81">IF(H81,SUM(((Table3[Supply Temp]+MinAppTemp/2)&lt;=H81)*((Table3[Target Temp]+MinAppTemp/2)&gt;H81)*Table3[Heat Cap])*(H80-H81),"")</f>
        <v/>
      </c>
      <c r="J81" s="10" t="str" cm="1">
        <f t="array" ref="J81">IF(H81,SUM(((Table4[Target Temp]-MinAppTemp/2)&lt;=H81)*((Table4[Supply Temp]-MinAppTemp/2)&gt;H81)*(Table4[Heat Cap])*(H80-H81)),"")</f>
        <v/>
      </c>
      <c r="K81" s="10" t="str">
        <f t="shared" si="9"/>
        <v/>
      </c>
      <c r="L81" s="10" t="str">
        <f t="shared" si="8"/>
        <v/>
      </c>
      <c r="M81" s="12" t="str">
        <f t="shared" si="0"/>
        <v/>
      </c>
      <c r="O81" s="10" t="e" cm="1">
        <f t="array" ref="O81">IF(H81=INDEX($H$27:$H$100,COUNT($H$27:$H$100)),ColdUtility,IF(SUM((H81&gt;=MIN(Table3[Supply Temp])+MinAppTemp/2)*(H81&lt;=MAX(Table3[Target Temp])+MinAppTemp/2)),IF(LEN(I82)&gt;0,I82,0)+O82,NA()))</f>
        <v>#N/A</v>
      </c>
      <c r="P81" s="10" t="e">
        <f t="shared" si="2"/>
        <v>#N/A</v>
      </c>
      <c r="R81" s="10" t="e">
        <f>IF(SUM((H81&lt;=MAX(Table4[Supply Temp])-MinAppTemp/2)*(H81&gt;=MIN(Table4[Target Temp])-MinAppTemp/2)),IF(ISERROR(R82),0,R82+J82),NA())</f>
        <v>#N/A</v>
      </c>
      <c r="S81" s="10" t="e">
        <f t="shared" si="3"/>
        <v>#N/A</v>
      </c>
      <c r="U81" s="2" t="e">
        <f t="shared" si="4"/>
        <v>#N/A</v>
      </c>
      <c r="V81" s="2" t="e">
        <f t="shared" si="5"/>
        <v>#N/A</v>
      </c>
      <c r="Z81" s="13" t="e" cm="1">
        <f t="array" ref="Z81">_xlfn.LAMBDA(_xlpm.x,_xlpm.row,_xlpm.y,IF(NOT(ISERROR(_xlpm.row)),IF(COUNTIF($O$27:$O$100,_xlpm.x)=1,INDEX($P$27:$P$100,_xlpm.y),$Y81),INDEX($P$27:$P$100,_xlpm.y)-(INDEX($P$27:$P$100,_xlpm.y)-INDEX($P$27:$P$100,_xlpm.y+1))*(INDEX($O$27:$O$100,_xlpm.y)-_xlpm.x)/(INDEX($O$27:$O$100,_xlpm.y)-INDEX($O$27:$O$100,_xlpm.y+1))))($X81,MATCH($X81,$O$27:$O$100,0),MATCH($X81,$O$27:$O$100,-1))</f>
        <v>#N/A</v>
      </c>
      <c r="AA81" s="13" cm="1">
        <f t="array" ref="AA81">_xlfn.LAMBDA(_xlpm.x,_xlpm.row,_xlpm.y,IF(NOT(ISERROR(_xlpm.row)),IF(COUNTIF($R$27:$R$100,_xlpm.x)=1,INDEX($S$27:$S$100,_xlpm.y),$Y81),INDEX($S$27:$S$100,_xlpm.y)-(INDEX($S$27:$S$100,_xlpm.y)-INDEX($S$27:$S$100,_xlpm.y+1))*(INDEX($R$27:$R$100,_xlpm.y)-_xlpm.x)/(INDEX($R$27:$R$100,_xlpm.y)-INDEX($R$27:$R$100,_xlpm.y+1))))($X81,MATCH($X81,$R$27:$R$100,0),MATCH($X81,$R$27:$R$100,-1))</f>
        <v>9</v>
      </c>
      <c r="AB81" s="8">
        <f t="shared" si="1"/>
        <v>726.45249999999987</v>
      </c>
      <c r="AC81" s="6">
        <f t="shared" si="6"/>
        <v>0</v>
      </c>
      <c r="AD81" s="6">
        <f t="shared" si="7"/>
        <v>0</v>
      </c>
      <c r="AH81" s="2" t="e">
        <v>#N/A</v>
      </c>
      <c r="AI81" s="2">
        <v>29</v>
      </c>
      <c r="AJ81" s="2" t="str">
        <v>Hot 19</v>
      </c>
      <c r="AL81" s="2" t="e">
        <v>#N/A</v>
      </c>
      <c r="AM81" s="2">
        <v>19</v>
      </c>
      <c r="AN81" s="2" t="str">
        <v>Cold 19</v>
      </c>
    </row>
    <row r="82" spans="8:40" ht="15.75" x14ac:dyDescent="0.5">
      <c r="H82" s="11"/>
      <c r="I82" s="11" t="str" cm="1">
        <f t="array" ref="I82">IF(H82,SUM(((Table3[Supply Temp]+MinAppTemp/2)&lt;=H82)*((Table3[Target Temp]+MinAppTemp/2)&gt;H82)*Table3[Heat Cap])*(H81-H82),"")</f>
        <v/>
      </c>
      <c r="J82" s="11" t="str" cm="1">
        <f t="array" ref="J82">IF(H82,SUM(((Table4[Target Temp]-MinAppTemp/2)&lt;=H82)*((Table4[Supply Temp]-MinAppTemp/2)&gt;H82)*(Table4[Heat Cap])*(H81-H82)),"")</f>
        <v/>
      </c>
      <c r="K82" s="11" t="str">
        <f t="shared" si="9"/>
        <v/>
      </c>
      <c r="L82" s="11" t="str">
        <f t="shared" si="8"/>
        <v/>
      </c>
      <c r="M82" s="14" t="str">
        <f t="shared" si="0"/>
        <v/>
      </c>
      <c r="O82" s="11" t="e" cm="1">
        <f t="array" ref="O82">IF(H82=INDEX($H$27:$H$100,COUNT($H$27:$H$100)),ColdUtility,IF(SUM((H82&gt;=MIN(Table3[Supply Temp])+MinAppTemp/2)*(H82&lt;=MAX(Table3[Target Temp])+MinAppTemp/2)),IF(LEN(I83)&gt;0,I83,0)+O83,NA()))</f>
        <v>#N/A</v>
      </c>
      <c r="P82" s="11" t="e">
        <f t="shared" si="2"/>
        <v>#N/A</v>
      </c>
      <c r="R82" s="11" t="e">
        <f>IF(SUM((H82&lt;=MAX(Table4[Supply Temp])-MinAppTemp/2)*(H82&gt;=MIN(Table4[Target Temp])-MinAppTemp/2)),IF(ISERROR(R83),0,R83+J83),NA())</f>
        <v>#N/A</v>
      </c>
      <c r="S82" s="11" t="e">
        <f t="shared" si="3"/>
        <v>#N/A</v>
      </c>
      <c r="U82" s="2" t="e">
        <f t="shared" si="4"/>
        <v>#N/A</v>
      </c>
      <c r="V82" s="2" t="e">
        <f t="shared" si="5"/>
        <v>#N/A</v>
      </c>
      <c r="Z82" s="13" t="e" cm="1">
        <f t="array" ref="Z82">_xlfn.LAMBDA(_xlpm.x,_xlpm.row,_xlpm.y,IF(NOT(ISERROR(_xlpm.row)),IF(COUNTIF($O$27:$O$100,_xlpm.x)=1,INDEX($P$27:$P$100,_xlpm.y),$Y82),INDEX($P$27:$P$100,_xlpm.y)-(INDEX($P$27:$P$100,_xlpm.y)-INDEX($P$27:$P$100,_xlpm.y+1))*(INDEX($O$27:$O$100,_xlpm.y)-_xlpm.x)/(INDEX($O$27:$O$100,_xlpm.y)-INDEX($O$27:$O$100,_xlpm.y+1))))($X82,MATCH($X82,$O$27:$O$100,0),MATCH($X82,$O$27:$O$100,-1))</f>
        <v>#N/A</v>
      </c>
      <c r="AA82" s="13" cm="1">
        <f t="array" ref="AA82">_xlfn.LAMBDA(_xlpm.x,_xlpm.row,_xlpm.y,IF(NOT(ISERROR(_xlpm.row)),IF(COUNTIF($R$27:$R$100,_xlpm.x)=1,INDEX($S$27:$S$100,_xlpm.y),$Y82),INDEX($S$27:$S$100,_xlpm.y)-(INDEX($S$27:$S$100,_xlpm.y)-INDEX($S$27:$S$100,_xlpm.y+1))*(INDEX($R$27:$R$100,_xlpm.y)-_xlpm.x)/(INDEX($R$27:$R$100,_xlpm.y)-INDEX($R$27:$R$100,_xlpm.y+1))))($X82,MATCH($X82,$R$27:$R$100,0),MATCH($X82,$R$27:$R$100,-1))</f>
        <v>9</v>
      </c>
      <c r="AB82" s="8">
        <f t="shared" si="1"/>
        <v>726.45249999999987</v>
      </c>
      <c r="AC82" s="6">
        <f t="shared" si="6"/>
        <v>0</v>
      </c>
      <c r="AD82" s="6">
        <f t="shared" si="7"/>
        <v>0</v>
      </c>
      <c r="AH82" s="2" t="e">
        <v>#N/A</v>
      </c>
      <c r="AI82" s="2">
        <v>29</v>
      </c>
      <c r="AJ82" s="2" t="str">
        <v>Hot 19</v>
      </c>
      <c r="AL82" s="2" t="e">
        <v>#N/A</v>
      </c>
      <c r="AM82" s="2">
        <v>19</v>
      </c>
      <c r="AN82" s="2" t="str">
        <v>Cold 19</v>
      </c>
    </row>
    <row r="83" spans="8:40" ht="15.75" x14ac:dyDescent="0.5">
      <c r="H83" s="10"/>
      <c r="I83" s="10" t="str" cm="1">
        <f t="array" ref="I83">IF(H83,SUM(((Table3[Supply Temp]+MinAppTemp/2)&lt;=H83)*((Table3[Target Temp]+MinAppTemp/2)&gt;H83)*Table3[Heat Cap])*(H82-H83),"")</f>
        <v/>
      </c>
      <c r="J83" s="10" t="str" cm="1">
        <f t="array" ref="J83">IF(H83,SUM(((Table4[Target Temp]-MinAppTemp/2)&lt;=H83)*((Table4[Supply Temp]-MinAppTemp/2)&gt;H83)*(Table4[Heat Cap])*(H82-H83)),"")</f>
        <v/>
      </c>
      <c r="K83" s="10" t="str">
        <f t="shared" si="9"/>
        <v/>
      </c>
      <c r="L83" s="10" t="str">
        <f t="shared" si="8"/>
        <v/>
      </c>
      <c r="M83" s="12" t="str">
        <f t="shared" si="0"/>
        <v/>
      </c>
      <c r="O83" s="10" t="e" cm="1">
        <f t="array" ref="O83">IF(H83=INDEX($H$27:$H$100,COUNT($H$27:$H$100)),ColdUtility,IF(SUM((H83&gt;=MIN(Table3[Supply Temp])+MinAppTemp/2)*(H83&lt;=MAX(Table3[Target Temp])+MinAppTemp/2)),IF(LEN(I84)&gt;0,I84,0)+O84,NA()))</f>
        <v>#N/A</v>
      </c>
      <c r="P83" s="10" t="e">
        <f t="shared" si="2"/>
        <v>#N/A</v>
      </c>
      <c r="R83" s="10" t="e">
        <f>IF(SUM((H83&lt;=MAX(Table4[Supply Temp])-MinAppTemp/2)*(H83&gt;=MIN(Table4[Target Temp])-MinAppTemp/2)),IF(ISERROR(R84),0,R84+J84),NA())</f>
        <v>#N/A</v>
      </c>
      <c r="S83" s="10" t="e">
        <f t="shared" si="3"/>
        <v>#N/A</v>
      </c>
      <c r="U83" s="2" t="e">
        <f t="shared" si="4"/>
        <v>#N/A</v>
      </c>
      <c r="V83" s="2" t="e">
        <f t="shared" si="5"/>
        <v>#N/A</v>
      </c>
      <c r="Z83" s="13" t="e" cm="1">
        <f t="array" ref="Z83">_xlfn.LAMBDA(_xlpm.x,_xlpm.row,_xlpm.y,IF(NOT(ISERROR(_xlpm.row)),IF(COUNTIF($O$27:$O$100,_xlpm.x)=1,INDEX($P$27:$P$100,_xlpm.y),$Y83),INDEX($P$27:$P$100,_xlpm.y)-(INDEX($P$27:$P$100,_xlpm.y)-INDEX($P$27:$P$100,_xlpm.y+1))*(INDEX($O$27:$O$100,_xlpm.y)-_xlpm.x)/(INDEX($O$27:$O$100,_xlpm.y)-INDEX($O$27:$O$100,_xlpm.y+1))))($X83,MATCH($X83,$O$27:$O$100,0),MATCH($X83,$O$27:$O$100,-1))</f>
        <v>#N/A</v>
      </c>
      <c r="AA83" s="13" cm="1">
        <f t="array" ref="AA83">_xlfn.LAMBDA(_xlpm.x,_xlpm.row,_xlpm.y,IF(NOT(ISERROR(_xlpm.row)),IF(COUNTIF($R$27:$R$100,_xlpm.x)=1,INDEX($S$27:$S$100,_xlpm.y),$Y83),INDEX($S$27:$S$100,_xlpm.y)-(INDEX($S$27:$S$100,_xlpm.y)-INDEX($S$27:$S$100,_xlpm.y+1))*(INDEX($R$27:$R$100,_xlpm.y)-_xlpm.x)/(INDEX($R$27:$R$100,_xlpm.y)-INDEX($R$27:$R$100,_xlpm.y+1))))($X83,MATCH($X83,$R$27:$R$100,0),MATCH($X83,$R$27:$R$100,-1))</f>
        <v>9</v>
      </c>
      <c r="AB83" s="8">
        <f t="shared" si="1"/>
        <v>726.45249999999987</v>
      </c>
      <c r="AC83" s="6">
        <f t="shared" si="6"/>
        <v>0</v>
      </c>
      <c r="AD83" s="6">
        <f t="shared" si="7"/>
        <v>0</v>
      </c>
      <c r="AH83" s="2" t="str">
        <v/>
      </c>
      <c r="AI83" s="2" t="str">
        <v/>
      </c>
      <c r="AJ83" s="2" t="str">
        <v/>
      </c>
      <c r="AL83" s="2" t="str">
        <v/>
      </c>
      <c r="AM83" s="2" t="str">
        <v/>
      </c>
      <c r="AN83" s="2" t="str">
        <v/>
      </c>
    </row>
    <row r="84" spans="8:40" ht="15.75" x14ac:dyDescent="0.5">
      <c r="H84" s="11"/>
      <c r="I84" s="11" t="str" cm="1">
        <f t="array" ref="I84">IF(H84,SUM(((Table3[Supply Temp]+MinAppTemp/2)&lt;=H84)*((Table3[Target Temp]+MinAppTemp/2)&gt;H84)*Table3[Heat Cap])*(H83-H84),"")</f>
        <v/>
      </c>
      <c r="J84" s="11" t="str" cm="1">
        <f t="array" ref="J84">IF(H84,SUM(((Table4[Target Temp]-MinAppTemp/2)&lt;=H84)*((Table4[Supply Temp]-MinAppTemp/2)&gt;H84)*(Table4[Heat Cap])*(H83-H84)),"")</f>
        <v/>
      </c>
      <c r="K84" s="11" t="str">
        <f t="shared" si="9"/>
        <v/>
      </c>
      <c r="L84" s="11" t="str">
        <f t="shared" si="8"/>
        <v/>
      </c>
      <c r="M84" s="14" t="str">
        <f t="shared" si="0"/>
        <v/>
      </c>
      <c r="O84" s="11" t="e" cm="1">
        <f t="array" ref="O84">IF(H84=INDEX($H$27:$H$100,COUNT($H$27:$H$100)),ColdUtility,IF(SUM((H84&gt;=MIN(Table3[Supply Temp])+MinAppTemp/2)*(H84&lt;=MAX(Table3[Target Temp])+MinAppTemp/2)),IF(LEN(I85)&gt;0,I85,0)+O85,NA()))</f>
        <v>#N/A</v>
      </c>
      <c r="P84" s="11" t="e">
        <f t="shared" si="2"/>
        <v>#N/A</v>
      </c>
      <c r="R84" s="11" t="e">
        <f>IF(SUM((H84&lt;=MAX(Table4[Supply Temp])-MinAppTemp/2)*(H84&gt;=MIN(Table4[Target Temp])-MinAppTemp/2)),IF(ISERROR(R85),0,R85+J85),NA())</f>
        <v>#N/A</v>
      </c>
      <c r="S84" s="11" t="e">
        <f t="shared" si="3"/>
        <v>#N/A</v>
      </c>
      <c r="U84" s="2" t="e">
        <f t="shared" si="4"/>
        <v>#N/A</v>
      </c>
      <c r="V84" s="2" t="e">
        <f t="shared" si="5"/>
        <v>#N/A</v>
      </c>
      <c r="Z84" s="13" t="e" cm="1">
        <f t="array" ref="Z84">_xlfn.LAMBDA(_xlpm.x,_xlpm.row,_xlpm.y,IF(NOT(ISERROR(_xlpm.row)),IF(COUNTIF($O$27:$O$100,_xlpm.x)=1,INDEX($P$27:$P$100,_xlpm.y),$Y84),INDEX($P$27:$P$100,_xlpm.y)-(INDEX($P$27:$P$100,_xlpm.y)-INDEX($P$27:$P$100,_xlpm.y+1))*(INDEX($O$27:$O$100,_xlpm.y)-_xlpm.x)/(INDEX($O$27:$O$100,_xlpm.y)-INDEX($O$27:$O$100,_xlpm.y+1))))($X84,MATCH($X84,$O$27:$O$100,0),MATCH($X84,$O$27:$O$100,-1))</f>
        <v>#N/A</v>
      </c>
      <c r="AA84" s="13" cm="1">
        <f t="array" ref="AA84">_xlfn.LAMBDA(_xlpm.x,_xlpm.row,_xlpm.y,IF(NOT(ISERROR(_xlpm.row)),IF(COUNTIF($R$27:$R$100,_xlpm.x)=1,INDEX($S$27:$S$100,_xlpm.y),$Y84),INDEX($S$27:$S$100,_xlpm.y)-(INDEX($S$27:$S$100,_xlpm.y)-INDEX($S$27:$S$100,_xlpm.y+1))*(INDEX($R$27:$R$100,_xlpm.y)-_xlpm.x)/(INDEX($R$27:$R$100,_xlpm.y)-INDEX($R$27:$R$100,_xlpm.y+1))))($X84,MATCH($X84,$R$27:$R$100,0),MATCH($X84,$R$27:$R$100,-1))</f>
        <v>9</v>
      </c>
      <c r="AB84" s="8">
        <f t="shared" si="1"/>
        <v>726.45249999999987</v>
      </c>
      <c r="AC84" s="6">
        <f t="shared" si="6"/>
        <v>0</v>
      </c>
      <c r="AD84" s="6">
        <f t="shared" si="7"/>
        <v>0</v>
      </c>
      <c r="AH84" s="2" t="e">
        <v>#N/A</v>
      </c>
      <c r="AI84" s="2">
        <v>30</v>
      </c>
      <c r="AJ84" s="2" t="str">
        <v>Hot 20</v>
      </c>
      <c r="AL84" s="2" t="e">
        <v>#N/A</v>
      </c>
      <c r="AM84" s="2">
        <v>20</v>
      </c>
      <c r="AN84" s="2" t="str">
        <v>Cold 20</v>
      </c>
    </row>
    <row r="85" spans="8:40" ht="15.75" x14ac:dyDescent="0.5">
      <c r="H85" s="10"/>
      <c r="I85" s="10" t="str" cm="1">
        <f t="array" ref="I85">IF(H85,SUM(((Table3[Supply Temp]+MinAppTemp/2)&lt;=H85)*((Table3[Target Temp]+MinAppTemp/2)&gt;H85)*Table3[Heat Cap])*(H84-H85),"")</f>
        <v/>
      </c>
      <c r="J85" s="10" t="str" cm="1">
        <f t="array" ref="J85">IF(H85,SUM(((Table4[Target Temp]-MinAppTemp/2)&lt;=H85)*((Table4[Supply Temp]-MinAppTemp/2)&gt;H85)*(Table4[Heat Cap])*(H84-H85)),"")</f>
        <v/>
      </c>
      <c r="K85" s="10" t="str">
        <f t="shared" si="9"/>
        <v/>
      </c>
      <c r="L85" s="10" t="str">
        <f t="shared" si="8"/>
        <v/>
      </c>
      <c r="M85" s="12" t="str">
        <f t="shared" si="0"/>
        <v/>
      </c>
      <c r="O85" s="10" t="e" cm="1">
        <f t="array" ref="O85">IF(H85=INDEX($H$27:$H$100,COUNT($H$27:$H$100)),ColdUtility,IF(SUM((H85&gt;=MIN(Table3[Supply Temp])+MinAppTemp/2)*(H85&lt;=MAX(Table3[Target Temp])+MinAppTemp/2)),IF(LEN(I86)&gt;0,I86,0)+O86,NA()))</f>
        <v>#N/A</v>
      </c>
      <c r="P85" s="10" t="e">
        <f t="shared" si="2"/>
        <v>#N/A</v>
      </c>
      <c r="R85" s="10" t="e">
        <f>IF(SUM((H85&lt;=MAX(Table4[Supply Temp])-MinAppTemp/2)*(H85&gt;=MIN(Table4[Target Temp])-MinAppTemp/2)),IF(ISERROR(R86),0,R86+J86),NA())</f>
        <v>#N/A</v>
      </c>
      <c r="S85" s="10" t="e">
        <f t="shared" si="3"/>
        <v>#N/A</v>
      </c>
      <c r="U85" s="2" t="e">
        <f t="shared" si="4"/>
        <v>#N/A</v>
      </c>
      <c r="V85" s="2" t="e">
        <f t="shared" si="5"/>
        <v>#N/A</v>
      </c>
      <c r="Z85" s="13" t="e" cm="1">
        <f t="array" ref="Z85">_xlfn.LAMBDA(_xlpm.x,_xlpm.row,_xlpm.y,IF(NOT(ISERROR(_xlpm.row)),IF(COUNTIF($O$27:$O$100,_xlpm.x)=1,INDEX($P$27:$P$100,_xlpm.y),$Y85),INDEX($P$27:$P$100,_xlpm.y)-(INDEX($P$27:$P$100,_xlpm.y)-INDEX($P$27:$P$100,_xlpm.y+1))*(INDEX($O$27:$O$100,_xlpm.y)-_xlpm.x)/(INDEX($O$27:$O$100,_xlpm.y)-INDEX($O$27:$O$100,_xlpm.y+1))))($X85,MATCH($X85,$O$27:$O$100,0),MATCH($X85,$O$27:$O$100,-1))</f>
        <v>#N/A</v>
      </c>
      <c r="AA85" s="13" cm="1">
        <f t="array" ref="AA85">_xlfn.LAMBDA(_xlpm.x,_xlpm.row,_xlpm.y,IF(NOT(ISERROR(_xlpm.row)),IF(COUNTIF($R$27:$R$100,_xlpm.x)=1,INDEX($S$27:$S$100,_xlpm.y),$Y85),INDEX($S$27:$S$100,_xlpm.y)-(INDEX($S$27:$S$100,_xlpm.y)-INDEX($S$27:$S$100,_xlpm.y+1))*(INDEX($R$27:$R$100,_xlpm.y)-_xlpm.x)/(INDEX($R$27:$R$100,_xlpm.y)-INDEX($R$27:$R$100,_xlpm.y+1))))($X85,MATCH($X85,$R$27:$R$100,0),MATCH($X85,$R$27:$R$100,-1))</f>
        <v>9</v>
      </c>
      <c r="AB85" s="8">
        <f t="shared" si="1"/>
        <v>726.45249999999987</v>
      </c>
      <c r="AC85" s="6">
        <f t="shared" si="6"/>
        <v>0</v>
      </c>
      <c r="AD85" s="6">
        <f t="shared" si="7"/>
        <v>0</v>
      </c>
      <c r="AH85" s="2" t="e">
        <v>#N/A</v>
      </c>
      <c r="AI85" s="2">
        <v>30</v>
      </c>
      <c r="AJ85" s="2" t="str">
        <v>Hot 20</v>
      </c>
      <c r="AL85" s="2" t="e">
        <v>#N/A</v>
      </c>
      <c r="AM85" s="2">
        <v>20</v>
      </c>
      <c r="AN85" s="2" t="str">
        <v>Cold 20</v>
      </c>
    </row>
    <row r="86" spans="8:40" ht="15.75" x14ac:dyDescent="0.5">
      <c r="H86" s="11"/>
      <c r="I86" s="11" t="str" cm="1">
        <f t="array" ref="I86">IF(H86,SUM(((Table3[Supply Temp]+MinAppTemp/2)&lt;=H86)*((Table3[Target Temp]+MinAppTemp/2)&gt;H86)*Table3[Heat Cap])*(H85-H86),"")</f>
        <v/>
      </c>
      <c r="J86" s="11" t="str" cm="1">
        <f t="array" ref="J86">IF(H86,SUM(((Table4[Target Temp]-MinAppTemp/2)&lt;=H86)*((Table4[Supply Temp]-MinAppTemp/2)&gt;H86)*(Table4[Heat Cap])*(H85-H86)),"")</f>
        <v/>
      </c>
      <c r="K86" s="11" t="str">
        <f t="shared" si="9"/>
        <v/>
      </c>
      <c r="L86" s="11" t="str">
        <f t="shared" si="8"/>
        <v/>
      </c>
      <c r="M86" s="14" t="str">
        <f t="shared" si="0"/>
        <v/>
      </c>
      <c r="O86" s="11" t="e" cm="1">
        <f t="array" ref="O86">IF(H86=INDEX($H$27:$H$100,COUNT($H$27:$H$100)),ColdUtility,IF(SUM((H86&gt;=MIN(Table3[Supply Temp])+MinAppTemp/2)*(H86&lt;=MAX(Table3[Target Temp])+MinAppTemp/2)),IF(LEN(I87)&gt;0,I87,0)+O87,NA()))</f>
        <v>#N/A</v>
      </c>
      <c r="P86" s="11" t="e">
        <f t="shared" si="2"/>
        <v>#N/A</v>
      </c>
      <c r="R86" s="11" t="e">
        <f>IF(SUM((H86&lt;=MAX(Table4[Supply Temp])-MinAppTemp/2)*(H86&gt;=MIN(Table4[Target Temp])-MinAppTemp/2)),IF(ISERROR(R87),0,R87+J87),NA())</f>
        <v>#N/A</v>
      </c>
      <c r="S86" s="11" t="e">
        <f t="shared" si="3"/>
        <v>#N/A</v>
      </c>
      <c r="U86" s="2" t="e">
        <f t="shared" si="4"/>
        <v>#N/A</v>
      </c>
      <c r="V86" s="2" t="e">
        <f t="shared" si="5"/>
        <v>#N/A</v>
      </c>
      <c r="Z86" s="13" t="e" cm="1">
        <f t="array" ref="Z86">_xlfn.LAMBDA(_xlpm.x,_xlpm.row,_xlpm.y,IF(NOT(ISERROR(_xlpm.row)),IF(COUNTIF($O$27:$O$100,_xlpm.x)=1,INDEX($P$27:$P$100,_xlpm.y),$Y86),INDEX($P$27:$P$100,_xlpm.y)-(INDEX($P$27:$P$100,_xlpm.y)-INDEX($P$27:$P$100,_xlpm.y+1))*(INDEX($O$27:$O$100,_xlpm.y)-_xlpm.x)/(INDEX($O$27:$O$100,_xlpm.y)-INDEX($O$27:$O$100,_xlpm.y+1))))($X86,MATCH($X86,$O$27:$O$100,0),MATCH($X86,$O$27:$O$100,-1))</f>
        <v>#N/A</v>
      </c>
      <c r="AA86" s="13" cm="1">
        <f t="array" ref="AA86">_xlfn.LAMBDA(_xlpm.x,_xlpm.row,_xlpm.y,IF(NOT(ISERROR(_xlpm.row)),IF(COUNTIF($R$27:$R$100,_xlpm.x)=1,INDEX($S$27:$S$100,_xlpm.y),$Y86),INDEX($S$27:$S$100,_xlpm.y)-(INDEX($S$27:$S$100,_xlpm.y)-INDEX($S$27:$S$100,_xlpm.y+1))*(INDEX($R$27:$R$100,_xlpm.y)-_xlpm.x)/(INDEX($R$27:$R$100,_xlpm.y)-INDEX($R$27:$R$100,_xlpm.y+1))))($X86,MATCH($X86,$R$27:$R$100,0),MATCH($X86,$R$27:$R$100,-1))</f>
        <v>9</v>
      </c>
      <c r="AB86" s="8">
        <f t="shared" si="1"/>
        <v>726.45249999999987</v>
      </c>
      <c r="AC86" s="6">
        <f t="shared" si="6"/>
        <v>0</v>
      </c>
      <c r="AD86" s="6">
        <f t="shared" si="7"/>
        <v>0</v>
      </c>
      <c r="AH86" s="2" t="str">
        <v/>
      </c>
      <c r="AI86" s="2" t="str">
        <v/>
      </c>
      <c r="AJ86" s="2" t="str">
        <v/>
      </c>
      <c r="AL86" s="2" t="str">
        <v/>
      </c>
      <c r="AM86" s="2" t="str">
        <v/>
      </c>
      <c r="AN86" s="2" t="str">
        <v/>
      </c>
    </row>
    <row r="87" spans="8:40" ht="15.75" x14ac:dyDescent="0.5">
      <c r="H87" s="10"/>
      <c r="I87" s="10" t="str" cm="1">
        <f t="array" ref="I87">IF(H87,SUM(((Table3[Supply Temp]+MinAppTemp/2)&lt;=H87)*((Table3[Target Temp]+MinAppTemp/2)&gt;H87)*Table3[Heat Cap])*(H86-H87),"")</f>
        <v/>
      </c>
      <c r="J87" s="10" t="str" cm="1">
        <f t="array" ref="J87">IF(H87,SUM(((Table4[Target Temp]-MinAppTemp/2)&lt;=H87)*((Table4[Supply Temp]-MinAppTemp/2)&gt;H87)*(Table4[Heat Cap])*(H86-H87)),"")</f>
        <v/>
      </c>
      <c r="K87" s="10" t="str">
        <f t="shared" si="9"/>
        <v/>
      </c>
      <c r="L87" s="10" t="str">
        <f t="shared" si="8"/>
        <v/>
      </c>
      <c r="M87" s="12" t="str">
        <f t="shared" si="0"/>
        <v/>
      </c>
      <c r="O87" s="10" t="e" cm="1">
        <f t="array" ref="O87">IF(H87=INDEX($H$27:$H$100,COUNT($H$27:$H$100)),ColdUtility,IF(SUM((H87&gt;=MIN(Table3[Supply Temp])+MinAppTemp/2)*(H87&lt;=MAX(Table3[Target Temp])+MinAppTemp/2)),IF(LEN(I88)&gt;0,I88,0)+O88,NA()))</f>
        <v>#N/A</v>
      </c>
      <c r="P87" s="10" t="e">
        <f t="shared" si="2"/>
        <v>#N/A</v>
      </c>
      <c r="R87" s="10" t="e">
        <f>IF(SUM((H87&lt;=MAX(Table4[Supply Temp])-MinAppTemp/2)*(H87&gt;=MIN(Table4[Target Temp])-MinAppTemp/2)),IF(ISERROR(R88),0,R88+J88),NA())</f>
        <v>#N/A</v>
      </c>
      <c r="S87" s="10" t="e">
        <f t="shared" si="3"/>
        <v>#N/A</v>
      </c>
      <c r="U87" s="2" t="e">
        <f t="shared" si="4"/>
        <v>#N/A</v>
      </c>
      <c r="V87" s="2" t="e">
        <f t="shared" si="5"/>
        <v>#N/A</v>
      </c>
      <c r="Z87" s="13" t="e" cm="1">
        <f t="array" ref="Z87">_xlfn.LAMBDA(_xlpm.x,_xlpm.row,_xlpm.y,IF(NOT(ISERROR(_xlpm.row)),IF(COUNTIF($O$27:$O$100,_xlpm.x)=1,INDEX($P$27:$P$100,_xlpm.y),$Y87),INDEX($P$27:$P$100,_xlpm.y)-(INDEX($P$27:$P$100,_xlpm.y)-INDEX($P$27:$P$100,_xlpm.y+1))*(INDEX($O$27:$O$100,_xlpm.y)-_xlpm.x)/(INDEX($O$27:$O$100,_xlpm.y)-INDEX($O$27:$O$100,_xlpm.y+1))))($X87,MATCH($X87,$O$27:$O$100,0),MATCH($X87,$O$27:$O$100,-1))</f>
        <v>#N/A</v>
      </c>
      <c r="AA87" s="13" cm="1">
        <f t="array" ref="AA87">_xlfn.LAMBDA(_xlpm.x,_xlpm.row,_xlpm.y,IF(NOT(ISERROR(_xlpm.row)),IF(COUNTIF($R$27:$R$100,_xlpm.x)=1,INDEX($S$27:$S$100,_xlpm.y),$Y87),INDEX($S$27:$S$100,_xlpm.y)-(INDEX($S$27:$S$100,_xlpm.y)-INDEX($S$27:$S$100,_xlpm.y+1))*(INDEX($R$27:$R$100,_xlpm.y)-_xlpm.x)/(INDEX($R$27:$R$100,_xlpm.y)-INDEX($R$27:$R$100,_xlpm.y+1))))($X87,MATCH($X87,$R$27:$R$100,0),MATCH($X87,$R$27:$R$100,-1))</f>
        <v>9</v>
      </c>
      <c r="AB87" s="8">
        <f t="shared" si="1"/>
        <v>726.45249999999987</v>
      </c>
      <c r="AC87" s="6">
        <f t="shared" si="6"/>
        <v>0</v>
      </c>
      <c r="AD87" s="6">
        <f t="shared" si="7"/>
        <v>0</v>
      </c>
    </row>
    <row r="88" spans="8:40" ht="15.75" x14ac:dyDescent="0.5">
      <c r="H88" s="11"/>
      <c r="I88" s="11" t="str" cm="1">
        <f t="array" ref="I88">IF(H88,SUM(((Table3[Supply Temp]+MinAppTemp/2)&lt;=H88)*((Table3[Target Temp]+MinAppTemp/2)&gt;H88)*Table3[Heat Cap])*(H87-H88),"")</f>
        <v/>
      </c>
      <c r="J88" s="11" t="str" cm="1">
        <f t="array" ref="J88">IF(H88,SUM(((Table4[Target Temp]-MinAppTemp/2)&lt;=H88)*((Table4[Supply Temp]-MinAppTemp/2)&gt;H88)*(Table4[Heat Cap])*(H87-H88)),"")</f>
        <v/>
      </c>
      <c r="K88" s="11" t="str">
        <f t="shared" si="9"/>
        <v/>
      </c>
      <c r="L88" s="11" t="str">
        <f t="shared" si="8"/>
        <v/>
      </c>
      <c r="M88" s="14" t="str">
        <f t="shared" si="0"/>
        <v/>
      </c>
      <c r="O88" s="11" t="e" cm="1">
        <f t="array" ref="O88">IF(H88=INDEX($H$27:$H$100,COUNT($H$27:$H$100)),ColdUtility,IF(SUM((H88&gt;=MIN(Table3[Supply Temp])+MinAppTemp/2)*(H88&lt;=MAX(Table3[Target Temp])+MinAppTemp/2)),IF(LEN(I89)&gt;0,I89,0)+O89,NA()))</f>
        <v>#N/A</v>
      </c>
      <c r="P88" s="11" t="e">
        <f t="shared" si="2"/>
        <v>#N/A</v>
      </c>
      <c r="R88" s="11" t="e">
        <f>IF(SUM((H88&lt;=MAX(Table4[Supply Temp])-MinAppTemp/2)*(H88&gt;=MIN(Table4[Target Temp])-MinAppTemp/2)),IF(ISERROR(R89),0,R89+J89),NA())</f>
        <v>#N/A</v>
      </c>
      <c r="S88" s="11" t="e">
        <f t="shared" si="3"/>
        <v>#N/A</v>
      </c>
      <c r="U88" s="2" t="e">
        <f t="shared" si="4"/>
        <v>#N/A</v>
      </c>
      <c r="V88" s="2" t="e">
        <f t="shared" si="5"/>
        <v>#N/A</v>
      </c>
      <c r="Z88" s="13" t="e" cm="1">
        <f t="array" ref="Z88">_xlfn.LAMBDA(_xlpm.x,_xlpm.row,_xlpm.y,IF(NOT(ISERROR(_xlpm.row)),IF(COUNTIF($O$27:$O$100,_xlpm.x)=1,INDEX($P$27:$P$100,_xlpm.y),$Y88),INDEX($P$27:$P$100,_xlpm.y)-(INDEX($P$27:$P$100,_xlpm.y)-INDEX($P$27:$P$100,_xlpm.y+1))*(INDEX($O$27:$O$100,_xlpm.y)-_xlpm.x)/(INDEX($O$27:$O$100,_xlpm.y)-INDEX($O$27:$O$100,_xlpm.y+1))))($X88,MATCH($X88,$O$27:$O$100,0),MATCH($X88,$O$27:$O$100,-1))</f>
        <v>#N/A</v>
      </c>
      <c r="AA88" s="13" cm="1">
        <f t="array" ref="AA88">_xlfn.LAMBDA(_xlpm.x,_xlpm.row,_xlpm.y,IF(NOT(ISERROR(_xlpm.row)),IF(COUNTIF($R$27:$R$100,_xlpm.x)=1,INDEX($S$27:$S$100,_xlpm.y),$Y88),INDEX($S$27:$S$100,_xlpm.y)-(INDEX($S$27:$S$100,_xlpm.y)-INDEX($S$27:$S$100,_xlpm.y+1))*(INDEX($R$27:$R$100,_xlpm.y)-_xlpm.x)/(INDEX($R$27:$R$100,_xlpm.y)-INDEX($R$27:$R$100,_xlpm.y+1))))($X88,MATCH($X88,$R$27:$R$100,0),MATCH($X88,$R$27:$R$100,-1))</f>
        <v>9</v>
      </c>
      <c r="AB88" s="8">
        <f t="shared" si="1"/>
        <v>726.45249999999987</v>
      </c>
      <c r="AC88" s="6">
        <f t="shared" si="6"/>
        <v>0</v>
      </c>
      <c r="AD88" s="6">
        <f t="shared" si="7"/>
        <v>0</v>
      </c>
    </row>
    <row r="89" spans="8:40" ht="15.75" x14ac:dyDescent="0.5">
      <c r="H89" s="10"/>
      <c r="I89" s="10" t="str" cm="1">
        <f t="array" ref="I89">IF(H89,SUM(((Table3[Supply Temp]+MinAppTemp/2)&lt;=H89)*((Table3[Target Temp]+MinAppTemp/2)&gt;H89)*Table3[Heat Cap])*(H88-H89),"")</f>
        <v/>
      </c>
      <c r="J89" s="10" t="str" cm="1">
        <f t="array" ref="J89">IF(H89,SUM(((Table4[Target Temp]-MinAppTemp/2)&lt;=H89)*((Table4[Supply Temp]-MinAppTemp/2)&gt;H89)*(Table4[Heat Cap])*(H88-H89)),"")</f>
        <v/>
      </c>
      <c r="K89" s="10" t="str">
        <f t="shared" si="9"/>
        <v/>
      </c>
      <c r="L89" s="10" t="str">
        <f t="shared" si="8"/>
        <v/>
      </c>
      <c r="M89" s="12" t="str">
        <f t="shared" si="0"/>
        <v/>
      </c>
      <c r="O89" s="10" t="e" cm="1">
        <f t="array" ref="O89">IF(H89=INDEX($H$27:$H$100,COUNT($H$27:$H$100)),ColdUtility,IF(SUM((H89&gt;=MIN(Table3[Supply Temp])+MinAppTemp/2)*(H89&lt;=MAX(Table3[Target Temp])+MinAppTemp/2)),IF(LEN(I90)&gt;0,I90,0)+O90,NA()))</f>
        <v>#N/A</v>
      </c>
      <c r="P89" s="10" t="e">
        <f t="shared" si="2"/>
        <v>#N/A</v>
      </c>
      <c r="R89" s="10" t="e">
        <f>IF(SUM((H89&lt;=MAX(Table4[Supply Temp])-MinAppTemp/2)*(H89&gt;=MIN(Table4[Target Temp])-MinAppTemp/2)),IF(ISERROR(R90),0,R90+J90),NA())</f>
        <v>#N/A</v>
      </c>
      <c r="S89" s="10" t="e">
        <f t="shared" si="3"/>
        <v>#N/A</v>
      </c>
      <c r="U89" s="2" t="e">
        <f t="shared" si="4"/>
        <v>#N/A</v>
      </c>
      <c r="V89" s="2" t="e">
        <f t="shared" si="5"/>
        <v>#N/A</v>
      </c>
      <c r="Z89" s="13" t="e" cm="1">
        <f t="array" ref="Z89">_xlfn.LAMBDA(_xlpm.x,_xlpm.row,_xlpm.y,IF(NOT(ISERROR(_xlpm.row)),IF(COUNTIF($O$27:$O$100,_xlpm.x)=1,INDEX($P$27:$P$100,_xlpm.y),$Y89),INDEX($P$27:$P$100,_xlpm.y)-(INDEX($P$27:$P$100,_xlpm.y)-INDEX($P$27:$P$100,_xlpm.y+1))*(INDEX($O$27:$O$100,_xlpm.y)-_xlpm.x)/(INDEX($O$27:$O$100,_xlpm.y)-INDEX($O$27:$O$100,_xlpm.y+1))))($X89,MATCH($X89,$O$27:$O$100,0),MATCH($X89,$O$27:$O$100,-1))</f>
        <v>#N/A</v>
      </c>
      <c r="AA89" s="13" cm="1">
        <f t="array" ref="AA89">_xlfn.LAMBDA(_xlpm.x,_xlpm.row,_xlpm.y,IF(NOT(ISERROR(_xlpm.row)),IF(COUNTIF($R$27:$R$100,_xlpm.x)=1,INDEX($S$27:$S$100,_xlpm.y),$Y89),INDEX($S$27:$S$100,_xlpm.y)-(INDEX($S$27:$S$100,_xlpm.y)-INDEX($S$27:$S$100,_xlpm.y+1))*(INDEX($R$27:$R$100,_xlpm.y)-_xlpm.x)/(INDEX($R$27:$R$100,_xlpm.y)-INDEX($R$27:$R$100,_xlpm.y+1))))($X89,MATCH($X89,$R$27:$R$100,0),MATCH($X89,$R$27:$R$100,-1))</f>
        <v>9</v>
      </c>
      <c r="AB89" s="8">
        <f t="shared" si="1"/>
        <v>726.45249999999987</v>
      </c>
      <c r="AC89" s="6">
        <f t="shared" si="6"/>
        <v>0</v>
      </c>
      <c r="AD89" s="6">
        <f t="shared" si="7"/>
        <v>0</v>
      </c>
    </row>
    <row r="90" spans="8:40" ht="15.75" x14ac:dyDescent="0.5">
      <c r="H90" s="11"/>
      <c r="I90" s="11" t="str" cm="1">
        <f t="array" ref="I90">IF(H90,SUM(((Table3[Supply Temp]+MinAppTemp/2)&lt;=H90)*((Table3[Target Temp]+MinAppTemp/2)&gt;H90)*Table3[Heat Cap])*(H89-H90),"")</f>
        <v/>
      </c>
      <c r="J90" s="11" t="str" cm="1">
        <f t="array" ref="J90">IF(H90,SUM(((Table4[Target Temp]-MinAppTemp/2)&lt;=H90)*((Table4[Supply Temp]-MinAppTemp/2)&gt;H90)*(Table4[Heat Cap])*(H89-H90)),"")</f>
        <v/>
      </c>
      <c r="K90" s="11" t="str">
        <f t="shared" si="9"/>
        <v/>
      </c>
      <c r="L90" s="11" t="str">
        <f t="shared" si="8"/>
        <v/>
      </c>
      <c r="M90" s="14" t="str">
        <f t="shared" si="0"/>
        <v/>
      </c>
      <c r="O90" s="11" t="e" cm="1">
        <f t="array" ref="O90">IF(H90=INDEX($H$27:$H$100,COUNT($H$27:$H$100)),ColdUtility,IF(SUM((H90&gt;=MIN(Table3[Supply Temp])+MinAppTemp/2)*(H90&lt;=MAX(Table3[Target Temp])+MinAppTemp/2)),IF(LEN(I91)&gt;0,I91,0)+O91,NA()))</f>
        <v>#N/A</v>
      </c>
      <c r="P90" s="11" t="e">
        <f t="shared" si="2"/>
        <v>#N/A</v>
      </c>
      <c r="R90" s="11" t="e">
        <f>IF(SUM((H90&lt;=MAX(Table4[Supply Temp])-MinAppTemp/2)*(H90&gt;=MIN(Table4[Target Temp])-MinAppTemp/2)),IF(ISERROR(R91),0,R91+J91),NA())</f>
        <v>#N/A</v>
      </c>
      <c r="S90" s="11" t="e">
        <f t="shared" si="3"/>
        <v>#N/A</v>
      </c>
      <c r="U90" s="2" t="e">
        <f t="shared" si="4"/>
        <v>#N/A</v>
      </c>
      <c r="V90" s="2" t="e">
        <f t="shared" si="5"/>
        <v>#N/A</v>
      </c>
      <c r="Z90" s="13" t="e" cm="1">
        <f t="array" ref="Z90">_xlfn.LAMBDA(_xlpm.x,_xlpm.row,_xlpm.y,IF(NOT(ISERROR(_xlpm.row)),IF(COUNTIF($O$27:$O$100,_xlpm.x)=1,INDEX($P$27:$P$100,_xlpm.y),$Y90),INDEX($P$27:$P$100,_xlpm.y)-(INDEX($P$27:$P$100,_xlpm.y)-INDEX($P$27:$P$100,_xlpm.y+1))*(INDEX($O$27:$O$100,_xlpm.y)-_xlpm.x)/(INDEX($O$27:$O$100,_xlpm.y)-INDEX($O$27:$O$100,_xlpm.y+1))))($X90,MATCH($X90,$O$27:$O$100,0),MATCH($X90,$O$27:$O$100,-1))</f>
        <v>#N/A</v>
      </c>
      <c r="AA90" s="13" cm="1">
        <f t="array" ref="AA90">_xlfn.LAMBDA(_xlpm.x,_xlpm.row,_xlpm.y,IF(NOT(ISERROR(_xlpm.row)),IF(COUNTIF($R$27:$R$100,_xlpm.x)=1,INDEX($S$27:$S$100,_xlpm.y),$Y90),INDEX($S$27:$S$100,_xlpm.y)-(INDEX($S$27:$S$100,_xlpm.y)-INDEX($S$27:$S$100,_xlpm.y+1))*(INDEX($R$27:$R$100,_xlpm.y)-_xlpm.x)/(INDEX($R$27:$R$100,_xlpm.y)-INDEX($R$27:$R$100,_xlpm.y+1))))($X90,MATCH($X90,$R$27:$R$100,0),MATCH($X90,$R$27:$R$100,-1))</f>
        <v>9</v>
      </c>
      <c r="AB90" s="8">
        <f t="shared" si="1"/>
        <v>726.45249999999987</v>
      </c>
      <c r="AC90" s="6">
        <f t="shared" si="6"/>
        <v>0</v>
      </c>
      <c r="AD90" s="6">
        <f t="shared" si="7"/>
        <v>0</v>
      </c>
    </row>
    <row r="91" spans="8:40" ht="15.75" x14ac:dyDescent="0.5">
      <c r="H91" s="10"/>
      <c r="I91" s="10" t="str" cm="1">
        <f t="array" ref="I91">IF(H91,SUM(((Table3[Supply Temp]+MinAppTemp/2)&lt;=H91)*((Table3[Target Temp]+MinAppTemp/2)&gt;H91)*Table3[Heat Cap])*(H90-H91),"")</f>
        <v/>
      </c>
      <c r="J91" s="10" t="str" cm="1">
        <f t="array" ref="J91">IF(H91,SUM(((Table4[Target Temp]-MinAppTemp/2)&lt;=H91)*((Table4[Supply Temp]-MinAppTemp/2)&gt;H91)*(Table4[Heat Cap])*(H90-H91)),"")</f>
        <v/>
      </c>
      <c r="K91" s="10" t="str">
        <f t="shared" si="9"/>
        <v/>
      </c>
      <c r="L91" s="10" t="str">
        <f t="shared" si="8"/>
        <v/>
      </c>
      <c r="M91" s="12" t="str">
        <f t="shared" ref="M91:M100" si="10">IF(L91&lt;0.000001,"&lt;--Pinch","")</f>
        <v/>
      </c>
      <c r="O91" s="10" t="e" cm="1">
        <f t="array" ref="O91">IF(H91=INDEX($H$27:$H$100,COUNT($H$27:$H$100)),ColdUtility,IF(SUM((H91&gt;=MIN(Table3[Supply Temp])+MinAppTemp/2)*(H91&lt;=MAX(Table3[Target Temp])+MinAppTemp/2)),IF(LEN(I92)&gt;0,I92,0)+O92,NA()))</f>
        <v>#N/A</v>
      </c>
      <c r="P91" s="10" t="e">
        <f t="shared" si="2"/>
        <v>#N/A</v>
      </c>
      <c r="R91" s="10" t="e">
        <f>IF(SUM((H91&lt;=MAX(Table4[Supply Temp])-MinAppTemp/2)*(H91&gt;=MIN(Table4[Target Temp])-MinAppTemp/2)),IF(ISERROR(R92),0,R92+J92),NA())</f>
        <v>#N/A</v>
      </c>
      <c r="S91" s="10" t="e">
        <f t="shared" si="3"/>
        <v>#N/A</v>
      </c>
      <c r="U91" s="2" t="e">
        <f t="shared" si="4"/>
        <v>#N/A</v>
      </c>
      <c r="V91" s="2" t="e">
        <f t="shared" si="5"/>
        <v>#N/A</v>
      </c>
      <c r="Z91" s="13" t="e" cm="1">
        <f t="array" ref="Z91">_xlfn.LAMBDA(_xlpm.x,_xlpm.row,_xlpm.y,IF(NOT(ISERROR(_xlpm.row)),IF(COUNTIF($O$27:$O$100,_xlpm.x)=1,INDEX($P$27:$P$100,_xlpm.y),$Y91),INDEX($P$27:$P$100,_xlpm.y)-(INDEX($P$27:$P$100,_xlpm.y)-INDEX($P$27:$P$100,_xlpm.y+1))*(INDEX($O$27:$O$100,_xlpm.y)-_xlpm.x)/(INDEX($O$27:$O$100,_xlpm.y)-INDEX($O$27:$O$100,_xlpm.y+1))))($X91,MATCH($X91,$O$27:$O$100,0),MATCH($X91,$O$27:$O$100,-1))</f>
        <v>#N/A</v>
      </c>
      <c r="AA91" s="13" cm="1">
        <f t="array" ref="AA91">_xlfn.LAMBDA(_xlpm.x,_xlpm.row,_xlpm.y,IF(NOT(ISERROR(_xlpm.row)),IF(COUNTIF($R$27:$R$100,_xlpm.x)=1,INDEX($S$27:$S$100,_xlpm.y),$Y91),INDEX($S$27:$S$100,_xlpm.y)-(INDEX($S$27:$S$100,_xlpm.y)-INDEX($S$27:$S$100,_xlpm.y+1))*(INDEX($R$27:$R$100,_xlpm.y)-_xlpm.x)/(INDEX($R$27:$R$100,_xlpm.y)-INDEX($R$27:$R$100,_xlpm.y+1))))($X91,MATCH($X91,$R$27:$R$100,0),MATCH($X91,$R$27:$R$100,-1))</f>
        <v>9</v>
      </c>
      <c r="AB91" s="8">
        <f t="shared" ref="AB91:AB100" si="11">IF(LEN($X91)&gt;0,1000*(X91-$Z$21)/($Z$22-$Z$21),AB90)</f>
        <v>726.45249999999987</v>
      </c>
      <c r="AC91" s="6">
        <f t="shared" si="6"/>
        <v>0</v>
      </c>
      <c r="AD91" s="6">
        <f t="shared" si="7"/>
        <v>0</v>
      </c>
    </row>
    <row r="92" spans="8:40" ht="15.75" x14ac:dyDescent="0.5">
      <c r="H92" s="11"/>
      <c r="I92" s="11" t="str" cm="1">
        <f t="array" ref="I92">IF(H92,SUM(((Table3[Supply Temp]+MinAppTemp/2)&lt;=H92)*((Table3[Target Temp]+MinAppTemp/2)&gt;H92)*Table3[Heat Cap])*(H91-H92),"")</f>
        <v/>
      </c>
      <c r="J92" s="11" t="str" cm="1">
        <f t="array" ref="J92">IF(H92,SUM(((Table4[Target Temp]-MinAppTemp/2)&lt;=H92)*((Table4[Supply Temp]-MinAppTemp/2)&gt;H92)*(Table4[Heat Cap])*(H91-H92)),"")</f>
        <v/>
      </c>
      <c r="K92" s="11" t="str">
        <f t="shared" si="9"/>
        <v/>
      </c>
      <c r="L92" s="11" t="str">
        <f t="shared" si="8"/>
        <v/>
      </c>
      <c r="M92" s="14" t="str">
        <f t="shared" si="10"/>
        <v/>
      </c>
      <c r="O92" s="11" t="e" cm="1">
        <f t="array" ref="O92">IF(H92=INDEX($H$27:$H$100,COUNT($H$27:$H$100)),ColdUtility,IF(SUM((H92&gt;=MIN(Table3[Supply Temp])+MinAppTemp/2)*(H92&lt;=MAX(Table3[Target Temp])+MinAppTemp/2)),IF(LEN(I93)&gt;0,I93,0)+O93,NA()))</f>
        <v>#N/A</v>
      </c>
      <c r="P92" s="11" t="e">
        <f t="shared" ref="P92:P100" si="12">IFERROR(IF(LEN(O92)&gt;0,H92,""),NA())</f>
        <v>#N/A</v>
      </c>
      <c r="R92" s="11" t="e">
        <f>IF(SUM((H92&lt;=MAX(Table4[Supply Temp])-MinAppTemp/2)*(H92&gt;=MIN(Table4[Target Temp])-MinAppTemp/2)),IF(ISERROR(R93),0,R93+J93),NA())</f>
        <v>#N/A</v>
      </c>
      <c r="S92" s="11" t="e">
        <f t="shared" ref="S92:S100" si="13">IFERROR(IF(LEN(R92)&gt;0,H92,""),NA())</f>
        <v>#N/A</v>
      </c>
      <c r="U92" s="2" t="e">
        <f t="shared" ref="U92:U100" si="14">IF(LEN(L92)&gt;0,L92,NA())</f>
        <v>#N/A</v>
      </c>
      <c r="V92" s="2" t="e">
        <f t="shared" ref="V92:V100" si="15">IF(H92,H92,NA())</f>
        <v>#N/A</v>
      </c>
      <c r="Z92" s="13" t="e" cm="1">
        <f t="array" ref="Z92">_xlfn.LAMBDA(_xlpm.x,_xlpm.row,_xlpm.y,IF(NOT(ISERROR(_xlpm.row)),IF(COUNTIF($O$27:$O$100,_xlpm.x)=1,INDEX($P$27:$P$100,_xlpm.y),$Y92),INDEX($P$27:$P$100,_xlpm.y)-(INDEX($P$27:$P$100,_xlpm.y)-INDEX($P$27:$P$100,_xlpm.y+1))*(INDEX($O$27:$O$100,_xlpm.y)-_xlpm.x)/(INDEX($O$27:$O$100,_xlpm.y)-INDEX($O$27:$O$100,_xlpm.y+1))))($X92,MATCH($X92,$O$27:$O$100,0),MATCH($X92,$O$27:$O$100,-1))</f>
        <v>#N/A</v>
      </c>
      <c r="AA92" s="13" cm="1">
        <f t="array" ref="AA92">_xlfn.LAMBDA(_xlpm.x,_xlpm.row,_xlpm.y,IF(NOT(ISERROR(_xlpm.row)),IF(COUNTIF($R$27:$R$100,_xlpm.x)=1,INDEX($S$27:$S$100,_xlpm.y),$Y92),INDEX($S$27:$S$100,_xlpm.y)-(INDEX($S$27:$S$100,_xlpm.y)-INDEX($S$27:$S$100,_xlpm.y+1))*(INDEX($R$27:$R$100,_xlpm.y)-_xlpm.x)/(INDEX($R$27:$R$100,_xlpm.y)-INDEX($R$27:$R$100,_xlpm.y+1))))($X92,MATCH($X92,$R$27:$R$100,0),MATCH($X92,$R$27:$R$100,-1))</f>
        <v>9</v>
      </c>
      <c r="AB92" s="8">
        <f t="shared" si="11"/>
        <v>726.45249999999987</v>
      </c>
      <c r="AC92" s="6">
        <f t="shared" ref="AC92:AC100" si="16">IFERROR(Z92,0)</f>
        <v>0</v>
      </c>
      <c r="AD92" s="6">
        <f t="shared" ref="AD92:AD100" si="17">IFERROR(AA92-Z92,0)</f>
        <v>0</v>
      </c>
    </row>
    <row r="93" spans="8:40" ht="15.75" x14ac:dyDescent="0.5">
      <c r="H93" s="10"/>
      <c r="I93" s="10" t="str" cm="1">
        <f t="array" ref="I93">IF(H93,SUM(((Table3[Supply Temp]+MinAppTemp/2)&lt;=H93)*((Table3[Target Temp]+MinAppTemp/2)&gt;H93)*Table3[Heat Cap])*(H92-H93),"")</f>
        <v/>
      </c>
      <c r="J93" s="10" t="str" cm="1">
        <f t="array" ref="J93">IF(H93,SUM(((Table4[Target Temp]-MinAppTemp/2)&lt;=H93)*((Table4[Supply Temp]-MinAppTemp/2)&gt;H93)*(Table4[Heat Cap])*(H92-H93)),"")</f>
        <v/>
      </c>
      <c r="K93" s="10" t="str">
        <f t="shared" si="9"/>
        <v/>
      </c>
      <c r="L93" s="10" t="str">
        <f t="shared" ref="L93:L100" si="18">IF(H93,IF(L92-(I93-J93)&gt;0.00000001,L92-(I93-J93),0),"")</f>
        <v/>
      </c>
      <c r="M93" s="12" t="str">
        <f t="shared" si="10"/>
        <v/>
      </c>
      <c r="O93" s="10" t="e" cm="1">
        <f t="array" ref="O93">IF(H93=INDEX($H$27:$H$100,COUNT($H$27:$H$100)),ColdUtility,IF(SUM((H93&gt;=MIN(Table3[Supply Temp])+MinAppTemp/2)*(H93&lt;=MAX(Table3[Target Temp])+MinAppTemp/2)),IF(LEN(I94)&gt;0,I94,0)+O94,NA()))</f>
        <v>#N/A</v>
      </c>
      <c r="P93" s="10" t="e">
        <f t="shared" si="12"/>
        <v>#N/A</v>
      </c>
      <c r="R93" s="10" t="e">
        <f>IF(SUM((H93&lt;=MAX(Table4[Supply Temp])-MinAppTemp/2)*(H93&gt;=MIN(Table4[Target Temp])-MinAppTemp/2)),IF(ISERROR(R94),0,R94+J94),NA())</f>
        <v>#N/A</v>
      </c>
      <c r="S93" s="10" t="e">
        <f t="shared" si="13"/>
        <v>#N/A</v>
      </c>
      <c r="U93" s="2" t="e">
        <f t="shared" si="14"/>
        <v>#N/A</v>
      </c>
      <c r="V93" s="2" t="e">
        <f t="shared" si="15"/>
        <v>#N/A</v>
      </c>
      <c r="Z93" s="13" t="e" cm="1">
        <f t="array" ref="Z93">_xlfn.LAMBDA(_xlpm.x,_xlpm.row,_xlpm.y,IF(NOT(ISERROR(_xlpm.row)),IF(COUNTIF($O$27:$O$100,_xlpm.x)=1,INDEX($P$27:$P$100,_xlpm.y),$Y93),INDEX($P$27:$P$100,_xlpm.y)-(INDEX($P$27:$P$100,_xlpm.y)-INDEX($P$27:$P$100,_xlpm.y+1))*(INDEX($O$27:$O$100,_xlpm.y)-_xlpm.x)/(INDEX($O$27:$O$100,_xlpm.y)-INDEX($O$27:$O$100,_xlpm.y+1))))($X93,MATCH($X93,$O$27:$O$100,0),MATCH($X93,$O$27:$O$100,-1))</f>
        <v>#N/A</v>
      </c>
      <c r="AA93" s="13" cm="1">
        <f t="array" ref="AA93">_xlfn.LAMBDA(_xlpm.x,_xlpm.row,_xlpm.y,IF(NOT(ISERROR(_xlpm.row)),IF(COUNTIF($R$27:$R$100,_xlpm.x)=1,INDEX($S$27:$S$100,_xlpm.y),$Y93),INDEX($S$27:$S$100,_xlpm.y)-(INDEX($S$27:$S$100,_xlpm.y)-INDEX($S$27:$S$100,_xlpm.y+1))*(INDEX($R$27:$R$100,_xlpm.y)-_xlpm.x)/(INDEX($R$27:$R$100,_xlpm.y)-INDEX($R$27:$R$100,_xlpm.y+1))))($X93,MATCH($X93,$R$27:$R$100,0),MATCH($X93,$R$27:$R$100,-1))</f>
        <v>9</v>
      </c>
      <c r="AB93" s="8">
        <f t="shared" si="11"/>
        <v>726.45249999999987</v>
      </c>
      <c r="AC93" s="6">
        <f t="shared" si="16"/>
        <v>0</v>
      </c>
      <c r="AD93" s="6">
        <f t="shared" si="17"/>
        <v>0</v>
      </c>
    </row>
    <row r="94" spans="8:40" ht="15.75" x14ac:dyDescent="0.5">
      <c r="H94" s="11"/>
      <c r="I94" s="11" t="str" cm="1">
        <f t="array" ref="I94">IF(H94,SUM(((Table3[Supply Temp]+MinAppTemp/2)&lt;=H94)*((Table3[Target Temp]+MinAppTemp/2)&gt;H94)*Table3[Heat Cap])*(H93-H94),"")</f>
        <v/>
      </c>
      <c r="J94" s="11" t="str" cm="1">
        <f t="array" ref="J94">IF(H94,SUM(((Table4[Target Temp]-MinAppTemp/2)&lt;=H94)*((Table4[Supply Temp]-MinAppTemp/2)&gt;H94)*(Table4[Heat Cap])*(H93-H94)),"")</f>
        <v/>
      </c>
      <c r="K94" s="11" t="str">
        <f t="shared" ref="K94:K100" si="19">IF(H94,K93 - ($I94-$J94),"")</f>
        <v/>
      </c>
      <c r="L94" s="11" t="str">
        <f t="shared" si="18"/>
        <v/>
      </c>
      <c r="M94" s="14" t="str">
        <f t="shared" si="10"/>
        <v/>
      </c>
      <c r="O94" s="11" t="e" cm="1">
        <f t="array" ref="O94">IF(H94=INDEX($H$27:$H$100,COUNT($H$27:$H$100)),ColdUtility,IF(SUM((H94&gt;=MIN(Table3[Supply Temp])+MinAppTemp/2)*(H94&lt;=MAX(Table3[Target Temp])+MinAppTemp/2)),IF(LEN(I95)&gt;0,I95,0)+O95,NA()))</f>
        <v>#N/A</v>
      </c>
      <c r="P94" s="11" t="e">
        <f t="shared" si="12"/>
        <v>#N/A</v>
      </c>
      <c r="R94" s="11" t="e">
        <f>IF(SUM((H94&lt;=MAX(Table4[Supply Temp])-MinAppTemp/2)*(H94&gt;=MIN(Table4[Target Temp])-MinAppTemp/2)),IF(ISERROR(R95),0,R95+J95),NA())</f>
        <v>#N/A</v>
      </c>
      <c r="S94" s="11" t="e">
        <f t="shared" si="13"/>
        <v>#N/A</v>
      </c>
      <c r="U94" s="2" t="e">
        <f t="shared" si="14"/>
        <v>#N/A</v>
      </c>
      <c r="V94" s="2" t="e">
        <f t="shared" si="15"/>
        <v>#N/A</v>
      </c>
      <c r="Z94" s="13" t="e" cm="1">
        <f t="array" ref="Z94">_xlfn.LAMBDA(_xlpm.x,_xlpm.row,_xlpm.y,IF(NOT(ISERROR(_xlpm.row)),IF(COUNTIF($O$27:$O$100,_xlpm.x)=1,INDEX($P$27:$P$100,_xlpm.y),$Y94),INDEX($P$27:$P$100,_xlpm.y)-(INDEX($P$27:$P$100,_xlpm.y)-INDEX($P$27:$P$100,_xlpm.y+1))*(INDEX($O$27:$O$100,_xlpm.y)-_xlpm.x)/(INDEX($O$27:$O$100,_xlpm.y)-INDEX($O$27:$O$100,_xlpm.y+1))))($X94,MATCH($X94,$O$27:$O$100,0),MATCH($X94,$O$27:$O$100,-1))</f>
        <v>#N/A</v>
      </c>
      <c r="AA94" s="13" cm="1">
        <f t="array" ref="AA94">_xlfn.LAMBDA(_xlpm.x,_xlpm.row,_xlpm.y,IF(NOT(ISERROR(_xlpm.row)),IF(COUNTIF($R$27:$R$100,_xlpm.x)=1,INDEX($S$27:$S$100,_xlpm.y),$Y94),INDEX($S$27:$S$100,_xlpm.y)-(INDEX($S$27:$S$100,_xlpm.y)-INDEX($S$27:$S$100,_xlpm.y+1))*(INDEX($R$27:$R$100,_xlpm.y)-_xlpm.x)/(INDEX($R$27:$R$100,_xlpm.y)-INDEX($R$27:$R$100,_xlpm.y+1))))($X94,MATCH($X94,$R$27:$R$100,0),MATCH($X94,$R$27:$R$100,-1))</f>
        <v>9</v>
      </c>
      <c r="AB94" s="8">
        <f t="shared" si="11"/>
        <v>726.45249999999987</v>
      </c>
      <c r="AC94" s="6">
        <f t="shared" si="16"/>
        <v>0</v>
      </c>
      <c r="AD94" s="6">
        <f t="shared" si="17"/>
        <v>0</v>
      </c>
    </row>
    <row r="95" spans="8:40" ht="15.75" x14ac:dyDescent="0.5">
      <c r="H95" s="10"/>
      <c r="I95" s="10" t="str" cm="1">
        <f t="array" ref="I95">IF(H95,SUM(((Table3[Supply Temp]+MinAppTemp/2)&lt;=H95)*((Table3[Target Temp]+MinAppTemp/2)&gt;H95)*Table3[Heat Cap])*(H94-H95),"")</f>
        <v/>
      </c>
      <c r="J95" s="10" t="str" cm="1">
        <f t="array" ref="J95">IF(H95,SUM(((Table4[Target Temp]-MinAppTemp/2)&lt;=H95)*((Table4[Supply Temp]-MinAppTemp/2)&gt;H95)*(Table4[Heat Cap])*(H94-H95)),"")</f>
        <v/>
      </c>
      <c r="K95" s="10" t="str">
        <f t="shared" si="19"/>
        <v/>
      </c>
      <c r="L95" s="10" t="str">
        <f t="shared" si="18"/>
        <v/>
      </c>
      <c r="M95" s="12" t="str">
        <f t="shared" si="10"/>
        <v/>
      </c>
      <c r="O95" s="10" t="e" cm="1">
        <f t="array" ref="O95">IF(H95=INDEX($H$27:$H$100,COUNT($H$27:$H$100)),ColdUtility,IF(SUM((H95&gt;=MIN(Table3[Supply Temp])+MinAppTemp/2)*(H95&lt;=MAX(Table3[Target Temp])+MinAppTemp/2)),IF(LEN(I96)&gt;0,I96,0)+O96,NA()))</f>
        <v>#N/A</v>
      </c>
      <c r="P95" s="10" t="e">
        <f t="shared" si="12"/>
        <v>#N/A</v>
      </c>
      <c r="R95" s="10" t="e">
        <f>IF(SUM((H95&lt;=MAX(Table4[Supply Temp])-MinAppTemp/2)*(H95&gt;=MIN(Table4[Target Temp])-MinAppTemp/2)),IF(ISERROR(R96),0,R96+J96),NA())</f>
        <v>#N/A</v>
      </c>
      <c r="S95" s="10" t="e">
        <f t="shared" si="13"/>
        <v>#N/A</v>
      </c>
      <c r="U95" s="2" t="e">
        <f t="shared" si="14"/>
        <v>#N/A</v>
      </c>
      <c r="V95" s="2" t="e">
        <f t="shared" si="15"/>
        <v>#N/A</v>
      </c>
      <c r="Z95" s="13" t="e" cm="1">
        <f t="array" ref="Z95">_xlfn.LAMBDA(_xlpm.x,_xlpm.row,_xlpm.y,IF(NOT(ISERROR(_xlpm.row)),IF(COUNTIF($O$27:$O$100,_xlpm.x)=1,INDEX($P$27:$P$100,_xlpm.y),$Y95),INDEX($P$27:$P$100,_xlpm.y)-(INDEX($P$27:$P$100,_xlpm.y)-INDEX($P$27:$P$100,_xlpm.y+1))*(INDEX($O$27:$O$100,_xlpm.y)-_xlpm.x)/(INDEX($O$27:$O$100,_xlpm.y)-INDEX($O$27:$O$100,_xlpm.y+1))))($X95,MATCH($X95,$O$27:$O$100,0),MATCH($X95,$O$27:$O$100,-1))</f>
        <v>#N/A</v>
      </c>
      <c r="AA95" s="13" cm="1">
        <f t="array" ref="AA95">_xlfn.LAMBDA(_xlpm.x,_xlpm.row,_xlpm.y,IF(NOT(ISERROR(_xlpm.row)),IF(COUNTIF($R$27:$R$100,_xlpm.x)=1,INDEX($S$27:$S$100,_xlpm.y),$Y95),INDEX($S$27:$S$100,_xlpm.y)-(INDEX($S$27:$S$100,_xlpm.y)-INDEX($S$27:$S$100,_xlpm.y+1))*(INDEX($R$27:$R$100,_xlpm.y)-_xlpm.x)/(INDEX($R$27:$R$100,_xlpm.y)-INDEX($R$27:$R$100,_xlpm.y+1))))($X95,MATCH($X95,$R$27:$R$100,0),MATCH($X95,$R$27:$R$100,-1))</f>
        <v>9</v>
      </c>
      <c r="AB95" s="8">
        <f t="shared" si="11"/>
        <v>726.45249999999987</v>
      </c>
      <c r="AC95" s="6">
        <f t="shared" si="16"/>
        <v>0</v>
      </c>
      <c r="AD95" s="6">
        <f t="shared" si="17"/>
        <v>0</v>
      </c>
    </row>
    <row r="96" spans="8:40" ht="15.75" x14ac:dyDescent="0.5">
      <c r="H96" s="11"/>
      <c r="I96" s="11" t="str" cm="1">
        <f t="array" ref="I96">IF(H96,SUM(((Table3[Supply Temp]+MinAppTemp/2)&lt;=H96)*((Table3[Target Temp]+MinAppTemp/2)&gt;H96)*Table3[Heat Cap])*(H95-H96),"")</f>
        <v/>
      </c>
      <c r="J96" s="11" t="str" cm="1">
        <f t="array" ref="J96">IF(H96,SUM(((Table4[Target Temp]-MinAppTemp/2)&lt;=H96)*((Table4[Supply Temp]-MinAppTemp/2)&gt;H96)*(Table4[Heat Cap])*(H95-H96)),"")</f>
        <v/>
      </c>
      <c r="K96" s="11" t="str">
        <f t="shared" si="19"/>
        <v/>
      </c>
      <c r="L96" s="11" t="str">
        <f t="shared" si="18"/>
        <v/>
      </c>
      <c r="M96" s="14" t="str">
        <f t="shared" si="10"/>
        <v/>
      </c>
      <c r="O96" s="11" t="e" cm="1">
        <f t="array" ref="O96">IF(H96=INDEX($H$27:$H$100,COUNT($H$27:$H$100)),ColdUtility,IF(SUM((H96&gt;=MIN(Table3[Supply Temp])+MinAppTemp/2)*(H96&lt;=MAX(Table3[Target Temp])+MinAppTemp/2)),IF(LEN(I97)&gt;0,I97,0)+O97,NA()))</f>
        <v>#N/A</v>
      </c>
      <c r="P96" s="11" t="e">
        <f t="shared" si="12"/>
        <v>#N/A</v>
      </c>
      <c r="R96" s="11" t="e">
        <f>IF(SUM((H96&lt;=MAX(Table4[Supply Temp])-MinAppTemp/2)*(H96&gt;=MIN(Table4[Target Temp])-MinAppTemp/2)),IF(ISERROR(R97),0,R97+J97),NA())</f>
        <v>#N/A</v>
      </c>
      <c r="S96" s="11" t="e">
        <f t="shared" si="13"/>
        <v>#N/A</v>
      </c>
      <c r="U96" s="2" t="e">
        <f t="shared" si="14"/>
        <v>#N/A</v>
      </c>
      <c r="V96" s="2" t="e">
        <f t="shared" si="15"/>
        <v>#N/A</v>
      </c>
      <c r="Z96" s="13" t="e" cm="1">
        <f t="array" ref="Z96">_xlfn.LAMBDA(_xlpm.x,_xlpm.row,_xlpm.y,IF(NOT(ISERROR(_xlpm.row)),IF(COUNTIF($O$27:$O$100,_xlpm.x)=1,INDEX($P$27:$P$100,_xlpm.y),$Y96),INDEX($P$27:$P$100,_xlpm.y)-(INDEX($P$27:$P$100,_xlpm.y)-INDEX($P$27:$P$100,_xlpm.y+1))*(INDEX($O$27:$O$100,_xlpm.y)-_xlpm.x)/(INDEX($O$27:$O$100,_xlpm.y)-INDEX($O$27:$O$100,_xlpm.y+1))))($X96,MATCH($X96,$O$27:$O$100,0),MATCH($X96,$O$27:$O$100,-1))</f>
        <v>#N/A</v>
      </c>
      <c r="AA96" s="13" cm="1">
        <f t="array" ref="AA96">_xlfn.LAMBDA(_xlpm.x,_xlpm.row,_xlpm.y,IF(NOT(ISERROR(_xlpm.row)),IF(COUNTIF($R$27:$R$100,_xlpm.x)=1,INDEX($S$27:$S$100,_xlpm.y),$Y96),INDEX($S$27:$S$100,_xlpm.y)-(INDEX($S$27:$S$100,_xlpm.y)-INDEX($S$27:$S$100,_xlpm.y+1))*(INDEX($R$27:$R$100,_xlpm.y)-_xlpm.x)/(INDEX($R$27:$R$100,_xlpm.y)-INDEX($R$27:$R$100,_xlpm.y+1))))($X96,MATCH($X96,$R$27:$R$100,0),MATCH($X96,$R$27:$R$100,-1))</f>
        <v>9</v>
      </c>
      <c r="AB96" s="8">
        <f t="shared" si="11"/>
        <v>726.45249999999987</v>
      </c>
      <c r="AC96" s="6">
        <f t="shared" si="16"/>
        <v>0</v>
      </c>
      <c r="AD96" s="6">
        <f t="shared" si="17"/>
        <v>0</v>
      </c>
    </row>
    <row r="97" spans="8:30" ht="15.75" x14ac:dyDescent="0.5">
      <c r="H97" s="10"/>
      <c r="I97" s="10" t="str" cm="1">
        <f t="array" ref="I97">IF(H97,SUM(((Table3[Supply Temp]+MinAppTemp/2)&lt;=H97)*((Table3[Target Temp]+MinAppTemp/2)&gt;H97)*Table3[Heat Cap])*(H96-H97),"")</f>
        <v/>
      </c>
      <c r="J97" s="10" t="str" cm="1">
        <f t="array" ref="J97">IF(H97,SUM(((Table4[Target Temp]-MinAppTemp/2)&lt;=H97)*((Table4[Supply Temp]-MinAppTemp/2)&gt;H97)*(Table4[Heat Cap])*(H96-H97)),"")</f>
        <v/>
      </c>
      <c r="K97" s="10" t="str">
        <f t="shared" si="19"/>
        <v/>
      </c>
      <c r="L97" s="10" t="str">
        <f t="shared" si="18"/>
        <v/>
      </c>
      <c r="M97" s="12" t="str">
        <f t="shared" si="10"/>
        <v/>
      </c>
      <c r="O97" s="10" t="e" cm="1">
        <f t="array" ref="O97">IF(H97=INDEX($H$27:$H$100,COUNT($H$27:$H$100)),ColdUtility,IF(SUM((H97&gt;=MIN(Table3[Supply Temp])+MinAppTemp/2)*(H97&lt;=MAX(Table3[Target Temp])+MinAppTemp/2)),IF(LEN(I98)&gt;0,I98,0)+O98,NA()))</f>
        <v>#N/A</v>
      </c>
      <c r="P97" s="10" t="e">
        <f t="shared" si="12"/>
        <v>#N/A</v>
      </c>
      <c r="R97" s="10" t="e">
        <f>IF(SUM((H97&lt;=MAX(Table4[Supply Temp])-MinAppTemp/2)*(H97&gt;=MIN(Table4[Target Temp])-MinAppTemp/2)),IF(ISERROR(R98),0,R98+J98),NA())</f>
        <v>#N/A</v>
      </c>
      <c r="S97" s="10" t="e">
        <f t="shared" si="13"/>
        <v>#N/A</v>
      </c>
      <c r="U97" s="2" t="e">
        <f t="shared" si="14"/>
        <v>#N/A</v>
      </c>
      <c r="V97" s="2" t="e">
        <f t="shared" si="15"/>
        <v>#N/A</v>
      </c>
      <c r="Z97" s="13" t="e" cm="1">
        <f t="array" ref="Z97">_xlfn.LAMBDA(_xlpm.x,_xlpm.row,_xlpm.y,IF(NOT(ISERROR(_xlpm.row)),IF(COUNTIF($O$27:$O$100,_xlpm.x)=1,INDEX($P$27:$P$100,_xlpm.y),$Y97),INDEX($P$27:$P$100,_xlpm.y)-(INDEX($P$27:$P$100,_xlpm.y)-INDEX($P$27:$P$100,_xlpm.y+1))*(INDEX($O$27:$O$100,_xlpm.y)-_xlpm.x)/(INDEX($O$27:$O$100,_xlpm.y)-INDEX($O$27:$O$100,_xlpm.y+1))))($X97,MATCH($X97,$O$27:$O$100,0),MATCH($X97,$O$27:$O$100,-1))</f>
        <v>#N/A</v>
      </c>
      <c r="AA97" s="13" cm="1">
        <f t="array" ref="AA97">_xlfn.LAMBDA(_xlpm.x,_xlpm.row,_xlpm.y,IF(NOT(ISERROR(_xlpm.row)),IF(COUNTIF($R$27:$R$100,_xlpm.x)=1,INDEX($S$27:$S$100,_xlpm.y),$Y97),INDEX($S$27:$S$100,_xlpm.y)-(INDEX($S$27:$S$100,_xlpm.y)-INDEX($S$27:$S$100,_xlpm.y+1))*(INDEX($R$27:$R$100,_xlpm.y)-_xlpm.x)/(INDEX($R$27:$R$100,_xlpm.y)-INDEX($R$27:$R$100,_xlpm.y+1))))($X97,MATCH($X97,$R$27:$R$100,0),MATCH($X97,$R$27:$R$100,-1))</f>
        <v>9</v>
      </c>
      <c r="AB97" s="8">
        <f t="shared" si="11"/>
        <v>726.45249999999987</v>
      </c>
      <c r="AC97" s="6">
        <f t="shared" si="16"/>
        <v>0</v>
      </c>
      <c r="AD97" s="6">
        <f t="shared" si="17"/>
        <v>0</v>
      </c>
    </row>
    <row r="98" spans="8:30" ht="15.75" x14ac:dyDescent="0.5">
      <c r="H98" s="11"/>
      <c r="I98" s="11" t="str" cm="1">
        <f t="array" ref="I98">IF(H98,SUM(((Table3[Supply Temp]+MinAppTemp/2)&lt;=H98)*((Table3[Target Temp]+MinAppTemp/2)&gt;H98)*Table3[Heat Cap])*(H97-H98),"")</f>
        <v/>
      </c>
      <c r="J98" s="11" t="str" cm="1">
        <f t="array" ref="J98">IF(H98,SUM(((Table4[Target Temp]-MinAppTemp/2)&lt;=H98)*((Table4[Supply Temp]-MinAppTemp/2)&gt;H98)*(Table4[Heat Cap])*(H97-H98)),"")</f>
        <v/>
      </c>
      <c r="K98" s="11" t="str">
        <f t="shared" si="19"/>
        <v/>
      </c>
      <c r="L98" s="11" t="str">
        <f t="shared" si="18"/>
        <v/>
      </c>
      <c r="M98" s="14" t="str">
        <f t="shared" si="10"/>
        <v/>
      </c>
      <c r="O98" s="11" t="e" cm="1">
        <f t="array" ref="O98">IF(H98=INDEX($H$27:$H$100,COUNT($H$27:$H$100)),ColdUtility,IF(SUM((H98&gt;=MIN(Table3[Supply Temp])+MinAppTemp/2)*(H98&lt;=MAX(Table3[Target Temp])+MinAppTemp/2)),IF(LEN(I99)&gt;0,I99,0)+O99,NA()))</f>
        <v>#N/A</v>
      </c>
      <c r="P98" s="11" t="e">
        <f t="shared" si="12"/>
        <v>#N/A</v>
      </c>
      <c r="R98" s="11" t="e">
        <f>IF(SUM((H98&lt;=MAX(Table4[Supply Temp])-MinAppTemp/2)*(H98&gt;=MIN(Table4[Target Temp])-MinAppTemp/2)),IF(ISERROR(R99),0,R99+J99),NA())</f>
        <v>#N/A</v>
      </c>
      <c r="S98" s="11" t="e">
        <f t="shared" si="13"/>
        <v>#N/A</v>
      </c>
      <c r="U98" s="2" t="e">
        <f t="shared" si="14"/>
        <v>#N/A</v>
      </c>
      <c r="V98" s="2" t="e">
        <f t="shared" si="15"/>
        <v>#N/A</v>
      </c>
      <c r="Z98" s="13" t="e" cm="1">
        <f t="array" ref="Z98">_xlfn.LAMBDA(_xlpm.x,_xlpm.row,_xlpm.y,IF(NOT(ISERROR(_xlpm.row)),IF(COUNTIF($O$27:$O$100,_xlpm.x)=1,INDEX($P$27:$P$100,_xlpm.y),$Y98),INDEX($P$27:$P$100,_xlpm.y)-(INDEX($P$27:$P$100,_xlpm.y)-INDEX($P$27:$P$100,_xlpm.y+1))*(INDEX($O$27:$O$100,_xlpm.y)-_xlpm.x)/(INDEX($O$27:$O$100,_xlpm.y)-INDEX($O$27:$O$100,_xlpm.y+1))))($X98,MATCH($X98,$O$27:$O$100,0),MATCH($X98,$O$27:$O$100,-1))</f>
        <v>#N/A</v>
      </c>
      <c r="AA98" s="13" cm="1">
        <f t="array" ref="AA98">_xlfn.LAMBDA(_xlpm.x,_xlpm.row,_xlpm.y,IF(NOT(ISERROR(_xlpm.row)),IF(COUNTIF($R$27:$R$100,_xlpm.x)=1,INDEX($S$27:$S$100,_xlpm.y),$Y98),INDEX($S$27:$S$100,_xlpm.y)-(INDEX($S$27:$S$100,_xlpm.y)-INDEX($S$27:$S$100,_xlpm.y+1))*(INDEX($R$27:$R$100,_xlpm.y)-_xlpm.x)/(INDEX($R$27:$R$100,_xlpm.y)-INDEX($R$27:$R$100,_xlpm.y+1))))($X98,MATCH($X98,$R$27:$R$100,0),MATCH($X98,$R$27:$R$100,-1))</f>
        <v>9</v>
      </c>
      <c r="AB98" s="8">
        <f t="shared" si="11"/>
        <v>726.45249999999987</v>
      </c>
      <c r="AC98" s="6">
        <f t="shared" si="16"/>
        <v>0</v>
      </c>
      <c r="AD98" s="6">
        <f t="shared" si="17"/>
        <v>0</v>
      </c>
    </row>
    <row r="99" spans="8:30" ht="15.75" x14ac:dyDescent="0.5">
      <c r="H99" s="10"/>
      <c r="I99" s="10" t="str" cm="1">
        <f t="array" ref="I99">IF(H99,SUM(((Table3[Supply Temp]+MinAppTemp/2)&lt;=H99)*((Table3[Target Temp]+MinAppTemp/2)&gt;H99)*Table3[Heat Cap])*(H98-H99),"")</f>
        <v/>
      </c>
      <c r="J99" s="10" t="str" cm="1">
        <f t="array" ref="J99">IF(H99,SUM(((Table4[Target Temp]-MinAppTemp/2)&lt;=H99)*((Table4[Supply Temp]-MinAppTemp/2)&gt;H99)*(Table4[Heat Cap])*(H98-H99)),"")</f>
        <v/>
      </c>
      <c r="K99" s="10" t="str">
        <f t="shared" si="19"/>
        <v/>
      </c>
      <c r="L99" s="10" t="str">
        <f t="shared" si="18"/>
        <v/>
      </c>
      <c r="M99" s="12" t="str">
        <f t="shared" si="10"/>
        <v/>
      </c>
      <c r="O99" s="10" t="e" cm="1">
        <f t="array" ref="O99">IF(H99=INDEX($H$27:$H$100,COUNT($H$27:$H$100)),ColdUtility,IF(SUM((H99&gt;=MIN(Table3[Supply Temp])+MinAppTemp/2)*(H99&lt;=MAX(Table3[Target Temp])+MinAppTemp/2)),IF(LEN(I100)&gt;0,I100,0)+O100,NA()))</f>
        <v>#N/A</v>
      </c>
      <c r="P99" s="10" t="e">
        <f t="shared" si="12"/>
        <v>#N/A</v>
      </c>
      <c r="R99" s="10" t="e">
        <f>IF(SUM((H99&lt;=MAX(Table4[Supply Temp])-MinAppTemp/2)*(H99&gt;=MIN(Table4[Target Temp])-MinAppTemp/2)),IF(ISERROR(R100),0,R100+J100),NA())</f>
        <v>#N/A</v>
      </c>
      <c r="S99" s="10" t="e">
        <f t="shared" si="13"/>
        <v>#N/A</v>
      </c>
      <c r="U99" s="2" t="e">
        <f t="shared" si="14"/>
        <v>#N/A</v>
      </c>
      <c r="V99" s="2" t="e">
        <f t="shared" si="15"/>
        <v>#N/A</v>
      </c>
      <c r="Z99" s="13" t="e" cm="1">
        <f t="array" ref="Z99">_xlfn.LAMBDA(_xlpm.x,_xlpm.row,_xlpm.y,IF(NOT(ISERROR(_xlpm.row)),IF(COUNTIF($O$27:$O$100,_xlpm.x)=1,INDEX($P$27:$P$100,_xlpm.y),$Y99),INDEX($P$27:$P$100,_xlpm.y)-(INDEX($P$27:$P$100,_xlpm.y)-INDEX($P$27:$P$100,_xlpm.y+1))*(INDEX($O$27:$O$100,_xlpm.y)-_xlpm.x)/(INDEX($O$27:$O$100,_xlpm.y)-INDEX($O$27:$O$100,_xlpm.y+1))))($X99,MATCH($X99,$O$27:$O$100,0),MATCH($X99,$O$27:$O$100,-1))</f>
        <v>#N/A</v>
      </c>
      <c r="AA99" s="13" cm="1">
        <f t="array" ref="AA99">_xlfn.LAMBDA(_xlpm.x,_xlpm.row,_xlpm.y,IF(NOT(ISERROR(_xlpm.row)),IF(COUNTIF($R$27:$R$100,_xlpm.x)=1,INDEX($S$27:$S$100,_xlpm.y),$Y99),INDEX($S$27:$S$100,_xlpm.y)-(INDEX($S$27:$S$100,_xlpm.y)-INDEX($S$27:$S$100,_xlpm.y+1))*(INDEX($R$27:$R$100,_xlpm.y)-_xlpm.x)/(INDEX($R$27:$R$100,_xlpm.y)-INDEX($R$27:$R$100,_xlpm.y+1))))($X99,MATCH($X99,$R$27:$R$100,0),MATCH($X99,$R$27:$R$100,-1))</f>
        <v>9</v>
      </c>
      <c r="AB99" s="8">
        <f t="shared" si="11"/>
        <v>726.45249999999987</v>
      </c>
      <c r="AC99" s="6">
        <f t="shared" si="16"/>
        <v>0</v>
      </c>
      <c r="AD99" s="6">
        <f t="shared" si="17"/>
        <v>0</v>
      </c>
    </row>
    <row r="100" spans="8:30" ht="15.75" x14ac:dyDescent="0.5">
      <c r="H100" s="11"/>
      <c r="I100" s="11" t="str" cm="1">
        <f t="array" ref="I100">IF(H100,SUM(((Table3[Supply Temp]+MinAppTemp/2)&lt;=H100)*((Table3[Target Temp]+MinAppTemp/2)&gt;H100)*Table3[Heat Cap])*(H99-H100),"")</f>
        <v/>
      </c>
      <c r="J100" s="11" t="str" cm="1">
        <f t="array" ref="J100">IF(H100,SUM(((Table4[Target Temp]-MinAppTemp/2)&lt;=H100)*((Table4[Supply Temp]-MinAppTemp/2)&gt;H100)*(Table4[Heat Cap])*(H99-H100)),"")</f>
        <v/>
      </c>
      <c r="K100" s="11" t="str">
        <f t="shared" si="19"/>
        <v/>
      </c>
      <c r="L100" s="11" t="str">
        <f t="shared" si="18"/>
        <v/>
      </c>
      <c r="M100" s="14" t="str">
        <f t="shared" si="10"/>
        <v/>
      </c>
      <c r="O100" s="11" t="e" cm="1">
        <f t="array" ref="O100">IF(H100=INDEX($H$27:$H$100,COUNT($H$27:$H$100)),ColdUtility,IF(SUM((H100&gt;=MIN(Table3[Supply Temp])+MinAppTemp/2)*(H100&lt;=MAX(Table3[Target Temp])+MinAppTemp/2)),IF(LEN(I101)&gt;0,I101,0)+O101,NA()))</f>
        <v>#N/A</v>
      </c>
      <c r="P100" s="11" t="e">
        <f t="shared" si="12"/>
        <v>#N/A</v>
      </c>
      <c r="R100" s="11" t="e">
        <f>IF(SUM((H100&lt;=MAX(Table4[Supply Temp])-MinAppTemp/2)*(H100&gt;=MIN(Table4[Target Temp])-MinAppTemp/2)),IF(ISERROR(R101),0,R101+J101),NA())</f>
        <v>#N/A</v>
      </c>
      <c r="S100" s="11" t="e">
        <f t="shared" si="13"/>
        <v>#N/A</v>
      </c>
      <c r="U100" s="2" t="e">
        <f t="shared" si="14"/>
        <v>#N/A</v>
      </c>
      <c r="V100" s="2" t="e">
        <f t="shared" si="15"/>
        <v>#N/A</v>
      </c>
      <c r="Z100" s="13" t="e" cm="1">
        <f t="array" ref="Z100">_xlfn.LAMBDA(_xlpm.x,_xlpm.row,_xlpm.y,IF(NOT(ISERROR(_xlpm.row)),IF(COUNTIF($O$27:$O$100,_xlpm.x)=1,INDEX($P$27:$P$100,_xlpm.y),$Y100),INDEX($P$27:$P$100,_xlpm.y)-(INDEX($P$27:$P$100,_xlpm.y)-INDEX($P$27:$P$100,_xlpm.y+1))*(INDEX($O$27:$O$100,_xlpm.y)-_xlpm.x)/(INDEX($O$27:$O$100,_xlpm.y)-INDEX($O$27:$O$100,_xlpm.y+1))))($X100,MATCH($X100,$O$27:$O$100,0),MATCH($X100,$O$27:$O$100,-1))</f>
        <v>#N/A</v>
      </c>
      <c r="AA100" s="13" cm="1">
        <f t="array" ref="AA100">_xlfn.LAMBDA(_xlpm.x,_xlpm.row,_xlpm.y,IF(NOT(ISERROR(_xlpm.row)),IF(COUNTIF($R$27:$R$100,_xlpm.x)=1,INDEX($S$27:$S$100,_xlpm.y),$Y100),INDEX($S$27:$S$100,_xlpm.y)-(INDEX($S$27:$S$100,_xlpm.y)-INDEX($S$27:$S$100,_xlpm.y+1))*(INDEX($R$27:$R$100,_xlpm.y)-_xlpm.x)/(INDEX($R$27:$R$100,_xlpm.y)-INDEX($R$27:$R$100,_xlpm.y+1))))($X100,MATCH($X100,$R$27:$R$100,0),MATCH($X100,$R$27:$R$100,-1))</f>
        <v>9</v>
      </c>
      <c r="AB100" s="8">
        <f t="shared" si="11"/>
        <v>726.45249999999987</v>
      </c>
      <c r="AC100" s="6">
        <f t="shared" si="16"/>
        <v>0</v>
      </c>
      <c r="AD100" s="6">
        <f t="shared" si="17"/>
        <v>0</v>
      </c>
    </row>
    <row r="101" spans="8:30" x14ac:dyDescent="0.4">
      <c r="AB101" s="8">
        <v>1000</v>
      </c>
      <c r="AC101" s="2">
        <v>0</v>
      </c>
      <c r="AD101" s="2">
        <v>0</v>
      </c>
    </row>
  </sheetData>
  <mergeCells count="2">
    <mergeCell ref="A1:F1"/>
    <mergeCell ref="H1:M1"/>
  </mergeCells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Test_case</vt:lpstr>
      <vt:lpstr>ColdUtility</vt:lpstr>
      <vt:lpstr>HotUtility</vt:lpstr>
      <vt:lpstr>MaxRangeHeatFlow</vt:lpstr>
      <vt:lpstr>MinAppTemp</vt:lpstr>
      <vt:lpstr>MinRangeHeatFlow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Maetee Lorprajuksiri</dc:creator>
  <cp:lastModifiedBy>Maetee Lorprajuksiri</cp:lastModifiedBy>
  <dcterms:created xsi:type="dcterms:W3CDTF">2024-03-06T05:14:21Z</dcterms:created>
  <dcterms:modified xsi:type="dcterms:W3CDTF">2024-03-09T07:57:57Z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2a9d1e-db60-409b-8548-dfb9dee19bad_Enabled">
    <vt:lpwstr>true</vt:lpwstr>
  </property>
  <property fmtid="{D5CDD505-2E9C-101B-9397-08002B2CF9AE}" pid="3" name="MSIP_Label_4d2a9d1e-db60-409b-8548-dfb9dee19bad_SetDate">
    <vt:lpwstr>2024-03-06T05:48:07Z</vt:lpwstr>
  </property>
  <property fmtid="{D5CDD505-2E9C-101B-9397-08002B2CF9AE}" pid="4" name="MSIP_Label_4d2a9d1e-db60-409b-8548-dfb9dee19bad_Method">
    <vt:lpwstr>Privileged</vt:lpwstr>
  </property>
  <property fmtid="{D5CDD505-2E9C-101B-9397-08002B2CF9AE}" pid="5" name="MSIP_Label_4d2a9d1e-db60-409b-8548-dfb9dee19bad_Name">
    <vt:lpwstr>4d2a9d1e-db60-409b-8548-dfb9dee19bad</vt:lpwstr>
  </property>
  <property fmtid="{D5CDD505-2E9C-101B-9397-08002B2CF9AE}" pid="6" name="MSIP_Label_4d2a9d1e-db60-409b-8548-dfb9dee19bad_SiteId">
    <vt:lpwstr>dc6df0e3-1692-4482-aa55-729e0a5e8361</vt:lpwstr>
  </property>
  <property fmtid="{D5CDD505-2E9C-101B-9397-08002B2CF9AE}" pid="7" name="MSIP_Label_4d2a9d1e-db60-409b-8548-dfb9dee19bad_ActionId">
    <vt:lpwstr>04619833-9ea8-48d5-8dc8-67fd7af68a0f</vt:lpwstr>
  </property>
  <property fmtid="{D5CDD505-2E9C-101B-9397-08002B2CF9AE}" pid="8" name="MSIP_Label_4d2a9d1e-db60-409b-8548-dfb9dee19bad_ContentBits">
    <vt:lpwstr>0</vt:lpwstr>
  </property>
</Properties>
</file>