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3 " sheetId="1" r:id="rId4"/>
    <sheet state="visible" name="Engine Aluminum (1&quot;x0.058&quot;)" sheetId="2" r:id="rId5"/>
    <sheet state="visible" name="CG Calculator" sheetId="3" r:id="rId6"/>
    <sheet state="visible" name="CG Calculator Experiment" sheetId="4" r:id="rId7"/>
    <sheet state="visible" name="Onshape" sheetId="5" r:id="rId8"/>
    <sheet state="visible" name="Battery" sheetId="6" r:id="rId9"/>
    <sheet state="visible" name="Engine" sheetId="7" r:id="rId10"/>
    <sheet state="visible" name="Sheet3" sheetId="8" r:id="rId11"/>
    <sheet state="visible" name="Legal Eagle" sheetId="9" r:id="rId12"/>
    <sheet state="visible" name="OLD Fuselage" sheetId="10" r:id="rId13"/>
    <sheet state="visible" name="Gas Engine, 78&quot; OD" sheetId="11" r:id="rId14"/>
    <sheet state="visible" name="Gas Engine, 58&quot; OD" sheetId="12" r:id="rId15"/>
    <sheet state="visible" name="Dylan 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x coord
	-Alex Ding</t>
      </text>
    </comment>
    <comment authorId="0" ref="D19">
      <text>
        <t xml:space="preserve">z coord
	-Alex Ding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">
      <text>
        <t xml:space="preserve">change to trike config
	-Alex Ding</t>
      </text>
    </comment>
    <comment authorId="0" ref="C10">
      <text>
        <t xml:space="preserve">70.684
	-Alex Ding</t>
      </text>
    </comment>
    <comment authorId="0" ref="E10">
      <text>
        <t xml:space="preserve">-22.5ish
	-Alex Ding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subject to change
	-Alex Ding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we need to put these on a scale already
	-Alex Ding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What should I put here for the fuselage? doesn't it span the whole way out?
	-elaK enogebeoW</t>
      </text>
    </comment>
    <comment authorId="0" ref="D27">
      <text>
        <t xml:space="preserve">so it looks like their CG is literally AT QC and their pilot is at QC so I guess regardless CG = QC
	-Alex Ding</t>
      </text>
    </comment>
    <comment authorId="0" ref="C13">
      <text>
        <t xml:space="preserve">are you using QC or the nose as your 0,0?  I don't think the pilot is this far behind, but at the same time the front landing gear can't be that far forward
QC is probably better for our XLFR5 sims
	-Alex Ding
the plans had a datum at the nose... and there was no marking for the CG
Can do the measurements from QC, but not completely sure what that means lol
	-elaK enogebeoW
QC = quarter chord.  
actually, just keep everything with the nose as datum because we can always convert from nose to QC later.  should be ok
	-Alex Ding
okay cool
	-elaK enogebeoW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2">
      <text>
        <t xml:space="preserve">where is a human's center of gravity
	-Alex Ding
philosophical of you . it's at the waist when ur sitting
	-Maya Ayoub
ok how tall is he from head to waist so we make sure he doesn't get a concussion from hitting the wings
	-Alex Ding</t>
      </text>
    </comment>
    <comment authorId="0" ref="E9">
      <text>
        <t xml:space="preserve">confirm
	-Alex Ding</t>
      </text>
    </comment>
    <comment authorId="0" ref="C15">
      <text>
        <t xml:space="preserve">idk how close to ryan this is supposed to be
	-Alex Ding</t>
      </text>
    </comment>
  </commentList>
</comments>
</file>

<file path=xl/sharedStrings.xml><?xml version="1.0" encoding="utf-8"?>
<sst xmlns="http://schemas.openxmlformats.org/spreadsheetml/2006/main" count="418" uniqueCount="71">
  <si>
    <t>CG Calculator</t>
  </si>
  <si>
    <t>QUARTER CHORD IS 0,0 NOW; updated 10/8 to match XFLR5</t>
  </si>
  <si>
    <t>Final Values</t>
  </si>
  <si>
    <t>Adjustable Inputs</t>
  </si>
  <si>
    <t>Fixed Input</t>
  </si>
  <si>
    <t>Check</t>
  </si>
  <si>
    <t>Approximation</t>
  </si>
  <si>
    <t>For reference: front of nose is -55</t>
  </si>
  <si>
    <t>https://www.grc.nasa.gov/WWW/K-12/airplane/acg.html</t>
  </si>
  <si>
    <t>Item</t>
  </si>
  <si>
    <t>Weight (lbf)</t>
  </si>
  <si>
    <t>X dist from (0,0) reference point (in)</t>
  </si>
  <si>
    <t>X moment (lb*in)</t>
  </si>
  <si>
    <t>Z dist from (0,0) reference point (in)</t>
  </si>
  <si>
    <t>Z moment (lb*in)</t>
  </si>
  <si>
    <t>Propeller</t>
  </si>
  <si>
    <t>Wings</t>
  </si>
  <si>
    <t>Fuselage + Struts</t>
  </si>
  <si>
    <t>Tail</t>
  </si>
  <si>
    <t>Control System Motors/Instrumentation</t>
  </si>
  <si>
    <t>Front Landing Gear</t>
  </si>
  <si>
    <t>Rear Landing Gear</t>
  </si>
  <si>
    <t>Dummy Pilot (subtracted control systems)</t>
  </si>
  <si>
    <t>Motor</t>
  </si>
  <si>
    <t>Batteries</t>
  </si>
  <si>
    <t>Total Weight:</t>
  </si>
  <si>
    <t>Point Weight for XFLR5</t>
  </si>
  <si>
    <t>Weight Without Dummy</t>
  </si>
  <si>
    <t xml:space="preserve">Actual: </t>
  </si>
  <si>
    <t xml:space="preserve">Goal: </t>
  </si>
  <si>
    <t>X CG (in from (0,0)):</t>
  </si>
  <si>
    <t>1/3 of big plane</t>
  </si>
  <si>
    <t>Z CG (in from (0,0)):</t>
  </si>
  <si>
    <t>Ω</t>
  </si>
  <si>
    <t>Tail Foam</t>
  </si>
  <si>
    <t>Engine + mount</t>
  </si>
  <si>
    <t>Panels</t>
  </si>
  <si>
    <t>Ryan (alive, hopefully)</t>
  </si>
  <si>
    <t>Instrument Panel/Misc Control Systems Things</t>
  </si>
  <si>
    <t>Ballistics Parachute</t>
  </si>
  <si>
    <t>Tank</t>
  </si>
  <si>
    <t>Reserve Tank</t>
  </si>
  <si>
    <t>Empty Weight:</t>
  </si>
  <si>
    <t>Note: farther forward is better</t>
  </si>
  <si>
    <t>Struts</t>
  </si>
  <si>
    <t xml:space="preserve">Fuselage (complete) </t>
  </si>
  <si>
    <t>Instrument Pannel</t>
  </si>
  <si>
    <t>Margin of error</t>
  </si>
  <si>
    <t xml:space="preserve">  +/- 0.5</t>
  </si>
  <si>
    <t xml:space="preserve">  +/-  5</t>
  </si>
  <si>
    <t>X QC (in from (0,0 on onshape)):</t>
  </si>
  <si>
    <t>THESE ARE ONLY FOR REFERENCE IN THE CALCULATIONS, THE REAL QC IS 0,0</t>
  </si>
  <si>
    <t>Z QC (in from (0,0 on onshape)):</t>
  </si>
  <si>
    <t>Tail Fabric</t>
  </si>
  <si>
    <t>Pannels</t>
  </si>
  <si>
    <t>Instrument Panel</t>
  </si>
  <si>
    <t>Empty Weight</t>
  </si>
  <si>
    <t>Total Weight</t>
  </si>
  <si>
    <t>For reference: front of nose is 0</t>
  </si>
  <si>
    <t>Fuselage</t>
  </si>
  <si>
    <t>Engine</t>
  </si>
  <si>
    <t>Panels (the things on the nose)</t>
  </si>
  <si>
    <t>Pilot</t>
  </si>
  <si>
    <t>This was the only moment looking thing in the plans that we had for the legal eagle</t>
  </si>
  <si>
    <t>Weight :D</t>
  </si>
  <si>
    <t>Total Weight (503 limit):</t>
  </si>
  <si>
    <t>NOTE:  With  nose extended to 45 in.</t>
  </si>
  <si>
    <t>IDK if ANY of this is accurate but we're not worried about Z CG so much...</t>
  </si>
  <si>
    <t>Weight (call it payload if you will)</t>
  </si>
  <si>
    <t>NOTES:</t>
  </si>
  <si>
    <t>Nose extended to 45 in, x distance from QC to nose is about 56.328 inches; Cabin height is 45 inches; x distance from QC to center of tail is about 153.123 inches; 1 gallon of gasoline weights ~6.2lbs; gas tank and balistics parachute will be near CG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</si>
</sst>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4.0"/>
      <color theme="1"/>
      <name val="Lato"/>
    </font>
    <font>
      <color theme="1"/>
      <name val="Lato"/>
    </font>
    <font>
      <u/>
      <color rgb="FF0000FF"/>
      <name val="Lato"/>
    </font>
    <font>
      <name val="Lato"/>
    </font>
    <font>
      <color theme="1"/>
      <name val="Arial"/>
    </font>
    <font>
      <color rgb="FF000000"/>
      <name val="Arial"/>
    </font>
    <font>
      <color rgb="FF000000"/>
      <name val="Flama"/>
    </font>
    <font>
      <color rgb="FF000000"/>
      <name val="Docs-Lato"/>
    </font>
    <font>
      <u/>
      <color rgb="FF1155CC"/>
      <name val="Lato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164" xfId="0" applyAlignment="1" applyFont="1" applyNumberFormat="1">
      <alignment shrinkToFit="0" vertical="bottom" wrapText="1"/>
    </xf>
    <xf borderId="0" fillId="2" fontId="2" numFmtId="164" xfId="0" applyFont="1" applyNumberFormat="1"/>
    <xf borderId="0" fillId="0" fontId="2" numFmtId="0" xfId="0" applyFont="1"/>
    <xf borderId="0" fillId="3" fontId="2" numFmtId="0" xfId="0" applyAlignment="1" applyFill="1" applyFont="1">
      <alignment readingOrder="0" shrinkToFit="0" vertical="bottom" wrapText="1"/>
    </xf>
    <xf borderId="0" fillId="2" fontId="2" numFmtId="164" xfId="0" applyAlignment="1" applyFont="1" applyNumberFormat="1">
      <alignment readingOrder="0" shrinkToFit="0" vertical="bottom" wrapText="1"/>
    </xf>
    <xf borderId="0" fillId="4" fontId="2" numFmtId="0" xfId="0" applyAlignment="1" applyFill="1" applyFont="1">
      <alignment readingOrder="0" shrinkToFit="0" vertical="bottom" wrapText="1"/>
    </xf>
    <xf borderId="0" fillId="5" fontId="2" numFmtId="164" xfId="0" applyAlignment="1" applyFill="1" applyFont="1" applyNumberFormat="1">
      <alignment readingOrder="0" shrinkToFit="0" vertical="bottom" wrapText="1"/>
    </xf>
    <xf borderId="0" fillId="6" fontId="2" numFmtId="164" xfId="0" applyAlignment="1" applyFill="1" applyFont="1" applyNumberFormat="1">
      <alignment readingOrder="0" shrinkToFit="0" vertical="bottom" wrapText="1"/>
    </xf>
    <xf borderId="0" fillId="7" fontId="2" numFmtId="164" xfId="0" applyAlignment="1" applyFill="1" applyFont="1" applyNumberFormat="1">
      <alignment readingOrder="0" shrinkToFit="0" vertical="bottom" wrapText="1"/>
    </xf>
    <xf borderId="0" fillId="8" fontId="2" numFmtId="164" xfId="0" applyAlignment="1" applyFill="1" applyFont="1" applyNumberFormat="1">
      <alignment readingOrder="0" shrinkToFit="0" vertical="bottom" wrapText="1"/>
    </xf>
    <xf borderId="0" fillId="9" fontId="2" numFmtId="0" xfId="0" applyAlignment="1" applyFill="1" applyFont="1">
      <alignment readingOrder="0" shrinkToFit="0" vertical="bottom" wrapText="0"/>
    </xf>
    <xf borderId="0" fillId="9" fontId="2" numFmtId="164" xfId="0" applyAlignment="1" applyFont="1" applyNumberFormat="1">
      <alignment shrinkToFit="0" vertical="bottom" wrapText="1"/>
    </xf>
    <xf borderId="0" fillId="9" fontId="2" numFmtId="164" xfId="0" applyAlignment="1" applyFont="1" applyNumberFormat="1">
      <alignment readingOrder="0" shrinkToFit="0" vertical="bottom" wrapText="1"/>
    </xf>
    <xf borderId="0" fillId="9" fontId="2" numFmtId="164" xfId="0" applyFont="1" applyNumberFormat="1"/>
    <xf borderId="0" fillId="2" fontId="3" numFmtId="0" xfId="0" applyAlignment="1" applyFont="1">
      <alignment readingOrder="0" shrinkToFit="0" vertical="bottom" wrapText="0"/>
    </xf>
    <xf borderId="0" fillId="2" fontId="4" numFmtId="164" xfId="0" applyAlignment="1" applyFont="1" applyNumberForma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2" numFmtId="164" xfId="0" applyAlignment="1" applyFont="1" applyNumberFormat="1">
      <alignment horizontal="right" readingOrder="0"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164" xfId="0" applyFont="1" applyNumberForma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 shrinkToFit="0" vertical="bottom" wrapText="1"/>
    </xf>
    <xf borderId="0" fillId="0" fontId="5" numFmtId="0" xfId="0" applyFont="1"/>
    <xf borderId="0" fillId="0" fontId="2" numFmtId="164" xfId="0" applyAlignment="1" applyFont="1" applyNumberFormat="1">
      <alignment shrinkToFit="0" vertical="bottom" wrapText="1"/>
    </xf>
    <xf borderId="0" fillId="2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2" fontId="2" numFmtId="0" xfId="0" applyAlignment="1" applyFont="1">
      <alignment readingOrder="0" vertical="bottom"/>
    </xf>
    <xf borderId="0" fillId="10" fontId="5" numFmtId="4" xfId="0" applyAlignment="1" applyFill="1" applyFont="1" applyNumberFormat="1">
      <alignment readingOrder="0" shrinkToFit="0" wrapText="1"/>
    </xf>
    <xf borderId="0" fillId="2" fontId="2" numFmtId="0" xfId="0" applyAlignment="1" applyFont="1">
      <alignment readingOrder="0" shrinkToFit="0" vertical="bottom" wrapText="1"/>
    </xf>
    <xf borderId="0" fillId="10" fontId="2" numFmtId="164" xfId="0" applyAlignment="1" applyFont="1" applyNumberFormat="1">
      <alignment readingOrder="0" shrinkToFit="0" vertical="bottom" wrapText="1"/>
    </xf>
    <xf borderId="0" fillId="8" fontId="2" numFmtId="164" xfId="0" applyAlignment="1" applyFont="1" applyNumberFormat="1">
      <alignment horizontal="right" readingOrder="0" shrinkToFit="0" vertical="bottom" wrapText="1"/>
    </xf>
    <xf borderId="0" fillId="11" fontId="2" numFmtId="164" xfId="0" applyAlignment="1" applyFill="1" applyFont="1" applyNumberFormat="1">
      <alignment horizontal="right" readingOrder="0" shrinkToFit="0" vertical="bottom" wrapText="1"/>
    </xf>
    <xf borderId="0" fillId="4" fontId="2" numFmtId="164" xfId="0" applyAlignment="1" applyFont="1" applyNumberFormat="1">
      <alignment horizontal="right" shrinkToFit="0" vertical="bottom" wrapText="1"/>
    </xf>
    <xf borderId="0" fillId="4" fontId="2" numFmtId="164" xfId="0" applyAlignment="1" applyFont="1" applyNumberFormat="1">
      <alignment horizontal="right" readingOrder="0" shrinkToFit="0" vertical="bottom" wrapText="1"/>
    </xf>
    <xf borderId="0" fillId="5" fontId="2" numFmtId="164" xfId="0" applyAlignment="1" applyFont="1" applyNumberFormat="1">
      <alignment horizontal="right" readingOrder="0" shrinkToFit="0" vertical="bottom" wrapText="1"/>
    </xf>
    <xf borderId="0" fillId="8" fontId="2" numFmtId="164" xfId="0" applyAlignment="1" applyFont="1" applyNumberFormat="1">
      <alignment readingOrder="0" vertical="bottom"/>
    </xf>
    <xf borderId="0" fillId="4" fontId="2" numFmtId="164" xfId="0" applyAlignment="1" applyFont="1" applyNumberFormat="1">
      <alignment readingOrder="0" vertical="bottom"/>
    </xf>
    <xf borderId="0" fillId="8" fontId="2" numFmtId="164" xfId="0" applyAlignment="1" applyFont="1" applyNumberFormat="1">
      <alignment horizontal="right" shrinkToFit="0" vertical="bottom" wrapText="1"/>
    </xf>
    <xf borderId="0" fillId="8" fontId="5" numFmtId="0" xfId="0" applyAlignment="1" applyFont="1">
      <alignment readingOrder="0"/>
    </xf>
    <xf borderId="0" fillId="7" fontId="2" numFmtId="164" xfId="0" applyAlignment="1" applyFont="1" applyNumberFormat="1">
      <alignment horizontal="right" shrinkToFit="0" vertical="bottom" wrapText="1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5" fontId="2" numFmtId="164" xfId="0" applyAlignment="1" applyFont="1" applyNumberFormat="1">
      <alignment horizontal="right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6" fontId="6" numFmtId="164" xfId="0" applyAlignment="1" applyFont="1" applyNumberFormat="1">
      <alignment readingOrder="0" shrinkToFit="0" wrapText="0"/>
    </xf>
    <xf borderId="0" fillId="6" fontId="7" numFmtId="164" xfId="0" applyAlignment="1" applyFont="1" applyNumberFormat="1">
      <alignment readingOrder="0" shrinkToFit="0" wrapText="0"/>
    </xf>
    <xf borderId="0" fillId="6" fontId="8" numFmtId="164" xfId="0" applyAlignment="1" applyFont="1" applyNumberFormat="1">
      <alignment horizontal="right" readingOrder="0"/>
    </xf>
    <xf borderId="0" fillId="2" fontId="9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7" fontId="2" numFmtId="164" xfId="0" applyAlignment="1" applyFont="1" applyNumberFormat="1">
      <alignment horizontal="right" readingOrder="0" shrinkToFit="0" vertical="bottom" wrapText="1"/>
    </xf>
    <xf borderId="0" fillId="5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rc.nasa.gov/WWW/K-12/airplane/acg.html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grc.nasa.gov/WWW/K-12/airplane/acg.html" TargetMode="External"/><Relationship Id="rId3" Type="http://schemas.openxmlformats.org/officeDocument/2006/relationships/drawing" Target="../drawings/drawing10.xml"/><Relationship Id="rId4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c.nasa.gov/WWW/K-12/airplane/acg.html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c.nasa.gov/WWW/K-12/airplane/acg.html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c.nasa.gov/WWW/K-12/airplane/acg.html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c.nasa.gov/WWW/K-12/airplane/ac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grc.nasa.gov/WWW/K-12/airplane/acg.html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c.nasa.gov/WWW/K-12/airplane/ac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c.nasa.gov/WWW/K-12/airplane/acg.htm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grc.nasa.gov/WWW/K-12/airplane/acg.html" TargetMode="Externa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grc.nasa.gov/WWW/K-12/airplane/acg.html" TargetMode="External"/><Relationship Id="rId3" Type="http://schemas.openxmlformats.org/officeDocument/2006/relationships/drawing" Target="../drawings/drawing7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grc.nasa.gov/WWW/K-12/airplane/acg.html" TargetMode="External"/><Relationship Id="rId3" Type="http://schemas.openxmlformats.org/officeDocument/2006/relationships/drawing" Target="../drawings/drawing9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5" t="s">
        <v>1</v>
      </c>
      <c r="D2" s="6"/>
      <c r="E2" s="6"/>
      <c r="F2" s="3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12" t="s">
        <v>7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16" t="s">
        <v>8</v>
      </c>
      <c r="B5" s="2"/>
      <c r="C5" s="17"/>
      <c r="D5" s="6"/>
      <c r="E5" s="6"/>
      <c r="F5" s="3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18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20" t="s">
        <v>15</v>
      </c>
      <c r="B7" s="21">
        <v>5.0</v>
      </c>
      <c r="C7" s="21">
        <v>-21.0</v>
      </c>
      <c r="D7" s="22">
        <f t="shared" ref="D7:D15" si="1">B7*C7</f>
        <v>-105</v>
      </c>
      <c r="E7" s="21">
        <v>-10.0</v>
      </c>
      <c r="F7" s="23">
        <f t="shared" ref="F7:F13" si="2">E7*B7</f>
        <v>-50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24" t="s">
        <v>16</v>
      </c>
      <c r="B8" s="21">
        <v>10.0</v>
      </c>
      <c r="C8" s="21">
        <v>3.0</v>
      </c>
      <c r="D8" s="22">
        <f t="shared" si="1"/>
        <v>30</v>
      </c>
      <c r="E8" s="21">
        <v>0.23</v>
      </c>
      <c r="F8" s="23">
        <f t="shared" si="2"/>
        <v>2.3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20" t="s">
        <v>17</v>
      </c>
      <c r="B9" s="21">
        <v>20.0</v>
      </c>
      <c r="C9" s="21">
        <v>15.0</v>
      </c>
      <c r="D9" s="22">
        <f t="shared" si="1"/>
        <v>300</v>
      </c>
      <c r="E9" s="21">
        <v>-7.0</v>
      </c>
      <c r="F9" s="23">
        <f t="shared" si="2"/>
        <v>-140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20" t="s">
        <v>18</v>
      </c>
      <c r="B10" s="21">
        <v>2.0</v>
      </c>
      <c r="C10" s="21">
        <v>50.0</v>
      </c>
      <c r="D10" s="22">
        <f t="shared" si="1"/>
        <v>100</v>
      </c>
      <c r="E10" s="21">
        <v>-6.0</v>
      </c>
      <c r="F10" s="23">
        <f t="shared" si="2"/>
        <v>-12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20" t="s">
        <v>19</v>
      </c>
      <c r="B11" s="21">
        <v>5.0</v>
      </c>
      <c r="C11" s="21">
        <v>0.0</v>
      </c>
      <c r="D11" s="22">
        <f t="shared" si="1"/>
        <v>0</v>
      </c>
      <c r="E11" s="21">
        <v>-11.0</v>
      </c>
      <c r="F11" s="23">
        <f t="shared" si="2"/>
        <v>-55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20" t="s">
        <v>20</v>
      </c>
      <c r="B12" s="21">
        <v>2.5</v>
      </c>
      <c r="C12" s="21">
        <v>-14.0</v>
      </c>
      <c r="D12" s="22">
        <f t="shared" si="1"/>
        <v>-35</v>
      </c>
      <c r="E12" s="21">
        <v>-20.0</v>
      </c>
      <c r="F12" s="23">
        <f t="shared" si="2"/>
        <v>-50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25" t="s">
        <v>21</v>
      </c>
      <c r="B13" s="26">
        <v>5.0</v>
      </c>
      <c r="C13" s="26">
        <v>1.0</v>
      </c>
      <c r="D13" s="22">
        <f t="shared" si="1"/>
        <v>5</v>
      </c>
      <c r="E13" s="26">
        <v>-20.0</v>
      </c>
      <c r="F13" s="23">
        <f t="shared" si="2"/>
        <v>-100</v>
      </c>
      <c r="G13" s="22"/>
      <c r="H13" s="4"/>
      <c r="I13" s="4"/>
      <c r="J13" s="4"/>
      <c r="K13" s="4"/>
      <c r="L13" s="4"/>
      <c r="M13" s="4"/>
      <c r="N13" s="4"/>
      <c r="O13" s="4"/>
      <c r="P13" s="4"/>
    </row>
    <row r="14">
      <c r="A14" s="20" t="s">
        <v>22</v>
      </c>
      <c r="B14" s="27">
        <v>0.0</v>
      </c>
      <c r="C14" s="21">
        <v>0.0</v>
      </c>
      <c r="D14" s="28">
        <f t="shared" si="1"/>
        <v>0</v>
      </c>
      <c r="E14" s="21">
        <v>-11.0</v>
      </c>
      <c r="F14" s="23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20" t="s">
        <v>23</v>
      </c>
      <c r="B15" s="27">
        <v>10.0</v>
      </c>
      <c r="C15" s="21">
        <v>-20.0</v>
      </c>
      <c r="D15" s="28">
        <f t="shared" si="1"/>
        <v>-200</v>
      </c>
      <c r="E15" s="21">
        <v>-10.0</v>
      </c>
      <c r="F15" s="23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20" t="s">
        <v>24</v>
      </c>
      <c r="B16" s="27">
        <v>20.0</v>
      </c>
      <c r="C16" s="21">
        <v>-16.0</v>
      </c>
      <c r="D16" s="28">
        <f>PRODUCT(B16:C16)</f>
        <v>-320</v>
      </c>
      <c r="E16" s="21">
        <v>-13.0</v>
      </c>
      <c r="F16" s="23">
        <f>PRODUCT(E16,B16)</f>
        <v>-260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20"/>
      <c r="B17" s="27"/>
      <c r="C17" s="21"/>
      <c r="D17" s="22"/>
      <c r="E17" s="21"/>
      <c r="F17" s="23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20" t="s">
        <v>25</v>
      </c>
      <c r="B18" s="29">
        <f>SUM(B7:B16)</f>
        <v>79.5</v>
      </c>
      <c r="C18" s="22"/>
      <c r="D18" s="22"/>
      <c r="E18" s="21"/>
      <c r="F18" s="23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20" t="s">
        <v>26</v>
      </c>
      <c r="B19" s="29">
        <f>SUM(B7,B9,B11:B16)</f>
        <v>67.5</v>
      </c>
      <c r="C19" s="22">
        <f> SUM(D7,D9,D11:D16)/B19</f>
        <v>-5.259259259</v>
      </c>
      <c r="D19" s="22">
        <f>SUM(F7,F9,F11:F16)/B19</f>
        <v>-9.703703704</v>
      </c>
      <c r="E19" s="21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20" t="s">
        <v>27</v>
      </c>
      <c r="B20" s="29">
        <f> SUM(B15:B16,B7:B13)</f>
        <v>79.5</v>
      </c>
      <c r="C20" s="22"/>
      <c r="D20" s="22"/>
      <c r="E20" s="21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24"/>
      <c r="B21" s="29"/>
      <c r="C21" s="22"/>
      <c r="D21" s="22"/>
      <c r="E21" s="21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25"/>
      <c r="B22" s="30" t="s">
        <v>28</v>
      </c>
      <c r="C22" s="30" t="s">
        <v>29</v>
      </c>
      <c r="D22" s="31"/>
      <c r="E22" s="26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32" t="s">
        <v>30</v>
      </c>
      <c r="B23" s="31">
        <f>SUM(D7:D16)/SUM(B7:B16)</f>
        <v>-2.830188679</v>
      </c>
      <c r="C23" s="33">
        <v>-1.0</v>
      </c>
      <c r="D23" s="26" t="s">
        <v>31</v>
      </c>
      <c r="E23" s="26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34" t="s">
        <v>32</v>
      </c>
      <c r="B24" s="31">
        <f>SUM(F7:F16)/SUM(B7:B16)</f>
        <v>-8.361006289</v>
      </c>
      <c r="C24" s="35">
        <v>-7.0</v>
      </c>
      <c r="E24" s="29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24"/>
      <c r="B25" s="26" t="s">
        <v>33</v>
      </c>
      <c r="C25" s="31"/>
      <c r="D25" s="31"/>
      <c r="E25" s="31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24"/>
      <c r="B26" s="31"/>
      <c r="C26" s="31"/>
      <c r="D26" s="31"/>
      <c r="E26" s="31"/>
      <c r="F26" s="23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23"/>
      <c r="C27" s="23"/>
      <c r="D27" s="23"/>
      <c r="E27" s="23"/>
      <c r="F27" s="23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23"/>
      <c r="C28" s="23"/>
      <c r="D28" s="23"/>
      <c r="E28" s="23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23"/>
      <c r="C29" s="23"/>
      <c r="D29" s="23"/>
      <c r="E29" s="23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23"/>
      <c r="C33" s="23"/>
      <c r="D33" s="23"/>
      <c r="E33" s="23"/>
      <c r="F33" s="23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23"/>
      <c r="C34" s="23"/>
      <c r="D34" s="23"/>
      <c r="E34" s="23"/>
      <c r="F34" s="23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23"/>
      <c r="C35" s="23"/>
      <c r="D35" s="23"/>
      <c r="E35" s="23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</row>
  </sheetData>
  <mergeCells count="2">
    <mergeCell ref="A2:C2"/>
    <mergeCell ref="D23:D24"/>
  </mergeCells>
  <hyperlinks>
    <hyperlink r:id="rId2" ref="A5"/>
  </hyperlink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</row>
    <row r="2">
      <c r="A2" s="5" t="s">
        <v>1</v>
      </c>
      <c r="D2" s="10"/>
      <c r="E2" s="11"/>
      <c r="F2" s="3"/>
      <c r="G2" s="4"/>
      <c r="H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</row>
    <row r="4">
      <c r="A4" s="16" t="s">
        <v>8</v>
      </c>
      <c r="B4" s="2"/>
      <c r="C4" s="6"/>
      <c r="D4" s="6"/>
      <c r="E4" s="6"/>
      <c r="F4" s="3"/>
      <c r="G4" s="4"/>
      <c r="H4" s="4"/>
    </row>
    <row r="5">
      <c r="A5" s="18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19" t="s">
        <v>14</v>
      </c>
      <c r="G5" s="4"/>
      <c r="H5" s="4"/>
    </row>
    <row r="6">
      <c r="A6" s="20" t="s">
        <v>23</v>
      </c>
      <c r="B6" s="22">
        <v>22.6</v>
      </c>
      <c r="C6" s="36">
        <v>-61.0</v>
      </c>
      <c r="D6" s="22">
        <f t="shared" ref="D6:D17" si="1">B6*C6</f>
        <v>-1378.6</v>
      </c>
      <c r="E6" s="57">
        <v>-32.0</v>
      </c>
      <c r="F6" s="23">
        <f t="shared" ref="F6:F17" si="2">E6*B6</f>
        <v>-723.2</v>
      </c>
      <c r="G6" s="4"/>
      <c r="H6" s="4"/>
    </row>
    <row r="7">
      <c r="A7" s="20" t="s">
        <v>15</v>
      </c>
      <c r="B7" s="36">
        <v>5.0</v>
      </c>
      <c r="C7" s="21">
        <v>-65.0</v>
      </c>
      <c r="D7" s="22">
        <f t="shared" si="1"/>
        <v>-325</v>
      </c>
      <c r="E7" s="21">
        <v>-32.0</v>
      </c>
      <c r="F7" s="23">
        <f t="shared" si="2"/>
        <v>-160</v>
      </c>
      <c r="G7" s="4"/>
      <c r="H7" s="4"/>
    </row>
    <row r="8">
      <c r="A8" s="24" t="s">
        <v>16</v>
      </c>
      <c r="B8" s="36">
        <v>74.3</v>
      </c>
      <c r="C8" s="21">
        <v>9.0</v>
      </c>
      <c r="D8" s="22">
        <f t="shared" si="1"/>
        <v>668.7</v>
      </c>
      <c r="E8" s="21">
        <v>2.0</v>
      </c>
      <c r="F8" s="23">
        <f t="shared" si="2"/>
        <v>148.6</v>
      </c>
      <c r="G8" s="4"/>
      <c r="H8" s="4"/>
    </row>
    <row r="9">
      <c r="A9" s="20" t="s">
        <v>44</v>
      </c>
      <c r="B9" s="46">
        <v>22.012</v>
      </c>
      <c r="C9" s="21">
        <v>7.7</v>
      </c>
      <c r="D9" s="22">
        <f t="shared" si="1"/>
        <v>169.4924</v>
      </c>
      <c r="E9" s="46">
        <v>-16.0</v>
      </c>
      <c r="F9" s="23">
        <f t="shared" si="2"/>
        <v>-352.192</v>
      </c>
      <c r="G9" s="4"/>
      <c r="H9" s="4"/>
    </row>
    <row r="10">
      <c r="A10" s="20" t="s">
        <v>45</v>
      </c>
      <c r="B10" s="21">
        <v>56.5253125</v>
      </c>
      <c r="C10" s="21">
        <v>75.089</v>
      </c>
      <c r="D10" s="22">
        <f t="shared" si="1"/>
        <v>4244.42919</v>
      </c>
      <c r="E10" s="21">
        <v>-22.09</v>
      </c>
      <c r="F10" s="23">
        <f t="shared" si="2"/>
        <v>-1248.644153</v>
      </c>
      <c r="G10" s="4"/>
      <c r="H10" s="4"/>
    </row>
    <row r="11">
      <c r="A11" s="24" t="s">
        <v>24</v>
      </c>
      <c r="B11" s="43">
        <v>74.0</v>
      </c>
      <c r="C11" s="40">
        <v>-45.0</v>
      </c>
      <c r="D11" s="22">
        <f t="shared" si="1"/>
        <v>-3330</v>
      </c>
      <c r="E11" s="21">
        <v>-37.0</v>
      </c>
      <c r="F11" s="23">
        <f t="shared" si="2"/>
        <v>-2738</v>
      </c>
      <c r="G11" s="4"/>
      <c r="H11" s="4"/>
    </row>
    <row r="12">
      <c r="A12" s="24" t="s">
        <v>37</v>
      </c>
      <c r="B12" s="21">
        <v>170.0</v>
      </c>
      <c r="C12" s="40">
        <v>-9.0</v>
      </c>
      <c r="D12" s="22">
        <f t="shared" si="1"/>
        <v>-1530</v>
      </c>
      <c r="E12" s="21">
        <v>-30.0</v>
      </c>
      <c r="F12" s="23">
        <f t="shared" si="2"/>
        <v>-5100</v>
      </c>
      <c r="G12" s="4"/>
      <c r="H12" s="4"/>
    </row>
    <row r="13">
      <c r="A13" s="20" t="s">
        <v>20</v>
      </c>
      <c r="B13" s="21">
        <v>7.0</v>
      </c>
      <c r="C13" s="21">
        <v>-40.0</v>
      </c>
      <c r="D13" s="22">
        <f t="shared" si="1"/>
        <v>-280</v>
      </c>
      <c r="E13" s="21">
        <v>-50.0</v>
      </c>
      <c r="F13" s="23">
        <f t="shared" si="2"/>
        <v>-350</v>
      </c>
      <c r="G13" s="4"/>
      <c r="H13" s="4"/>
    </row>
    <row r="14">
      <c r="A14" s="25" t="s">
        <v>21</v>
      </c>
      <c r="B14" s="26">
        <v>14.0</v>
      </c>
      <c r="C14" s="26">
        <v>0.0</v>
      </c>
      <c r="D14" s="22">
        <f t="shared" si="1"/>
        <v>0</v>
      </c>
      <c r="E14" s="26">
        <v>-50.0</v>
      </c>
      <c r="F14" s="23">
        <f t="shared" si="2"/>
        <v>-700</v>
      </c>
      <c r="G14" s="22"/>
      <c r="H14" s="4"/>
    </row>
    <row r="15">
      <c r="A15" s="20" t="s">
        <v>55</v>
      </c>
      <c r="B15" s="21">
        <v>1.75</v>
      </c>
      <c r="C15" s="21">
        <v>-26.0</v>
      </c>
      <c r="D15" s="22">
        <f t="shared" si="1"/>
        <v>-45.5</v>
      </c>
      <c r="E15" s="21">
        <f>E12 + 12</f>
        <v>-18</v>
      </c>
      <c r="F15" s="23">
        <f t="shared" si="2"/>
        <v>-31.5</v>
      </c>
      <c r="G15" s="4"/>
      <c r="H15" s="4"/>
    </row>
    <row r="16">
      <c r="A16" s="20" t="s">
        <v>64</v>
      </c>
      <c r="B16" s="21">
        <v>25.0</v>
      </c>
      <c r="C16" s="21">
        <v>-50.0</v>
      </c>
      <c r="D16" s="22">
        <f t="shared" si="1"/>
        <v>-1250</v>
      </c>
      <c r="E16" s="21">
        <v>-30.0</v>
      </c>
      <c r="F16" s="23">
        <f t="shared" si="2"/>
        <v>-750</v>
      </c>
      <c r="G16" s="4"/>
      <c r="H16" s="4"/>
    </row>
    <row r="17">
      <c r="A17" s="20" t="s">
        <v>53</v>
      </c>
      <c r="B17" s="27">
        <v>2.0</v>
      </c>
      <c r="C17" s="54">
        <v>153.123</v>
      </c>
      <c r="D17" s="28">
        <f t="shared" si="1"/>
        <v>306.246</v>
      </c>
      <c r="E17" s="21">
        <v>17.744</v>
      </c>
      <c r="F17" s="23">
        <f t="shared" si="2"/>
        <v>35.488</v>
      </c>
      <c r="G17" s="4"/>
      <c r="H17" s="4"/>
    </row>
    <row r="18">
      <c r="A18" s="24"/>
      <c r="B18" s="29"/>
      <c r="E18" s="22"/>
      <c r="F18" s="23"/>
      <c r="G18" s="4"/>
      <c r="H18" s="4"/>
    </row>
    <row r="19">
      <c r="A19" s="20" t="s">
        <v>65</v>
      </c>
      <c r="B19" s="29">
        <f>SUM(B6:B17)</f>
        <v>474.1873125</v>
      </c>
      <c r="E19" s="22"/>
      <c r="F19" s="23"/>
      <c r="G19" s="4"/>
      <c r="H19" s="4"/>
    </row>
    <row r="20">
      <c r="A20" s="24"/>
      <c r="B20" s="29"/>
      <c r="E20" s="22"/>
      <c r="F20" s="23"/>
      <c r="G20" s="4"/>
      <c r="H20" s="4"/>
    </row>
    <row r="21">
      <c r="A21" s="24"/>
      <c r="B21" s="29"/>
      <c r="E21" s="22"/>
      <c r="F21" s="23"/>
      <c r="G21" s="4"/>
      <c r="H21" s="4"/>
    </row>
    <row r="22">
      <c r="A22" s="25"/>
      <c r="B22" s="30" t="s">
        <v>28</v>
      </c>
      <c r="C22" s="30" t="s">
        <v>29</v>
      </c>
      <c r="D22" s="26" t="s">
        <v>47</v>
      </c>
      <c r="E22" s="31"/>
      <c r="F22" s="23"/>
      <c r="G22" s="4"/>
      <c r="H22" s="4"/>
    </row>
    <row r="23">
      <c r="A23" s="32" t="s">
        <v>30</v>
      </c>
      <c r="B23" s="31">
        <f>SUM(D6:D17)/SUM(B6:B17)</f>
        <v>-5.799886115</v>
      </c>
      <c r="C23" s="33">
        <v>-5.8</v>
      </c>
      <c r="D23" s="26" t="s">
        <v>48</v>
      </c>
      <c r="E23" s="31"/>
      <c r="F23" s="23"/>
      <c r="G23" s="4"/>
      <c r="H23" s="4"/>
    </row>
    <row r="24">
      <c r="A24" s="34" t="s">
        <v>32</v>
      </c>
      <c r="B24" s="31">
        <f>SUM(F6:F17)/SUM(B6:B17)</f>
        <v>-25.24202533</v>
      </c>
      <c r="C24" s="35">
        <v>-21.701</v>
      </c>
      <c r="D24" s="49" t="s">
        <v>49</v>
      </c>
      <c r="E24" s="29"/>
      <c r="F24" s="23"/>
      <c r="G24" s="4"/>
      <c r="H24" s="4"/>
    </row>
    <row r="25">
      <c r="A25" s="24"/>
      <c r="B25" s="31"/>
      <c r="C25" s="31"/>
      <c r="D25" s="31"/>
      <c r="E25" s="31"/>
      <c r="F25" s="23"/>
      <c r="G25" s="4"/>
      <c r="H25" s="4"/>
    </row>
    <row r="26">
      <c r="A26" s="20" t="s">
        <v>66</v>
      </c>
      <c r="B26" s="31"/>
      <c r="C26" s="31"/>
      <c r="D26" s="31"/>
      <c r="E26" s="31"/>
      <c r="F26" s="23"/>
      <c r="G26" s="4"/>
      <c r="H26" s="4"/>
    </row>
    <row r="27">
      <c r="A27" s="4"/>
      <c r="B27" s="23"/>
      <c r="C27" s="23"/>
      <c r="D27" s="23"/>
      <c r="E27" s="23"/>
      <c r="F27" s="23"/>
      <c r="G27" s="4"/>
      <c r="H27" s="4"/>
    </row>
    <row r="28">
      <c r="A28" s="4"/>
      <c r="B28" s="23"/>
      <c r="C28" s="23"/>
      <c r="D28" s="23"/>
      <c r="E28" s="23"/>
      <c r="F28" s="23"/>
      <c r="G28" s="4"/>
      <c r="H28" s="4"/>
    </row>
  </sheetData>
  <mergeCells count="1">
    <mergeCell ref="A2:C2"/>
  </mergeCells>
  <hyperlinks>
    <hyperlink r:id="rId2" ref="A4"/>
  </hyperlinks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2.57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</row>
    <row r="2">
      <c r="A2" s="5" t="s">
        <v>1</v>
      </c>
      <c r="D2" s="10"/>
      <c r="E2" s="11"/>
      <c r="F2" s="3"/>
      <c r="G2" s="4"/>
      <c r="H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</row>
    <row r="4">
      <c r="A4" s="16" t="s">
        <v>8</v>
      </c>
      <c r="B4" s="2"/>
      <c r="C4" s="6"/>
      <c r="D4" s="6"/>
      <c r="E4" s="6"/>
      <c r="F4" s="3"/>
      <c r="G4" s="4"/>
      <c r="H4" s="4"/>
    </row>
    <row r="5">
      <c r="A5" s="18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19" t="s">
        <v>14</v>
      </c>
      <c r="G5" s="4"/>
      <c r="H5" s="4"/>
    </row>
    <row r="6">
      <c r="A6" s="20"/>
      <c r="B6" s="22"/>
      <c r="C6" s="21"/>
      <c r="D6" s="22"/>
      <c r="E6" s="21" t="s">
        <v>67</v>
      </c>
      <c r="F6" s="23"/>
      <c r="G6" s="4"/>
      <c r="H6" s="4"/>
    </row>
    <row r="7">
      <c r="A7" s="20" t="s">
        <v>15</v>
      </c>
      <c r="B7" s="36">
        <v>5.0</v>
      </c>
      <c r="C7" s="36">
        <v>-60.0</v>
      </c>
      <c r="D7" s="22">
        <f t="shared" ref="D7:D18" si="1">B7*C7</f>
        <v>-300</v>
      </c>
      <c r="E7" s="21">
        <v>-32.0</v>
      </c>
      <c r="F7" s="23">
        <f t="shared" ref="F7:F18" si="2">E7*B7</f>
        <v>-160</v>
      </c>
      <c r="G7" s="4"/>
      <c r="H7" s="4"/>
    </row>
    <row r="8">
      <c r="A8" s="24" t="s">
        <v>16</v>
      </c>
      <c r="B8" s="36">
        <v>74.3</v>
      </c>
      <c r="C8" s="36">
        <v>9.0</v>
      </c>
      <c r="D8" s="22">
        <f t="shared" si="1"/>
        <v>668.7</v>
      </c>
      <c r="E8" s="21">
        <v>2.0</v>
      </c>
      <c r="F8" s="23">
        <f t="shared" si="2"/>
        <v>148.6</v>
      </c>
      <c r="G8" s="4"/>
      <c r="H8" s="4"/>
    </row>
    <row r="9">
      <c r="A9" s="20" t="s">
        <v>44</v>
      </c>
      <c r="B9" s="46">
        <v>22.012</v>
      </c>
      <c r="C9" s="21">
        <v>7.7</v>
      </c>
      <c r="D9" s="22">
        <f t="shared" si="1"/>
        <v>169.4924</v>
      </c>
      <c r="E9" s="46">
        <v>-16.0</v>
      </c>
      <c r="F9" s="23">
        <f t="shared" si="2"/>
        <v>-352.192</v>
      </c>
      <c r="G9" s="4"/>
      <c r="H9" s="4"/>
    </row>
    <row r="10">
      <c r="A10" s="20" t="s">
        <v>45</v>
      </c>
      <c r="B10" s="21">
        <v>61.4415625</v>
      </c>
      <c r="C10" s="21">
        <v>72.982</v>
      </c>
      <c r="D10" s="22">
        <f t="shared" si="1"/>
        <v>4484.128114</v>
      </c>
      <c r="E10" s="21">
        <v>-23.138</v>
      </c>
      <c r="F10" s="23">
        <f t="shared" si="2"/>
        <v>-1421.634873</v>
      </c>
      <c r="G10" s="4"/>
      <c r="H10" s="4"/>
    </row>
    <row r="11">
      <c r="A11" s="20" t="s">
        <v>60</v>
      </c>
      <c r="B11" s="36">
        <v>100.0</v>
      </c>
      <c r="C11" s="36">
        <v>-55.0</v>
      </c>
      <c r="D11" s="22">
        <f t="shared" si="1"/>
        <v>-5500</v>
      </c>
      <c r="E11" s="21">
        <v>-30.0</v>
      </c>
      <c r="F11" s="23">
        <f t="shared" si="2"/>
        <v>-3000</v>
      </c>
      <c r="G11" s="4"/>
      <c r="H11" s="4"/>
    </row>
    <row r="12">
      <c r="A12" s="20" t="s">
        <v>40</v>
      </c>
      <c r="B12" s="36">
        <v>30.0</v>
      </c>
      <c r="C12" s="21">
        <v>0.0</v>
      </c>
      <c r="D12" s="22">
        <f t="shared" si="1"/>
        <v>0</v>
      </c>
      <c r="E12" s="21">
        <v>-45.0</v>
      </c>
      <c r="F12" s="23">
        <f t="shared" si="2"/>
        <v>-1350</v>
      </c>
      <c r="G12" s="4"/>
      <c r="H12" s="4"/>
    </row>
    <row r="13">
      <c r="A13" s="24" t="s">
        <v>37</v>
      </c>
      <c r="B13" s="21">
        <v>170.0</v>
      </c>
      <c r="C13" s="40">
        <v>-7.0</v>
      </c>
      <c r="D13" s="22">
        <f t="shared" si="1"/>
        <v>-1190</v>
      </c>
      <c r="E13" s="21">
        <v>-30.0</v>
      </c>
      <c r="F13" s="23">
        <f t="shared" si="2"/>
        <v>-5100</v>
      </c>
      <c r="G13" s="4"/>
      <c r="H13" s="4"/>
    </row>
    <row r="14">
      <c r="A14" s="20" t="s">
        <v>20</v>
      </c>
      <c r="B14" s="36">
        <v>7.0</v>
      </c>
      <c r="C14" s="36">
        <v>-40.0</v>
      </c>
      <c r="D14" s="22">
        <f t="shared" si="1"/>
        <v>-280</v>
      </c>
      <c r="E14" s="21">
        <v>-50.0</v>
      </c>
      <c r="F14" s="23">
        <f t="shared" si="2"/>
        <v>-350</v>
      </c>
      <c r="G14" s="4"/>
      <c r="H14" s="4"/>
    </row>
    <row r="15">
      <c r="A15" s="25" t="s">
        <v>21</v>
      </c>
      <c r="B15" s="41">
        <v>14.0</v>
      </c>
      <c r="C15" s="41">
        <v>0.0</v>
      </c>
      <c r="D15" s="22">
        <f t="shared" si="1"/>
        <v>0</v>
      </c>
      <c r="E15" s="26">
        <v>-50.0</v>
      </c>
      <c r="F15" s="23">
        <f t="shared" si="2"/>
        <v>-700</v>
      </c>
      <c r="G15" s="22"/>
      <c r="H15" s="4"/>
    </row>
    <row r="16">
      <c r="A16" s="20" t="s">
        <v>55</v>
      </c>
      <c r="B16" s="21">
        <v>1.75</v>
      </c>
      <c r="C16" s="36">
        <v>-10.0</v>
      </c>
      <c r="D16" s="22">
        <f t="shared" si="1"/>
        <v>-17.5</v>
      </c>
      <c r="E16" s="21">
        <f>E13 + 12</f>
        <v>-18</v>
      </c>
      <c r="F16" s="23">
        <f t="shared" si="2"/>
        <v>-31.5</v>
      </c>
      <c r="G16" s="4"/>
      <c r="H16" s="4"/>
    </row>
    <row r="17">
      <c r="A17" s="20" t="s">
        <v>53</v>
      </c>
      <c r="B17" s="27">
        <v>2.0</v>
      </c>
      <c r="C17" s="54">
        <v>153.123</v>
      </c>
      <c r="D17" s="28">
        <f t="shared" si="1"/>
        <v>306.246</v>
      </c>
      <c r="E17" s="21">
        <v>17.744</v>
      </c>
      <c r="F17" s="23">
        <f t="shared" si="2"/>
        <v>35.488</v>
      </c>
      <c r="G17" s="4"/>
      <c r="H17" s="4"/>
    </row>
    <row r="18">
      <c r="A18" s="20" t="s">
        <v>68</v>
      </c>
      <c r="B18" s="8">
        <v>25.0</v>
      </c>
      <c r="C18" s="58">
        <v>-55.0</v>
      </c>
      <c r="D18" s="28">
        <f t="shared" si="1"/>
        <v>-1375</v>
      </c>
      <c r="E18" s="40">
        <v>-30.0</v>
      </c>
      <c r="F18" s="23">
        <f t="shared" si="2"/>
        <v>-750</v>
      </c>
      <c r="G18" s="4"/>
      <c r="H18" s="4"/>
    </row>
    <row r="19">
      <c r="A19" s="20" t="s">
        <v>39</v>
      </c>
      <c r="B19" s="11">
        <v>22.0</v>
      </c>
      <c r="C19" s="44">
        <v>0.0</v>
      </c>
      <c r="D19" s="28">
        <f>PRODUCT(B19:C19)</f>
        <v>0</v>
      </c>
      <c r="E19" s="36">
        <v>-5.0</v>
      </c>
      <c r="F19" s="23">
        <f>PRODUCT(E19,B19)</f>
        <v>-110</v>
      </c>
      <c r="G19" s="4"/>
      <c r="H19" s="4"/>
    </row>
    <row r="20">
      <c r="A20" s="24"/>
      <c r="B20" s="29"/>
      <c r="E20" s="22"/>
      <c r="F20" s="23"/>
      <c r="G20" s="4"/>
      <c r="H20" s="4"/>
    </row>
    <row r="21">
      <c r="A21" s="24"/>
      <c r="B21" s="29"/>
      <c r="E21" s="22"/>
      <c r="F21" s="23"/>
      <c r="G21" s="4"/>
      <c r="H21" s="4"/>
    </row>
    <row r="22">
      <c r="A22" s="20" t="s">
        <v>42</v>
      </c>
      <c r="B22" s="29">
        <f> SUM(B7:B10,B14:B17)</f>
        <v>187.5035625</v>
      </c>
      <c r="E22" s="22"/>
      <c r="F22" s="23"/>
      <c r="G22" s="4"/>
      <c r="H22" s="4"/>
    </row>
    <row r="23">
      <c r="A23" s="20" t="s">
        <v>65</v>
      </c>
      <c r="B23" s="29">
        <f>SUM(B7:B19)</f>
        <v>534.5035625</v>
      </c>
      <c r="E23" s="22"/>
      <c r="F23" s="23"/>
      <c r="G23" s="4"/>
      <c r="H23" s="4"/>
    </row>
    <row r="24">
      <c r="A24" s="24"/>
      <c r="B24" s="29"/>
      <c r="E24" s="22"/>
      <c r="F24" s="23"/>
      <c r="G24" s="4"/>
      <c r="H24" s="4"/>
    </row>
    <row r="25">
      <c r="A25" s="24"/>
      <c r="B25" s="29"/>
      <c r="E25" s="22"/>
      <c r="F25" s="23"/>
      <c r="G25" s="4"/>
      <c r="H25" s="4"/>
    </row>
    <row r="26">
      <c r="A26" s="25"/>
      <c r="B26" s="30" t="s">
        <v>28</v>
      </c>
      <c r="C26" s="30" t="s">
        <v>29</v>
      </c>
      <c r="D26" s="26" t="s">
        <v>47</v>
      </c>
      <c r="E26" s="31"/>
      <c r="F26" s="23"/>
      <c r="G26" s="4"/>
      <c r="H26" s="4"/>
    </row>
    <row r="27">
      <c r="A27" s="32" t="s">
        <v>30</v>
      </c>
      <c r="B27" s="31">
        <f>SUM(D7:D18)/SUM(B7:B18)</f>
        <v>-5.919829066</v>
      </c>
      <c r="C27" s="33">
        <v>-5.8</v>
      </c>
      <c r="D27" s="26" t="s">
        <v>48</v>
      </c>
      <c r="E27" s="31"/>
      <c r="F27" s="23"/>
      <c r="G27" s="4"/>
      <c r="H27" s="4"/>
    </row>
    <row r="28">
      <c r="A28" s="34" t="s">
        <v>32</v>
      </c>
      <c r="B28" s="31">
        <f>SUM(F7:F18)/SUM(B7:B18)</f>
        <v>-25.42663081</v>
      </c>
      <c r="C28" s="35">
        <v>-21.701</v>
      </c>
      <c r="D28" s="49" t="s">
        <v>49</v>
      </c>
      <c r="E28" s="29"/>
      <c r="F28" s="23"/>
      <c r="G28" s="4"/>
      <c r="H28" s="4"/>
    </row>
    <row r="29">
      <c r="A29" s="24"/>
      <c r="B29" s="31"/>
      <c r="C29" s="31"/>
      <c r="D29" s="31"/>
      <c r="E29" s="31"/>
      <c r="F29" s="23"/>
      <c r="G29" s="4"/>
      <c r="H29" s="4"/>
    </row>
    <row r="30" ht="78.75" customHeight="1">
      <c r="A30" s="20" t="s">
        <v>69</v>
      </c>
      <c r="B30" s="54" t="s">
        <v>70</v>
      </c>
      <c r="C30" s="31"/>
      <c r="D30" s="31"/>
      <c r="E30" s="31"/>
      <c r="F30" s="23"/>
      <c r="G30" s="4"/>
      <c r="H30" s="4"/>
    </row>
    <row r="31">
      <c r="A31" s="4"/>
      <c r="B31" s="23"/>
      <c r="C31" s="23"/>
      <c r="D31" s="23"/>
      <c r="E31" s="23"/>
      <c r="F31" s="23"/>
      <c r="G31" s="4"/>
      <c r="H31" s="4"/>
    </row>
    <row r="32">
      <c r="A32" s="4"/>
      <c r="B32" s="23"/>
      <c r="C32" s="23"/>
      <c r="D32" s="23"/>
      <c r="E32" s="23"/>
      <c r="F32" s="23"/>
      <c r="G32" s="4"/>
      <c r="H32" s="4"/>
    </row>
  </sheetData>
  <mergeCells count="1">
    <mergeCell ref="A2:C2"/>
  </mergeCells>
  <hyperlinks>
    <hyperlink r:id="rId1" ref="A4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2.57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</row>
    <row r="2">
      <c r="A2" s="5" t="s">
        <v>1</v>
      </c>
      <c r="D2" s="10"/>
      <c r="E2" s="11"/>
      <c r="F2" s="3"/>
      <c r="G2" s="4"/>
      <c r="H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</row>
    <row r="4">
      <c r="A4" s="16" t="s">
        <v>8</v>
      </c>
      <c r="B4" s="2"/>
      <c r="C4" s="6"/>
      <c r="D4" s="6"/>
      <c r="E4" s="6"/>
      <c r="F4" s="3"/>
      <c r="G4" s="4"/>
      <c r="H4" s="4"/>
    </row>
    <row r="5">
      <c r="A5" s="18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19" t="s">
        <v>14</v>
      </c>
      <c r="G5" s="4"/>
      <c r="H5" s="4"/>
    </row>
    <row r="6">
      <c r="A6" s="20"/>
      <c r="B6" s="22"/>
      <c r="C6" s="21"/>
      <c r="D6" s="22"/>
      <c r="E6" s="21" t="s">
        <v>67</v>
      </c>
      <c r="F6" s="23"/>
      <c r="G6" s="4"/>
      <c r="H6" s="4"/>
    </row>
    <row r="7">
      <c r="A7" s="20" t="s">
        <v>15</v>
      </c>
      <c r="B7" s="36">
        <v>5.0</v>
      </c>
      <c r="C7" s="36">
        <v>-60.0</v>
      </c>
      <c r="D7" s="22">
        <f t="shared" ref="D7:D18" si="1">B7*C7</f>
        <v>-300</v>
      </c>
      <c r="E7" s="21">
        <v>-32.0</v>
      </c>
      <c r="F7" s="23">
        <f t="shared" ref="F7:F18" si="2">E7*B7</f>
        <v>-160</v>
      </c>
      <c r="G7" s="4"/>
      <c r="H7" s="4"/>
    </row>
    <row r="8">
      <c r="A8" s="24" t="s">
        <v>16</v>
      </c>
      <c r="B8" s="36">
        <v>74.3</v>
      </c>
      <c r="C8" s="36">
        <v>9.0</v>
      </c>
      <c r="D8" s="22">
        <f t="shared" si="1"/>
        <v>668.7</v>
      </c>
      <c r="E8" s="21">
        <v>2.0</v>
      </c>
      <c r="F8" s="23">
        <f t="shared" si="2"/>
        <v>148.6</v>
      </c>
      <c r="G8" s="4"/>
      <c r="H8" s="4"/>
    </row>
    <row r="9">
      <c r="A9" s="20" t="s">
        <v>44</v>
      </c>
      <c r="B9" s="46">
        <v>22.012</v>
      </c>
      <c r="C9" s="21">
        <v>7.7</v>
      </c>
      <c r="D9" s="22">
        <f t="shared" si="1"/>
        <v>169.4924</v>
      </c>
      <c r="E9" s="46">
        <v>-16.0</v>
      </c>
      <c r="F9" s="23">
        <f t="shared" si="2"/>
        <v>-352.192</v>
      </c>
      <c r="G9" s="4"/>
      <c r="H9" s="4"/>
    </row>
    <row r="10">
      <c r="A10" s="20" t="s">
        <v>45</v>
      </c>
      <c r="B10" s="21">
        <v>37.7929375</v>
      </c>
      <c r="C10" s="21">
        <v>53.497</v>
      </c>
      <c r="D10" s="22">
        <f t="shared" si="1"/>
        <v>2021.808777</v>
      </c>
      <c r="E10" s="21">
        <v>-21.149</v>
      </c>
      <c r="F10" s="23">
        <f t="shared" si="2"/>
        <v>-799.2828352</v>
      </c>
      <c r="G10" s="4"/>
      <c r="H10" s="4"/>
    </row>
    <row r="11">
      <c r="A11" s="20" t="s">
        <v>60</v>
      </c>
      <c r="B11" s="36">
        <v>50.0</v>
      </c>
      <c r="C11" s="36">
        <v>-55.0</v>
      </c>
      <c r="D11" s="22">
        <f t="shared" si="1"/>
        <v>-2750</v>
      </c>
      <c r="E11" s="21">
        <v>-30.0</v>
      </c>
      <c r="F11" s="23">
        <f t="shared" si="2"/>
        <v>-1500</v>
      </c>
      <c r="G11" s="4"/>
      <c r="H11" s="4"/>
    </row>
    <row r="12">
      <c r="A12" s="20" t="s">
        <v>40</v>
      </c>
      <c r="B12" s="36">
        <v>30.0</v>
      </c>
      <c r="C12" s="21">
        <v>0.0</v>
      </c>
      <c r="D12" s="22">
        <f t="shared" si="1"/>
        <v>0</v>
      </c>
      <c r="E12" s="21">
        <v>-45.0</v>
      </c>
      <c r="F12" s="23">
        <f t="shared" si="2"/>
        <v>-1350</v>
      </c>
      <c r="G12" s="4"/>
      <c r="H12" s="4"/>
    </row>
    <row r="13">
      <c r="A13" s="24" t="s">
        <v>37</v>
      </c>
      <c r="B13" s="21">
        <v>170.0</v>
      </c>
      <c r="C13" s="40">
        <v>-8.0</v>
      </c>
      <c r="D13" s="22">
        <f t="shared" si="1"/>
        <v>-1360</v>
      </c>
      <c r="E13" s="21">
        <v>-30.0</v>
      </c>
      <c r="F13" s="23">
        <f t="shared" si="2"/>
        <v>-5100</v>
      </c>
      <c r="G13" s="4"/>
      <c r="H13" s="4"/>
    </row>
    <row r="14">
      <c r="A14" s="20" t="s">
        <v>20</v>
      </c>
      <c r="B14" s="36">
        <v>7.0</v>
      </c>
      <c r="C14" s="36">
        <v>-40.0</v>
      </c>
      <c r="D14" s="22">
        <f t="shared" si="1"/>
        <v>-280</v>
      </c>
      <c r="E14" s="21">
        <v>-50.0</v>
      </c>
      <c r="F14" s="23">
        <f t="shared" si="2"/>
        <v>-350</v>
      </c>
      <c r="G14" s="4"/>
      <c r="H14" s="4"/>
    </row>
    <row r="15">
      <c r="A15" s="25" t="s">
        <v>21</v>
      </c>
      <c r="B15" s="41">
        <v>14.0</v>
      </c>
      <c r="C15" s="41">
        <v>0.0</v>
      </c>
      <c r="D15" s="22">
        <f t="shared" si="1"/>
        <v>0</v>
      </c>
      <c r="E15" s="26">
        <v>-50.0</v>
      </c>
      <c r="F15" s="23">
        <f t="shared" si="2"/>
        <v>-700</v>
      </c>
      <c r="G15" s="22"/>
      <c r="H15" s="4"/>
    </row>
    <row r="16">
      <c r="A16" s="20" t="s">
        <v>55</v>
      </c>
      <c r="B16" s="21">
        <v>1.75</v>
      </c>
      <c r="C16" s="36">
        <v>-20.0</v>
      </c>
      <c r="D16" s="22">
        <f t="shared" si="1"/>
        <v>-35</v>
      </c>
      <c r="E16" s="21">
        <f>E13 + 12</f>
        <v>-18</v>
      </c>
      <c r="F16" s="23">
        <f t="shared" si="2"/>
        <v>-31.5</v>
      </c>
      <c r="G16" s="4"/>
      <c r="H16" s="4"/>
    </row>
    <row r="17">
      <c r="A17" s="20" t="s">
        <v>53</v>
      </c>
      <c r="B17" s="27">
        <v>2.0</v>
      </c>
      <c r="C17" s="54">
        <v>153.123</v>
      </c>
      <c r="D17" s="28">
        <f t="shared" si="1"/>
        <v>306.246</v>
      </c>
      <c r="E17" s="21">
        <v>17.744</v>
      </c>
      <c r="F17" s="23">
        <f t="shared" si="2"/>
        <v>35.488</v>
      </c>
      <c r="G17" s="4"/>
      <c r="H17" s="4"/>
    </row>
    <row r="18">
      <c r="A18" s="20" t="s">
        <v>68</v>
      </c>
      <c r="B18" s="8">
        <v>20.0</v>
      </c>
      <c r="C18" s="58">
        <v>-55.0</v>
      </c>
      <c r="D18" s="28">
        <f t="shared" si="1"/>
        <v>-1100</v>
      </c>
      <c r="E18" s="40">
        <v>-30.0</v>
      </c>
      <c r="F18" s="23">
        <f t="shared" si="2"/>
        <v>-600</v>
      </c>
      <c r="G18" s="4"/>
      <c r="H18" s="4"/>
    </row>
    <row r="19">
      <c r="A19" s="20" t="s">
        <v>39</v>
      </c>
      <c r="B19" s="11">
        <v>22.0</v>
      </c>
      <c r="C19" s="44">
        <v>0.0</v>
      </c>
      <c r="D19" s="28">
        <f>PRODUCT(B19:C19)</f>
        <v>0</v>
      </c>
      <c r="E19" s="36">
        <v>-5.0</v>
      </c>
      <c r="F19" s="23">
        <f>PRODUCT(E19,B19)</f>
        <v>-110</v>
      </c>
      <c r="G19" s="4"/>
      <c r="H19" s="4"/>
    </row>
    <row r="20">
      <c r="A20" s="24"/>
      <c r="B20" s="29"/>
      <c r="E20" s="22"/>
      <c r="F20" s="23"/>
      <c r="G20" s="4"/>
      <c r="H20" s="4"/>
    </row>
    <row r="21">
      <c r="A21" s="24"/>
      <c r="B21" s="29"/>
      <c r="E21" s="22"/>
      <c r="F21" s="23"/>
      <c r="G21" s="4"/>
      <c r="H21" s="4"/>
    </row>
    <row r="22">
      <c r="A22" s="20" t="s">
        <v>42</v>
      </c>
      <c r="B22" s="29">
        <f> SUM(B7:B10,B14:B17)</f>
        <v>163.8549375</v>
      </c>
      <c r="E22" s="22"/>
      <c r="F22" s="23"/>
      <c r="G22" s="4"/>
      <c r="H22" s="4"/>
    </row>
    <row r="23">
      <c r="A23" s="20" t="s">
        <v>65</v>
      </c>
      <c r="B23" s="29">
        <f>SUM(B7:B19)</f>
        <v>455.8549375</v>
      </c>
      <c r="E23" s="22"/>
      <c r="F23" s="23"/>
      <c r="G23" s="4"/>
      <c r="H23" s="4"/>
    </row>
    <row r="24">
      <c r="A24" s="24"/>
      <c r="B24" s="29"/>
      <c r="E24" s="22"/>
      <c r="F24" s="23"/>
      <c r="G24" s="4"/>
      <c r="H24" s="4"/>
    </row>
    <row r="25">
      <c r="A25" s="24"/>
      <c r="B25" s="29"/>
      <c r="E25" s="22"/>
      <c r="F25" s="23"/>
      <c r="G25" s="4"/>
      <c r="H25" s="4"/>
    </row>
    <row r="26">
      <c r="A26" s="25"/>
      <c r="B26" s="30" t="s">
        <v>28</v>
      </c>
      <c r="C26" s="30" t="s">
        <v>29</v>
      </c>
      <c r="D26" s="26" t="s">
        <v>47</v>
      </c>
      <c r="E26" s="31"/>
      <c r="F26" s="23"/>
      <c r="G26" s="4"/>
      <c r="H26" s="4"/>
    </row>
    <row r="27">
      <c r="A27" s="32" t="s">
        <v>30</v>
      </c>
      <c r="B27" s="31">
        <f>SUM(D7:D18)/SUM(B7:B18)</f>
        <v>-6.128206902</v>
      </c>
      <c r="C27" s="33">
        <v>-5.8</v>
      </c>
      <c r="D27" s="26" t="s">
        <v>48</v>
      </c>
      <c r="E27" s="31"/>
      <c r="F27" s="23"/>
      <c r="G27" s="4"/>
      <c r="H27" s="4"/>
    </row>
    <row r="28">
      <c r="A28" s="34" t="s">
        <v>32</v>
      </c>
      <c r="B28" s="31">
        <f>SUM(F7:F18)/SUM(B7:B18)</f>
        <v>-24.79835057</v>
      </c>
      <c r="C28" s="35">
        <v>-21.701</v>
      </c>
      <c r="D28" s="49" t="s">
        <v>49</v>
      </c>
      <c r="E28" s="29"/>
      <c r="F28" s="23"/>
      <c r="G28" s="4"/>
      <c r="H28" s="4"/>
    </row>
    <row r="29">
      <c r="A29" s="24"/>
      <c r="B29" s="31"/>
      <c r="C29" s="31"/>
      <c r="D29" s="31"/>
      <c r="E29" s="31"/>
      <c r="F29" s="23"/>
      <c r="G29" s="4"/>
      <c r="H29" s="4"/>
    </row>
    <row r="30" ht="78.75" customHeight="1">
      <c r="A30" s="20" t="s">
        <v>69</v>
      </c>
      <c r="B30" s="54" t="s">
        <v>70</v>
      </c>
      <c r="C30" s="31"/>
      <c r="D30" s="31"/>
      <c r="E30" s="31"/>
      <c r="F30" s="23"/>
      <c r="G30" s="4"/>
      <c r="H30" s="4"/>
    </row>
    <row r="31">
      <c r="A31" s="4"/>
      <c r="B31" s="23"/>
      <c r="C31" s="23"/>
      <c r="D31" s="23"/>
      <c r="E31" s="23"/>
      <c r="F31" s="23"/>
      <c r="G31" s="4"/>
      <c r="H31" s="4"/>
    </row>
    <row r="32">
      <c r="A32" s="4"/>
      <c r="B32" s="23"/>
      <c r="C32" s="23"/>
      <c r="D32" s="23"/>
      <c r="E32" s="23"/>
      <c r="F32" s="23"/>
      <c r="G32" s="4"/>
      <c r="H32" s="4"/>
    </row>
  </sheetData>
  <mergeCells count="1">
    <mergeCell ref="A2:C2"/>
  </mergeCells>
  <hyperlinks>
    <hyperlink r:id="rId1" ref="A4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D2" s="6"/>
      <c r="E2" s="6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6" t="s">
        <v>8</v>
      </c>
      <c r="B4" s="2"/>
      <c r="C4" s="6"/>
      <c r="D4" s="6"/>
      <c r="E4" s="6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19" t="s">
        <v>14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0" t="s">
        <v>23</v>
      </c>
      <c r="B6" s="22">
        <v>22.6</v>
      </c>
      <c r="C6" s="36">
        <f>-54</f>
        <v>-54</v>
      </c>
      <c r="D6" s="22">
        <f t="shared" ref="D6:D15" si="1">B6*C6</f>
        <v>-1220.4</v>
      </c>
      <c r="E6" s="22">
        <f>-28.71</f>
        <v>-28.71</v>
      </c>
      <c r="F6" s="23">
        <f t="shared" ref="F6:F15" si="2">E6*B6</f>
        <v>-648.846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0" t="s">
        <v>15</v>
      </c>
      <c r="B7" s="36">
        <v>5.0</v>
      </c>
      <c r="C7" s="21">
        <f>-4.5-B22-17</f>
        <v>-62.006624</v>
      </c>
      <c r="D7" s="22">
        <f t="shared" si="1"/>
        <v>-310.03312</v>
      </c>
      <c r="E7" s="22">
        <f>-B23</f>
        <v>-28.155268</v>
      </c>
      <c r="F7" s="23">
        <f t="shared" si="2"/>
        <v>-140.77634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4" t="s">
        <v>16</v>
      </c>
      <c r="B8" s="36">
        <v>80.0</v>
      </c>
      <c r="C8" s="22">
        <f>29.555+24-B22</f>
        <v>13.048376</v>
      </c>
      <c r="D8" s="22">
        <f t="shared" si="1"/>
        <v>1043.87008</v>
      </c>
      <c r="E8" s="22">
        <f>0.278+28.571-B23</f>
        <v>0.693732</v>
      </c>
      <c r="F8" s="23">
        <f t="shared" si="2"/>
        <v>55.49856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0" t="s">
        <v>44</v>
      </c>
      <c r="B9" s="46">
        <v>22.012</v>
      </c>
      <c r="C9" s="21">
        <f>48.163-B22
</f>
        <v>7.656376</v>
      </c>
      <c r="D9" s="22">
        <f t="shared" si="1"/>
        <v>168.5321485</v>
      </c>
      <c r="E9" s="47">
        <f>12.174404-B23</f>
        <v>-15.980864</v>
      </c>
      <c r="F9" s="23">
        <f t="shared" si="2"/>
        <v>-351.7707784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0" t="s">
        <v>45</v>
      </c>
      <c r="B10" s="21">
        <v>57.87</v>
      </c>
      <c r="C10" s="21">
        <v>48.84</v>
      </c>
      <c r="D10" s="22">
        <f t="shared" si="1"/>
        <v>2826.3708</v>
      </c>
      <c r="E10" s="21">
        <v>-20.58</v>
      </c>
      <c r="F10" s="23">
        <f t="shared" si="2"/>
        <v>-1190.9646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4" t="s">
        <v>24</v>
      </c>
      <c r="B11" s="43">
        <v>74.0</v>
      </c>
      <c r="C11" s="48">
        <f>20-B22-17</f>
        <v>-37.506624</v>
      </c>
      <c r="D11" s="22">
        <f t="shared" si="1"/>
        <v>-2775.490176</v>
      </c>
      <c r="E11" s="22">
        <f>-20.87-5</f>
        <v>-25.87</v>
      </c>
      <c r="F11" s="23">
        <f t="shared" si="2"/>
        <v>-1914.38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4" t="s">
        <v>37</v>
      </c>
      <c r="B12" s="21">
        <v>170.0</v>
      </c>
      <c r="C12" s="48">
        <f>-10</f>
        <v>-10</v>
      </c>
      <c r="D12" s="22">
        <f t="shared" si="1"/>
        <v>-1700</v>
      </c>
      <c r="E12" s="21">
        <v>-25.0</v>
      </c>
      <c r="F12" s="23">
        <f t="shared" si="2"/>
        <v>-4250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0" t="s">
        <v>20</v>
      </c>
      <c r="B13" s="21">
        <v>14.0</v>
      </c>
      <c r="C13" s="22">
        <f>29.496-B22</f>
        <v>-11.010624</v>
      </c>
      <c r="D13" s="22">
        <f t="shared" si="1"/>
        <v>-154.148736</v>
      </c>
      <c r="E13" s="22">
        <f>-31.919-B23</f>
        <v>-60.074268</v>
      </c>
      <c r="F13" s="23">
        <f t="shared" si="2"/>
        <v>-841.039752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5" t="s">
        <v>21</v>
      </c>
      <c r="B14" s="26">
        <v>7.0</v>
      </c>
      <c r="C14" s="26">
        <v>-15.0</v>
      </c>
      <c r="D14" s="22">
        <f t="shared" si="1"/>
        <v>-105</v>
      </c>
      <c r="E14" s="26">
        <f>E13</f>
        <v>-60.074268</v>
      </c>
      <c r="F14" s="23">
        <f t="shared" si="2"/>
        <v>-420.519876</v>
      </c>
      <c r="G14" s="2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0" t="s">
        <v>46</v>
      </c>
      <c r="B15" s="21">
        <v>1.75</v>
      </c>
      <c r="C15" s="21">
        <f>28-B22-5</f>
        <v>-17.506624</v>
      </c>
      <c r="D15" s="22">
        <f t="shared" si="1"/>
        <v>-30.636592</v>
      </c>
      <c r="E15" s="22">
        <f>-B23</f>
        <v>-28.155268</v>
      </c>
      <c r="F15" s="23">
        <f t="shared" si="2"/>
        <v>-49.271719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4"/>
      <c r="B16" s="22"/>
      <c r="C16" s="22"/>
      <c r="D16" s="22"/>
      <c r="E16" s="22"/>
      <c r="F16" s="2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4"/>
      <c r="B17" s="29"/>
      <c r="C17" s="22"/>
      <c r="D17" s="22"/>
      <c r="E17" s="22"/>
      <c r="F17" s="2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5"/>
      <c r="B18" s="30" t="s">
        <v>28</v>
      </c>
      <c r="C18" s="30" t="s">
        <v>29</v>
      </c>
      <c r="D18" s="31"/>
      <c r="E18" s="31"/>
      <c r="F18" s="2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32" t="s">
        <v>30</v>
      </c>
      <c r="B19" s="31">
        <f>SUM(D6:D15)/SUM(B6:B15)</f>
        <v>-4.968684715</v>
      </c>
      <c r="C19" s="33">
        <v>-5.8</v>
      </c>
      <c r="D19" s="31"/>
      <c r="E19" s="31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4" t="s">
        <v>32</v>
      </c>
      <c r="B20" s="31">
        <f>SUM(F6:F15)/SUM(B6:B15)</f>
        <v>-21.46936038</v>
      </c>
      <c r="C20" s="35">
        <v>-21.701</v>
      </c>
      <c r="D20" s="27"/>
      <c r="E20" s="2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4"/>
      <c r="B21" s="31"/>
      <c r="C21" s="31"/>
      <c r="D21" s="31"/>
      <c r="E21" s="31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4" t="s">
        <v>50</v>
      </c>
      <c r="B22" s="50">
        <v>40.506624</v>
      </c>
      <c r="C22" s="27" t="s">
        <v>51</v>
      </c>
      <c r="D22" s="31"/>
      <c r="E22" s="31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4" t="s">
        <v>52</v>
      </c>
      <c r="B23" s="51">
        <v>28.155268</v>
      </c>
      <c r="D23" s="31"/>
      <c r="E23" s="31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4"/>
      <c r="B24" s="31"/>
      <c r="C24" s="31"/>
      <c r="D24" s="31"/>
      <c r="E24" s="31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23"/>
      <c r="C25" s="23"/>
      <c r="D25" s="23"/>
      <c r="E25" s="23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23"/>
      <c r="C26" s="23"/>
      <c r="D26" s="23"/>
      <c r="E26" s="23"/>
      <c r="F26" s="2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23"/>
      <c r="C27" s="23"/>
      <c r="D27" s="23"/>
      <c r="E27" s="23"/>
      <c r="F27" s="2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23"/>
      <c r="C28" s="23"/>
      <c r="D28" s="23"/>
      <c r="E28" s="23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23"/>
      <c r="C29" s="23"/>
      <c r="D29" s="23"/>
      <c r="E29" s="23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23"/>
      <c r="C33" s="23"/>
      <c r="D33" s="23"/>
      <c r="E33" s="23"/>
      <c r="F33" s="2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23"/>
      <c r="C34" s="23"/>
      <c r="D34" s="23"/>
      <c r="E34" s="23"/>
      <c r="F34" s="2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23"/>
      <c r="C35" s="23"/>
      <c r="D35" s="23"/>
      <c r="E35" s="23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3"/>
      <c r="C42" s="23"/>
      <c r="D42" s="23"/>
      <c r="E42" s="23"/>
      <c r="F42" s="2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3"/>
      <c r="C43" s="23"/>
      <c r="D43" s="23"/>
      <c r="E43" s="23"/>
      <c r="F43" s="2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3"/>
      <c r="C44" s="23"/>
      <c r="D44" s="23"/>
      <c r="E44" s="23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3"/>
      <c r="C45" s="23"/>
      <c r="D45" s="23"/>
      <c r="E45" s="23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3"/>
      <c r="C46" s="23"/>
      <c r="D46" s="23"/>
      <c r="E46" s="23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3"/>
      <c r="C47" s="23"/>
      <c r="D47" s="23"/>
      <c r="E47" s="23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3"/>
      <c r="C48" s="23"/>
      <c r="D48" s="23"/>
      <c r="E48" s="23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3"/>
      <c r="C49" s="23"/>
      <c r="D49" s="23"/>
      <c r="E49" s="23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3"/>
      <c r="C50" s="23"/>
      <c r="D50" s="23"/>
      <c r="E50" s="23"/>
      <c r="F50" s="2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3"/>
      <c r="C51" s="23"/>
      <c r="D51" s="23"/>
      <c r="E51" s="23"/>
      <c r="F51" s="2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23"/>
      <c r="C52" s="23"/>
      <c r="D52" s="23"/>
      <c r="E52" s="23"/>
      <c r="F52" s="2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23"/>
      <c r="C53" s="23"/>
      <c r="D53" s="23"/>
      <c r="E53" s="23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23"/>
      <c r="C54" s="23"/>
      <c r="D54" s="23"/>
      <c r="E54" s="23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23"/>
      <c r="C55" s="23"/>
      <c r="D55" s="23"/>
      <c r="E55" s="23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23"/>
      <c r="C56" s="23"/>
      <c r="D56" s="23"/>
      <c r="E56" s="23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23"/>
      <c r="C57" s="23"/>
      <c r="D57" s="23"/>
      <c r="E57" s="23"/>
      <c r="F57" s="2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23"/>
      <c r="C58" s="23"/>
      <c r="D58" s="23"/>
      <c r="E58" s="23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23"/>
      <c r="C59" s="23"/>
      <c r="D59" s="23"/>
      <c r="E59" s="23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23"/>
      <c r="C60" s="23"/>
      <c r="D60" s="23"/>
      <c r="E60" s="23"/>
      <c r="F60" s="2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23"/>
      <c r="C61" s="23"/>
      <c r="D61" s="23"/>
      <c r="E61" s="23"/>
      <c r="F61" s="2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3"/>
      <c r="C62" s="23"/>
      <c r="D62" s="23"/>
      <c r="E62" s="23"/>
      <c r="F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3"/>
      <c r="C63" s="23"/>
      <c r="D63" s="23"/>
      <c r="E63" s="23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3"/>
      <c r="C64" s="23"/>
      <c r="D64" s="23"/>
      <c r="E64" s="23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23"/>
      <c r="C65" s="23"/>
      <c r="D65" s="23"/>
      <c r="E65" s="23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23"/>
      <c r="C66" s="23"/>
      <c r="D66" s="23"/>
      <c r="E66" s="23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3"/>
      <c r="C67" s="23"/>
      <c r="D67" s="23"/>
      <c r="E67" s="23"/>
      <c r="F67" s="2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3"/>
      <c r="C68" s="23"/>
      <c r="D68" s="23"/>
      <c r="E68" s="23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3"/>
      <c r="C69" s="23"/>
      <c r="D69" s="23"/>
      <c r="E69" s="23"/>
      <c r="F69" s="2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3"/>
      <c r="C70" s="23"/>
      <c r="D70" s="23"/>
      <c r="E70" s="23"/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3"/>
      <c r="C71" s="23"/>
      <c r="D71" s="23"/>
      <c r="E71" s="23"/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3"/>
      <c r="C72" s="23"/>
      <c r="D72" s="23"/>
      <c r="E72" s="23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</sheetData>
  <mergeCells count="2">
    <mergeCell ref="A2:C2"/>
    <mergeCell ref="C22:C23"/>
  </mergeCells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5" t="s">
        <v>1</v>
      </c>
      <c r="D2" s="6"/>
      <c r="E2" s="6"/>
      <c r="F2" s="3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12" t="s">
        <v>7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16" t="s">
        <v>8</v>
      </c>
      <c r="B5" s="2"/>
      <c r="C5" s="6"/>
      <c r="D5" s="6"/>
      <c r="E5" s="6"/>
      <c r="F5" s="3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18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20" t="s">
        <v>15</v>
      </c>
      <c r="B7" s="36">
        <v>7.0</v>
      </c>
      <c r="C7" s="37">
        <f>C11-6</f>
        <v>-65.846</v>
      </c>
      <c r="D7" s="22">
        <f t="shared" ref="D7:D16" si="1">B7*C7</f>
        <v>-460.922</v>
      </c>
      <c r="E7" s="37">
        <v>-30.0</v>
      </c>
      <c r="F7" s="23">
        <f t="shared" ref="F7:F16" si="2">E7*B7</f>
        <v>-210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24" t="s">
        <v>16</v>
      </c>
      <c r="B8" s="36">
        <v>80.0</v>
      </c>
      <c r="C8" s="36">
        <v>9.0</v>
      </c>
      <c r="D8" s="22">
        <f t="shared" si="1"/>
        <v>720</v>
      </c>
      <c r="E8" s="38">
        <v>0.6937320000000007</v>
      </c>
      <c r="F8" s="23">
        <f t="shared" si="2"/>
        <v>55.49856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20" t="s">
        <v>17</v>
      </c>
      <c r="B9" s="39">
        <v>70.8125</v>
      </c>
      <c r="C9" s="39">
        <v>49.76</v>
      </c>
      <c r="D9" s="22">
        <f t="shared" si="1"/>
        <v>3523.63</v>
      </c>
      <c r="E9" s="39">
        <v>-20.49</v>
      </c>
      <c r="F9" s="23">
        <f t="shared" si="2"/>
        <v>-1450.948125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20" t="s">
        <v>34</v>
      </c>
      <c r="B10" s="39">
        <v>4.3</v>
      </c>
      <c r="C10" s="39">
        <v>149.622</v>
      </c>
      <c r="D10" s="22">
        <f t="shared" si="1"/>
        <v>643.3746</v>
      </c>
      <c r="E10" s="39">
        <v>-16.989</v>
      </c>
      <c r="F10" s="23">
        <f t="shared" si="2"/>
        <v>-73.0527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20" t="s">
        <v>35</v>
      </c>
      <c r="B11" s="36">
        <v>40.0</v>
      </c>
      <c r="C11" s="40">
        <f>-53.846-6</f>
        <v>-59.846</v>
      </c>
      <c r="D11" s="22">
        <f t="shared" si="1"/>
        <v>-2393.84</v>
      </c>
      <c r="E11" s="37">
        <f>E7</f>
        <v>-30</v>
      </c>
      <c r="F11" s="23">
        <f t="shared" si="2"/>
        <v>-1200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20" t="s">
        <v>36</v>
      </c>
      <c r="B12" s="36">
        <v>10.0</v>
      </c>
      <c r="C12" s="36">
        <v>-50.0</v>
      </c>
      <c r="D12" s="22">
        <f t="shared" si="1"/>
        <v>-500</v>
      </c>
      <c r="E12" s="36">
        <v>-32.0</v>
      </c>
      <c r="F12" s="23">
        <f t="shared" si="2"/>
        <v>-320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24" t="s">
        <v>37</v>
      </c>
      <c r="B13" s="39">
        <v>170.0</v>
      </c>
      <c r="C13" s="40">
        <v>-6.5</v>
      </c>
      <c r="D13" s="22">
        <f t="shared" si="1"/>
        <v>-1105</v>
      </c>
      <c r="E13" s="37">
        <v>-34.323</v>
      </c>
      <c r="F13" s="23">
        <f t="shared" si="2"/>
        <v>-5834.91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20" t="s">
        <v>20</v>
      </c>
      <c r="B14" s="36">
        <v>12.0</v>
      </c>
      <c r="C14" s="39">
        <v>-43.825</v>
      </c>
      <c r="D14" s="22">
        <f t="shared" si="1"/>
        <v>-525.9</v>
      </c>
      <c r="E14" s="39">
        <v>-61.89</v>
      </c>
      <c r="F14" s="23">
        <f t="shared" si="2"/>
        <v>-742.68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25" t="s">
        <v>21</v>
      </c>
      <c r="B15" s="41">
        <v>25.0</v>
      </c>
      <c r="C15" s="42">
        <v>2.781</v>
      </c>
      <c r="D15" s="22">
        <f t="shared" si="1"/>
        <v>69.525</v>
      </c>
      <c r="E15" s="42">
        <v>-62.268</v>
      </c>
      <c r="F15" s="23">
        <f t="shared" si="2"/>
        <v>-1556.7</v>
      </c>
      <c r="G15" s="22"/>
      <c r="H15" s="4"/>
      <c r="I15" s="4"/>
      <c r="J15" s="4"/>
      <c r="K15" s="4"/>
      <c r="L15" s="4"/>
      <c r="M15" s="4"/>
      <c r="N15" s="4"/>
      <c r="O15" s="4"/>
      <c r="P15" s="4"/>
    </row>
    <row r="16">
      <c r="A16" s="20" t="s">
        <v>38</v>
      </c>
      <c r="B16" s="36">
        <v>10.0</v>
      </c>
      <c r="C16" s="37">
        <v>-25.0</v>
      </c>
      <c r="D16" s="22">
        <f t="shared" si="1"/>
        <v>-250</v>
      </c>
      <c r="E16" s="43">
        <v>-28.155268</v>
      </c>
      <c r="F16" s="23">
        <f t="shared" si="2"/>
        <v>-281.55268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20" t="s">
        <v>39</v>
      </c>
      <c r="B17" s="11">
        <v>22.0</v>
      </c>
      <c r="C17" s="44">
        <v>0.0</v>
      </c>
      <c r="D17" s="28">
        <f t="shared" ref="D17:D18" si="3">PRODUCT(B17:C17)</f>
        <v>0</v>
      </c>
      <c r="E17" s="36">
        <v>-5.0</v>
      </c>
      <c r="F17" s="23">
        <f t="shared" ref="F17:F18" si="4">PRODUCT(E17,B17)</f>
        <v>-110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20" t="s">
        <v>40</v>
      </c>
      <c r="B18" s="11">
        <v>15.0</v>
      </c>
      <c r="C18" s="37">
        <f>C13</f>
        <v>-6.5</v>
      </c>
      <c r="D18" s="28">
        <f t="shared" si="3"/>
        <v>-97.5</v>
      </c>
      <c r="E18" s="37">
        <v>-42.0</v>
      </c>
      <c r="F18" s="23">
        <f t="shared" si="4"/>
        <v>-630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20" t="s">
        <v>41</v>
      </c>
      <c r="B19" s="11">
        <v>10.0</v>
      </c>
      <c r="C19" s="37">
        <f>C11+6</f>
        <v>-53.846</v>
      </c>
      <c r="D19" s="22">
        <f>B19*C19</f>
        <v>-538.46</v>
      </c>
      <c r="E19" s="36">
        <v>-35.0</v>
      </c>
      <c r="F19" s="23">
        <f>E19*B19</f>
        <v>-350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20"/>
      <c r="B20" s="27"/>
      <c r="C20" s="21"/>
      <c r="D20" s="22"/>
      <c r="E20" s="21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20" t="s">
        <v>42</v>
      </c>
      <c r="B21" s="29">
        <f>SUM(B14:B16,B7:B12)</f>
        <v>259.1125</v>
      </c>
      <c r="C21" s="22"/>
      <c r="D21" s="22"/>
      <c r="E21" s="21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20" t="s">
        <v>25</v>
      </c>
      <c r="B22" s="29">
        <f>SUM(B7:B19)</f>
        <v>476.1125</v>
      </c>
      <c r="C22" s="22"/>
      <c r="D22" s="22"/>
      <c r="E22" s="21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20" t="s">
        <v>26</v>
      </c>
      <c r="B23" s="29">
        <f>SUM(B7,B9,B11:B19)</f>
        <v>391.8125</v>
      </c>
      <c r="C23" s="22">
        <f> SUM(D7,D9,D11:D19)/B23</f>
        <v>-5.81519732</v>
      </c>
      <c r="D23" s="22">
        <f>SUM(F7,F9,F11:F19)/B23</f>
        <v>-32.37975002</v>
      </c>
      <c r="E23" s="21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24"/>
      <c r="B24" s="29"/>
      <c r="C24" s="22"/>
      <c r="D24" s="22"/>
      <c r="E24" s="21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25"/>
      <c r="B25" s="30" t="s">
        <v>28</v>
      </c>
      <c r="C25" s="30" t="s">
        <v>29</v>
      </c>
      <c r="D25" s="31"/>
      <c r="E25" s="26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32" t="s">
        <v>30</v>
      </c>
      <c r="B26" s="31">
        <f>SUM(D7:D19)/SUM(B7:B19)</f>
        <v>-1.922008769</v>
      </c>
      <c r="C26" s="33">
        <v>-0.245</v>
      </c>
      <c r="D26" s="26" t="s">
        <v>43</v>
      </c>
      <c r="E26" s="26"/>
      <c r="F26" s="23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34" t="s">
        <v>32</v>
      </c>
      <c r="B27" s="31">
        <f>SUM(F7:F19)/SUM(B7:B19)</f>
        <v>-26.68349381</v>
      </c>
      <c r="C27" s="35">
        <v>-21.755</v>
      </c>
      <c r="D27" s="27"/>
      <c r="E27" s="29"/>
      <c r="F27" s="23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24"/>
      <c r="B28" s="31"/>
      <c r="C28" s="31"/>
      <c r="D28" s="31"/>
      <c r="E28" s="31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24"/>
      <c r="B29" s="31"/>
      <c r="C29" s="31"/>
      <c r="D29" s="31"/>
      <c r="E29" s="31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23"/>
      <c r="C33" s="23"/>
      <c r="D33" s="23"/>
      <c r="E33" s="23"/>
      <c r="F33" s="23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23"/>
      <c r="C34" s="23"/>
      <c r="D34" s="23"/>
      <c r="E34" s="23"/>
      <c r="F34" s="23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23"/>
      <c r="C35" s="23"/>
      <c r="D35" s="23"/>
      <c r="E35" s="23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</row>
  </sheetData>
  <mergeCells count="1">
    <mergeCell ref="A2:C2"/>
  </mergeCells>
  <hyperlinks>
    <hyperlink r:id="rId1" ref="A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D2" s="10"/>
      <c r="E2" s="11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6" t="s">
        <v>8</v>
      </c>
      <c r="B4" s="2"/>
      <c r="C4" s="6"/>
      <c r="D4" s="6"/>
      <c r="E4" s="6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19" t="s">
        <v>14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0" t="s">
        <v>23</v>
      </c>
      <c r="B6" s="22">
        <v>22.6</v>
      </c>
      <c r="C6" s="36">
        <f>-1-B22</f>
        <v>-41.506624</v>
      </c>
      <c r="D6" s="22">
        <f t="shared" ref="D6:D15" si="1">B6*C6</f>
        <v>-938.0497024</v>
      </c>
      <c r="E6" s="45">
        <f>-2-B23</f>
        <v>-30.155268</v>
      </c>
      <c r="F6" s="23">
        <f t="shared" ref="F6:F14" si="2">E6*B6</f>
        <v>-681.5090568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0" t="s">
        <v>15</v>
      </c>
      <c r="B7" s="36">
        <v>5.0</v>
      </c>
      <c r="C7" s="21">
        <f>-4.5-B22</f>
        <v>-45.006624</v>
      </c>
      <c r="D7" s="22">
        <f t="shared" si="1"/>
        <v>-225.03312</v>
      </c>
      <c r="E7" s="22">
        <f>-B23</f>
        <v>-28.155268</v>
      </c>
      <c r="F7" s="23">
        <f t="shared" si="2"/>
        <v>-140.77634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4" t="s">
        <v>16</v>
      </c>
      <c r="B8" s="36">
        <v>80.0</v>
      </c>
      <c r="C8" s="22">
        <f>29.555+24-B22</f>
        <v>13.048376</v>
      </c>
      <c r="D8" s="22">
        <f t="shared" si="1"/>
        <v>1043.87008</v>
      </c>
      <c r="E8" s="22">
        <f>0.278+28.571-B23</f>
        <v>0.693732</v>
      </c>
      <c r="F8" s="23">
        <f t="shared" si="2"/>
        <v>55.49856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0" t="s">
        <v>44</v>
      </c>
      <c r="B9" s="46">
        <v>22.012</v>
      </c>
      <c r="C9" s="21">
        <f>48.163-B22
</f>
        <v>7.656376</v>
      </c>
      <c r="D9" s="22">
        <f t="shared" si="1"/>
        <v>168.5321485</v>
      </c>
      <c r="E9" s="47">
        <f>
11.714933
-B23</f>
        <v>-16.440335</v>
      </c>
      <c r="F9" s="23">
        <f t="shared" si="2"/>
        <v>-361.884654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0" t="s">
        <v>45</v>
      </c>
      <c r="B10" s="21">
        <v>50.9</v>
      </c>
      <c r="C10" s="21">
        <v>70.44</v>
      </c>
      <c r="D10" s="22">
        <f t="shared" si="1"/>
        <v>3585.396</v>
      </c>
      <c r="E10" s="21">
        <v>-20.58</v>
      </c>
      <c r="F10" s="23">
        <f t="shared" si="2"/>
        <v>-1047.522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4" t="s">
        <v>24</v>
      </c>
      <c r="B11" s="43">
        <v>74.0</v>
      </c>
      <c r="C11" s="48">
        <f>20-B22</f>
        <v>-20.506624</v>
      </c>
      <c r="D11" s="22">
        <f t="shared" si="1"/>
        <v>-1517.490176</v>
      </c>
      <c r="E11" s="22">
        <f>-13-B23</f>
        <v>-41.155268</v>
      </c>
      <c r="F11" s="23">
        <f t="shared" si="2"/>
        <v>-3045.489832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4" t="s">
        <v>37</v>
      </c>
      <c r="B12" s="21">
        <v>170.0</v>
      </c>
      <c r="C12" s="48">
        <f>36-B22</f>
        <v>-4.506624</v>
      </c>
      <c r="D12" s="22">
        <f t="shared" si="1"/>
        <v>-766.12608</v>
      </c>
      <c r="E12" s="22">
        <f>15-B23</f>
        <v>-13.155268</v>
      </c>
      <c r="F12" s="23">
        <f t="shared" si="2"/>
        <v>-2236.39556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0" t="s">
        <v>20</v>
      </c>
      <c r="B13" s="21">
        <v>14.0</v>
      </c>
      <c r="C13" s="22">
        <f>29.496-B22</f>
        <v>-11.010624</v>
      </c>
      <c r="D13" s="22">
        <f t="shared" si="1"/>
        <v>-154.148736</v>
      </c>
      <c r="E13" s="22">
        <f>-31.919-B23</f>
        <v>-60.074268</v>
      </c>
      <c r="F13" s="23">
        <f t="shared" si="2"/>
        <v>-841.039752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5" t="s">
        <v>21</v>
      </c>
      <c r="B14" s="26">
        <v>7.0</v>
      </c>
      <c r="C14" s="26">
        <f>200-B22</f>
        <v>159.493376</v>
      </c>
      <c r="D14" s="22">
        <f t="shared" si="1"/>
        <v>1116.453632</v>
      </c>
      <c r="E14" s="31"/>
      <c r="F14" s="23">
        <f t="shared" si="2"/>
        <v>0</v>
      </c>
      <c r="G14" s="2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0" t="s">
        <v>46</v>
      </c>
      <c r="B15" s="21">
        <v>1.75</v>
      </c>
      <c r="C15" s="21">
        <f>28-B22</f>
        <v>-12.506624</v>
      </c>
      <c r="D15" s="22">
        <f t="shared" si="1"/>
        <v>-21.886592</v>
      </c>
      <c r="E15" s="22"/>
      <c r="F15" s="2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4"/>
      <c r="B16" s="22"/>
      <c r="C16" s="22"/>
      <c r="D16" s="22"/>
      <c r="E16" s="22"/>
      <c r="F16" s="2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4"/>
      <c r="B17" s="29"/>
      <c r="C17" s="22"/>
      <c r="D17" s="22"/>
      <c r="E17" s="22"/>
      <c r="F17" s="2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5"/>
      <c r="B18" s="30" t="s">
        <v>28</v>
      </c>
      <c r="C18" s="30" t="s">
        <v>29</v>
      </c>
      <c r="D18" s="26" t="s">
        <v>47</v>
      </c>
      <c r="E18" s="31"/>
      <c r="F18" s="2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32" t="s">
        <v>30</v>
      </c>
      <c r="B19" s="31">
        <f>SUM(D6:D15)/SUM(B6:B15)</f>
        <v>5.12343426</v>
      </c>
      <c r="C19" s="33">
        <v>-5.8</v>
      </c>
      <c r="D19" s="26" t="s">
        <v>48</v>
      </c>
      <c r="E19" s="31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4" t="s">
        <v>32</v>
      </c>
      <c r="B20" s="31">
        <f>SUM(F6:F14)/SUM(B6:B15)</f>
        <v>-18.55538506</v>
      </c>
      <c r="C20" s="35">
        <v>-21.701</v>
      </c>
      <c r="D20" s="49" t="s">
        <v>49</v>
      </c>
      <c r="E20" s="2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4"/>
      <c r="B21" s="31"/>
      <c r="C21" s="31"/>
      <c r="D21" s="31"/>
      <c r="E21" s="31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4" t="s">
        <v>50</v>
      </c>
      <c r="B22" s="50">
        <v>40.506624</v>
      </c>
      <c r="C22" s="27" t="s">
        <v>51</v>
      </c>
      <c r="D22" s="31"/>
      <c r="E22" s="31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4" t="s">
        <v>52</v>
      </c>
      <c r="B23" s="51">
        <v>28.155268</v>
      </c>
      <c r="D23" s="31"/>
      <c r="E23" s="31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4"/>
      <c r="B24" s="31"/>
      <c r="C24" s="31"/>
      <c r="D24" s="31"/>
      <c r="E24" s="31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23"/>
      <c r="C25" s="23"/>
      <c r="D25" s="23"/>
      <c r="E25" s="23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23"/>
      <c r="C26" s="23"/>
      <c r="D26" s="23"/>
      <c r="E26" s="23"/>
      <c r="F26" s="2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23"/>
      <c r="C27" s="23"/>
      <c r="D27" s="23"/>
      <c r="E27" s="23"/>
      <c r="F27" s="2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23"/>
      <c r="C28" s="23"/>
      <c r="D28" s="23"/>
      <c r="E28" s="23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23"/>
      <c r="C29" s="23"/>
      <c r="D29" s="23"/>
      <c r="E29" s="23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23"/>
      <c r="C33" s="23"/>
      <c r="D33" s="23"/>
      <c r="E33" s="23"/>
      <c r="F33" s="2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23"/>
      <c r="C34" s="23"/>
      <c r="D34" s="23"/>
      <c r="E34" s="23"/>
      <c r="F34" s="2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23"/>
      <c r="C35" s="23"/>
      <c r="D35" s="23"/>
      <c r="E35" s="23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3"/>
      <c r="C42" s="23"/>
      <c r="D42" s="23"/>
      <c r="E42" s="23"/>
      <c r="F42" s="2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3"/>
      <c r="C43" s="23"/>
      <c r="D43" s="23"/>
      <c r="E43" s="23"/>
      <c r="F43" s="2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3"/>
      <c r="C44" s="23"/>
      <c r="D44" s="23"/>
      <c r="E44" s="23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3"/>
      <c r="C45" s="23"/>
      <c r="D45" s="23"/>
      <c r="E45" s="23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3"/>
      <c r="C46" s="23"/>
      <c r="D46" s="23"/>
      <c r="E46" s="23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3"/>
      <c r="C47" s="23"/>
      <c r="D47" s="23"/>
      <c r="E47" s="23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3"/>
      <c r="C48" s="23"/>
      <c r="D48" s="23"/>
      <c r="E48" s="23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3"/>
      <c r="C49" s="23"/>
      <c r="D49" s="23"/>
      <c r="E49" s="23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3"/>
      <c r="C50" s="23"/>
      <c r="D50" s="23"/>
      <c r="E50" s="23"/>
      <c r="F50" s="2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3"/>
      <c r="C51" s="23"/>
      <c r="D51" s="23"/>
      <c r="E51" s="23"/>
      <c r="F51" s="2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23"/>
      <c r="C52" s="23"/>
      <c r="D52" s="23"/>
      <c r="E52" s="23"/>
      <c r="F52" s="2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23"/>
      <c r="C53" s="23"/>
      <c r="D53" s="23"/>
      <c r="E53" s="23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23"/>
      <c r="C54" s="23"/>
      <c r="D54" s="23"/>
      <c r="E54" s="23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23"/>
      <c r="C55" s="23"/>
      <c r="D55" s="23"/>
      <c r="E55" s="23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23"/>
      <c r="C56" s="23"/>
      <c r="D56" s="23"/>
      <c r="E56" s="23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23"/>
      <c r="C57" s="23"/>
      <c r="D57" s="23"/>
      <c r="E57" s="23"/>
      <c r="F57" s="2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23"/>
      <c r="C58" s="23"/>
      <c r="D58" s="23"/>
      <c r="E58" s="23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23"/>
      <c r="C59" s="23"/>
      <c r="D59" s="23"/>
      <c r="E59" s="23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23"/>
      <c r="C60" s="23"/>
      <c r="D60" s="23"/>
      <c r="E60" s="23"/>
      <c r="F60" s="2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23"/>
      <c r="C61" s="23"/>
      <c r="D61" s="23"/>
      <c r="E61" s="23"/>
      <c r="F61" s="2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3"/>
      <c r="C62" s="23"/>
      <c r="D62" s="23"/>
      <c r="E62" s="23"/>
      <c r="F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3"/>
      <c r="C63" s="23"/>
      <c r="D63" s="23"/>
      <c r="E63" s="23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3"/>
      <c r="C64" s="23"/>
      <c r="D64" s="23"/>
      <c r="E64" s="23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23"/>
      <c r="C65" s="23"/>
      <c r="D65" s="23"/>
      <c r="E65" s="23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23"/>
      <c r="C66" s="23"/>
      <c r="D66" s="23"/>
      <c r="E66" s="23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3"/>
      <c r="C67" s="23"/>
      <c r="D67" s="23"/>
      <c r="E67" s="23"/>
      <c r="F67" s="2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3"/>
      <c r="C68" s="23"/>
      <c r="D68" s="23"/>
      <c r="E68" s="23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3"/>
      <c r="C69" s="23"/>
      <c r="D69" s="23"/>
      <c r="E69" s="23"/>
      <c r="F69" s="2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3"/>
      <c r="C70" s="23"/>
      <c r="D70" s="23"/>
      <c r="E70" s="23"/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3"/>
      <c r="C71" s="23"/>
      <c r="D71" s="23"/>
      <c r="E71" s="23"/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3"/>
      <c r="C72" s="23"/>
      <c r="D72" s="23"/>
      <c r="E72" s="23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</sheetData>
  <mergeCells count="2">
    <mergeCell ref="A2:C2"/>
    <mergeCell ref="C22:C23"/>
  </mergeCells>
  <hyperlinks>
    <hyperlink r:id="rId2" ref="A4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D2" s="10"/>
      <c r="E2" s="11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6" t="s">
        <v>8</v>
      </c>
      <c r="B4" s="2"/>
      <c r="C4" s="6"/>
      <c r="D4" s="6"/>
      <c r="E4" s="6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19" t="s">
        <v>14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0" t="s">
        <v>23</v>
      </c>
      <c r="B6" s="22">
        <v>22.6</v>
      </c>
      <c r="C6" s="36">
        <f>-1-B22</f>
        <v>-41.506624</v>
      </c>
      <c r="D6" s="22">
        <f t="shared" ref="D6:D15" si="1">B6*C6</f>
        <v>-938.0497024</v>
      </c>
      <c r="E6" s="45">
        <f>-2-B23</f>
        <v>-30.155268</v>
      </c>
      <c r="F6" s="23">
        <f t="shared" ref="F6:F14" si="2">E6*B6</f>
        <v>-681.5090568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0" t="s">
        <v>15</v>
      </c>
      <c r="B7" s="36">
        <v>50.0</v>
      </c>
      <c r="C7" s="21">
        <f>4.5-B22</f>
        <v>-36.006624</v>
      </c>
      <c r="D7" s="22">
        <f t="shared" si="1"/>
        <v>-1800.3312</v>
      </c>
      <c r="E7" s="22">
        <f>-B23</f>
        <v>-28.155268</v>
      </c>
      <c r="F7" s="23">
        <f t="shared" si="2"/>
        <v>-1407.7634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4" t="s">
        <v>16</v>
      </c>
      <c r="B8" s="36">
        <v>1200.0</v>
      </c>
      <c r="C8" s="22">
        <f>29.555+24-B22</f>
        <v>13.048376</v>
      </c>
      <c r="D8" s="22">
        <f t="shared" si="1"/>
        <v>15658.0512</v>
      </c>
      <c r="E8" s="22">
        <f>0.278+28.571-B23</f>
        <v>0.693732</v>
      </c>
      <c r="F8" s="23">
        <f t="shared" si="2"/>
        <v>832.4784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0" t="s">
        <v>44</v>
      </c>
      <c r="B9" s="46">
        <v>22.012</v>
      </c>
      <c r="C9" s="21">
        <f>48.163-B22
</f>
        <v>7.656376</v>
      </c>
      <c r="D9" s="22">
        <f t="shared" si="1"/>
        <v>168.5321485</v>
      </c>
      <c r="E9" s="47">
        <f>
11.714933
-B23</f>
        <v>-16.440335</v>
      </c>
      <c r="F9" s="23">
        <f t="shared" si="2"/>
        <v>-361.884654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0" t="s">
        <v>45</v>
      </c>
      <c r="B10" s="21">
        <v>50.9</v>
      </c>
      <c r="C10" s="21">
        <v>70.44</v>
      </c>
      <c r="D10" s="22">
        <f t="shared" si="1"/>
        <v>3585.396</v>
      </c>
      <c r="E10" s="21">
        <v>-20.58</v>
      </c>
      <c r="F10" s="23">
        <f t="shared" si="2"/>
        <v>-1047.522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4" t="s">
        <v>24</v>
      </c>
      <c r="B11" s="43">
        <v>74.0</v>
      </c>
      <c r="C11" s="48">
        <f>20-B22</f>
        <v>-20.506624</v>
      </c>
      <c r="D11" s="22">
        <f t="shared" si="1"/>
        <v>-1517.490176</v>
      </c>
      <c r="E11" s="22">
        <f>-13-B23</f>
        <v>-41.155268</v>
      </c>
      <c r="F11" s="23">
        <f t="shared" si="2"/>
        <v>-3045.489832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4" t="s">
        <v>37</v>
      </c>
      <c r="B12" s="21">
        <v>5.0</v>
      </c>
      <c r="C12" s="48">
        <f>12</f>
        <v>12</v>
      </c>
      <c r="D12" s="22">
        <f t="shared" si="1"/>
        <v>60</v>
      </c>
      <c r="E12" s="22">
        <f>15-B23</f>
        <v>-13.155268</v>
      </c>
      <c r="F12" s="23">
        <f t="shared" si="2"/>
        <v>-65.77634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0" t="s">
        <v>20</v>
      </c>
      <c r="B13" s="21">
        <v>14.0</v>
      </c>
      <c r="C13" s="22">
        <f>29.496-B22</f>
        <v>-11.010624</v>
      </c>
      <c r="D13" s="22">
        <f t="shared" si="1"/>
        <v>-154.148736</v>
      </c>
      <c r="E13" s="22">
        <f>-31.919-B23</f>
        <v>-60.074268</v>
      </c>
      <c r="F13" s="23">
        <f t="shared" si="2"/>
        <v>-841.039752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5" t="s">
        <v>21</v>
      </c>
      <c r="B14" s="26">
        <v>7.0</v>
      </c>
      <c r="C14" s="26">
        <f>200-B22</f>
        <v>159.493376</v>
      </c>
      <c r="D14" s="22">
        <f t="shared" si="1"/>
        <v>1116.453632</v>
      </c>
      <c r="E14" s="31"/>
      <c r="F14" s="23">
        <f t="shared" si="2"/>
        <v>0</v>
      </c>
      <c r="G14" s="2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0" t="s">
        <v>46</v>
      </c>
      <c r="B15" s="21">
        <v>1.75</v>
      </c>
      <c r="C15" s="21">
        <f>28-B22</f>
        <v>-12.506624</v>
      </c>
      <c r="D15" s="22">
        <f t="shared" si="1"/>
        <v>-21.886592</v>
      </c>
      <c r="E15" s="22"/>
      <c r="F15" s="2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0"/>
      <c r="B16" s="21"/>
      <c r="C16" s="22"/>
      <c r="D16" s="22"/>
      <c r="E16" s="22"/>
      <c r="F16" s="2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4"/>
      <c r="B17" s="29"/>
      <c r="C17" s="22"/>
      <c r="D17" s="22"/>
      <c r="E17" s="22"/>
      <c r="F17" s="2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5"/>
      <c r="B18" s="30" t="s">
        <v>28</v>
      </c>
      <c r="C18" s="30" t="s">
        <v>29</v>
      </c>
      <c r="D18" s="26" t="s">
        <v>47</v>
      </c>
      <c r="E18" s="31"/>
      <c r="F18" s="2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32" t="s">
        <v>30</v>
      </c>
      <c r="B19" s="31">
        <f>SUM(D6:D15)/SUM(B6:B15)</f>
        <v>11.16351191</v>
      </c>
      <c r="C19" s="33">
        <v>-5.8</v>
      </c>
      <c r="D19" s="26" t="s">
        <v>48</v>
      </c>
      <c r="E19" s="31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4" t="s">
        <v>32</v>
      </c>
      <c r="B20" s="31">
        <f>SUM(F6:F14)/SUM(B6:B15)</f>
        <v>-4.573122651</v>
      </c>
      <c r="C20" s="35">
        <v>-21.701</v>
      </c>
      <c r="D20" s="49" t="s">
        <v>49</v>
      </c>
      <c r="E20" s="2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4"/>
      <c r="B21" s="31"/>
      <c r="C21" s="31"/>
      <c r="D21" s="31"/>
      <c r="E21" s="31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4" t="s">
        <v>50</v>
      </c>
      <c r="B22" s="50">
        <v>40.506624</v>
      </c>
      <c r="C22" s="27" t="s">
        <v>51</v>
      </c>
      <c r="D22" s="31"/>
      <c r="E22" s="31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4" t="s">
        <v>52</v>
      </c>
      <c r="B23" s="51">
        <v>28.155268</v>
      </c>
      <c r="D23" s="31"/>
      <c r="E23" s="31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4"/>
      <c r="B24" s="31"/>
      <c r="C24" s="31"/>
      <c r="D24" s="31"/>
      <c r="E24" s="31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23"/>
      <c r="C25" s="23"/>
      <c r="D25" s="23"/>
      <c r="E25" s="23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23"/>
      <c r="C26" s="23"/>
      <c r="D26" s="23"/>
      <c r="E26" s="23"/>
      <c r="F26" s="2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23"/>
      <c r="C27" s="23"/>
      <c r="D27" s="23"/>
      <c r="E27" s="23"/>
      <c r="F27" s="2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23"/>
      <c r="C28" s="23"/>
      <c r="D28" s="23"/>
      <c r="E28" s="23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23"/>
      <c r="C29" s="23"/>
      <c r="D29" s="23"/>
      <c r="E29" s="23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23"/>
      <c r="C33" s="23"/>
      <c r="D33" s="23"/>
      <c r="E33" s="23"/>
      <c r="F33" s="2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23"/>
      <c r="C34" s="23"/>
      <c r="D34" s="23"/>
      <c r="E34" s="23"/>
      <c r="F34" s="2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23"/>
      <c r="C35" s="23"/>
      <c r="D35" s="23"/>
      <c r="E35" s="23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3"/>
      <c r="C42" s="23"/>
      <c r="D42" s="23"/>
      <c r="E42" s="23"/>
      <c r="F42" s="2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3"/>
      <c r="C43" s="23"/>
      <c r="D43" s="23"/>
      <c r="E43" s="23"/>
      <c r="F43" s="2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3"/>
      <c r="C44" s="23"/>
      <c r="D44" s="23"/>
      <c r="E44" s="23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3"/>
      <c r="C45" s="23"/>
      <c r="D45" s="23"/>
      <c r="E45" s="23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3"/>
      <c r="C46" s="23"/>
      <c r="D46" s="23"/>
      <c r="E46" s="23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3"/>
      <c r="C47" s="23"/>
      <c r="D47" s="23"/>
      <c r="E47" s="23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3"/>
      <c r="C48" s="23"/>
      <c r="D48" s="23"/>
      <c r="E48" s="23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3"/>
      <c r="C49" s="23"/>
      <c r="D49" s="23"/>
      <c r="E49" s="23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3"/>
      <c r="C50" s="23"/>
      <c r="D50" s="23"/>
      <c r="E50" s="23"/>
      <c r="F50" s="2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3"/>
      <c r="C51" s="23"/>
      <c r="D51" s="23"/>
      <c r="E51" s="23"/>
      <c r="F51" s="2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23"/>
      <c r="C52" s="23"/>
      <c r="D52" s="23"/>
      <c r="E52" s="23"/>
      <c r="F52" s="2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23"/>
      <c r="C53" s="23"/>
      <c r="D53" s="23"/>
      <c r="E53" s="23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23"/>
      <c r="C54" s="23"/>
      <c r="D54" s="23"/>
      <c r="E54" s="23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23"/>
      <c r="C55" s="23"/>
      <c r="D55" s="23"/>
      <c r="E55" s="23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23"/>
      <c r="C56" s="23"/>
      <c r="D56" s="23"/>
      <c r="E56" s="23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23"/>
      <c r="C57" s="23"/>
      <c r="D57" s="23"/>
      <c r="E57" s="23"/>
      <c r="F57" s="2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23"/>
      <c r="C58" s="23"/>
      <c r="D58" s="23"/>
      <c r="E58" s="23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23"/>
      <c r="C59" s="23"/>
      <c r="D59" s="23"/>
      <c r="E59" s="23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23"/>
      <c r="C60" s="23"/>
      <c r="D60" s="23"/>
      <c r="E60" s="23"/>
      <c r="F60" s="2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23"/>
      <c r="C61" s="23"/>
      <c r="D61" s="23"/>
      <c r="E61" s="23"/>
      <c r="F61" s="2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3"/>
      <c r="C62" s="23"/>
      <c r="D62" s="23"/>
      <c r="E62" s="23"/>
      <c r="F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3"/>
      <c r="C63" s="23"/>
      <c r="D63" s="23"/>
      <c r="E63" s="23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3"/>
      <c r="C64" s="23"/>
      <c r="D64" s="23"/>
      <c r="E64" s="23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23"/>
      <c r="C65" s="23"/>
      <c r="D65" s="23"/>
      <c r="E65" s="23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23"/>
      <c r="C66" s="23"/>
      <c r="D66" s="23"/>
      <c r="E66" s="23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3"/>
      <c r="C67" s="23"/>
      <c r="D67" s="23"/>
      <c r="E67" s="23"/>
      <c r="F67" s="2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3"/>
      <c r="C68" s="23"/>
      <c r="D68" s="23"/>
      <c r="E68" s="23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3"/>
      <c r="C69" s="23"/>
      <c r="D69" s="23"/>
      <c r="E69" s="23"/>
      <c r="F69" s="2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3"/>
      <c r="C70" s="23"/>
      <c r="D70" s="23"/>
      <c r="E70" s="23"/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3"/>
      <c r="C71" s="23"/>
      <c r="D71" s="23"/>
      <c r="E71" s="23"/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3"/>
      <c r="C72" s="23"/>
      <c r="D72" s="23"/>
      <c r="E72" s="23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</sheetData>
  <mergeCells count="2">
    <mergeCell ref="A2:C2"/>
    <mergeCell ref="C22:C23"/>
  </mergeCells>
  <hyperlinks>
    <hyperlink r:id="rId1" ref="A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D2" s="10"/>
      <c r="E2" s="11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6" t="s">
        <v>8</v>
      </c>
      <c r="B4" s="2"/>
      <c r="C4" s="6"/>
      <c r="D4" s="6"/>
      <c r="E4" s="6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19" t="s">
        <v>14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0" t="s">
        <v>23</v>
      </c>
      <c r="B6" s="22">
        <v>22.6</v>
      </c>
      <c r="C6" s="36">
        <f>-1-B22</f>
        <v>-41.506624</v>
      </c>
      <c r="D6" s="22">
        <f t="shared" ref="D6:D15" si="1">B6*C6</f>
        <v>-938.0497024</v>
      </c>
      <c r="E6" s="45">
        <f>-2-B23</f>
        <v>-30.155268</v>
      </c>
      <c r="F6" s="23">
        <f t="shared" ref="F6:F14" si="2">E6*B6</f>
        <v>-681.5090568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0" t="s">
        <v>15</v>
      </c>
      <c r="B7" s="36">
        <v>5.0</v>
      </c>
      <c r="C7" s="21">
        <f>-4.5-B22</f>
        <v>-45.006624</v>
      </c>
      <c r="D7" s="22">
        <f t="shared" si="1"/>
        <v>-225.03312</v>
      </c>
      <c r="E7" s="22">
        <f>-B23</f>
        <v>-28.155268</v>
      </c>
      <c r="F7" s="23">
        <f t="shared" si="2"/>
        <v>-140.77634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4" t="s">
        <v>16</v>
      </c>
      <c r="B8" s="36">
        <v>80.0</v>
      </c>
      <c r="C8" s="22">
        <f>29.555+24-B22</f>
        <v>13.048376</v>
      </c>
      <c r="D8" s="22">
        <f t="shared" si="1"/>
        <v>1043.87008</v>
      </c>
      <c r="E8" s="22">
        <f>0.278+28.571-B23</f>
        <v>0.693732</v>
      </c>
      <c r="F8" s="23">
        <f t="shared" si="2"/>
        <v>55.49856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0" t="s">
        <v>44</v>
      </c>
      <c r="B9" s="46">
        <v>22.012</v>
      </c>
      <c r="C9" s="21">
        <f>48.163-B22
</f>
        <v>7.656376</v>
      </c>
      <c r="D9" s="22">
        <f t="shared" si="1"/>
        <v>168.5321485</v>
      </c>
      <c r="E9" s="47">
        <f>
11.714933
-B23</f>
        <v>-16.440335</v>
      </c>
      <c r="F9" s="23">
        <f t="shared" si="2"/>
        <v>-361.884654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0" t="s">
        <v>45</v>
      </c>
      <c r="B10" s="21">
        <v>50.9</v>
      </c>
      <c r="C10" s="21">
        <v>70.44</v>
      </c>
      <c r="D10" s="22">
        <f t="shared" si="1"/>
        <v>3585.396</v>
      </c>
      <c r="E10" s="21">
        <v>-20.58</v>
      </c>
      <c r="F10" s="23">
        <f t="shared" si="2"/>
        <v>-1047.522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4" t="s">
        <v>24</v>
      </c>
      <c r="B11" s="43">
        <v>74.0</v>
      </c>
      <c r="C11" s="48">
        <f>20-B22</f>
        <v>-20.506624</v>
      </c>
      <c r="D11" s="22">
        <f t="shared" si="1"/>
        <v>-1517.490176</v>
      </c>
      <c r="E11" s="22">
        <f>-13-B23</f>
        <v>-41.155268</v>
      </c>
      <c r="F11" s="23">
        <f t="shared" si="2"/>
        <v>-3045.489832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4" t="s">
        <v>37</v>
      </c>
      <c r="B12" s="21">
        <v>170.0</v>
      </c>
      <c r="C12" s="48">
        <f>36-B22</f>
        <v>-4.506624</v>
      </c>
      <c r="D12" s="22">
        <f t="shared" si="1"/>
        <v>-766.12608</v>
      </c>
      <c r="E12" s="22">
        <f>15-B23</f>
        <v>-13.155268</v>
      </c>
      <c r="F12" s="23">
        <f t="shared" si="2"/>
        <v>-2236.39556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0" t="s">
        <v>20</v>
      </c>
      <c r="B13" s="21">
        <v>14.0</v>
      </c>
      <c r="C13" s="22">
        <f>29.496-B22</f>
        <v>-11.010624</v>
      </c>
      <c r="D13" s="22">
        <f t="shared" si="1"/>
        <v>-154.148736</v>
      </c>
      <c r="E13" s="22">
        <f>-31.919-B23</f>
        <v>-60.074268</v>
      </c>
      <c r="F13" s="23">
        <f t="shared" si="2"/>
        <v>-841.039752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5" t="s">
        <v>21</v>
      </c>
      <c r="B14" s="26">
        <v>7.0</v>
      </c>
      <c r="C14" s="26">
        <f>200-B22</f>
        <v>159.493376</v>
      </c>
      <c r="D14" s="22">
        <f t="shared" si="1"/>
        <v>1116.453632</v>
      </c>
      <c r="E14" s="31"/>
      <c r="F14" s="23">
        <f t="shared" si="2"/>
        <v>0</v>
      </c>
      <c r="G14" s="2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0" t="s">
        <v>46</v>
      </c>
      <c r="B15" s="21">
        <v>1.75</v>
      </c>
      <c r="C15" s="21">
        <f>28-B22</f>
        <v>-12.506624</v>
      </c>
      <c r="D15" s="22">
        <f t="shared" si="1"/>
        <v>-21.886592</v>
      </c>
      <c r="E15" s="22"/>
      <c r="F15" s="2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4"/>
      <c r="B16" s="22"/>
      <c r="C16" s="22"/>
      <c r="D16" s="22"/>
      <c r="E16" s="22"/>
      <c r="F16" s="2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4"/>
      <c r="B17" s="29"/>
      <c r="C17" s="22"/>
      <c r="D17" s="22"/>
      <c r="E17" s="22"/>
      <c r="F17" s="2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5"/>
      <c r="B18" s="30" t="s">
        <v>28</v>
      </c>
      <c r="C18" s="30" t="s">
        <v>29</v>
      </c>
      <c r="D18" s="26" t="s">
        <v>47</v>
      </c>
      <c r="E18" s="31"/>
      <c r="F18" s="2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32" t="s">
        <v>30</v>
      </c>
      <c r="B19" s="31">
        <f>SUM(D6:D15)/SUM(B6:B15)</f>
        <v>5.12343426</v>
      </c>
      <c r="C19" s="33">
        <v>-5.8</v>
      </c>
      <c r="D19" s="26" t="s">
        <v>48</v>
      </c>
      <c r="E19" s="31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4" t="s">
        <v>32</v>
      </c>
      <c r="B20" s="31">
        <f>SUM(F6:F14)/SUM(B6:B15)</f>
        <v>-18.55538506</v>
      </c>
      <c r="C20" s="35">
        <v>-21.701</v>
      </c>
      <c r="D20" s="49" t="s">
        <v>49</v>
      </c>
      <c r="E20" s="2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4"/>
      <c r="B21" s="31"/>
      <c r="C21" s="31"/>
      <c r="D21" s="31"/>
      <c r="E21" s="31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4" t="s">
        <v>50</v>
      </c>
      <c r="B22" s="50">
        <v>40.506624</v>
      </c>
      <c r="C22" s="27" t="s">
        <v>51</v>
      </c>
      <c r="D22" s="31"/>
      <c r="E22" s="31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4" t="s">
        <v>52</v>
      </c>
      <c r="B23" s="51">
        <v>28.155268</v>
      </c>
      <c r="D23" s="31"/>
      <c r="E23" s="31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4"/>
      <c r="B24" s="31"/>
      <c r="C24" s="31"/>
      <c r="D24" s="31"/>
      <c r="E24" s="31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23"/>
      <c r="C25" s="23"/>
      <c r="D25" s="23"/>
      <c r="E25" s="23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23"/>
      <c r="C26" s="23"/>
      <c r="D26" s="23"/>
      <c r="E26" s="23"/>
      <c r="F26" s="2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23"/>
      <c r="C27" s="23"/>
      <c r="D27" s="23"/>
      <c r="E27" s="23"/>
      <c r="F27" s="2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23"/>
      <c r="C28" s="23"/>
      <c r="D28" s="23"/>
      <c r="E28" s="23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23"/>
      <c r="C29" s="23"/>
      <c r="D29" s="23"/>
      <c r="E29" s="23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23"/>
      <c r="C33" s="23"/>
      <c r="D33" s="23"/>
      <c r="E33" s="23"/>
      <c r="F33" s="2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23"/>
      <c r="C34" s="23"/>
      <c r="D34" s="23"/>
      <c r="E34" s="23"/>
      <c r="F34" s="2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23"/>
      <c r="C35" s="23"/>
      <c r="D35" s="23"/>
      <c r="E35" s="23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3"/>
      <c r="C42" s="23"/>
      <c r="D42" s="23"/>
      <c r="E42" s="23"/>
      <c r="F42" s="2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3"/>
      <c r="C43" s="23"/>
      <c r="D43" s="23"/>
      <c r="E43" s="23"/>
      <c r="F43" s="2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3"/>
      <c r="C44" s="23"/>
      <c r="D44" s="23"/>
      <c r="E44" s="23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3"/>
      <c r="C45" s="23"/>
      <c r="D45" s="23"/>
      <c r="E45" s="23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3"/>
      <c r="C46" s="23"/>
      <c r="D46" s="23"/>
      <c r="E46" s="23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3"/>
      <c r="C47" s="23"/>
      <c r="D47" s="23"/>
      <c r="E47" s="23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3"/>
      <c r="C48" s="23"/>
      <c r="D48" s="23"/>
      <c r="E48" s="23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3"/>
      <c r="C49" s="23"/>
      <c r="D49" s="23"/>
      <c r="E49" s="23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3"/>
      <c r="C50" s="23"/>
      <c r="D50" s="23"/>
      <c r="E50" s="23"/>
      <c r="F50" s="2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3"/>
      <c r="C51" s="23"/>
      <c r="D51" s="23"/>
      <c r="E51" s="23"/>
      <c r="F51" s="2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23"/>
      <c r="C52" s="23"/>
      <c r="D52" s="23"/>
      <c r="E52" s="23"/>
      <c r="F52" s="2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23"/>
      <c r="C53" s="23"/>
      <c r="D53" s="23"/>
      <c r="E53" s="23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23"/>
      <c r="C54" s="23"/>
      <c r="D54" s="23"/>
      <c r="E54" s="23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23"/>
      <c r="C55" s="23"/>
      <c r="D55" s="23"/>
      <c r="E55" s="23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23"/>
      <c r="C56" s="23"/>
      <c r="D56" s="23"/>
      <c r="E56" s="23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23"/>
      <c r="C57" s="23"/>
      <c r="D57" s="23"/>
      <c r="E57" s="23"/>
      <c r="F57" s="2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23"/>
      <c r="C58" s="23"/>
      <c r="D58" s="23"/>
      <c r="E58" s="23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23"/>
      <c r="C59" s="23"/>
      <c r="D59" s="23"/>
      <c r="E59" s="23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23"/>
      <c r="C60" s="23"/>
      <c r="D60" s="23"/>
      <c r="E60" s="23"/>
      <c r="F60" s="2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23"/>
      <c r="C61" s="23"/>
      <c r="D61" s="23"/>
      <c r="E61" s="23"/>
      <c r="F61" s="2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3"/>
      <c r="C62" s="23"/>
      <c r="D62" s="23"/>
      <c r="E62" s="23"/>
      <c r="F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3"/>
      <c r="C63" s="23"/>
      <c r="D63" s="23"/>
      <c r="E63" s="23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3"/>
      <c r="C64" s="23"/>
      <c r="D64" s="23"/>
      <c r="E64" s="23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23"/>
      <c r="C65" s="23"/>
      <c r="D65" s="23"/>
      <c r="E65" s="23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23"/>
      <c r="C66" s="23"/>
      <c r="D66" s="23"/>
      <c r="E66" s="23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3"/>
      <c r="C67" s="23"/>
      <c r="D67" s="23"/>
      <c r="E67" s="23"/>
      <c r="F67" s="2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3"/>
      <c r="C68" s="23"/>
      <c r="D68" s="23"/>
      <c r="E68" s="23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3"/>
      <c r="C69" s="23"/>
      <c r="D69" s="23"/>
      <c r="E69" s="23"/>
      <c r="F69" s="2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3"/>
      <c r="C70" s="23"/>
      <c r="D70" s="23"/>
      <c r="E70" s="23"/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3"/>
      <c r="C71" s="23"/>
      <c r="D71" s="23"/>
      <c r="E71" s="23"/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3"/>
      <c r="C72" s="23"/>
      <c r="D72" s="23"/>
      <c r="E72" s="23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</sheetData>
  <mergeCells count="2">
    <mergeCell ref="A2:C2"/>
    <mergeCell ref="C22:C23"/>
  </mergeCells>
  <hyperlinks>
    <hyperlink r:id="rId1" ref="A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5" t="s">
        <v>1</v>
      </c>
      <c r="D2" s="6"/>
      <c r="E2" s="6"/>
      <c r="F2" s="3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12" t="s">
        <v>7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16" t="s">
        <v>8</v>
      </c>
      <c r="B5" s="2"/>
      <c r="C5" s="6"/>
      <c r="D5" s="6"/>
      <c r="E5" s="6"/>
      <c r="F5" s="3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18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20" t="s">
        <v>23</v>
      </c>
      <c r="B7" s="22">
        <v>22.6</v>
      </c>
      <c r="C7" s="36">
        <v>-55.0</v>
      </c>
      <c r="D7" s="22">
        <f t="shared" ref="D7:D18" si="1">B7*C7</f>
        <v>-1243</v>
      </c>
      <c r="E7" s="21">
        <v>-30.0</v>
      </c>
      <c r="F7" s="23">
        <f t="shared" ref="F7:F18" si="2">E7*B7</f>
        <v>-678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20" t="s">
        <v>15</v>
      </c>
      <c r="B8" s="36">
        <v>7.0</v>
      </c>
      <c r="C8" s="36">
        <f>C7-6</f>
        <v>-61</v>
      </c>
      <c r="D8" s="22">
        <f t="shared" si="1"/>
        <v>-427</v>
      </c>
      <c r="E8" s="21">
        <f>E7</f>
        <v>-30</v>
      </c>
      <c r="F8" s="23">
        <f t="shared" si="2"/>
        <v>-210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24" t="s">
        <v>16</v>
      </c>
      <c r="B9" s="36">
        <v>74.0</v>
      </c>
      <c r="C9" s="21">
        <v>9.0</v>
      </c>
      <c r="D9" s="22">
        <f t="shared" si="1"/>
        <v>666</v>
      </c>
      <c r="E9" s="22">
        <v>0.6937320000000007</v>
      </c>
      <c r="F9" s="23">
        <f t="shared" si="2"/>
        <v>51.336168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20" t="s">
        <v>44</v>
      </c>
      <c r="B10" s="46">
        <v>22.012</v>
      </c>
      <c r="C10" s="21">
        <f>7.7
</f>
        <v>7.7</v>
      </c>
      <c r="D10" s="22">
        <f t="shared" si="1"/>
        <v>169.4924</v>
      </c>
      <c r="E10" s="46">
        <v>-16.4</v>
      </c>
      <c r="F10" s="23">
        <f t="shared" si="2"/>
        <v>-360.9968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20" t="s">
        <v>45</v>
      </c>
      <c r="B11" s="52">
        <v>42.710875</v>
      </c>
      <c r="C11" s="21">
        <v>53.127</v>
      </c>
      <c r="D11" s="22">
        <f t="shared" si="1"/>
        <v>2269.100656</v>
      </c>
      <c r="E11" s="21">
        <v>-24.0</v>
      </c>
      <c r="F11" s="23">
        <f t="shared" si="2"/>
        <v>-1025.061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20" t="s">
        <v>53</v>
      </c>
      <c r="B12" s="21">
        <v>2.0</v>
      </c>
      <c r="C12" s="36">
        <v>153.123</v>
      </c>
      <c r="D12" s="22">
        <f t="shared" si="1"/>
        <v>306.246</v>
      </c>
      <c r="E12" s="21">
        <v>16.0</v>
      </c>
      <c r="F12" s="23">
        <f t="shared" si="2"/>
        <v>32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24" t="s">
        <v>24</v>
      </c>
      <c r="B13" s="36">
        <f>(254+30)-B22</f>
        <v>69.927125</v>
      </c>
      <c r="C13" s="40">
        <f>C7+7</f>
        <v>-48</v>
      </c>
      <c r="D13" s="22">
        <f t="shared" si="1"/>
        <v>-3356.502</v>
      </c>
      <c r="E13" s="21">
        <v>-40.0</v>
      </c>
      <c r="F13" s="23">
        <f t="shared" si="2"/>
        <v>-2797.085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20" t="s">
        <v>54</v>
      </c>
      <c r="B14" s="21">
        <v>10.0</v>
      </c>
      <c r="C14" s="21">
        <v>-50.0</v>
      </c>
      <c r="D14" s="22">
        <f t="shared" si="1"/>
        <v>-500</v>
      </c>
      <c r="E14" s="21">
        <f>E13</f>
        <v>-40</v>
      </c>
      <c r="F14" s="23">
        <f t="shared" si="2"/>
        <v>-400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24" t="s">
        <v>37</v>
      </c>
      <c r="B15" s="21">
        <v>170.0</v>
      </c>
      <c r="C15" s="40">
        <v>-2.0</v>
      </c>
      <c r="D15" s="22">
        <f t="shared" si="1"/>
        <v>-340</v>
      </c>
      <c r="E15" s="21">
        <v>-25.0</v>
      </c>
      <c r="F15" s="23">
        <f t="shared" si="2"/>
        <v>-4250</v>
      </c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20" t="s">
        <v>20</v>
      </c>
      <c r="B16" s="21">
        <v>7.0</v>
      </c>
      <c r="C16" s="36">
        <v>-41.0</v>
      </c>
      <c r="D16" s="22">
        <f t="shared" si="1"/>
        <v>-287</v>
      </c>
      <c r="E16" s="21">
        <v>-40.0</v>
      </c>
      <c r="F16" s="23">
        <f t="shared" si="2"/>
        <v>-280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25" t="s">
        <v>21</v>
      </c>
      <c r="B17" s="26">
        <v>25.0</v>
      </c>
      <c r="C17" s="41">
        <v>12.5</v>
      </c>
      <c r="D17" s="22">
        <f t="shared" si="1"/>
        <v>312.5</v>
      </c>
      <c r="E17" s="26">
        <v>-60.3</v>
      </c>
      <c r="F17" s="23">
        <f t="shared" si="2"/>
        <v>-1507.5</v>
      </c>
      <c r="G17" s="22"/>
      <c r="H17" s="4"/>
      <c r="I17" s="4"/>
      <c r="J17" s="4"/>
      <c r="K17" s="4"/>
      <c r="L17" s="4"/>
      <c r="M17" s="4"/>
      <c r="N17" s="4"/>
      <c r="O17" s="4"/>
      <c r="P17" s="4"/>
    </row>
    <row r="18">
      <c r="A18" s="20" t="s">
        <v>55</v>
      </c>
      <c r="B18" s="21">
        <v>1.75</v>
      </c>
      <c r="C18" s="36">
        <v>-12.0</v>
      </c>
      <c r="D18" s="22">
        <f t="shared" si="1"/>
        <v>-21</v>
      </c>
      <c r="E18" s="22">
        <v>-28.155268</v>
      </c>
      <c r="F18" s="23">
        <f t="shared" si="2"/>
        <v>-49.271719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20" t="s">
        <v>39</v>
      </c>
      <c r="B19" s="11">
        <v>22.0</v>
      </c>
      <c r="C19" s="44">
        <v>0.0</v>
      </c>
      <c r="D19" s="28">
        <f>PRODUCT(B19:C19)</f>
        <v>0</v>
      </c>
      <c r="E19" s="36">
        <v>-5.0</v>
      </c>
      <c r="F19" s="23">
        <f>PRODUCT(E19,B19)</f>
        <v>-110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24"/>
      <c r="B20" s="22"/>
      <c r="C20" s="22"/>
      <c r="D20" s="22"/>
      <c r="E20" s="21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24"/>
      <c r="B21" s="22"/>
      <c r="C21" s="22"/>
      <c r="D21" s="22"/>
      <c r="E21" s="21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20" t="s">
        <v>56</v>
      </c>
      <c r="B22" s="22">
        <f>SUM(B16:B18,B14,B7:B12)</f>
        <v>214.072875</v>
      </c>
      <c r="C22" s="22"/>
      <c r="D22" s="22"/>
      <c r="E22" s="21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20" t="s">
        <v>57</v>
      </c>
      <c r="B23" s="22">
        <f> SUM(B7:B18)</f>
        <v>454</v>
      </c>
      <c r="C23" s="22"/>
      <c r="D23" s="22"/>
      <c r="E23" s="21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24"/>
      <c r="B24" s="29"/>
      <c r="C24" s="22"/>
      <c r="D24" s="22"/>
      <c r="E24" s="21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25"/>
      <c r="B25" s="30" t="s">
        <v>28</v>
      </c>
      <c r="C25" s="30" t="s">
        <v>29</v>
      </c>
      <c r="D25" s="31"/>
      <c r="E25" s="26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32" t="s">
        <v>30</v>
      </c>
      <c r="B26" s="31">
        <f>SUM(D7:D19)/SUM(B7:B19)</f>
        <v>-5.149501983</v>
      </c>
      <c r="C26" s="33">
        <v>-5.8</v>
      </c>
      <c r="D26" s="31"/>
      <c r="E26" s="26"/>
      <c r="F26" s="23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34" t="s">
        <v>32</v>
      </c>
      <c r="B27" s="31">
        <f>SUM(F7:F19)/SUM(B7:B19)</f>
        <v>-24.33734948</v>
      </c>
      <c r="C27" s="35">
        <v>-21.701</v>
      </c>
      <c r="D27" s="27"/>
      <c r="E27" s="29"/>
      <c r="F27" s="23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24"/>
      <c r="B28" s="31"/>
      <c r="C28" s="31"/>
      <c r="D28" s="31"/>
      <c r="E28" s="31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24"/>
      <c r="B29" s="31"/>
      <c r="C29" s="31"/>
      <c r="D29" s="31"/>
      <c r="E29" s="31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23"/>
      <c r="C33" s="23"/>
      <c r="D33" s="23"/>
      <c r="E33" s="23"/>
      <c r="F33" s="23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23"/>
      <c r="C34" s="23"/>
      <c r="D34" s="23"/>
      <c r="E34" s="23"/>
      <c r="F34" s="23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23"/>
      <c r="C35" s="23"/>
      <c r="D35" s="23"/>
      <c r="E35" s="23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</row>
  </sheetData>
  <mergeCells count="1">
    <mergeCell ref="A2:C2"/>
  </mergeCells>
  <hyperlinks>
    <hyperlink r:id="rId2" ref="A5"/>
  </hyperlinks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5" t="s">
        <v>1</v>
      </c>
      <c r="D2" s="6"/>
      <c r="E2" s="6"/>
      <c r="F2" s="3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12" t="s">
        <v>7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16" t="s">
        <v>8</v>
      </c>
      <c r="B5" s="2"/>
      <c r="C5" s="6"/>
      <c r="D5" s="6"/>
      <c r="E5" s="6"/>
      <c r="F5" s="3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18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20" t="s">
        <v>15</v>
      </c>
      <c r="B7" s="36">
        <v>7.0</v>
      </c>
      <c r="C7" s="37">
        <f>C11-6</f>
        <v>-66.846</v>
      </c>
      <c r="D7" s="22">
        <f t="shared" ref="D7:D16" si="1">B7*C7</f>
        <v>-467.922</v>
      </c>
      <c r="E7" s="37">
        <v>-30.0</v>
      </c>
      <c r="F7" s="23">
        <f t="shared" ref="F7:F16" si="2">E7*B7</f>
        <v>-210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24" t="s">
        <v>16</v>
      </c>
      <c r="B8" s="36">
        <v>90.0</v>
      </c>
      <c r="C8" s="36">
        <v>9.0</v>
      </c>
      <c r="D8" s="22">
        <f t="shared" si="1"/>
        <v>810</v>
      </c>
      <c r="E8" s="38">
        <v>0.6937320000000007</v>
      </c>
      <c r="F8" s="23">
        <f t="shared" si="2"/>
        <v>62.43588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20" t="s">
        <v>17</v>
      </c>
      <c r="B9" s="39">
        <v>71.49169</v>
      </c>
      <c r="C9" s="39">
        <v>30.655</v>
      </c>
      <c r="D9" s="22">
        <f t="shared" si="1"/>
        <v>2191.577757</v>
      </c>
      <c r="E9" s="39">
        <v>22.999</v>
      </c>
      <c r="F9" s="23">
        <f t="shared" si="2"/>
        <v>1644.237378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20" t="s">
        <v>34</v>
      </c>
      <c r="B10" s="39">
        <v>4.3</v>
      </c>
      <c r="C10" s="39">
        <v>149.622</v>
      </c>
      <c r="D10" s="22">
        <f t="shared" si="1"/>
        <v>643.3746</v>
      </c>
      <c r="E10" s="39">
        <v>-16.989</v>
      </c>
      <c r="F10" s="23">
        <f t="shared" si="2"/>
        <v>-73.0527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20" t="s">
        <v>35</v>
      </c>
      <c r="B11" s="36">
        <v>40.0</v>
      </c>
      <c r="C11" s="40">
        <f>-53.846-7</f>
        <v>-60.846</v>
      </c>
      <c r="D11" s="22">
        <f t="shared" si="1"/>
        <v>-2433.84</v>
      </c>
      <c r="E11" s="37">
        <f>E7</f>
        <v>-30</v>
      </c>
      <c r="F11" s="23">
        <f t="shared" si="2"/>
        <v>-1200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20" t="s">
        <v>36</v>
      </c>
      <c r="B12" s="36">
        <v>10.0</v>
      </c>
      <c r="C12" s="36">
        <v>-50.0</v>
      </c>
      <c r="D12" s="22">
        <f t="shared" si="1"/>
        <v>-500</v>
      </c>
      <c r="E12" s="36">
        <v>-32.0</v>
      </c>
      <c r="F12" s="23">
        <f t="shared" si="2"/>
        <v>-320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24" t="s">
        <v>37</v>
      </c>
      <c r="B13" s="39">
        <v>170.0</v>
      </c>
      <c r="C13" s="40">
        <v>-6.5</v>
      </c>
      <c r="D13" s="22">
        <f t="shared" si="1"/>
        <v>-1105</v>
      </c>
      <c r="E13" s="37">
        <v>-34.323</v>
      </c>
      <c r="F13" s="23">
        <f t="shared" si="2"/>
        <v>-5834.91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20" t="s">
        <v>20</v>
      </c>
      <c r="B14" s="36">
        <v>12.0</v>
      </c>
      <c r="C14" s="39">
        <v>-43.825</v>
      </c>
      <c r="D14" s="22">
        <f t="shared" si="1"/>
        <v>-525.9</v>
      </c>
      <c r="E14" s="39">
        <v>-61.89</v>
      </c>
      <c r="F14" s="23">
        <f t="shared" si="2"/>
        <v>-742.68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25" t="s">
        <v>21</v>
      </c>
      <c r="B15" s="41">
        <v>25.0</v>
      </c>
      <c r="C15" s="42">
        <v>2.781</v>
      </c>
      <c r="D15" s="22">
        <f t="shared" si="1"/>
        <v>69.525</v>
      </c>
      <c r="E15" s="42">
        <v>-62.268</v>
      </c>
      <c r="F15" s="23">
        <f t="shared" si="2"/>
        <v>-1556.7</v>
      </c>
      <c r="G15" s="22"/>
      <c r="H15" s="4"/>
      <c r="I15" s="4"/>
      <c r="J15" s="4"/>
      <c r="K15" s="4"/>
      <c r="L15" s="4"/>
      <c r="M15" s="4"/>
      <c r="N15" s="4"/>
      <c r="O15" s="4"/>
      <c r="P15" s="4"/>
    </row>
    <row r="16">
      <c r="A16" s="20" t="s">
        <v>38</v>
      </c>
      <c r="B16" s="36">
        <v>10.0</v>
      </c>
      <c r="C16" s="37">
        <v>-25.0</v>
      </c>
      <c r="D16" s="22">
        <f t="shared" si="1"/>
        <v>-250</v>
      </c>
      <c r="E16" s="43">
        <v>-28.155268</v>
      </c>
      <c r="F16" s="23">
        <f t="shared" si="2"/>
        <v>-281.55268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20" t="s">
        <v>39</v>
      </c>
      <c r="B17" s="11">
        <v>22.0</v>
      </c>
      <c r="C17" s="44">
        <v>0.0</v>
      </c>
      <c r="D17" s="28">
        <f t="shared" ref="D17:D18" si="3">PRODUCT(B17:C17)</f>
        <v>0</v>
      </c>
      <c r="E17" s="36">
        <v>-5.0</v>
      </c>
      <c r="F17" s="23">
        <f t="shared" ref="F17:F18" si="4">PRODUCT(E17,B17)</f>
        <v>-110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20" t="s">
        <v>40</v>
      </c>
      <c r="B18" s="11">
        <v>15.0</v>
      </c>
      <c r="C18" s="37">
        <f>C13</f>
        <v>-6.5</v>
      </c>
      <c r="D18" s="28">
        <f t="shared" si="3"/>
        <v>-97.5</v>
      </c>
      <c r="E18" s="37">
        <v>-42.0</v>
      </c>
      <c r="F18" s="23">
        <f t="shared" si="4"/>
        <v>-630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20" t="s">
        <v>41</v>
      </c>
      <c r="B19" s="11">
        <v>10.0</v>
      </c>
      <c r="C19" s="37">
        <f>C11+6</f>
        <v>-54.846</v>
      </c>
      <c r="D19" s="22">
        <f>B19*C19</f>
        <v>-548.46</v>
      </c>
      <c r="E19" s="36">
        <v>-35.0</v>
      </c>
      <c r="F19" s="23">
        <f>E19*B19</f>
        <v>-350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20"/>
      <c r="B20" s="27"/>
      <c r="C20" s="21"/>
      <c r="D20" s="22"/>
      <c r="E20" s="21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20" t="s">
        <v>42</v>
      </c>
      <c r="B21" s="29">
        <f>SUM(B14:B16,B7:B12)</f>
        <v>269.79169</v>
      </c>
      <c r="C21" s="22"/>
      <c r="D21" s="22"/>
      <c r="E21" s="21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20" t="s">
        <v>25</v>
      </c>
      <c r="B22" s="29">
        <f>SUM(B7:B19)</f>
        <v>486.79169</v>
      </c>
      <c r="C22" s="22"/>
      <c r="D22" s="22"/>
      <c r="E22" s="21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20" t="s">
        <v>26</v>
      </c>
      <c r="B23" s="29">
        <f>SUM(B7,B9,B11:B19)</f>
        <v>392.49169</v>
      </c>
      <c r="C23" s="22">
        <f> SUM(D7,D9,D11:D19)/B23</f>
        <v>-9.344195907</v>
      </c>
      <c r="D23" s="22">
        <f>SUM(F7,F9,F11:F19)/B23</f>
        <v>-24.43772835</v>
      </c>
      <c r="E23" s="21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24"/>
      <c r="B24" s="29"/>
      <c r="C24" s="22"/>
      <c r="D24" s="22"/>
      <c r="E24" s="21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25"/>
      <c r="B25" s="30" t="s">
        <v>28</v>
      </c>
      <c r="C25" s="30" t="s">
        <v>29</v>
      </c>
      <c r="D25" s="31"/>
      <c r="E25" s="26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32" t="s">
        <v>30</v>
      </c>
      <c r="B26" s="31">
        <f>SUM(D7:D19)/SUM(B7:B19)</f>
        <v>-4.548443797</v>
      </c>
      <c r="C26" s="33">
        <v>-0.245</v>
      </c>
      <c r="D26" s="26" t="s">
        <v>43</v>
      </c>
      <c r="E26" s="26"/>
      <c r="F26" s="23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34" t="s">
        <v>32</v>
      </c>
      <c r="B27" s="31">
        <f>SUM(F7:F19)/SUM(B7:B19)</f>
        <v>-19.72552597</v>
      </c>
      <c r="C27" s="35">
        <v>-21.755</v>
      </c>
      <c r="D27" s="27"/>
      <c r="E27" s="29"/>
      <c r="F27" s="23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24"/>
      <c r="B28" s="31"/>
      <c r="C28" s="31"/>
      <c r="D28" s="31"/>
      <c r="E28" s="31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24"/>
      <c r="B29" s="31"/>
      <c r="C29" s="31"/>
      <c r="D29" s="31"/>
      <c r="E29" s="31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23"/>
      <c r="C33" s="23"/>
      <c r="D33" s="23"/>
      <c r="E33" s="23"/>
      <c r="F33" s="23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23"/>
      <c r="C34" s="23"/>
      <c r="D34" s="23"/>
      <c r="E34" s="23"/>
      <c r="F34" s="23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23"/>
      <c r="C35" s="23"/>
      <c r="D35" s="23"/>
      <c r="E35" s="23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</row>
  </sheetData>
  <mergeCells count="1">
    <mergeCell ref="A2:C2"/>
  </mergeCells>
  <hyperlinks>
    <hyperlink r:id="rId2" ref="A5"/>
  </hyperlinks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3.86"/>
    <col customWidth="1" min="2" max="2" width="17.43"/>
    <col customWidth="1" min="3" max="3" width="25.14"/>
    <col customWidth="1" min="4" max="5" width="26.4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5" t="s">
        <v>1</v>
      </c>
      <c r="D2" s="6"/>
      <c r="E2" s="6"/>
      <c r="F2" s="3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12" t="s">
        <v>58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53" t="s">
        <v>8</v>
      </c>
      <c r="B5" s="2"/>
      <c r="C5" s="6"/>
      <c r="D5" s="6"/>
      <c r="E5" s="6"/>
      <c r="F5" s="3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18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20" t="s">
        <v>15</v>
      </c>
      <c r="B7" s="21"/>
      <c r="C7" s="21">
        <v>0.0</v>
      </c>
      <c r="D7" s="22">
        <f t="shared" ref="D7:D15" si="1">B7*C7</f>
        <v>0</v>
      </c>
      <c r="E7" s="21"/>
      <c r="F7" s="23">
        <f t="shared" ref="F7:F15" si="2">E7*B7</f>
        <v>0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24" t="s">
        <v>16</v>
      </c>
      <c r="B8" s="21"/>
      <c r="C8" s="21">
        <v>36.0</v>
      </c>
      <c r="D8" s="22">
        <f t="shared" si="1"/>
        <v>0</v>
      </c>
      <c r="E8" s="22"/>
      <c r="F8" s="23">
        <f t="shared" si="2"/>
        <v>0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20" t="s">
        <v>44</v>
      </c>
      <c r="B9" s="46"/>
      <c r="C9" s="21"/>
      <c r="D9" s="22">
        <f t="shared" si="1"/>
        <v>0</v>
      </c>
      <c r="E9" s="46"/>
      <c r="F9" s="23">
        <f t="shared" si="2"/>
        <v>0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20" t="s">
        <v>59</v>
      </c>
      <c r="B10" s="21"/>
      <c r="C10" s="21"/>
      <c r="D10" s="22">
        <f t="shared" si="1"/>
        <v>0</v>
      </c>
      <c r="E10" s="21"/>
      <c r="F10" s="23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20" t="s">
        <v>60</v>
      </c>
      <c r="B11" s="21">
        <v>88.2</v>
      </c>
      <c r="C11" s="21"/>
      <c r="D11" s="22">
        <f t="shared" si="1"/>
        <v>0</v>
      </c>
      <c r="E11" s="21"/>
      <c r="F11" s="23">
        <f t="shared" si="2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20" t="s">
        <v>61</v>
      </c>
      <c r="B12" s="21"/>
      <c r="C12" s="21"/>
      <c r="D12" s="22">
        <f t="shared" si="1"/>
        <v>0</v>
      </c>
      <c r="E12" s="21"/>
      <c r="F12" s="23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20" t="s">
        <v>62</v>
      </c>
      <c r="B13" s="21">
        <v>170.0</v>
      </c>
      <c r="C13" s="21">
        <v>51.0</v>
      </c>
      <c r="D13" s="22">
        <f t="shared" si="1"/>
        <v>8670</v>
      </c>
      <c r="E13" s="21"/>
      <c r="F13" s="23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20" t="s">
        <v>20</v>
      </c>
      <c r="B14" s="21"/>
      <c r="C14" s="21">
        <v>36.0</v>
      </c>
      <c r="D14" s="22">
        <f t="shared" si="1"/>
        <v>0</v>
      </c>
      <c r="E14" s="21"/>
      <c r="F14" s="23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25" t="s">
        <v>21</v>
      </c>
      <c r="B15" s="26"/>
      <c r="C15" s="26">
        <v>185.0</v>
      </c>
      <c r="D15" s="22">
        <f t="shared" si="1"/>
        <v>0</v>
      </c>
      <c r="E15" s="26"/>
      <c r="F15" s="23">
        <f t="shared" si="2"/>
        <v>0</v>
      </c>
      <c r="G15" s="22"/>
      <c r="H15" s="4"/>
      <c r="I15" s="4"/>
      <c r="J15" s="4"/>
      <c r="K15" s="4"/>
      <c r="L15" s="4"/>
      <c r="M15" s="4"/>
      <c r="N15" s="4"/>
      <c r="O15" s="4"/>
      <c r="P15" s="4"/>
    </row>
    <row r="16">
      <c r="A16" s="20" t="s">
        <v>39</v>
      </c>
      <c r="B16" s="27"/>
      <c r="C16" s="54"/>
      <c r="D16" s="28">
        <f t="shared" ref="D16:D17" si="3">PRODUCT(B16:C16)</f>
        <v>0</v>
      </c>
      <c r="E16" s="21"/>
      <c r="F16" s="23">
        <f t="shared" ref="F16:F17" si="4">PRODUCT(E16,B16)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20" t="s">
        <v>40</v>
      </c>
      <c r="B17" s="27">
        <v>36.0</v>
      </c>
      <c r="C17" s="21"/>
      <c r="D17" s="28">
        <f t="shared" si="3"/>
        <v>36</v>
      </c>
      <c r="E17" s="21"/>
      <c r="F17" s="23">
        <f t="shared" si="4"/>
        <v>36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20"/>
      <c r="B18" s="27"/>
      <c r="C18" s="21"/>
      <c r="D18" s="22"/>
      <c r="E18" s="21"/>
      <c r="F18" s="23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20" t="s">
        <v>42</v>
      </c>
      <c r="B19" s="29">
        <f>SUM(B14:B15,B7:B12)</f>
        <v>88.2</v>
      </c>
      <c r="C19" s="22"/>
      <c r="D19" s="22"/>
      <c r="E19" s="21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20" t="s">
        <v>25</v>
      </c>
      <c r="B20" s="29">
        <f>SUM(B7:B17)</f>
        <v>294.2</v>
      </c>
      <c r="C20" s="22"/>
      <c r="D20" s="22"/>
      <c r="E20" s="21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24"/>
      <c r="B21" s="29"/>
      <c r="C21" s="22"/>
      <c r="D21" s="22"/>
      <c r="E21" s="21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25"/>
      <c r="B22" s="30" t="s">
        <v>28</v>
      </c>
      <c r="C22" s="26"/>
      <c r="D22" s="31"/>
      <c r="E22" s="26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32" t="s">
        <v>30</v>
      </c>
      <c r="B23" s="31">
        <f>SUM(D7:D17)/SUM(B7:B17)</f>
        <v>29.59211421</v>
      </c>
      <c r="C23" s="55"/>
      <c r="D23" s="31"/>
      <c r="E23" s="26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34" t="s">
        <v>32</v>
      </c>
      <c r="B24" s="31">
        <f>SUM(F7:F17)/SUM(B7:B17)</f>
        <v>0.1223657376</v>
      </c>
      <c r="C24" s="27"/>
      <c r="D24" s="27"/>
      <c r="E24" s="29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24"/>
      <c r="B25" s="31"/>
      <c r="C25" s="31"/>
      <c r="D25" s="31"/>
      <c r="E25" s="31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24"/>
      <c r="B26" s="31"/>
      <c r="C26" s="31"/>
      <c r="D26" s="31"/>
      <c r="E26" s="31"/>
      <c r="F26" s="23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23"/>
      <c r="C27" s="23"/>
      <c r="D27" s="56" t="s">
        <v>63</v>
      </c>
      <c r="F27" s="23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23"/>
      <c r="C28" s="23"/>
      <c r="D28" s="23"/>
      <c r="E28" s="23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23"/>
      <c r="C29" s="23"/>
      <c r="D29" s="23"/>
      <c r="E29" s="23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23"/>
      <c r="C33" s="23"/>
      <c r="D33" s="23"/>
      <c r="E33" s="23"/>
      <c r="F33" s="23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23"/>
      <c r="C34" s="23"/>
      <c r="D34" s="23"/>
      <c r="E34" s="23"/>
      <c r="F34" s="23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23"/>
      <c r="C35" s="23"/>
      <c r="D35" s="23"/>
      <c r="E35" s="23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</row>
  </sheetData>
  <mergeCells count="1">
    <mergeCell ref="A2:C2"/>
  </mergeCells>
  <hyperlinks>
    <hyperlink r:id="rId2" ref="A5"/>
  </hyperlinks>
  <drawing r:id="rId3"/>
  <legacyDrawing r:id="rId4"/>
</worksheet>
</file>