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4.xml" ContentType="application/vnd.openxmlformats-officedocument.spreadsheetml.comments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omments5.xml" ContentType="application/vnd.openxmlformats-officedocument.spreadsheetml.comments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aanmahant/Desktop/"/>
    </mc:Choice>
  </mc:AlternateContent>
  <xr:revisionPtr revIDLastSave="0" documentId="13_ncr:1_{68BDE343-12FC-E946-994E-1F2C13517F5B}" xr6:coauthVersionLast="47" xr6:coauthVersionMax="47" xr10:uidLastSave="{00000000-0000-0000-0000-000000000000}"/>
  <bookViews>
    <workbookView xWindow="0" yWindow="720" windowWidth="29400" windowHeight="18400" activeTab="5" xr2:uid="{2CFD752F-058E-AD45-A67F-92FCC1533A2C}"/>
  </bookViews>
  <sheets>
    <sheet name="Initial Data" sheetId="1" r:id="rId1"/>
    <sheet name="India Stats" sheetId="8" r:id="rId2"/>
    <sheet name="Haryana Rev &amp; Exp " sheetId="2" r:id="rId3"/>
    <sheet name="India Haryana" sheetId="15" r:id="rId4"/>
    <sheet name="Haryana Rev &amp; Exp Composition" sheetId="14" r:id="rId5"/>
    <sheet name="Haryana Rev &amp; Exp Comp. Contd." sheetId="16" r:id="rId6"/>
    <sheet name="Capital Outlay" sheetId="17" r:id="rId7"/>
    <sheet name="Regressions NSDP PC Har" sheetId="9" r:id="rId8"/>
    <sheet name="Regressions NSDP PC Ind" sheetId="13" r:id="rId9"/>
  </sheets>
  <definedNames>
    <definedName name="_xlchart.v1.0" hidden="1">'Haryana Rev &amp; Exp Composition'!$A$70:$A$88</definedName>
    <definedName name="_xlchart.v1.1" hidden="1">'Haryana Rev &amp; Exp Composition'!$B$69</definedName>
    <definedName name="_xlchart.v1.2" hidden="1">'Haryana Rev &amp; Exp Composition'!$B$70:$B$88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5" l="1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H170" i="16"/>
  <c r="H164" i="16"/>
  <c r="H165" i="16"/>
  <c r="H166" i="16"/>
  <c r="H167" i="16"/>
  <c r="H168" i="16"/>
  <c r="H169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C164" i="16"/>
  <c r="C165" i="16"/>
  <c r="C166" i="16"/>
  <c r="C167" i="16"/>
  <c r="C168" i="16"/>
  <c r="C169" i="16"/>
  <c r="C170" i="16"/>
  <c r="C171" i="16"/>
  <c r="C172" i="16"/>
  <c r="C173" i="16"/>
  <c r="M173" i="16" s="1"/>
  <c r="C174" i="16"/>
  <c r="C175" i="16"/>
  <c r="C176" i="16"/>
  <c r="C177" i="16"/>
  <c r="C178" i="16"/>
  <c r="C179" i="16"/>
  <c r="C180" i="16"/>
  <c r="C181" i="16"/>
  <c r="C182" i="16"/>
  <c r="B164" i="16"/>
  <c r="B165" i="16"/>
  <c r="B166" i="16"/>
  <c r="B167" i="16"/>
  <c r="B168" i="16"/>
  <c r="B169" i="16"/>
  <c r="B170" i="16"/>
  <c r="B171" i="16"/>
  <c r="B172" i="16"/>
  <c r="M172" i="16" s="1"/>
  <c r="B173" i="16"/>
  <c r="B174" i="16"/>
  <c r="B175" i="16"/>
  <c r="B176" i="16"/>
  <c r="B177" i="16"/>
  <c r="B178" i="16"/>
  <c r="B179" i="16"/>
  <c r="B180" i="16"/>
  <c r="B181" i="16"/>
  <c r="B182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P116" i="16" s="1"/>
  <c r="C117" i="16"/>
  <c r="C118" i="16"/>
  <c r="C119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C305" i="14"/>
  <c r="C313" i="14"/>
  <c r="G286" i="14"/>
  <c r="C308" i="14" s="1"/>
  <c r="F278" i="14"/>
  <c r="F279" i="14"/>
  <c r="F280" i="14"/>
  <c r="G280" i="14" s="1"/>
  <c r="F281" i="14"/>
  <c r="F282" i="14"/>
  <c r="F283" i="14"/>
  <c r="G283" i="14" s="1"/>
  <c r="B305" i="14" s="1"/>
  <c r="F284" i="14"/>
  <c r="F285" i="14"/>
  <c r="F286" i="14"/>
  <c r="F287" i="14"/>
  <c r="F288" i="14"/>
  <c r="F289" i="14"/>
  <c r="F290" i="14"/>
  <c r="F291" i="14"/>
  <c r="G291" i="14" s="1"/>
  <c r="F292" i="14"/>
  <c r="F293" i="14"/>
  <c r="F294" i="14"/>
  <c r="F295" i="14"/>
  <c r="F296" i="14"/>
  <c r="E278" i="14"/>
  <c r="E279" i="14"/>
  <c r="E280" i="14"/>
  <c r="B302" i="14" s="1"/>
  <c r="E281" i="14"/>
  <c r="E282" i="14"/>
  <c r="E283" i="14"/>
  <c r="E284" i="14"/>
  <c r="E285" i="14"/>
  <c r="E286" i="14"/>
  <c r="E287" i="14"/>
  <c r="E288" i="14"/>
  <c r="G288" i="14" s="1"/>
  <c r="E289" i="14"/>
  <c r="E290" i="14"/>
  <c r="E291" i="14"/>
  <c r="B313" i="14" s="1"/>
  <c r="E292" i="14"/>
  <c r="E293" i="14"/>
  <c r="E294" i="14"/>
  <c r="E295" i="14"/>
  <c r="G295" i="14" s="1"/>
  <c r="E296" i="14"/>
  <c r="G296" i="14" s="1"/>
  <c r="B318" i="14" s="1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189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9" i="15"/>
  <c r="H9" i="15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E103" i="14"/>
  <c r="G103" i="14" s="1"/>
  <c r="E102" i="14"/>
  <c r="F102" i="14" s="1"/>
  <c r="E101" i="14"/>
  <c r="F101" i="14" s="1"/>
  <c r="E100" i="14"/>
  <c r="F100" i="14" s="1"/>
  <c r="E99" i="14"/>
  <c r="H99" i="14" s="1"/>
  <c r="E98" i="14"/>
  <c r="H98" i="14" s="1"/>
  <c r="E97" i="14"/>
  <c r="G97" i="14" s="1"/>
  <c r="J33" i="14"/>
  <c r="J34" i="14"/>
  <c r="J35" i="14"/>
  <c r="J36" i="14"/>
  <c r="J37" i="14"/>
  <c r="J38" i="14"/>
  <c r="J39" i="14"/>
  <c r="J40" i="14"/>
  <c r="J41" i="14"/>
  <c r="J42" i="14"/>
  <c r="J43" i="14"/>
  <c r="J44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F26" i="14"/>
  <c r="H26" i="14" s="1"/>
  <c r="F27" i="14"/>
  <c r="H27" i="14" s="1"/>
  <c r="F28" i="14"/>
  <c r="J28" i="14" s="1"/>
  <c r="F29" i="14"/>
  <c r="I29" i="14" s="1"/>
  <c r="F30" i="14"/>
  <c r="I30" i="14" s="1"/>
  <c r="F31" i="14"/>
  <c r="G31" i="14" s="1"/>
  <c r="F32" i="14"/>
  <c r="J32" i="14" s="1"/>
  <c r="F9" i="14"/>
  <c r="E9" i="14"/>
  <c r="D20" i="14"/>
  <c r="D19" i="14"/>
  <c r="D18" i="14"/>
  <c r="D17" i="14"/>
  <c r="D16" i="14"/>
  <c r="D15" i="14"/>
  <c r="D14" i="14"/>
  <c r="D13" i="14"/>
  <c r="D12" i="14"/>
  <c r="D11" i="14"/>
  <c r="D10" i="14"/>
  <c r="D8" i="14"/>
  <c r="D7" i="14"/>
  <c r="D6" i="14"/>
  <c r="D5" i="14"/>
  <c r="D4" i="14"/>
  <c r="D3" i="14"/>
  <c r="D2" i="14"/>
  <c r="F2" i="8"/>
  <c r="F3" i="8"/>
  <c r="F4" i="8"/>
  <c r="F5" i="8"/>
  <c r="F6" i="8"/>
  <c r="F7" i="8"/>
  <c r="F8" i="8"/>
  <c r="F9" i="8"/>
  <c r="G9" i="8" s="1"/>
  <c r="H9" i="8" s="1"/>
  <c r="F10" i="8"/>
  <c r="G10" i="8" s="1"/>
  <c r="H10" i="8" s="1"/>
  <c r="F11" i="8"/>
  <c r="G11" i="8" s="1"/>
  <c r="H11" i="8" s="1"/>
  <c r="F12" i="8"/>
  <c r="G12" i="8" s="1"/>
  <c r="H12" i="8" s="1"/>
  <c r="F13" i="8"/>
  <c r="G13" i="8" s="1"/>
  <c r="H13" i="8" s="1"/>
  <c r="F14" i="8"/>
  <c r="G14" i="8" s="1"/>
  <c r="H14" i="8" s="1"/>
  <c r="F15" i="8"/>
  <c r="G15" i="8" s="1"/>
  <c r="H15" i="8" s="1"/>
  <c r="F16" i="8"/>
  <c r="G16" i="8" s="1"/>
  <c r="H16" i="8" s="1"/>
  <c r="F17" i="8"/>
  <c r="G17" i="8" s="1"/>
  <c r="H17" i="8" s="1"/>
  <c r="F18" i="8"/>
  <c r="G18" i="8" s="1"/>
  <c r="H18" i="8" s="1"/>
  <c r="F19" i="8"/>
  <c r="G19" i="8" s="1"/>
  <c r="H19" i="8" s="1"/>
  <c r="F20" i="8"/>
  <c r="G20" i="8" s="1"/>
  <c r="H20" i="8" s="1"/>
  <c r="D9" i="8"/>
  <c r="L9" i="8" s="1"/>
  <c r="P9" i="8" s="1"/>
  <c r="D10" i="8"/>
  <c r="M10" i="8" s="1"/>
  <c r="D11" i="8"/>
  <c r="L11" i="8" s="1"/>
  <c r="D12" i="8"/>
  <c r="M12" i="8" s="1"/>
  <c r="G12" i="15" s="1"/>
  <c r="D13" i="8"/>
  <c r="M13" i="8" s="1"/>
  <c r="Q13" i="8" s="1"/>
  <c r="D14" i="8"/>
  <c r="M14" i="8" s="1"/>
  <c r="O14" i="8" s="1"/>
  <c r="D15" i="8"/>
  <c r="L15" i="8" s="1"/>
  <c r="N15" i="8" s="1"/>
  <c r="D16" i="8"/>
  <c r="L16" i="8" s="1"/>
  <c r="N16" i="8" s="1"/>
  <c r="D17" i="8"/>
  <c r="L17" i="8" s="1"/>
  <c r="P17" i="8" s="1"/>
  <c r="D18" i="8"/>
  <c r="M18" i="8" s="1"/>
  <c r="D19" i="8"/>
  <c r="M19" i="8" s="1"/>
  <c r="D20" i="8"/>
  <c r="M20" i="8" s="1"/>
  <c r="G20" i="15" s="1"/>
  <c r="B8" i="8"/>
  <c r="B7" i="8"/>
  <c r="B6" i="8"/>
  <c r="B5" i="8"/>
  <c r="B4" i="8"/>
  <c r="B3" i="8"/>
  <c r="B2" i="8"/>
  <c r="H25" i="8"/>
  <c r="H26" i="8"/>
  <c r="C3" i="8" s="1"/>
  <c r="N26" i="9"/>
  <c r="P20" i="1"/>
  <c r="P19" i="1"/>
  <c r="P18" i="1"/>
  <c r="P17" i="1"/>
  <c r="P16" i="1"/>
  <c r="P15" i="1"/>
  <c r="P14" i="1"/>
  <c r="P13" i="1"/>
  <c r="P12" i="1"/>
  <c r="P11" i="1"/>
  <c r="P10" i="1"/>
  <c r="P8" i="1"/>
  <c r="P7" i="1"/>
  <c r="P6" i="1"/>
  <c r="P5" i="1"/>
  <c r="P4" i="1"/>
  <c r="P3" i="1"/>
  <c r="P2" i="1"/>
  <c r="M9" i="2"/>
  <c r="O9" i="2" s="1"/>
  <c r="R9" i="2" s="1"/>
  <c r="L9" i="2"/>
  <c r="Q9" i="2" s="1"/>
  <c r="K11" i="2"/>
  <c r="L11" i="2" s="1"/>
  <c r="P11" i="2" s="1"/>
  <c r="S11" i="2" s="1"/>
  <c r="K12" i="2"/>
  <c r="L12" i="2" s="1"/>
  <c r="P12" i="2" s="1"/>
  <c r="S12" i="2" s="1"/>
  <c r="K13" i="2"/>
  <c r="L13" i="2" s="1"/>
  <c r="P13" i="2" s="1"/>
  <c r="S13" i="2" s="1"/>
  <c r="K14" i="2"/>
  <c r="L14" i="2" s="1"/>
  <c r="P14" i="2" s="1"/>
  <c r="S14" i="2" s="1"/>
  <c r="K15" i="2"/>
  <c r="L15" i="2" s="1"/>
  <c r="P15" i="2" s="1"/>
  <c r="S15" i="2" s="1"/>
  <c r="K16" i="2"/>
  <c r="M16" i="2" s="1"/>
  <c r="O16" i="2" s="1"/>
  <c r="K16" i="15" s="1"/>
  <c r="K17" i="2"/>
  <c r="L17" i="2" s="1"/>
  <c r="P17" i="2" s="1"/>
  <c r="S17" i="2" s="1"/>
  <c r="K18" i="2"/>
  <c r="L18" i="2" s="1"/>
  <c r="P18" i="2" s="1"/>
  <c r="S18" i="2" s="1"/>
  <c r="K19" i="2"/>
  <c r="L19" i="2" s="1"/>
  <c r="P19" i="2" s="1"/>
  <c r="S19" i="2" s="1"/>
  <c r="K20" i="2"/>
  <c r="L20" i="2" s="1"/>
  <c r="P20" i="2" s="1"/>
  <c r="S20" i="2" s="1"/>
  <c r="K10" i="2"/>
  <c r="L10" i="2" s="1"/>
  <c r="P10" i="2" s="1"/>
  <c r="S10" i="2" s="1"/>
  <c r="K8" i="2"/>
  <c r="M8" i="2" s="1"/>
  <c r="O8" i="2" s="1"/>
  <c r="K8" i="15" s="1"/>
  <c r="K7" i="2"/>
  <c r="M7" i="2" s="1"/>
  <c r="O7" i="2" s="1"/>
  <c r="K7" i="15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T3" i="2" s="1"/>
  <c r="K2" i="2"/>
  <c r="M2" i="2" s="1"/>
  <c r="O2" i="2" s="1"/>
  <c r="T2" i="2" s="1"/>
  <c r="B8" i="2"/>
  <c r="F8" i="2" s="1"/>
  <c r="G8" i="2" s="1"/>
  <c r="B7" i="2"/>
  <c r="F7" i="2" s="1"/>
  <c r="G7" i="2" s="1"/>
  <c r="B6" i="2"/>
  <c r="F6" i="2" s="1"/>
  <c r="G6" i="2" s="1"/>
  <c r="B5" i="2"/>
  <c r="F5" i="2" s="1"/>
  <c r="G5" i="2" s="1"/>
  <c r="B4" i="2"/>
  <c r="F4" i="2" s="1"/>
  <c r="G4" i="2" s="1"/>
  <c r="B3" i="2"/>
  <c r="F3" i="2" s="1"/>
  <c r="G3" i="2" s="1"/>
  <c r="B2" i="2"/>
  <c r="F2" i="2" s="1"/>
  <c r="G2" i="2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B8" i="1"/>
  <c r="E8" i="1" s="1"/>
  <c r="F8" i="1" s="1"/>
  <c r="B7" i="1"/>
  <c r="E7" i="1" s="1"/>
  <c r="F7" i="1" s="1"/>
  <c r="B6" i="1"/>
  <c r="E6" i="1" s="1"/>
  <c r="F6" i="1" s="1"/>
  <c r="B5" i="1"/>
  <c r="E5" i="1" s="1"/>
  <c r="F5" i="1" s="1"/>
  <c r="B4" i="1"/>
  <c r="E4" i="1" s="1"/>
  <c r="F4" i="1" s="1"/>
  <c r="B3" i="1"/>
  <c r="E3" i="1" s="1"/>
  <c r="F3" i="1" s="1"/>
  <c r="B2" i="1"/>
  <c r="E2" i="1" s="1"/>
  <c r="F2" i="1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C24" i="1"/>
  <c r="C317" i="14" l="1"/>
  <c r="P107" i="16"/>
  <c r="K129" i="16" s="1"/>
  <c r="G279" i="14"/>
  <c r="C301" i="14" s="1"/>
  <c r="G28" i="14"/>
  <c r="H101" i="14"/>
  <c r="G284" i="14"/>
  <c r="B306" i="14" s="1"/>
  <c r="D306" i="14" s="1"/>
  <c r="B310" i="14"/>
  <c r="G292" i="14"/>
  <c r="C314" i="14" s="1"/>
  <c r="H194" i="16"/>
  <c r="M168" i="16"/>
  <c r="E190" i="16" s="1"/>
  <c r="G287" i="14"/>
  <c r="C309" i="14" s="1"/>
  <c r="P117" i="16"/>
  <c r="N139" i="16" s="1"/>
  <c r="P101" i="16"/>
  <c r="I195" i="16"/>
  <c r="C310" i="14"/>
  <c r="D129" i="16"/>
  <c r="O129" i="16"/>
  <c r="P104" i="16"/>
  <c r="B126" i="16" s="1"/>
  <c r="D190" i="16"/>
  <c r="D318" i="14"/>
  <c r="P112" i="16"/>
  <c r="B134" i="16" s="1"/>
  <c r="G195" i="16"/>
  <c r="D195" i="16"/>
  <c r="K195" i="16"/>
  <c r="F195" i="16"/>
  <c r="G293" i="14"/>
  <c r="C315" i="14" s="1"/>
  <c r="B138" i="16"/>
  <c r="O138" i="16"/>
  <c r="G138" i="16"/>
  <c r="J138" i="16"/>
  <c r="H190" i="16"/>
  <c r="L190" i="16"/>
  <c r="C129" i="16"/>
  <c r="F138" i="16"/>
  <c r="G285" i="14"/>
  <c r="C307" i="14" s="1"/>
  <c r="E138" i="16"/>
  <c r="H123" i="16"/>
  <c r="M138" i="16"/>
  <c r="G290" i="14"/>
  <c r="C312" i="14" s="1"/>
  <c r="G282" i="14"/>
  <c r="B304" i="14" s="1"/>
  <c r="C131" i="16"/>
  <c r="B123" i="16"/>
  <c r="M123" i="16"/>
  <c r="J123" i="16"/>
  <c r="E123" i="16"/>
  <c r="J194" i="16"/>
  <c r="D194" i="16"/>
  <c r="I123" i="16"/>
  <c r="K137" i="16"/>
  <c r="E19" i="15"/>
  <c r="D11" i="15"/>
  <c r="B316" i="14"/>
  <c r="D316" i="14" s="1"/>
  <c r="B308" i="14"/>
  <c r="D308" i="14" s="1"/>
  <c r="B300" i="14"/>
  <c r="D300" i="14" s="1"/>
  <c r="M175" i="16"/>
  <c r="C197" i="16" s="1"/>
  <c r="B315" i="14"/>
  <c r="C318" i="14"/>
  <c r="C302" i="14"/>
  <c r="D302" i="14" s="1"/>
  <c r="D313" i="14"/>
  <c r="B129" i="16"/>
  <c r="P115" i="16"/>
  <c r="C137" i="16" s="1"/>
  <c r="M174" i="16"/>
  <c r="I196" i="16" s="1"/>
  <c r="I190" i="16"/>
  <c r="H197" i="16"/>
  <c r="P114" i="16"/>
  <c r="O136" i="16" s="1"/>
  <c r="P106" i="16"/>
  <c r="E128" i="16" s="1"/>
  <c r="D134" i="16"/>
  <c r="D126" i="16"/>
  <c r="G135" i="16"/>
  <c r="H138" i="16"/>
  <c r="I125" i="16"/>
  <c r="K123" i="16"/>
  <c r="L134" i="16"/>
  <c r="M129" i="16"/>
  <c r="P109" i="16"/>
  <c r="H131" i="16" s="1"/>
  <c r="C123" i="16"/>
  <c r="B195" i="16"/>
  <c r="M165" i="16"/>
  <c r="E188" i="16"/>
  <c r="G194" i="16"/>
  <c r="H187" i="16"/>
  <c r="P113" i="16"/>
  <c r="O135" i="16" s="1"/>
  <c r="P105" i="16"/>
  <c r="C138" i="16"/>
  <c r="D133" i="16"/>
  <c r="D125" i="16"/>
  <c r="F131" i="16"/>
  <c r="F123" i="16"/>
  <c r="I132" i="16"/>
  <c r="J135" i="16"/>
  <c r="K138" i="16"/>
  <c r="L125" i="16"/>
  <c r="N123" i="16"/>
  <c r="P108" i="16"/>
  <c r="D130" i="16" s="1"/>
  <c r="M180" i="16"/>
  <c r="K202" i="16" s="1"/>
  <c r="B194" i="16"/>
  <c r="B186" i="16"/>
  <c r="M164" i="16"/>
  <c r="L186" i="16" s="1"/>
  <c r="M167" i="16"/>
  <c r="E195" i="16"/>
  <c r="E187" i="16"/>
  <c r="F190" i="16"/>
  <c r="K194" i="16"/>
  <c r="K186" i="16"/>
  <c r="H195" i="16"/>
  <c r="G289" i="14"/>
  <c r="B311" i="14" s="1"/>
  <c r="G281" i="14"/>
  <c r="B303" i="14" s="1"/>
  <c r="D305" i="14"/>
  <c r="P119" i="16"/>
  <c r="L141" i="16" s="1"/>
  <c r="P111" i="16"/>
  <c r="L133" i="16" s="1"/>
  <c r="P103" i="16"/>
  <c r="E125" i="16" s="1"/>
  <c r="D123" i="16"/>
  <c r="E134" i="16"/>
  <c r="E126" i="16"/>
  <c r="F129" i="16"/>
  <c r="H135" i="16"/>
  <c r="I138" i="16"/>
  <c r="J125" i="16"/>
  <c r="K128" i="16"/>
  <c r="L123" i="16"/>
  <c r="M134" i="16"/>
  <c r="N137" i="16"/>
  <c r="N129" i="16"/>
  <c r="M170" i="16"/>
  <c r="D192" i="16" s="1"/>
  <c r="I194" i="16"/>
  <c r="I186" i="16"/>
  <c r="J189" i="16"/>
  <c r="L195" i="16"/>
  <c r="F194" i="16"/>
  <c r="G294" i="14"/>
  <c r="C316" i="14" s="1"/>
  <c r="P118" i="16"/>
  <c r="D140" i="16" s="1"/>
  <c r="P110" i="16"/>
  <c r="L132" i="16" s="1"/>
  <c r="P102" i="16"/>
  <c r="K124" i="16" s="1"/>
  <c r="C127" i="16"/>
  <c r="D138" i="16"/>
  <c r="E133" i="16"/>
  <c r="G123" i="16"/>
  <c r="I137" i="16"/>
  <c r="I129" i="16"/>
  <c r="J132" i="16"/>
  <c r="L138" i="16"/>
  <c r="M125" i="16"/>
  <c r="O123" i="16"/>
  <c r="L194" i="16"/>
  <c r="C195" i="16"/>
  <c r="H136" i="16"/>
  <c r="J134" i="16"/>
  <c r="M135" i="16"/>
  <c r="N138" i="16"/>
  <c r="M182" i="16"/>
  <c r="E204" i="16" s="1"/>
  <c r="M166" i="16"/>
  <c r="F188" i="16" s="1"/>
  <c r="E194" i="16"/>
  <c r="F197" i="16"/>
  <c r="B317" i="14"/>
  <c r="D317" i="14" s="1"/>
  <c r="B309" i="14"/>
  <c r="B301" i="14"/>
  <c r="G278" i="14"/>
  <c r="C300" i="14" s="1"/>
  <c r="C306" i="14"/>
  <c r="C134" i="16"/>
  <c r="I192" i="16"/>
  <c r="J195" i="16"/>
  <c r="J187" i="16"/>
  <c r="K190" i="16"/>
  <c r="C194" i="16"/>
  <c r="M179" i="16"/>
  <c r="B201" i="16" s="1"/>
  <c r="M171" i="16"/>
  <c r="E193" i="16" s="1"/>
  <c r="M178" i="16"/>
  <c r="K200" i="16" s="1"/>
  <c r="K4" i="15"/>
  <c r="E18" i="15"/>
  <c r="O10" i="8"/>
  <c r="M181" i="16"/>
  <c r="L203" i="16" s="1"/>
  <c r="M177" i="16"/>
  <c r="L199" i="16" s="1"/>
  <c r="M169" i="16"/>
  <c r="K191" i="16" s="1"/>
  <c r="K5" i="15"/>
  <c r="O155" i="14"/>
  <c r="O147" i="14"/>
  <c r="G169" i="14" s="1"/>
  <c r="M176" i="16"/>
  <c r="C198" i="16" s="1"/>
  <c r="O154" i="14"/>
  <c r="B176" i="14" s="1"/>
  <c r="O146" i="14"/>
  <c r="B168" i="14" s="1"/>
  <c r="E168" i="14"/>
  <c r="E176" i="14"/>
  <c r="O160" i="14"/>
  <c r="C182" i="14" s="1"/>
  <c r="O161" i="14"/>
  <c r="B183" i="14" s="1"/>
  <c r="O145" i="14"/>
  <c r="B167" i="14" s="1"/>
  <c r="O159" i="14"/>
  <c r="D181" i="14" s="1"/>
  <c r="F184" i="14"/>
  <c r="F168" i="14"/>
  <c r="O149" i="14"/>
  <c r="C171" i="14" s="1"/>
  <c r="O152" i="14"/>
  <c r="D174" i="14" s="1"/>
  <c r="O144" i="14"/>
  <c r="F166" i="14" s="1"/>
  <c r="E183" i="14"/>
  <c r="O162" i="14"/>
  <c r="B184" i="14" s="1"/>
  <c r="C176" i="14"/>
  <c r="O153" i="14"/>
  <c r="G175" i="14" s="1"/>
  <c r="O151" i="14"/>
  <c r="C173" i="14" s="1"/>
  <c r="O157" i="14"/>
  <c r="G179" i="14" s="1"/>
  <c r="H28" i="14"/>
  <c r="G101" i="14"/>
  <c r="I101" i="14" s="1"/>
  <c r="D123" i="14" s="1"/>
  <c r="F182" i="14"/>
  <c r="E177" i="14"/>
  <c r="B177" i="14"/>
  <c r="G177" i="14"/>
  <c r="D177" i="14"/>
  <c r="F177" i="14"/>
  <c r="B171" i="14"/>
  <c r="G183" i="14"/>
  <c r="D183" i="14"/>
  <c r="F181" i="14"/>
  <c r="C181" i="14"/>
  <c r="Q20" i="8"/>
  <c r="Q12" i="8"/>
  <c r="B9" i="15"/>
  <c r="F11" i="15"/>
  <c r="B13" i="15"/>
  <c r="F15" i="15"/>
  <c r="B17" i="15"/>
  <c r="H2" i="15"/>
  <c r="H6" i="15"/>
  <c r="H10" i="15"/>
  <c r="H14" i="15"/>
  <c r="H18" i="15"/>
  <c r="J11" i="15"/>
  <c r="J15" i="15"/>
  <c r="J19" i="15"/>
  <c r="L4" i="15"/>
  <c r="L8" i="15"/>
  <c r="L16" i="15"/>
  <c r="O158" i="14"/>
  <c r="D180" i="14" s="1"/>
  <c r="O150" i="14"/>
  <c r="G172" i="14" s="1"/>
  <c r="I28" i="14"/>
  <c r="F103" i="14"/>
  <c r="P16" i="8"/>
  <c r="C9" i="15"/>
  <c r="E10" i="15"/>
  <c r="C13" i="15"/>
  <c r="E14" i="15"/>
  <c r="C17" i="15"/>
  <c r="G19" i="15"/>
  <c r="I2" i="15"/>
  <c r="I6" i="15"/>
  <c r="I10" i="15"/>
  <c r="I14" i="15"/>
  <c r="I18" i="15"/>
  <c r="K3" i="15"/>
  <c r="M12" i="15"/>
  <c r="M20" i="15"/>
  <c r="C177" i="14"/>
  <c r="C169" i="14"/>
  <c r="F98" i="14"/>
  <c r="Q19" i="8"/>
  <c r="D9" i="15"/>
  <c r="B12" i="15"/>
  <c r="B16" i="15"/>
  <c r="D17" i="15"/>
  <c r="B20" i="15"/>
  <c r="H3" i="15"/>
  <c r="H7" i="15"/>
  <c r="H11" i="15"/>
  <c r="H15" i="15"/>
  <c r="H19" i="15"/>
  <c r="J12" i="15"/>
  <c r="J20" i="15"/>
  <c r="L5" i="15"/>
  <c r="L9" i="15"/>
  <c r="O156" i="14"/>
  <c r="D178" i="14" s="1"/>
  <c r="O148" i="14"/>
  <c r="F170" i="14" s="1"/>
  <c r="O18" i="8"/>
  <c r="P15" i="8"/>
  <c r="P11" i="8"/>
  <c r="G10" i="15"/>
  <c r="C12" i="15"/>
  <c r="E13" i="15"/>
  <c r="G14" i="15"/>
  <c r="C16" i="15"/>
  <c r="G18" i="15"/>
  <c r="C20" i="15"/>
  <c r="I3" i="15"/>
  <c r="I7" i="15"/>
  <c r="I11" i="15"/>
  <c r="I15" i="15"/>
  <c r="I19" i="15"/>
  <c r="M9" i="15"/>
  <c r="M13" i="15"/>
  <c r="M17" i="15"/>
  <c r="C183" i="14"/>
  <c r="C167" i="14"/>
  <c r="E181" i="14"/>
  <c r="E173" i="14"/>
  <c r="Q18" i="8"/>
  <c r="Q14" i="8"/>
  <c r="Q10" i="8"/>
  <c r="F9" i="15"/>
  <c r="B11" i="15"/>
  <c r="B15" i="15"/>
  <c r="D16" i="15"/>
  <c r="F17" i="15"/>
  <c r="B19" i="15"/>
  <c r="H4" i="15"/>
  <c r="H8" i="15"/>
  <c r="H12" i="15"/>
  <c r="H16" i="15"/>
  <c r="H20" i="15"/>
  <c r="J9" i="15"/>
  <c r="J13" i="15"/>
  <c r="J17" i="15"/>
  <c r="L2" i="15"/>
  <c r="L6" i="15"/>
  <c r="R6" i="2"/>
  <c r="H97" i="14"/>
  <c r="C11" i="15"/>
  <c r="E12" i="15"/>
  <c r="G13" i="15"/>
  <c r="C15" i="15"/>
  <c r="C19" i="15"/>
  <c r="E20" i="15"/>
  <c r="I4" i="15"/>
  <c r="I8" i="15"/>
  <c r="I12" i="15"/>
  <c r="I16" i="15"/>
  <c r="I20" i="15"/>
  <c r="K9" i="15"/>
  <c r="M10" i="15"/>
  <c r="M14" i="15"/>
  <c r="M18" i="15"/>
  <c r="D168" i="14"/>
  <c r="L19" i="8"/>
  <c r="B10" i="15"/>
  <c r="B14" i="15"/>
  <c r="D15" i="15"/>
  <c r="F16" i="15"/>
  <c r="B18" i="15"/>
  <c r="H5" i="15"/>
  <c r="H13" i="15"/>
  <c r="H17" i="15"/>
  <c r="J10" i="15"/>
  <c r="J14" i="15"/>
  <c r="J18" i="15"/>
  <c r="L3" i="15"/>
  <c r="L7" i="15"/>
  <c r="I108" i="14"/>
  <c r="B130" i="14" s="1"/>
  <c r="M11" i="8"/>
  <c r="O11" i="8" s="1"/>
  <c r="C10" i="15"/>
  <c r="C14" i="15"/>
  <c r="C18" i="15"/>
  <c r="I5" i="15"/>
  <c r="I13" i="15"/>
  <c r="I17" i="15"/>
  <c r="K2" i="15"/>
  <c r="K6" i="15"/>
  <c r="M11" i="15"/>
  <c r="M15" i="15"/>
  <c r="M19" i="15"/>
  <c r="G102" i="14"/>
  <c r="I111" i="14"/>
  <c r="B133" i="14" s="1"/>
  <c r="H102" i="14"/>
  <c r="I110" i="14"/>
  <c r="B132" i="14" s="1"/>
  <c r="I109" i="14"/>
  <c r="B131" i="14" s="1"/>
  <c r="F99" i="14"/>
  <c r="G100" i="14"/>
  <c r="J31" i="14"/>
  <c r="H103" i="14"/>
  <c r="O12" i="8"/>
  <c r="M9" i="8"/>
  <c r="O13" i="8"/>
  <c r="O20" i="8"/>
  <c r="O19" i="8"/>
  <c r="N17" i="8"/>
  <c r="N11" i="8"/>
  <c r="N9" i="8"/>
  <c r="M15" i="8"/>
  <c r="L13" i="8"/>
  <c r="L12" i="8"/>
  <c r="M17" i="8"/>
  <c r="L14" i="8"/>
  <c r="L20" i="8"/>
  <c r="M16" i="8"/>
  <c r="L18" i="8"/>
  <c r="L10" i="8"/>
  <c r="K37" i="14"/>
  <c r="E59" i="14" s="1"/>
  <c r="C58" i="14"/>
  <c r="I115" i="14"/>
  <c r="D137" i="14" s="1"/>
  <c r="I107" i="14"/>
  <c r="D129" i="14" s="1"/>
  <c r="K44" i="14"/>
  <c r="E66" i="14" s="1"/>
  <c r="K36" i="14"/>
  <c r="E58" i="14" s="1"/>
  <c r="F97" i="14"/>
  <c r="I114" i="14"/>
  <c r="B136" i="14" s="1"/>
  <c r="I106" i="14"/>
  <c r="B128" i="14" s="1"/>
  <c r="K43" i="14"/>
  <c r="E65" i="14" s="1"/>
  <c r="K35" i="14"/>
  <c r="C57" i="14" s="1"/>
  <c r="G99" i="14"/>
  <c r="I113" i="14"/>
  <c r="C135" i="14" s="1"/>
  <c r="I105" i="14"/>
  <c r="C127" i="14" s="1"/>
  <c r="G98" i="14"/>
  <c r="I112" i="14"/>
  <c r="C134" i="14" s="1"/>
  <c r="I104" i="14"/>
  <c r="C126" i="14" s="1"/>
  <c r="H32" i="14"/>
  <c r="H100" i="14"/>
  <c r="R8" i="2"/>
  <c r="G32" i="14"/>
  <c r="G30" i="14"/>
  <c r="R4" i="2"/>
  <c r="T4" i="2"/>
  <c r="R16" i="2"/>
  <c r="T16" i="2"/>
  <c r="F3" i="14"/>
  <c r="F7" i="14"/>
  <c r="F11" i="14"/>
  <c r="F15" i="14"/>
  <c r="F19" i="14"/>
  <c r="K42" i="14"/>
  <c r="E64" i="14" s="1"/>
  <c r="K34" i="14"/>
  <c r="R5" i="2"/>
  <c r="E4" i="14"/>
  <c r="E8" i="14"/>
  <c r="E12" i="14"/>
  <c r="E16" i="14"/>
  <c r="E20" i="14"/>
  <c r="G29" i="14"/>
  <c r="I27" i="14"/>
  <c r="J30" i="14"/>
  <c r="K41" i="14"/>
  <c r="E63" i="14" s="1"/>
  <c r="K33" i="14"/>
  <c r="C55" i="14" s="1"/>
  <c r="F4" i="14"/>
  <c r="F8" i="14"/>
  <c r="F12" i="14"/>
  <c r="F16" i="14"/>
  <c r="F20" i="14"/>
  <c r="H31" i="14"/>
  <c r="I26" i="14"/>
  <c r="J29" i="14"/>
  <c r="K40" i="14"/>
  <c r="C62" i="14" s="1"/>
  <c r="R7" i="2"/>
  <c r="T9" i="2"/>
  <c r="E5" i="14"/>
  <c r="E13" i="14"/>
  <c r="E17" i="14"/>
  <c r="G27" i="14"/>
  <c r="H30" i="14"/>
  <c r="K39" i="14"/>
  <c r="E61" i="14" s="1"/>
  <c r="T8" i="2"/>
  <c r="F5" i="14"/>
  <c r="F13" i="14"/>
  <c r="F17" i="14"/>
  <c r="G26" i="14"/>
  <c r="H29" i="14"/>
  <c r="I32" i="14"/>
  <c r="J27" i="14"/>
  <c r="K38" i="14"/>
  <c r="E60" i="14" s="1"/>
  <c r="D3" i="8"/>
  <c r="T7" i="2"/>
  <c r="E2" i="14"/>
  <c r="E6" i="14"/>
  <c r="E10" i="14"/>
  <c r="E14" i="14"/>
  <c r="E18" i="14"/>
  <c r="I31" i="14"/>
  <c r="J26" i="14"/>
  <c r="R2" i="2"/>
  <c r="T6" i="2"/>
  <c r="F2" i="14"/>
  <c r="F6" i="14"/>
  <c r="F10" i="14"/>
  <c r="F14" i="14"/>
  <c r="F18" i="14"/>
  <c r="R3" i="2"/>
  <c r="T5" i="2"/>
  <c r="E3" i="14"/>
  <c r="E7" i="14"/>
  <c r="E11" i="14"/>
  <c r="E15" i="14"/>
  <c r="E19" i="14"/>
  <c r="L8" i="2"/>
  <c r="L2" i="2"/>
  <c r="P9" i="2"/>
  <c r="S9" i="2" s="1"/>
  <c r="L16" i="2"/>
  <c r="N9" i="2"/>
  <c r="Q17" i="2"/>
  <c r="Q15" i="2"/>
  <c r="Q14" i="2"/>
  <c r="Q13" i="2"/>
  <c r="C8" i="8"/>
  <c r="G3" i="8"/>
  <c r="H3" i="8" s="1"/>
  <c r="C6" i="8"/>
  <c r="C7" i="8"/>
  <c r="C4" i="8"/>
  <c r="C5" i="8"/>
  <c r="C2" i="8"/>
  <c r="L6" i="2"/>
  <c r="L5" i="2"/>
  <c r="Q20" i="2"/>
  <c r="Q12" i="2"/>
  <c r="L7" i="2"/>
  <c r="L4" i="2"/>
  <c r="Q19" i="2"/>
  <c r="Q11" i="2"/>
  <c r="L3" i="2"/>
  <c r="Q18" i="2"/>
  <c r="Q10" i="2"/>
  <c r="M17" i="2"/>
  <c r="L17" i="15" s="1"/>
  <c r="M15" i="2"/>
  <c r="L15" i="15" s="1"/>
  <c r="M14" i="2"/>
  <c r="L14" i="15" s="1"/>
  <c r="M20" i="2"/>
  <c r="L20" i="15" s="1"/>
  <c r="M13" i="2"/>
  <c r="M12" i="2"/>
  <c r="L12" i="15" s="1"/>
  <c r="M19" i="2"/>
  <c r="L19" i="15" s="1"/>
  <c r="M11" i="2"/>
  <c r="L11" i="15" s="1"/>
  <c r="M18" i="2"/>
  <c r="L18" i="15" s="1"/>
  <c r="M10" i="2"/>
  <c r="L10" i="15" s="1"/>
  <c r="D309" i="14" l="1"/>
  <c r="C204" i="16"/>
  <c r="I131" i="16"/>
  <c r="I193" i="16"/>
  <c r="F139" i="16"/>
  <c r="H204" i="16"/>
  <c r="J128" i="16"/>
  <c r="C139" i="16"/>
  <c r="B312" i="14"/>
  <c r="C303" i="14"/>
  <c r="D303" i="14" s="1"/>
  <c r="J139" i="16"/>
  <c r="K193" i="16"/>
  <c r="J204" i="16"/>
  <c r="B193" i="16"/>
  <c r="I139" i="16"/>
  <c r="K192" i="16"/>
  <c r="J141" i="16"/>
  <c r="D57" i="14"/>
  <c r="H139" i="16"/>
  <c r="I204" i="16"/>
  <c r="L129" i="16"/>
  <c r="L193" i="16"/>
  <c r="O131" i="16"/>
  <c r="H126" i="16"/>
  <c r="M126" i="16"/>
  <c r="D131" i="16"/>
  <c r="F199" i="16"/>
  <c r="I141" i="16"/>
  <c r="E57" i="14"/>
  <c r="I102" i="14"/>
  <c r="B124" i="14" s="1"/>
  <c r="G168" i="14"/>
  <c r="H168" i="14" s="1"/>
  <c r="O141" i="16"/>
  <c r="O139" i="16"/>
  <c r="J197" i="16"/>
  <c r="D139" i="16"/>
  <c r="O126" i="16"/>
  <c r="H129" i="16"/>
  <c r="M137" i="16"/>
  <c r="E139" i="16"/>
  <c r="P139" i="16" s="1"/>
  <c r="J129" i="16"/>
  <c r="B190" i="16"/>
  <c r="G129" i="16"/>
  <c r="D301" i="14"/>
  <c r="K139" i="16"/>
  <c r="C126" i="16"/>
  <c r="B57" i="14"/>
  <c r="F57" i="14" s="1"/>
  <c r="F175" i="14"/>
  <c r="C168" i="14"/>
  <c r="E202" i="16"/>
  <c r="G131" i="16"/>
  <c r="G132" i="16"/>
  <c r="C136" i="16"/>
  <c r="H203" i="16"/>
  <c r="H137" i="16"/>
  <c r="M139" i="16"/>
  <c r="I126" i="16"/>
  <c r="D310" i="14"/>
  <c r="D175" i="14"/>
  <c r="G181" i="14"/>
  <c r="C304" i="14"/>
  <c r="D304" i="14" s="1"/>
  <c r="D191" i="16"/>
  <c r="L202" i="16"/>
  <c r="G139" i="16"/>
  <c r="L131" i="16"/>
  <c r="L197" i="16"/>
  <c r="N131" i="16"/>
  <c r="G126" i="16"/>
  <c r="C190" i="16"/>
  <c r="E129" i="16"/>
  <c r="B139" i="16"/>
  <c r="G190" i="16"/>
  <c r="M190" i="16" s="1"/>
  <c r="J190" i="16"/>
  <c r="G173" i="14"/>
  <c r="F173" i="14"/>
  <c r="J203" i="16"/>
  <c r="K135" i="16"/>
  <c r="I202" i="16"/>
  <c r="L139" i="16"/>
  <c r="F137" i="16"/>
  <c r="B135" i="16"/>
  <c r="K131" i="16"/>
  <c r="E137" i="16"/>
  <c r="J193" i="16"/>
  <c r="B307" i="14"/>
  <c r="D307" i="14" s="1"/>
  <c r="B314" i="14"/>
  <c r="D314" i="14" s="1"/>
  <c r="B55" i="14"/>
  <c r="I103" i="14"/>
  <c r="B125" i="14" s="1"/>
  <c r="D167" i="14"/>
  <c r="I191" i="16"/>
  <c r="C191" i="16"/>
  <c r="H191" i="16"/>
  <c r="E191" i="16"/>
  <c r="G191" i="16"/>
  <c r="B191" i="16"/>
  <c r="F201" i="16"/>
  <c r="C201" i="16"/>
  <c r="E201" i="16"/>
  <c r="H201" i="16"/>
  <c r="C196" i="16"/>
  <c r="G201" i="16"/>
  <c r="K189" i="16"/>
  <c r="E189" i="16"/>
  <c r="B189" i="16"/>
  <c r="G189" i="16"/>
  <c r="I189" i="16"/>
  <c r="D189" i="16"/>
  <c r="B130" i="16"/>
  <c r="O130" i="16"/>
  <c r="G130" i="16"/>
  <c r="M130" i="16"/>
  <c r="J130" i="16"/>
  <c r="L127" i="16"/>
  <c r="I127" i="16"/>
  <c r="D127" i="16"/>
  <c r="N127" i="16"/>
  <c r="F127" i="16"/>
  <c r="D201" i="16"/>
  <c r="O127" i="16"/>
  <c r="L124" i="16"/>
  <c r="L135" i="16"/>
  <c r="E130" i="16"/>
  <c r="E135" i="16"/>
  <c r="B200" i="16"/>
  <c r="B169" i="14"/>
  <c r="H169" i="14" s="1"/>
  <c r="G167" i="14"/>
  <c r="E169" i="14"/>
  <c r="F176" i="14"/>
  <c r="B175" i="14"/>
  <c r="I199" i="16"/>
  <c r="C199" i="16"/>
  <c r="H199" i="16"/>
  <c r="B199" i="16"/>
  <c r="E199" i="16"/>
  <c r="G199" i="16"/>
  <c r="E186" i="16"/>
  <c r="B204" i="16"/>
  <c r="G204" i="16"/>
  <c r="D204" i="16"/>
  <c r="F204" i="16"/>
  <c r="M133" i="16"/>
  <c r="J140" i="16"/>
  <c r="F128" i="16"/>
  <c r="C135" i="16"/>
  <c r="L192" i="16"/>
  <c r="F192" i="16"/>
  <c r="C192" i="16"/>
  <c r="E192" i="16"/>
  <c r="H192" i="16"/>
  <c r="J192" i="16"/>
  <c r="B192" i="16"/>
  <c r="I130" i="16"/>
  <c r="H125" i="16"/>
  <c r="K125" i="16"/>
  <c r="N125" i="16"/>
  <c r="F125" i="16"/>
  <c r="C125" i="16"/>
  <c r="B125" i="16"/>
  <c r="L189" i="16"/>
  <c r="C189" i="16"/>
  <c r="I140" i="16"/>
  <c r="B127" i="16"/>
  <c r="G202" i="16"/>
  <c r="H130" i="16"/>
  <c r="H188" i="16"/>
  <c r="J201" i="16"/>
  <c r="L140" i="16"/>
  <c r="H202" i="16"/>
  <c r="D312" i="14"/>
  <c r="J199" i="16"/>
  <c r="L204" i="16"/>
  <c r="K126" i="16"/>
  <c r="N126" i="16"/>
  <c r="F126" i="16"/>
  <c r="E167" i="14"/>
  <c r="G203" i="16"/>
  <c r="D203" i="16"/>
  <c r="K203" i="16"/>
  <c r="C203" i="16"/>
  <c r="F203" i="16"/>
  <c r="I200" i="16"/>
  <c r="I201" i="16"/>
  <c r="M141" i="16"/>
  <c r="F136" i="16"/>
  <c r="B124" i="16"/>
  <c r="M124" i="16"/>
  <c r="E124" i="16"/>
  <c r="H124" i="16"/>
  <c r="O124" i="16"/>
  <c r="H133" i="16"/>
  <c r="C133" i="16"/>
  <c r="K133" i="16"/>
  <c r="B133" i="16"/>
  <c r="N133" i="16"/>
  <c r="F198" i="16"/>
  <c r="O134" i="16"/>
  <c r="E136" i="16"/>
  <c r="N135" i="16"/>
  <c r="F135" i="16"/>
  <c r="I135" i="16"/>
  <c r="D135" i="16"/>
  <c r="F191" i="16"/>
  <c r="N124" i="16"/>
  <c r="C124" i="16"/>
  <c r="K201" i="16"/>
  <c r="I188" i="16"/>
  <c r="H198" i="16"/>
  <c r="E198" i="16"/>
  <c r="B198" i="16"/>
  <c r="D198" i="16"/>
  <c r="G198" i="16"/>
  <c r="L198" i="16"/>
  <c r="L201" i="16"/>
  <c r="L130" i="16"/>
  <c r="E132" i="16"/>
  <c r="H132" i="16"/>
  <c r="K132" i="16"/>
  <c r="B132" i="16"/>
  <c r="M132" i="16"/>
  <c r="O132" i="16"/>
  <c r="H127" i="16"/>
  <c r="K141" i="16"/>
  <c r="F141" i="16"/>
  <c r="B141" i="16"/>
  <c r="C141" i="16"/>
  <c r="H141" i="16"/>
  <c r="J186" i="16"/>
  <c r="D186" i="16"/>
  <c r="C186" i="16"/>
  <c r="F186" i="16"/>
  <c r="K130" i="16"/>
  <c r="G187" i="16"/>
  <c r="D187" i="16"/>
  <c r="K187" i="16"/>
  <c r="F187" i="16"/>
  <c r="C187" i="16"/>
  <c r="N132" i="16"/>
  <c r="G127" i="16"/>
  <c r="L191" i="16"/>
  <c r="I198" i="16"/>
  <c r="H186" i="16"/>
  <c r="C132" i="16"/>
  <c r="L188" i="16"/>
  <c r="N134" i="16"/>
  <c r="I134" i="16"/>
  <c r="F134" i="16"/>
  <c r="P134" i="16" s="1"/>
  <c r="K134" i="16"/>
  <c r="B140" i="16"/>
  <c r="M140" i="16"/>
  <c r="C140" i="16"/>
  <c r="H140" i="16"/>
  <c r="K140" i="16"/>
  <c r="E140" i="16"/>
  <c r="O140" i="16"/>
  <c r="M195" i="16"/>
  <c r="N140" i="16"/>
  <c r="I128" i="16"/>
  <c r="L128" i="16"/>
  <c r="D128" i="16"/>
  <c r="G128" i="16"/>
  <c r="B196" i="16"/>
  <c r="G196" i="16"/>
  <c r="D196" i="16"/>
  <c r="F196" i="16"/>
  <c r="D315" i="14"/>
  <c r="H128" i="16"/>
  <c r="O128" i="16"/>
  <c r="P138" i="16"/>
  <c r="I187" i="16"/>
  <c r="B179" i="14"/>
  <c r="F169" i="14"/>
  <c r="D182" i="14"/>
  <c r="B173" i="14"/>
  <c r="K198" i="16"/>
  <c r="G192" i="16"/>
  <c r="D199" i="16"/>
  <c r="O125" i="16"/>
  <c r="K199" i="16"/>
  <c r="K127" i="16"/>
  <c r="H134" i="16"/>
  <c r="E141" i="16"/>
  <c r="K136" i="16"/>
  <c r="G124" i="16"/>
  <c r="E203" i="16"/>
  <c r="M194" i="16"/>
  <c r="J127" i="16"/>
  <c r="G134" i="16"/>
  <c r="D141" i="16"/>
  <c r="H196" i="16"/>
  <c r="E196" i="16"/>
  <c r="B203" i="16"/>
  <c r="J136" i="16"/>
  <c r="F124" i="16"/>
  <c r="B128" i="16"/>
  <c r="K188" i="16"/>
  <c r="L137" i="16"/>
  <c r="D137" i="16"/>
  <c r="O137" i="16"/>
  <c r="J137" i="16"/>
  <c r="G137" i="16"/>
  <c r="K197" i="16"/>
  <c r="E197" i="16"/>
  <c r="B197" i="16"/>
  <c r="D197" i="16"/>
  <c r="G197" i="16"/>
  <c r="I197" i="16"/>
  <c r="O133" i="16"/>
  <c r="G125" i="16"/>
  <c r="P123" i="16"/>
  <c r="F130" i="16"/>
  <c r="L196" i="16"/>
  <c r="J198" i="16"/>
  <c r="J126" i="16"/>
  <c r="D169" i="14"/>
  <c r="L200" i="16"/>
  <c r="F200" i="16"/>
  <c r="C200" i="16"/>
  <c r="J200" i="16"/>
  <c r="E200" i="16"/>
  <c r="H200" i="16"/>
  <c r="G200" i="16"/>
  <c r="B188" i="16"/>
  <c r="G188" i="16"/>
  <c r="D188" i="16"/>
  <c r="J188" i="16"/>
  <c r="N128" i="16"/>
  <c r="J191" i="16"/>
  <c r="J202" i="16"/>
  <c r="D202" i="16"/>
  <c r="F202" i="16"/>
  <c r="C202" i="16"/>
  <c r="M128" i="16"/>
  <c r="C130" i="16"/>
  <c r="F132" i="16"/>
  <c r="D136" i="16"/>
  <c r="I136" i="16"/>
  <c r="L136" i="16"/>
  <c r="K196" i="16"/>
  <c r="P129" i="16"/>
  <c r="N130" i="16"/>
  <c r="H189" i="16"/>
  <c r="N141" i="16"/>
  <c r="G136" i="16"/>
  <c r="I203" i="16"/>
  <c r="E127" i="16"/>
  <c r="C178" i="14"/>
  <c r="B59" i="14"/>
  <c r="C59" i="14"/>
  <c r="G176" i="14"/>
  <c r="D176" i="14"/>
  <c r="C175" i="14"/>
  <c r="H175" i="14" s="1"/>
  <c r="F167" i="14"/>
  <c r="E174" i="14"/>
  <c r="K28" i="14"/>
  <c r="E50" i="14" s="1"/>
  <c r="E175" i="14"/>
  <c r="B187" i="16"/>
  <c r="F193" i="16"/>
  <c r="H193" i="16"/>
  <c r="C193" i="16"/>
  <c r="F189" i="16"/>
  <c r="C188" i="16"/>
  <c r="G133" i="16"/>
  <c r="J196" i="16"/>
  <c r="N136" i="16"/>
  <c r="J124" i="16"/>
  <c r="L187" i="16"/>
  <c r="J133" i="16"/>
  <c r="G140" i="16"/>
  <c r="C128" i="16"/>
  <c r="G193" i="16"/>
  <c r="D200" i="16"/>
  <c r="B202" i="16"/>
  <c r="M136" i="16"/>
  <c r="I124" i="16"/>
  <c r="G186" i="16"/>
  <c r="D193" i="16"/>
  <c r="B131" i="16"/>
  <c r="J131" i="16"/>
  <c r="M131" i="16"/>
  <c r="E131" i="16"/>
  <c r="L126" i="16"/>
  <c r="I133" i="16"/>
  <c r="F140" i="16"/>
  <c r="B136" i="16"/>
  <c r="K204" i="16"/>
  <c r="B137" i="16"/>
  <c r="C311" i="14"/>
  <c r="D311" i="14" s="1"/>
  <c r="M127" i="16"/>
  <c r="F133" i="16"/>
  <c r="D124" i="16"/>
  <c r="G141" i="16"/>
  <c r="D132" i="16"/>
  <c r="D166" i="14"/>
  <c r="C184" i="14"/>
  <c r="D171" i="14"/>
  <c r="G182" i="14"/>
  <c r="B180" i="14"/>
  <c r="E179" i="14"/>
  <c r="F178" i="14"/>
  <c r="B63" i="14"/>
  <c r="D184" i="14"/>
  <c r="B166" i="14"/>
  <c r="G171" i="14"/>
  <c r="D179" i="14"/>
  <c r="C174" i="14"/>
  <c r="F179" i="14"/>
  <c r="F171" i="14"/>
  <c r="H181" i="14"/>
  <c r="E171" i="14"/>
  <c r="I98" i="14"/>
  <c r="D120" i="14" s="1"/>
  <c r="C179" i="14"/>
  <c r="G166" i="14"/>
  <c r="C132" i="14"/>
  <c r="D132" i="14"/>
  <c r="B174" i="14"/>
  <c r="C166" i="14"/>
  <c r="F174" i="14"/>
  <c r="E184" i="14"/>
  <c r="D173" i="14"/>
  <c r="E166" i="14"/>
  <c r="G184" i="14"/>
  <c r="E182" i="14"/>
  <c r="G174" i="14"/>
  <c r="D130" i="14"/>
  <c r="C130" i="14"/>
  <c r="E130" i="14" s="1"/>
  <c r="B182" i="14"/>
  <c r="F183" i="14"/>
  <c r="H183" i="14" s="1"/>
  <c r="B181" i="14"/>
  <c r="O13" i="2"/>
  <c r="K13" i="15" s="1"/>
  <c r="L13" i="15"/>
  <c r="P8" i="2"/>
  <c r="S8" i="2" s="1"/>
  <c r="J8" i="15"/>
  <c r="M8" i="15"/>
  <c r="C133" i="14"/>
  <c r="E133" i="14" s="1"/>
  <c r="N13" i="8"/>
  <c r="P13" i="8"/>
  <c r="F13" i="15"/>
  <c r="D13" i="15"/>
  <c r="C61" i="14"/>
  <c r="N10" i="8"/>
  <c r="P10" i="8"/>
  <c r="F10" i="15"/>
  <c r="D10" i="15"/>
  <c r="O15" i="8"/>
  <c r="E15" i="15"/>
  <c r="Q15" i="8"/>
  <c r="G15" i="15"/>
  <c r="Q9" i="8"/>
  <c r="G9" i="15"/>
  <c r="E9" i="15"/>
  <c r="H177" i="14"/>
  <c r="O17" i="8"/>
  <c r="Q17" i="8"/>
  <c r="G17" i="15"/>
  <c r="E17" i="15"/>
  <c r="N6" i="2"/>
  <c r="J6" i="15"/>
  <c r="M6" i="15"/>
  <c r="C3" i="15"/>
  <c r="B3" i="15"/>
  <c r="J4" i="15"/>
  <c r="M4" i="15"/>
  <c r="O16" i="8"/>
  <c r="G16" i="15"/>
  <c r="E16" i="15"/>
  <c r="Q16" i="8"/>
  <c r="E11" i="15"/>
  <c r="Q11" i="8"/>
  <c r="G11" i="15"/>
  <c r="P3" i="2"/>
  <c r="S3" i="2" s="1"/>
  <c r="M3" i="15"/>
  <c r="J3" i="15"/>
  <c r="P2" i="2"/>
  <c r="S2" i="2" s="1"/>
  <c r="J2" i="15"/>
  <c r="M2" i="15"/>
  <c r="N16" i="2"/>
  <c r="J16" i="15"/>
  <c r="M16" i="15"/>
  <c r="C64" i="14"/>
  <c r="I99" i="14"/>
  <c r="B121" i="14" s="1"/>
  <c r="B135" i="14"/>
  <c r="N20" i="8"/>
  <c r="F20" i="15"/>
  <c r="D20" i="15"/>
  <c r="P20" i="8"/>
  <c r="D125" i="14"/>
  <c r="E170" i="14"/>
  <c r="B170" i="14"/>
  <c r="G170" i="14"/>
  <c r="F172" i="14"/>
  <c r="C172" i="14"/>
  <c r="E172" i="14"/>
  <c r="N18" i="8"/>
  <c r="P18" i="8"/>
  <c r="F18" i="15"/>
  <c r="D18" i="15"/>
  <c r="M7" i="15"/>
  <c r="J7" i="15"/>
  <c r="N8" i="2"/>
  <c r="N14" i="8"/>
  <c r="P14" i="8"/>
  <c r="F14" i="15"/>
  <c r="D14" i="15"/>
  <c r="O9" i="8"/>
  <c r="D133" i="14"/>
  <c r="N19" i="8"/>
  <c r="D19" i="15"/>
  <c r="P19" i="8"/>
  <c r="F19" i="15"/>
  <c r="E178" i="14"/>
  <c r="B178" i="14"/>
  <c r="G178" i="14"/>
  <c r="F180" i="14"/>
  <c r="C180" i="14"/>
  <c r="E180" i="14"/>
  <c r="D172" i="14"/>
  <c r="C170" i="14"/>
  <c r="J5" i="15"/>
  <c r="M5" i="15"/>
  <c r="N12" i="8"/>
  <c r="F12" i="15"/>
  <c r="D12" i="15"/>
  <c r="P12" i="8"/>
  <c r="D170" i="14"/>
  <c r="B172" i="14"/>
  <c r="H172" i="14" s="1"/>
  <c r="G180" i="14"/>
  <c r="C131" i="14"/>
  <c r="B58" i="14"/>
  <c r="D61" i="14"/>
  <c r="B64" i="14"/>
  <c r="D58" i="14"/>
  <c r="D131" i="14"/>
  <c r="D124" i="14"/>
  <c r="C60" i="14"/>
  <c r="D134" i="14"/>
  <c r="C137" i="14"/>
  <c r="K31" i="14"/>
  <c r="E53" i="14" s="1"/>
  <c r="D59" i="14"/>
  <c r="C125" i="14"/>
  <c r="D126" i="14"/>
  <c r="M3" i="8"/>
  <c r="L3" i="8"/>
  <c r="I97" i="14"/>
  <c r="B119" i="14" s="1"/>
  <c r="B134" i="14"/>
  <c r="C123" i="14"/>
  <c r="D127" i="14"/>
  <c r="B65" i="14"/>
  <c r="D135" i="14"/>
  <c r="D65" i="14"/>
  <c r="C65" i="14"/>
  <c r="C66" i="14"/>
  <c r="B129" i="14"/>
  <c r="B66" i="14"/>
  <c r="C50" i="14"/>
  <c r="D128" i="14"/>
  <c r="C128" i="14"/>
  <c r="D63" i="14"/>
  <c r="D136" i="14"/>
  <c r="C136" i="14"/>
  <c r="B126" i="14"/>
  <c r="C129" i="14"/>
  <c r="Q2" i="2"/>
  <c r="Q8" i="2"/>
  <c r="B50" i="14"/>
  <c r="D66" i="14"/>
  <c r="I100" i="14"/>
  <c r="D122" i="14" s="1"/>
  <c r="B127" i="14"/>
  <c r="B123" i="14"/>
  <c r="B137" i="14"/>
  <c r="K32" i="14"/>
  <c r="K26" i="14"/>
  <c r="C48" i="14" s="1"/>
  <c r="K29" i="14"/>
  <c r="D51" i="14" s="1"/>
  <c r="E56" i="14"/>
  <c r="D56" i="14"/>
  <c r="E62" i="14"/>
  <c r="K27" i="14"/>
  <c r="C49" i="14" s="1"/>
  <c r="R13" i="2"/>
  <c r="T13" i="2"/>
  <c r="K30" i="14"/>
  <c r="B61" i="14"/>
  <c r="B62" i="14"/>
  <c r="E55" i="14"/>
  <c r="D55" i="14"/>
  <c r="B60" i="14"/>
  <c r="C63" i="14"/>
  <c r="D62" i="14"/>
  <c r="N13" i="2"/>
  <c r="B56" i="14"/>
  <c r="C56" i="14"/>
  <c r="D64" i="14"/>
  <c r="D60" i="14"/>
  <c r="N11" i="2"/>
  <c r="O11" i="2"/>
  <c r="K11" i="15" s="1"/>
  <c r="N17" i="2"/>
  <c r="O17" i="2"/>
  <c r="K17" i="15" s="1"/>
  <c r="N19" i="2"/>
  <c r="O19" i="2"/>
  <c r="K19" i="15" s="1"/>
  <c r="N20" i="2"/>
  <c r="O20" i="2"/>
  <c r="K20" i="15" s="1"/>
  <c r="N18" i="2"/>
  <c r="O18" i="2"/>
  <c r="K18" i="15" s="1"/>
  <c r="N14" i="2"/>
  <c r="O14" i="2"/>
  <c r="K14" i="15" s="1"/>
  <c r="N12" i="2"/>
  <c r="O12" i="2"/>
  <c r="K12" i="15" s="1"/>
  <c r="N10" i="2"/>
  <c r="O10" i="2"/>
  <c r="K10" i="15" s="1"/>
  <c r="N15" i="2"/>
  <c r="O15" i="2"/>
  <c r="K15" i="15" s="1"/>
  <c r="N2" i="2"/>
  <c r="P16" i="2"/>
  <c r="S16" i="2" s="1"/>
  <c r="Q16" i="2"/>
  <c r="D2" i="8"/>
  <c r="G2" i="8"/>
  <c r="H2" i="8" s="1"/>
  <c r="D5" i="8"/>
  <c r="G5" i="8"/>
  <c r="H5" i="8" s="1"/>
  <c r="D6" i="8"/>
  <c r="G6" i="8"/>
  <c r="H6" i="8" s="1"/>
  <c r="D4" i="8"/>
  <c r="G4" i="8"/>
  <c r="H4" i="8" s="1"/>
  <c r="D7" i="8"/>
  <c r="G7" i="8"/>
  <c r="H7" i="8" s="1"/>
  <c r="D8" i="8"/>
  <c r="G8" i="8"/>
  <c r="H8" i="8" s="1"/>
  <c r="N4" i="2"/>
  <c r="Q4" i="2"/>
  <c r="N3" i="2"/>
  <c r="Q3" i="2"/>
  <c r="Q7" i="2"/>
  <c r="P7" i="2"/>
  <c r="S7" i="2" s="1"/>
  <c r="N7" i="2"/>
  <c r="N5" i="2"/>
  <c r="Q5" i="2"/>
  <c r="P5" i="2"/>
  <c r="S5" i="2" s="1"/>
  <c r="P6" i="2"/>
  <c r="S6" i="2" s="1"/>
  <c r="Q6" i="2"/>
  <c r="P4" i="2"/>
  <c r="S4" i="2" s="1"/>
  <c r="C124" i="14" l="1"/>
  <c r="B120" i="14"/>
  <c r="P137" i="16"/>
  <c r="P126" i="16"/>
  <c r="F63" i="14"/>
  <c r="M193" i="16"/>
  <c r="M201" i="16"/>
  <c r="H167" i="14"/>
  <c r="P136" i="16"/>
  <c r="F55" i="14"/>
  <c r="E134" i="14"/>
  <c r="P135" i="16"/>
  <c r="M186" i="16"/>
  <c r="H176" i="14"/>
  <c r="F59" i="14"/>
  <c r="H180" i="14"/>
  <c r="M202" i="16"/>
  <c r="M187" i="16"/>
  <c r="P140" i="16"/>
  <c r="P132" i="16"/>
  <c r="M200" i="16"/>
  <c r="P130" i="16"/>
  <c r="M203" i="16"/>
  <c r="M196" i="16"/>
  <c r="P127" i="16"/>
  <c r="E132" i="14"/>
  <c r="P131" i="16"/>
  <c r="M188" i="16"/>
  <c r="P141" i="16"/>
  <c r="M198" i="16"/>
  <c r="P133" i="16"/>
  <c r="P124" i="16"/>
  <c r="M204" i="16"/>
  <c r="D50" i="14"/>
  <c r="H182" i="14"/>
  <c r="H173" i="14"/>
  <c r="M192" i="16"/>
  <c r="M189" i="16"/>
  <c r="C53" i="14"/>
  <c r="B51" i="14"/>
  <c r="H179" i="14"/>
  <c r="M197" i="16"/>
  <c r="P125" i="16"/>
  <c r="M191" i="16"/>
  <c r="H178" i="14"/>
  <c r="H171" i="14"/>
  <c r="P128" i="16"/>
  <c r="M199" i="16"/>
  <c r="H166" i="14"/>
  <c r="H174" i="14"/>
  <c r="C120" i="14"/>
  <c r="E120" i="14" s="1"/>
  <c r="H184" i="14"/>
  <c r="C51" i="14"/>
  <c r="C121" i="14"/>
  <c r="E131" i="14"/>
  <c r="F66" i="14"/>
  <c r="E137" i="14"/>
  <c r="E128" i="14"/>
  <c r="E124" i="14"/>
  <c r="E135" i="14"/>
  <c r="C4" i="15"/>
  <c r="B4" i="15"/>
  <c r="E48" i="14"/>
  <c r="O3" i="8"/>
  <c r="E3" i="15"/>
  <c r="Q3" i="8"/>
  <c r="G3" i="15"/>
  <c r="H170" i="14"/>
  <c r="E125" i="14"/>
  <c r="N3" i="8"/>
  <c r="D3" i="15"/>
  <c r="P3" i="8"/>
  <c r="F3" i="15"/>
  <c r="C6" i="15"/>
  <c r="B6" i="15"/>
  <c r="C8" i="15"/>
  <c r="B8" i="15"/>
  <c r="C5" i="15"/>
  <c r="B5" i="15"/>
  <c r="D121" i="14"/>
  <c r="F64" i="14"/>
  <c r="E126" i="14"/>
  <c r="C7" i="15"/>
  <c r="B7" i="15"/>
  <c r="C2" i="15"/>
  <c r="B2" i="15"/>
  <c r="D48" i="14"/>
  <c r="E136" i="14"/>
  <c r="E129" i="14"/>
  <c r="F65" i="14"/>
  <c r="F58" i="14"/>
  <c r="B53" i="14"/>
  <c r="F50" i="14"/>
  <c r="D53" i="14"/>
  <c r="E51" i="14"/>
  <c r="F61" i="14"/>
  <c r="B48" i="14"/>
  <c r="L5" i="8"/>
  <c r="M5" i="8"/>
  <c r="M2" i="8"/>
  <c r="L2" i="8"/>
  <c r="L8" i="8"/>
  <c r="M8" i="8"/>
  <c r="L7" i="8"/>
  <c r="M7" i="8"/>
  <c r="L4" i="8"/>
  <c r="M4" i="8"/>
  <c r="L6" i="8"/>
  <c r="M6" i="8"/>
  <c r="B122" i="14"/>
  <c r="C122" i="14"/>
  <c r="E49" i="14"/>
  <c r="F62" i="14"/>
  <c r="E123" i="14"/>
  <c r="E127" i="14"/>
  <c r="D119" i="14"/>
  <c r="C119" i="14"/>
  <c r="B52" i="14"/>
  <c r="D52" i="14"/>
  <c r="E54" i="14"/>
  <c r="B54" i="14"/>
  <c r="C54" i="14"/>
  <c r="R10" i="2"/>
  <c r="T10" i="2"/>
  <c r="R20" i="2"/>
  <c r="T20" i="2"/>
  <c r="E52" i="14"/>
  <c r="R12" i="2"/>
  <c r="T12" i="2"/>
  <c r="R19" i="2"/>
  <c r="T19" i="2"/>
  <c r="D49" i="14"/>
  <c r="C52" i="14"/>
  <c r="R15" i="2"/>
  <c r="T15" i="2"/>
  <c r="R18" i="2"/>
  <c r="T18" i="2"/>
  <c r="R11" i="2"/>
  <c r="T11" i="2"/>
  <c r="F56" i="14"/>
  <c r="D54" i="14"/>
  <c r="R14" i="2"/>
  <c r="T14" i="2"/>
  <c r="R17" i="2"/>
  <c r="T17" i="2"/>
  <c r="F60" i="14"/>
  <c r="B49" i="14"/>
  <c r="E121" i="14" l="1"/>
  <c r="F48" i="14"/>
  <c r="F51" i="14"/>
  <c r="N4" i="8"/>
  <c r="F4" i="15"/>
  <c r="D4" i="15"/>
  <c r="P4" i="8"/>
  <c r="N5" i="8"/>
  <c r="P5" i="8"/>
  <c r="F5" i="15"/>
  <c r="D5" i="15"/>
  <c r="O4" i="8"/>
  <c r="G4" i="15"/>
  <c r="E4" i="15"/>
  <c r="Q4" i="8"/>
  <c r="N7" i="8"/>
  <c r="D7" i="15"/>
  <c r="P7" i="8"/>
  <c r="F7" i="15"/>
  <c r="N8" i="8"/>
  <c r="F8" i="15"/>
  <c r="D8" i="15"/>
  <c r="P8" i="8"/>
  <c r="O5" i="8"/>
  <c r="Q5" i="8"/>
  <c r="G5" i="15"/>
  <c r="E5" i="15"/>
  <c r="O7" i="8"/>
  <c r="E7" i="15"/>
  <c r="Q7" i="8"/>
  <c r="G7" i="15"/>
  <c r="O8" i="8"/>
  <c r="G8" i="15"/>
  <c r="E8" i="15"/>
  <c r="Q8" i="8"/>
  <c r="N2" i="8"/>
  <c r="P2" i="8"/>
  <c r="F2" i="15"/>
  <c r="D2" i="15"/>
  <c r="O6" i="8"/>
  <c r="Q6" i="8"/>
  <c r="G6" i="15"/>
  <c r="E6" i="15"/>
  <c r="N6" i="8"/>
  <c r="P6" i="8"/>
  <c r="F6" i="15"/>
  <c r="D6" i="15"/>
  <c r="O2" i="8"/>
  <c r="Q2" i="8"/>
  <c r="G2" i="15"/>
  <c r="E2" i="15"/>
  <c r="F53" i="14"/>
  <c r="E119" i="14"/>
  <c r="F49" i="14"/>
  <c r="E122" i="14"/>
  <c r="F54" i="14"/>
  <c r="F52" i="14"/>
  <c r="O3" i="1" l="1"/>
  <c r="N3" i="1"/>
  <c r="O8" i="1"/>
  <c r="N8" i="1"/>
  <c r="K3" i="1"/>
  <c r="C3" i="2"/>
  <c r="O2" i="1"/>
  <c r="N2" i="1"/>
  <c r="K8" i="1"/>
  <c r="C8" i="2"/>
  <c r="O7" i="1"/>
  <c r="N7" i="1"/>
  <c r="K7" i="1"/>
  <c r="C7" i="2"/>
  <c r="K2" i="1"/>
  <c r="C2" i="2"/>
  <c r="C6" i="2"/>
  <c r="O5" i="1"/>
  <c r="N5" i="1"/>
  <c r="K6" i="1"/>
  <c r="N6" i="1"/>
  <c r="O6" i="1"/>
  <c r="C4" i="2"/>
  <c r="K5" i="1"/>
  <c r="C5" i="2"/>
  <c r="K4" i="1"/>
  <c r="N4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Ahaan mahant</author>
  </authors>
  <commentList>
    <comment ref="C24" authorId="0" shapeId="0" xr:uid="{8071B29C-A1A4-3F4E-8A6E-C502FEB089BB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Formula- 159452.34/271152.48</t>
        </r>
      </text>
    </comment>
    <comment ref="C25" authorId="0" shapeId="0" xr:uid="{01FB50E4-C43A-4B48-9919-BAF9CC55871C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- 
</t>
        </r>
        <r>
          <rPr>
            <sz val="10"/>
            <color rgb="FF000000"/>
            <rFont val="Tahoma"/>
            <family val="2"/>
          </rPr>
          <t>278294.78/271152.48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Ahaan mahant</author>
  </authors>
  <commentList>
    <comment ref="J20" authorId="0" shapeId="0" xr:uid="{EC326653-8E4B-B449-909F-1F9BB1B63941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Ahaan mahant</author>
  </authors>
  <commentList>
    <comment ref="A115" authorId="0" shapeId="0" xr:uid="{8BFD52DD-733D-044B-B28B-FDF112768CD1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137" authorId="0" shapeId="0" xr:uid="{98D74D3A-E9A0-4149-B233-D4AF57D89437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162" authorId="0" shapeId="0" xr:uid="{5CCC9818-4D57-4046-8141-B34952C960AC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184" authorId="0" shapeId="0" xr:uid="{7FDEB707-3BF8-D347-A63C-4F3E14750E0C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07" authorId="0" shapeId="0" xr:uid="{8FF5FBE0-D574-DD45-83AB-CDF0BCB9BA1E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D207" authorId="0" shapeId="0" xr:uid="{80ACFB47-538E-6B47-A6BB-53F1DC3DAE7D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28" authorId="0" shapeId="0" xr:uid="{EFEDBF87-0D0C-894A-ABF8-038371273B51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D228" authorId="0" shapeId="0" xr:uid="{27C78004-DB5A-724C-A17E-8EAAFBB79B3D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49" authorId="0" shapeId="0" xr:uid="{EA1D83CA-4FDC-EF45-8542-DDD4C452EC0A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D249" authorId="0" shapeId="0" xr:uid="{1EE4354D-D45C-A848-88B3-CEDE76F2DD20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70" authorId="0" shapeId="0" xr:uid="{4FC3E553-ABCF-2F4E-941B-B83EC57FA30E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D270" authorId="0" shapeId="0" xr:uid="{7A2AB3D7-82AD-C448-A871-C1C45001E869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96" authorId="0" shapeId="0" xr:uid="{846A234B-B022-A64B-94A0-022DD556C999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318" authorId="0" shapeId="0" xr:uid="{65D0F022-5043-284F-9316-14858B176508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Ahaan mahant</author>
  </authors>
  <commentList>
    <comment ref="A23" authorId="0" shapeId="0" xr:uid="{B14BB63D-28F0-F54A-8953-BB40217DEC7D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45" authorId="0" shapeId="0" xr:uid="{E6945D2F-2A4B-B243-8961-BB0BB51349F3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71" authorId="0" shapeId="0" xr:uid="{3025FBC4-CAD1-BA49-B6F2-9C60DD96CD7C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78" authorId="0" shapeId="0" xr:uid="{EACBB2FA-5527-4140-85AA-DE966F3F167C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Clubbed data found, had to divide equally in some cases
</t>
        </r>
      </text>
    </comment>
    <comment ref="A96" authorId="0" shapeId="0" xr:uid="{5B81171F-33F8-D044-98CC-37D68F76FDCF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
</t>
        </r>
      </text>
    </comment>
    <comment ref="A119" authorId="0" shapeId="0" xr:uid="{2B48D145-2297-BE49-A67F-AEAA18A9CC3F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141" authorId="0" shapeId="0" xr:uid="{E74BCA2A-7E2B-814D-85B8-F6ED61407A3F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182" authorId="0" shapeId="0" xr:uid="{AE98408B-4D45-6B49-BF15-8FD650089AE7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204" authorId="0" shapeId="0" xr:uid="{38E29C07-B8E4-EB4D-967B-42E13ED85522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Ahaan mahant</author>
  </authors>
  <commentList>
    <comment ref="A20" authorId="0" shapeId="0" xr:uid="{2DECD8E2-AB4E-5C48-9B0E-4D0F3FBDC5A7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  <comment ref="A41" authorId="0" shapeId="0" xr:uid="{9CA0EE62-07E9-DF45-BF28-A13EA9067FA8}">
      <text>
        <r>
          <rPr>
            <b/>
            <sz val="10"/>
            <color rgb="FF000000"/>
            <rFont val="Tahoma"/>
            <family val="2"/>
          </rPr>
          <t>Ahaan mahant: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Revised Estimates
</t>
        </r>
      </text>
    </comment>
  </commentList>
</comments>
</file>

<file path=xl/sharedStrings.xml><?xml version="1.0" encoding="utf-8"?>
<sst xmlns="http://schemas.openxmlformats.org/spreadsheetml/2006/main" count="1152" uniqueCount="258">
  <si>
    <t>Year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</si>
  <si>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</si>
  <si>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</si>
  <si>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</si>
  <si>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</si>
  <si>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</si>
  <si>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</si>
  <si>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</si>
  <si>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</si>
  <si>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</si>
  <si>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</si>
  <si>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</si>
  <si>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</si>
  <si>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</si>
  <si>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</si>
  <si>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</si>
  <si>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</si>
  <si>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</si>
  <si>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</si>
  <si>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</si>
  <si>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NSDP Haryana INR Crore(Constant, Base Price = 2011-12)</t>
  </si>
  <si>
    <t>Population (000)</t>
  </si>
  <si>
    <t>Source- 2023-24</t>
  </si>
  <si>
    <t>Source- 2011-12</t>
  </si>
  <si>
    <t>Adjusted Population</t>
  </si>
  <si>
    <t>NSDP Current Per Capita</t>
  </si>
  <si>
    <t>NSDP Constant Per Capita</t>
  </si>
  <si>
    <t>Log NSDP Per Capita (Current)</t>
  </si>
  <si>
    <t>Log NSDP Per Capita (Constant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</si>
  <si>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</si>
  <si>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</si>
  <si>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</si>
  <si>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</si>
  <si>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</si>
  <si>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</si>
  <si>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</si>
  <si>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</si>
  <si>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</si>
  <si>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</si>
  <si>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</si>
  <si>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</si>
  <si>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</si>
  <si>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</si>
  <si>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</si>
  <si>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</si>
  <si>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</si>
  <si>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</si>
  <si>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</si>
  <si>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</si>
  <si>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</si>
  <si>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</si>
  <si>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</si>
  <si>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</si>
  <si>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Financial Year</t>
  </si>
  <si>
    <t xml:space="preserve">Year Variable </t>
  </si>
  <si>
    <t>RESIDUAL OUTPUT</t>
  </si>
  <si>
    <t>Observation</t>
  </si>
  <si>
    <t>Predicted Log NSDP Per Capita (Constant</t>
  </si>
  <si>
    <t>Residuals</t>
  </si>
  <si>
    <t>Log NSDP Per Capita (Constant)</t>
  </si>
  <si>
    <t>Revenue Expenditure</t>
  </si>
  <si>
    <t>REVENUE SOURCE</t>
  </si>
  <si>
    <t>Revenue Deficit/ Surplus</t>
  </si>
  <si>
    <t>Revenue Receipts</t>
  </si>
  <si>
    <t>All-India NDP (Current Prices) (INR Crore) (Base 2011-12)</t>
  </si>
  <si>
    <t>All-India NDP (Constant Prices) (INR Crore) (Base 2011-2012)</t>
  </si>
  <si>
    <t>Real Revenue Receipts</t>
  </si>
  <si>
    <t>Rebasing Factor (converting base 04-05 to 11-12) Current</t>
  </si>
  <si>
    <t>Rebasing Factor (converting base 04-05 to 11-12) Constant</t>
  </si>
  <si>
    <t>NSDP Current Prices (INR Crore) (Base Price- 20-11-12)</t>
  </si>
  <si>
    <t>Real Revenue Expenditure</t>
  </si>
  <si>
    <t>Real Revenue Deficit/ Surplus</t>
  </si>
  <si>
    <t>NSDP BASE- 2011-12</t>
  </si>
  <si>
    <t>NSDP Deflator (Base 2011-12)</t>
  </si>
  <si>
    <t>Exponential Power to 0.046999091 - 1</t>
  </si>
  <si>
    <t>i.e. Growth rate =</t>
  </si>
  <si>
    <t xml:space="preserve">4.81% Annually over 19 years </t>
  </si>
  <si>
    <t>Rebasing factor Current Price (04-05 to 11-12)</t>
  </si>
  <si>
    <t>Rebasing factor Constant Price (04-05 to 11-12)</t>
  </si>
  <si>
    <t>NDP Deflator (2011-12 base)</t>
  </si>
  <si>
    <t>Source</t>
  </si>
  <si>
    <t>Population</t>
  </si>
  <si>
    <t>All-India NDP Per Capita (Constant Prices) (Base 2011-12)</t>
  </si>
  <si>
    <t>Log All-India NDP Per Capita (Constant Prices) (Base 2011-12)</t>
  </si>
  <si>
    <t>Predicted Log All-India NDP Per Capita (Constant Prices) (Base 2011-12)</t>
  </si>
  <si>
    <t>Exponential Power to 0.04927353 - 1</t>
  </si>
  <si>
    <t xml:space="preserve">i.e. growth rate- </t>
  </si>
  <si>
    <t>LN Real Revenue Receipts Per Capita (Constant Prices, INR Crores, Receipts)</t>
  </si>
  <si>
    <t>Real Revenue Receipts Per Capita (Constant Prices, INR Crores, Receipts)2</t>
  </si>
  <si>
    <t>Real Revenue Expenditure Per Capita (Constant Prices, INR Crores, Receipts)</t>
  </si>
  <si>
    <t>Real Revenue Receipt as % of NSDP</t>
  </si>
  <si>
    <t>Real Revenue Expenditure as % of NSDP</t>
  </si>
  <si>
    <t>LN Real Revenue Expenditure Per Capita (Constant Prices, INR Crores, Receipts)</t>
  </si>
  <si>
    <t>Revenue Composition</t>
  </si>
  <si>
    <t>State's Own Tax Revenue</t>
  </si>
  <si>
    <t>Share in Central Taxes</t>
  </si>
  <si>
    <t>State's Own Non-Tax Revenue</t>
  </si>
  <si>
    <t>Grants from the Centre</t>
  </si>
  <si>
    <t>Adj. State's Own Tax Revenue (Base Price- 2011-12)</t>
  </si>
  <si>
    <t>Adj. Share in Central Taxes (Base Price- 2011-12)</t>
  </si>
  <si>
    <t>Adj. State's Own Non-Tax Revenue (Base Price- 2011-12)</t>
  </si>
  <si>
    <t>Adj. Grants from the Centre (Base Price- 2011-12)</t>
  </si>
  <si>
    <t>Summation</t>
  </si>
  <si>
    <t>State's own Tax Revenue as %</t>
  </si>
  <si>
    <t>Share in Central Taxes as %</t>
  </si>
  <si>
    <t>State's Own Non-Tax Revenue as %</t>
  </si>
  <si>
    <t>Grants from the Centre as %</t>
  </si>
  <si>
    <t>Expenditure Composition</t>
  </si>
  <si>
    <t>Non-Developmental Expenditure (INR Crore)</t>
  </si>
  <si>
    <t>Others (INR Crore)</t>
  </si>
  <si>
    <t>Developmental Expenditure (INR Crore)</t>
  </si>
  <si>
    <t>Adj. Developmental Expenditure (INR Crore) (Base Price- 2011-12)</t>
  </si>
  <si>
    <t>Adj. Non-Developmental Expenditure (INR Crore) (Base Price- 2011-12)</t>
  </si>
  <si>
    <t>Adj. Other Expenses (INR Crores) (Base Price- 2011-12)</t>
  </si>
  <si>
    <t>Developmental Expenditure as %</t>
  </si>
  <si>
    <t>Non-Developmental Expenditure as %</t>
  </si>
  <si>
    <t>Other Expenses as %</t>
  </si>
  <si>
    <t>Revenue Receipts (INR Crore)</t>
  </si>
  <si>
    <t>Revenue Expenditure (INR Crore)</t>
  </si>
  <si>
    <t>Revenue Expenditure (INR Crore) (Base Price- 2011-12</t>
  </si>
  <si>
    <t>Revenue Receipts (INR Crore) (Base Price- 2011)</t>
  </si>
  <si>
    <t>Budget at a Glance</t>
  </si>
  <si>
    <t>Revenue Receipts Per Capita (INR Crore) (Base Price- 2011)2</t>
  </si>
  <si>
    <t>Revenue Expenditure Per Capita (INR Crore) (Base Price- 2011-122</t>
  </si>
  <si>
    <t>Real Receips as % of NDP</t>
  </si>
  <si>
    <t>Real Expenditure as % of NDP</t>
  </si>
  <si>
    <t>Haryana Revenue Receipts (INR Crore) (Base Price- 2011-12)</t>
  </si>
  <si>
    <t>Haryana Revenue Expenditure (INR Crore) (Base Price- 2011-12)</t>
  </si>
  <si>
    <t>LN Haryana Revenue Receipts (INR Crore) (Base Price- 2011-12)</t>
  </si>
  <si>
    <t>LN Haryana Expenditure (INR Crore) (Base Price- 2011-12)</t>
  </si>
  <si>
    <t>Revenue Expenditure (INR Crore) (Base Price- 2011-12)</t>
  </si>
  <si>
    <t>LN India Expenditure (INR Crore) (Base Price-2011-12)</t>
  </si>
  <si>
    <t>Revenue Receipts (INR Crore) (Base Price- 2011-12)</t>
  </si>
  <si>
    <t>LN India Revenue Receipts (INR Crore) (Base Price- 2011-12)</t>
  </si>
  <si>
    <t>Revenue Receipts Per Capita (INR Crore) (Base Price- 2011-12)</t>
  </si>
  <si>
    <t>Revenue Expenditure Per Capita (INR Crore) (Base Price- 2011-12)</t>
  </si>
  <si>
    <t>Real Expenditure as % of NSDP</t>
  </si>
  <si>
    <t>India Revenue Receipts Per Capita (INR Crore) (Base Price- 2011-12)</t>
  </si>
  <si>
    <t>Haryana Revenue Receipts Per Capita (Constant Prices, INR Crores, Receipts) (Base Price- 2011-12)</t>
  </si>
  <si>
    <t>Haryana Revenue Expenditure Per Capita (Constant Prices, INR Crores, Receipts)</t>
  </si>
  <si>
    <t>India Revenue Expenditure Per Capita (INR Crore) (Base Price- 2011-12)</t>
  </si>
  <si>
    <t>Non- Developmental Expenditure Composition</t>
  </si>
  <si>
    <t>Organs of State</t>
  </si>
  <si>
    <t>Fiscal Services</t>
  </si>
  <si>
    <t>Interest Payment &amp; Servicing of Debt</t>
  </si>
  <si>
    <t>Administrative Services</t>
  </si>
  <si>
    <t xml:space="preserve">Pensions &amp; Miscsellaneous General Services </t>
  </si>
  <si>
    <t>Others</t>
  </si>
  <si>
    <t>(INR Crore)</t>
  </si>
  <si>
    <t>Adj. Organs of State (Base Price- 2011,12)</t>
  </si>
  <si>
    <t>Adj. Fiscal Services (Base Price- 2011,12)</t>
  </si>
  <si>
    <t>Adj. Interest Payment &amp; Servicing of Debt (Base Price- 2011-12)</t>
  </si>
  <si>
    <t>Adj. Administrative Services (Base Price- 2011-12)</t>
  </si>
  <si>
    <t>Adj.Pensions &amp; Miscellaneous General Services (Base Price- 2011,12)</t>
  </si>
  <si>
    <t>Adj. Others (Base Price- 2011-12)</t>
  </si>
  <si>
    <t>Organs of State as %</t>
  </si>
  <si>
    <t>Fiscal Services as %</t>
  </si>
  <si>
    <t>Interest Payment &amp; Servicing of Debt as %</t>
  </si>
  <si>
    <t>Administrative Services as %</t>
  </si>
  <si>
    <t>Pensions &amp; Miscellaneous General Services as %</t>
  </si>
  <si>
    <t>Others as %</t>
  </si>
  <si>
    <t>Year2</t>
  </si>
  <si>
    <t>Expenditure on Pensions as % of Developmental Expenditure (Base Price- 2011-12)</t>
  </si>
  <si>
    <t>Expenditure on Administrative Services Expenditure as % of Development Expenditure (Base Price- 2011-12)</t>
  </si>
  <si>
    <t>Expenditure on Administrative Services as % of NSDP (Base Price- 2011-12)</t>
  </si>
  <si>
    <t>Expenditure on Interest Payments and Servicing Debt As % of Development Expenditure (Base Price- 2011-12)</t>
  </si>
  <si>
    <t>Developmental Expenditure Composition</t>
  </si>
  <si>
    <t xml:space="preserve">Social Services </t>
  </si>
  <si>
    <t>Economic Services</t>
  </si>
  <si>
    <t>Adj Expenditure on Social Service (INR Crore) (Base Price- 2011-12)</t>
  </si>
  <si>
    <t>Adj. Expenditure on Economic Service (INR Crore) (Base Price- 2011-12)</t>
  </si>
  <si>
    <t>Adj. Expenditure on Economic Service as %</t>
  </si>
  <si>
    <t xml:space="preserve">Adj. Expenditure on Social Service as % </t>
  </si>
  <si>
    <t xml:space="preserve">DEVELOPMENT EXPENDITURE COMPOSITION: SOCIAL SERVICES </t>
  </si>
  <si>
    <t>General Education</t>
  </si>
  <si>
    <t>Technical Education</t>
  </si>
  <si>
    <t xml:space="preserve">Art and Culture </t>
  </si>
  <si>
    <t xml:space="preserve">Sports and Youth Services </t>
  </si>
  <si>
    <t>Medical &amp; Public Health</t>
  </si>
  <si>
    <t>Family Welfare</t>
  </si>
  <si>
    <t>Water Supply and Sanitation</t>
  </si>
  <si>
    <t>Urban Development</t>
  </si>
  <si>
    <t>Welfare of SC, ST and Other Backward Classes</t>
  </si>
  <si>
    <t>Housing</t>
  </si>
  <si>
    <t xml:space="preserve">Labour and Employment </t>
  </si>
  <si>
    <t>Social Security and Welfare</t>
  </si>
  <si>
    <t>Relief on Account of Natural Calamities</t>
  </si>
  <si>
    <t>DEVELOPMENT EXPENDITURE COMPOSITION: ECONOMIC SERVICES</t>
  </si>
  <si>
    <t xml:space="preserve">General Economic Service </t>
  </si>
  <si>
    <t>Agriculture and Allied Service</t>
  </si>
  <si>
    <t>(inr crore)</t>
  </si>
  <si>
    <t>(Inr Crore)</t>
  </si>
  <si>
    <t xml:space="preserve">Rural Development </t>
  </si>
  <si>
    <t>Irrigation and Flood Control</t>
  </si>
  <si>
    <t>Energy</t>
  </si>
  <si>
    <t>Industries, Village and Small Industries</t>
  </si>
  <si>
    <t>Non-Ferrous Mining and Metallurgical Industries</t>
  </si>
  <si>
    <t>Civil Aviation</t>
  </si>
  <si>
    <t>Science, Technology and Environment</t>
  </si>
  <si>
    <t>Roads &amp; Bridges</t>
  </si>
  <si>
    <t>Road Transport</t>
  </si>
  <si>
    <t>2004-05 data</t>
  </si>
  <si>
    <t xml:space="preserve">Adj. General Education </t>
  </si>
  <si>
    <t>Adj. Technical Education</t>
  </si>
  <si>
    <t>Adj. Art and Culture</t>
  </si>
  <si>
    <t>Adj. Medical &amp; Public Health</t>
  </si>
  <si>
    <t>Adj. Sports and Youth Services</t>
  </si>
  <si>
    <t>Adj. Family Wealth</t>
  </si>
  <si>
    <t>Adj. Water Supply and Sanitation</t>
  </si>
  <si>
    <t>Adj. Urban Development</t>
  </si>
  <si>
    <t>Adj. Welfare of SC, ST and Other Backward Classes</t>
  </si>
  <si>
    <t>Adj. Housing</t>
  </si>
  <si>
    <t>Adj. Labour and Employment</t>
  </si>
  <si>
    <t>Adj. Social Security and Welfare</t>
  </si>
  <si>
    <t>Adj. Relief on Account of Natural Calamities</t>
  </si>
  <si>
    <t>Adj. Others</t>
  </si>
  <si>
    <t>General Education as %</t>
  </si>
  <si>
    <t>Technical Education as %</t>
  </si>
  <si>
    <t>Art and Culture as %</t>
  </si>
  <si>
    <t>Sports and Youth Services as %</t>
  </si>
  <si>
    <t>Medical and Public Health as %</t>
  </si>
  <si>
    <t>Family Wealth as %</t>
  </si>
  <si>
    <t>Water Supply and Sanitation as %</t>
  </si>
  <si>
    <t>Urban Development as %</t>
  </si>
  <si>
    <t>Welfare of SC, ST and Other Backward Classes as %</t>
  </si>
  <si>
    <t>Housing as %</t>
  </si>
  <si>
    <t>Labour and Employement as %</t>
  </si>
  <si>
    <t>Social Security and Welfare as %</t>
  </si>
  <si>
    <t>Relief Account of Natural Calamity as %</t>
  </si>
  <si>
    <t>Adj General Economic Service</t>
  </si>
  <si>
    <t>Adj. Agriculture and Allied Service</t>
  </si>
  <si>
    <t xml:space="preserve">Adj. Rural Development </t>
  </si>
  <si>
    <t>Adj. Irrigation and Food Control</t>
  </si>
  <si>
    <t>Adj. Energy</t>
  </si>
  <si>
    <t>Adj. Industries, Village and Small Industries</t>
  </si>
  <si>
    <t>Adj. Non-Ferrous Mining and Metallurgical Industries</t>
  </si>
  <si>
    <t>Adj. Civil Aviation</t>
  </si>
  <si>
    <t>Adj. Science, Technology and Environment</t>
  </si>
  <si>
    <t>Adj. Road and Bridge</t>
  </si>
  <si>
    <t>Adj. Road Transport</t>
  </si>
  <si>
    <t>General Economic Service as %</t>
  </si>
  <si>
    <t>Agriculture and Allied Service as %</t>
  </si>
  <si>
    <t>Rural Development as %</t>
  </si>
  <si>
    <t>Irrigation and Food Control as %</t>
  </si>
  <si>
    <t>Energy as %</t>
  </si>
  <si>
    <t>Industries, Village and Small Industries as %</t>
  </si>
  <si>
    <t>Non-Ferrous Mining and Metallurgical Industries as %</t>
  </si>
  <si>
    <t>Civil Aviation as %</t>
  </si>
  <si>
    <t>Science, Technology and Environment as %</t>
  </si>
  <si>
    <t>Road and Bridge as %</t>
  </si>
  <si>
    <t>Road Transport as %</t>
  </si>
  <si>
    <t>Capital Outlay (INR Crore)</t>
  </si>
  <si>
    <t>Adj. Capital Outlay (INR Crore)(Base Price 2011-12)</t>
  </si>
  <si>
    <t>Economic Survey</t>
  </si>
  <si>
    <t>LN Haryana Revenue Expenditure Per Capita (Constant Prices, INR Crores, Receipts)</t>
  </si>
  <si>
    <t>LN India Revenue Expenditure Per Capita (INR Crore) (Base Price- 2011-12)</t>
  </si>
  <si>
    <t>LN Haryana Revenue Receipts Per Capita (Constant Prices, INR Crores, Receipts) (Base Price- 2011-12)</t>
  </si>
  <si>
    <t>LN India Revenue Receipts Per Capita (INR Crore) (Base Price- 2011-12)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</si>
</sst>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2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28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3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1" applyAlignment="1">
      <alignment horizontal="center"/>
    </xf>
    <xf numFmtId="0" fontId="2" fillId="3" borderId="0" xfId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1" applyFont="1"/>
    <xf numFmtId="0" fontId="1" fillId="2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2" fontId="9" fillId="7" borderId="8" xfId="0" applyNumberFormat="1" applyFont="1" applyFill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10" fillId="0" borderId="0" xfId="1" applyFont="1"/>
    <xf numFmtId="0" fontId="0" fillId="0" borderId="7" xfId="0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9" fillId="7" borderId="9" xfId="0" applyNumberFormat="1" applyFont="1" applyFill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33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2" formatCode="0.00"/>
      <fill>
        <patternFill patternType="solid">
          <fgColor rgb="FFC0E6F5"/>
          <bgColor rgb="FFC0E6F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Revenue Receipts</a:t>
            </a:r>
          </a:p>
          <a:p>
            <a:pPr>
              <a:defRPr/>
            </a:pPr>
            <a:r>
              <a:rPr lang="en-GB"/>
              <a:t> as % of Real NSDP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'Haryana Rev &amp; Exp '!$Q$1</c:f>
              <c:strCache>
                <c:ptCount val="1"/>
                <c:pt idx="0">
                  <c:v>Real Revenue Receipt as % of NSDP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'Haryana Rev &amp; Exp '!$Q$2:$Q$20</c:f>
              <c:numCache>
                <c:formatCode>0.00</c:formatCode>
                <c:ptCount val="19"/>
                <c:pt idx="0">
                  <c:v>13.275772235211978</c:v>
                </c:pt>
                <c:pt idx="1">
                  <c:v>14.52773274480171</c:v>
                </c:pt>
                <c:pt idx="2">
                  <c:v>15.875184671728732</c:v>
                </c:pt>
                <c:pt idx="3">
                  <c:v>14.846525965215982</c:v>
                </c:pt>
                <c:pt idx="4">
                  <c:v>11.507107968641424</c:v>
                </c:pt>
                <c:pt idx="5">
                  <c:v>10.572734282191492</c:v>
                </c:pt>
                <c:pt idx="6">
                  <c:v>10.956176771707419</c:v>
                </c:pt>
                <c:pt idx="7">
                  <c:v>11.269522594814548</c:v>
                </c:pt>
                <c:pt idx="8">
                  <c:v>10.699286426451382</c:v>
                </c:pt>
                <c:pt idx="9">
                  <c:v>10.494880388240183</c:v>
                </c:pt>
                <c:pt idx="10">
                  <c:v>10.38265435117871</c:v>
                </c:pt>
                <c:pt idx="11">
                  <c:v>10.661492732508806</c:v>
                </c:pt>
                <c:pt idx="12">
                  <c:v>10.348765657522042</c:v>
                </c:pt>
                <c:pt idx="13">
                  <c:v>10.815336055846894</c:v>
                </c:pt>
                <c:pt idx="14">
                  <c:v>10.473672881076983</c:v>
                </c:pt>
                <c:pt idx="15">
                  <c:v>10.201519079020084</c:v>
                </c:pt>
                <c:pt idx="16">
                  <c:v>11.037243173825265</c:v>
                </c:pt>
                <c:pt idx="17">
                  <c:v>10.975371422791737</c:v>
                </c:pt>
                <c:pt idx="18">
                  <c:v>10.960368467771865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5-8448-AE09-67320FA7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67183"/>
        <c:axId val="1588818112"/>
      </c:areaChart>
      <c:catAx>
        <c:axId val="266467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18112"/>
        <c:crosses val="autoZero"/>
        <c:auto val="1"/>
        <c:lblAlgn val="ctr"/>
        <c:lblOffset val="100"/>
        <c:noMultiLvlLbl val="0"/>
      </c:catAx>
      <c:valAx>
        <c:axId val="1588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Comparing Logarithmic Real Revenue Per Capita of Haryana with India (Base Price- 2011-12)</a:t>
            </a:r>
          </a:p>
          <a:p>
            <a:pPr>
              <a:defRPr/>
            </a:pP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Haryana'!$B$179</c:f>
              <c:strCache>
                <c:ptCount val="1"/>
                <c:pt idx="0">
                  <c:v>LN Haryana Revenue Receipts Per Capita (Constant Prices, INR Crores, Receipts)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Haryana'!$A$180:$A$198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Haryana'!$B$180:$B$198</c:f>
              <c:numCache>
                <c:formatCode>General</c:formatCode>
                <c:ptCount val="19"/>
                <c:pt idx="0">
                  <c:v>9.0355156846978826</c:v>
                </c:pt>
                <c:pt idx="1">
                  <c:v>9.2337952142091471</c:v>
                </c:pt>
                <c:pt idx="2">
                  <c:v>9.4746269171439614</c:v>
                </c:pt>
                <c:pt idx="3">
                  <c:v>9.5520958791709951</c:v>
                </c:pt>
                <c:pt idx="4">
                  <c:v>9.4664161104559064</c:v>
                </c:pt>
                <c:pt idx="5">
                  <c:v>9.5781890850492371</c:v>
                </c:pt>
                <c:pt idx="6">
                  <c:v>9.7583884151749025</c:v>
                </c:pt>
                <c:pt idx="7">
                  <c:v>9.3889248423989109</c:v>
                </c:pt>
                <c:pt idx="8">
                  <c:v>9.389295155885419</c:v>
                </c:pt>
                <c:pt idx="9">
                  <c:v>9.4392233057023169</c:v>
                </c:pt>
                <c:pt idx="10">
                  <c:v>9.4712881554757207</c:v>
                </c:pt>
                <c:pt idx="11">
                  <c:v>9.5952658522055465</c:v>
                </c:pt>
                <c:pt idx="12">
                  <c:v>9.6518112744828848</c:v>
                </c:pt>
                <c:pt idx="13">
                  <c:v>9.7346862193745771</c:v>
                </c:pt>
                <c:pt idx="14">
                  <c:v>9.7849134423337851</c:v>
                </c:pt>
                <c:pt idx="15">
                  <c:v>9.7794903462428646</c:v>
                </c:pt>
                <c:pt idx="16">
                  <c:v>9.7195070855760139</c:v>
                </c:pt>
                <c:pt idx="17">
                  <c:v>9.7937360613425781</c:v>
                </c:pt>
                <c:pt idx="18">
                  <c:v>9.855770218089722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F743-B65F-E5EA394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62991"/>
        <c:axId val="403915279"/>
      </c:barChart>
      <c:lineChart>
        <c:grouping val="standard"/>
        <c:varyColors val="0"/>
        <c:ser>
          <c:idx val="1"/>
          <c:order val="1"/>
          <c:tx>
            <c:strRef>
              <c:f>'India Haryana'!$C$179</c:f>
              <c:strCache>
                <c:ptCount val="1"/>
                <c:pt idx="0">
                  <c:v>LN India Revenue Receipts Per Capita (INR Crore) (Base Price- 2011-12)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Haryana'!$A$180:$A$198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Haryana'!$C$180:$C$198</c:f>
              <c:numCache>
                <c:formatCode>General</c:formatCode>
                <c:ptCount val="19"/>
                <c:pt idx="0">
                  <c:v>10.784713289429527</c:v>
                </c:pt>
                <c:pt idx="1">
                  <c:v>10.851461042935576</c:v>
                </c:pt>
                <c:pt idx="2">
                  <c:v>10.9919515997614</c:v>
                </c:pt>
                <c:pt idx="3">
                  <c:v>11.142630436867138</c:v>
                </c:pt>
                <c:pt idx="4">
                  <c:v>11.011883373936312</c:v>
                </c:pt>
                <c:pt idx="5">
                  <c:v>10.996213240381429</c:v>
                </c:pt>
                <c:pt idx="6">
                  <c:v>11.223625388236474</c:v>
                </c:pt>
                <c:pt idx="7">
                  <c:v>10.995074088447984</c:v>
                </c:pt>
                <c:pt idx="8">
                  <c:v>11.058664533909552</c:v>
                </c:pt>
                <c:pt idx="9">
                  <c:v>11.125469090988512</c:v>
                </c:pt>
                <c:pt idx="10">
                  <c:v>11.163826752186036</c:v>
                </c:pt>
                <c:pt idx="11">
                  <c:v>11.209075904499224</c:v>
                </c:pt>
                <c:pt idx="12">
                  <c:v>11.311267588145867</c:v>
                </c:pt>
                <c:pt idx="13">
                  <c:v>11.214090739844853</c:v>
                </c:pt>
                <c:pt idx="14">
                  <c:v>11.322588853989146</c:v>
                </c:pt>
                <c:pt idx="15">
                  <c:v>11.368210503814806</c:v>
                </c:pt>
                <c:pt idx="16">
                  <c:v>11.27594377094456</c:v>
                </c:pt>
                <c:pt idx="17">
                  <c:v>11.469847935387394</c:v>
                </c:pt>
                <c:pt idx="18">
                  <c:v>11.494922301286984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1-F743-B65F-E5EA394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62991"/>
        <c:axId val="403915279"/>
      </c:lineChart>
      <c:catAx>
        <c:axId val="4041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5279"/>
        <c:auto val="1"/>
        <c:lblAlgn val="ctr"/>
        <c:lblOffset val="100"/>
        <c:noMultiLvlLbl val="0"/>
      </c:catAx>
      <c:valAx>
        <c:axId val="4039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99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Composition of Haryana in Real Terms</a:t>
            </a:r>
          </a:p>
          <a:p>
            <a:pPr>
              <a:defRPr/>
            </a:pPr>
            <a:r>
              <a:rPr lang="en-GB" baseline="0"/>
              <a:t>(Base Price 2011-12)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Composition'!$B$47</c:f>
              <c:strCache>
                <c:ptCount val="1"/>
                <c:pt idx="0">
                  <c:v>State's own Tax Revenue as 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'Haryana Rev &amp; Exp Composition'!$A$48:$A$66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Composition'!$B$48:$B$66</c:f>
              <c:numCache>
                <c:formatCode>General</c:formatCode>
                <c:ptCount val="19"/>
                <c:pt idx="0">
                  <c:v>66.734504971719588</c:v>
                </c:pt>
                <c:pt idx="1">
                  <c:v>65.534157540688824</c:v>
                </c:pt>
                <c:pt idx="2">
                  <c:v>60.870645366671802</c:v>
                </c:pt>
                <c:pt idx="3">
                  <c:v>58.822201092212246</c:v>
                </c:pt>
                <c:pt idx="4">
                  <c:v>63.164340941594844</c:v>
                </c:pt>
                <c:pt idx="5">
                  <c:v>62.972010216904387</c:v>
                </c:pt>
                <c:pt idx="6">
                  <c:v>65.680567117097382</c:v>
                </c:pt>
                <c:pt idx="7">
                  <c:v>66.757424260224724</c:v>
                </c:pt>
                <c:pt idx="8">
                  <c:v>73.700331117183737</c:v>
                </c:pt>
                <c:pt idx="9">
                  <c:v>71.078127232707004</c:v>
                </c:pt>
                <c:pt idx="10">
                  <c:v>67.734013813198786</c:v>
                </c:pt>
                <c:pt idx="11">
                  <c:v>65.036446083662497</c:v>
                </c:pt>
                <c:pt idx="12">
                  <c:v>64.814802115632915</c:v>
                </c:pt>
                <c:pt idx="13">
                  <c:v>65.556705252128353</c:v>
                </c:pt>
                <c:pt idx="14">
                  <c:v>64.629676625010319</c:v>
                </c:pt>
                <c:pt idx="15">
                  <c:v>63.109534553928903</c:v>
                </c:pt>
                <c:pt idx="16">
                  <c:v>64.335785694410518</c:v>
                </c:pt>
                <c:pt idx="17">
                  <c:v>68.351916619030362</c:v>
                </c:pt>
                <c:pt idx="18">
                  <c:v>67.355295179596979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3-DD4B-93B0-10CCA2D70A23}"/>
            </c:ext>
          </c:extLst>
        </c:ser>
        <c:ser>
          <c:idx val="1"/>
          <c:order val="1"/>
          <c:tx>
            <c:strRef>
              <c:f>'Haryana Rev &amp; Exp Composition'!$C$47</c:f>
              <c:strCache>
                <c:ptCount val="1"/>
                <c:pt idx="0">
                  <c:v>Share in Central Taxes as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'Haryana Rev &amp; Exp Composition'!$A$48:$A$66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Composition'!$C$48:$C$66</c:f>
              <c:numCache>
                <c:formatCode>General</c:formatCode>
                <c:ptCount val="19"/>
                <c:pt idx="0">
                  <c:v>5.5543696060475058</c:v>
                </c:pt>
                <c:pt idx="1">
                  <c:v>8.6691916949811993</c:v>
                </c:pt>
                <c:pt idx="2">
                  <c:v>7.2170731204633558</c:v>
                </c:pt>
                <c:pt idx="3">
                  <c:v>8.2749304583018155</c:v>
                </c:pt>
                <c:pt idx="4">
                  <c:v>9.3463636802113115</c:v>
                </c:pt>
                <c:pt idx="5">
                  <c:v>8.4528116017693797</c:v>
                </c:pt>
                <c:pt idx="6">
                  <c:v>9.0039853417035403</c:v>
                </c:pt>
                <c:pt idx="7">
                  <c:v>8.7753975362585876</c:v>
                </c:pt>
                <c:pt idx="8">
                  <c:v>7.9937232879487343</c:v>
                </c:pt>
                <c:pt idx="9">
                  <c:v>7.780560653529486</c:v>
                </c:pt>
                <c:pt idx="10">
                  <c:v>8.6965846427309135</c:v>
                </c:pt>
                <c:pt idx="11">
                  <c:v>11.557230286890029</c:v>
                </c:pt>
                <c:pt idx="12">
                  <c:v>12.567332649863364</c:v>
                </c:pt>
                <c:pt idx="13">
                  <c:v>11.636921391539424</c:v>
                </c:pt>
                <c:pt idx="14">
                  <c:v>12.528777362779337</c:v>
                </c:pt>
                <c:pt idx="15">
                  <c:v>10.479997017306548</c:v>
                </c:pt>
                <c:pt idx="16">
                  <c:v>8.951912873623284</c:v>
                </c:pt>
                <c:pt idx="17">
                  <c:v>12.449674536391072</c:v>
                </c:pt>
                <c:pt idx="18">
                  <c:v>10.698696641436037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3-DD4B-93B0-10CCA2D70A23}"/>
            </c:ext>
          </c:extLst>
        </c:ser>
        <c:ser>
          <c:idx val="2"/>
          <c:order val="2"/>
          <c:tx>
            <c:strRef>
              <c:f>'Haryana Rev &amp; Exp Composition'!$D$47</c:f>
              <c:strCache>
                <c:ptCount val="1"/>
                <c:pt idx="0">
                  <c:v>State's Own Non-Tax Revenue as %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'Haryana Rev &amp; Exp Composition'!$A$48:$A$66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Composition'!$D$48:$D$66</c:f>
              <c:numCache>
                <c:formatCode>General</c:formatCode>
                <c:ptCount val="19"/>
                <c:pt idx="0">
                  <c:v>22.821385838806144</c:v>
                </c:pt>
                <c:pt idx="1">
                  <c:v>17.747094376722959</c:v>
                </c:pt>
                <c:pt idx="2">
                  <c:v>25.571802814437934</c:v>
                </c:pt>
                <c:pt idx="3">
                  <c:v>25.807033052938777</c:v>
                </c:pt>
                <c:pt idx="4">
                  <c:v>17.550377161450246</c:v>
                </c:pt>
                <c:pt idx="5">
                  <c:v>13.058850093318334</c:v>
                </c:pt>
                <c:pt idx="6">
                  <c:v>13.382032633799202</c:v>
                </c:pt>
                <c:pt idx="7">
                  <c:v>15.451643928726055</c:v>
                </c:pt>
                <c:pt idx="8">
                  <c:v>12.199308319071241</c:v>
                </c:pt>
                <c:pt idx="9">
                  <c:v>11.536325837566217</c:v>
                </c:pt>
                <c:pt idx="10">
                  <c:v>11.307038025268476</c:v>
                </c:pt>
                <c:pt idx="11">
                  <c:v>9.993344765337266</c:v>
                </c:pt>
                <c:pt idx="12">
                  <c:v>11.802791102394391</c:v>
                </c:pt>
                <c:pt idx="13">
                  <c:v>14.53570398037289</c:v>
                </c:pt>
                <c:pt idx="14">
                  <c:v>12.105373717161024</c:v>
                </c:pt>
                <c:pt idx="15">
                  <c:v>10.904721365000777</c:v>
                </c:pt>
                <c:pt idx="16">
                  <c:v>9.6804319552192286</c:v>
                </c:pt>
                <c:pt idx="17">
                  <c:v>9.4685118824438153</c:v>
                </c:pt>
                <c:pt idx="18">
                  <c:v>11.292794915428441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3-DD4B-93B0-10CCA2D70A23}"/>
            </c:ext>
          </c:extLst>
        </c:ser>
        <c:ser>
          <c:idx val="3"/>
          <c:order val="3"/>
          <c:tx>
            <c:strRef>
              <c:f>'Haryana Rev &amp; Exp Composition'!$E$47</c:f>
              <c:strCache>
                <c:ptCount val="1"/>
                <c:pt idx="0">
                  <c:v>Grants from the Centre as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'Haryana Rev &amp; Exp Composition'!$A$48:$A$66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Composition'!$E$48:$E$66</c:f>
              <c:numCache>
                <c:formatCode>General</c:formatCode>
                <c:ptCount val="19"/>
                <c:pt idx="0">
                  <c:v>4.8897395834267634</c:v>
                </c:pt>
                <c:pt idx="1">
                  <c:v>8.0495563876070051</c:v>
                </c:pt>
                <c:pt idx="2">
                  <c:v>6.3404786984268977</c:v>
                </c:pt>
                <c:pt idx="3">
                  <c:v>7.0958353965471677</c:v>
                </c:pt>
                <c:pt idx="4">
                  <c:v>9.9389182167435948</c:v>
                </c:pt>
                <c:pt idx="5">
                  <c:v>15.516328088007905</c:v>
                </c:pt>
                <c:pt idx="6">
                  <c:v>11.933414907399872</c:v>
                </c:pt>
                <c:pt idx="7">
                  <c:v>9.0155342747906495</c:v>
                </c:pt>
                <c:pt idx="8">
                  <c:v>6.1066372757962855</c:v>
                </c:pt>
                <c:pt idx="9">
                  <c:v>9.6049862761972911</c:v>
                </c:pt>
                <c:pt idx="10">
                  <c:v>12.262363518801845</c:v>
                </c:pt>
                <c:pt idx="11">
                  <c:v>13.412978864110203</c:v>
                </c:pt>
                <c:pt idx="12">
                  <c:v>10.815074132109336</c:v>
                </c:pt>
                <c:pt idx="13">
                  <c:v>8.2706693759593399</c:v>
                </c:pt>
                <c:pt idx="14">
                  <c:v>10.736172295049325</c:v>
                </c:pt>
                <c:pt idx="15">
                  <c:v>15.505747063763767</c:v>
                </c:pt>
                <c:pt idx="16">
                  <c:v>17.031869476746976</c:v>
                </c:pt>
                <c:pt idx="17">
                  <c:v>9.7298969621347631</c:v>
                </c:pt>
                <c:pt idx="18">
                  <c:v>10.653213263538545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3-DD4B-93B0-10CCA2D7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00655"/>
        <c:axId val="1895052591"/>
      </c:areaChart>
      <c:catAx>
        <c:axId val="211140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2591"/>
        <c:crosses val="autoZero"/>
        <c:auto val="1"/>
        <c:lblAlgn val="ctr"/>
        <c:lblOffset val="100"/>
        <c:noMultiLvlLbl val="0"/>
      </c:catAx>
      <c:valAx>
        <c:axId val="18950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0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Expenditure</a:t>
            </a:r>
            <a:r>
              <a:rPr lang="en-GB" baseline="0"/>
              <a:t> Composition of Haryan in Real Terms (Base Price- 2011-12)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Composition'!$B$118</c:f>
              <c:strCache>
                <c:ptCount val="1"/>
                <c:pt idx="0">
                  <c:v>Developmental Expenditure as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'Haryana Rev &amp; Exp Composition'!$A$119:$A$137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Composition'!$B$119:$B$137</c:f>
              <c:numCache>
                <c:formatCode>0.00</c:formatCode>
                <c:ptCount val="19"/>
                <c:pt idx="0">
                  <c:v>56.256980301741898</c:v>
                </c:pt>
                <c:pt idx="1">
                  <c:v>61.791390754673692</c:v>
                </c:pt>
                <c:pt idx="2">
                  <c:v>68.709124412134102</c:v>
                </c:pt>
                <c:pt idx="3">
                  <c:v>68.241220480325353</c:v>
                </c:pt>
                <c:pt idx="4">
                  <c:v>69.611239105651734</c:v>
                </c:pt>
                <c:pt idx="5">
                  <c:v>69.017966234027426</c:v>
                </c:pt>
                <c:pt idx="6">
                  <c:v>66.763274990383323</c:v>
                </c:pt>
                <c:pt idx="7">
                  <c:v>67.767723024822018</c:v>
                </c:pt>
                <c:pt idx="8">
                  <c:v>68.484113667572672</c:v>
                </c:pt>
                <c:pt idx="9">
                  <c:v>67.213079921980736</c:v>
                </c:pt>
                <c:pt idx="10">
                  <c:v>65.574016137100415</c:v>
                </c:pt>
                <c:pt idx="11">
                  <c:v>67.91382561529619</c:v>
                </c:pt>
                <c:pt idx="12">
                  <c:v>67.75785951084616</c:v>
                </c:pt>
                <c:pt idx="13">
                  <c:v>63.021881080874486</c:v>
                </c:pt>
                <c:pt idx="14">
                  <c:v>63.188458116603172</c:v>
                </c:pt>
                <c:pt idx="15">
                  <c:v>62.422365775306275</c:v>
                </c:pt>
                <c:pt idx="16">
                  <c:v>61.383565359891314</c:v>
                </c:pt>
                <c:pt idx="17">
                  <c:v>61.444874484150482</c:v>
                </c:pt>
                <c:pt idx="18">
                  <c:v>61.379690649794036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7-5B44-A4A2-D60E992683BB}"/>
            </c:ext>
          </c:extLst>
        </c:ser>
        <c:ser>
          <c:idx val="1"/>
          <c:order val="1"/>
          <c:tx>
            <c:strRef>
              <c:f>'Haryana Rev &amp; Exp Composition'!$C$118</c:f>
              <c:strCache>
                <c:ptCount val="1"/>
                <c:pt idx="0">
                  <c:v>Non-Developmental Expenditure as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'Haryana Rev &amp; Exp Composition'!$A$119:$A$137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Composition'!$C$119:$C$137</c:f>
              <c:numCache>
                <c:formatCode>0.00</c:formatCode>
                <c:ptCount val="19"/>
                <c:pt idx="0">
                  <c:v>43.743019698258109</c:v>
                </c:pt>
                <c:pt idx="1">
                  <c:v>38.208609245326308</c:v>
                </c:pt>
                <c:pt idx="2">
                  <c:v>29.611328584568653</c:v>
                </c:pt>
                <c:pt idx="3">
                  <c:v>29.838014431555663</c:v>
                </c:pt>
                <c:pt idx="4">
                  <c:v>29.337955746191934</c:v>
                </c:pt>
                <c:pt idx="5">
                  <c:v>30.705243378370994</c:v>
                </c:pt>
                <c:pt idx="6">
                  <c:v>32.949761199059409</c:v>
                </c:pt>
                <c:pt idx="7">
                  <c:v>31.922294470260699</c:v>
                </c:pt>
                <c:pt idx="8">
                  <c:v>31.248259863226558</c:v>
                </c:pt>
                <c:pt idx="9">
                  <c:v>32.461808050688632</c:v>
                </c:pt>
                <c:pt idx="10">
                  <c:v>34.131630707927677</c:v>
                </c:pt>
                <c:pt idx="11">
                  <c:v>31.591287011042326</c:v>
                </c:pt>
                <c:pt idx="12">
                  <c:v>31.622361627187413</c:v>
                </c:pt>
                <c:pt idx="13">
                  <c:v>36.445039303223496</c:v>
                </c:pt>
                <c:pt idx="14">
                  <c:v>36.524137677240155</c:v>
                </c:pt>
                <c:pt idx="15">
                  <c:v>37.577634224693718</c:v>
                </c:pt>
                <c:pt idx="16">
                  <c:v>38.616434640108686</c:v>
                </c:pt>
                <c:pt idx="17">
                  <c:v>38.555125515849525</c:v>
                </c:pt>
                <c:pt idx="18">
                  <c:v>38.620309350205972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7-5B44-A4A2-D60E992683BB}"/>
            </c:ext>
          </c:extLst>
        </c:ser>
        <c:ser>
          <c:idx val="2"/>
          <c:order val="2"/>
          <c:tx>
            <c:strRef>
              <c:f>'Haryana Rev &amp; Exp Composition'!$D$118</c:f>
              <c:strCache>
                <c:ptCount val="1"/>
                <c:pt idx="0">
                  <c:v>Other Expenses as %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'Haryana Rev &amp; Exp Composition'!$A$119:$A$137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Composition'!$D$119:$D$137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1.6795470032972437</c:v>
                </c:pt>
                <c:pt idx="3">
                  <c:v>1.9207650881189853</c:v>
                </c:pt>
                <c:pt idx="4">
                  <c:v>1.0508051481563185</c:v>
                </c:pt>
                <c:pt idx="5">
                  <c:v>0.27679038760156432</c:v>
                </c:pt>
                <c:pt idx="6">
                  <c:v>0.28696381055725872</c:v>
                </c:pt>
                <c:pt idx="7">
                  <c:v>0.30998250491727081</c:v>
                </c:pt>
                <c:pt idx="8">
                  <c:v>0.267626469200761</c:v>
                </c:pt>
                <c:pt idx="9">
                  <c:v>0.32511202733061012</c:v>
                </c:pt>
                <c:pt idx="10">
                  <c:v>0.29435315497190739</c:v>
                </c:pt>
                <c:pt idx="11">
                  <c:v>0.49488737366149133</c:v>
                </c:pt>
                <c:pt idx="12">
                  <c:v>0.61977886196642484</c:v>
                </c:pt>
                <c:pt idx="13">
                  <c:v>0.53307961590202224</c:v>
                </c:pt>
                <c:pt idx="14">
                  <c:v>0.28740420615666978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7-5B44-A4A2-D60E9926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93280"/>
        <c:axId val="633484719"/>
      </c:areaChart>
      <c:catAx>
        <c:axId val="6012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4719"/>
        <c:crosses val="autoZero"/>
        <c:auto val="1"/>
        <c:lblAlgn val="ctr"/>
        <c:lblOffset val="100"/>
        <c:noMultiLvlLbl val="0"/>
      </c:catAx>
      <c:valAx>
        <c:axId val="6334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Haryana's Own Tax Revenue (Base Price- 2011-12)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'Haryana Rev &amp; Exp Composition'!$B$69</c:f>
              <c:strCache>
                <c:ptCount val="1"/>
                <c:pt idx="0">
                  <c:v>Adj. State's Own Tax Revenue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'Haryana Rev &amp; Exp Composition'!$A$70:$A$88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Composition'!$B$70:$B$88</c:f>
              <c:numCache>
                <c:formatCode>0.00</c:formatCode>
                <c:ptCount val="19"/>
                <c:pt idx="0">
                  <c:v>12722.86169723583</c:v>
                </c:pt>
                <c:pt idx="1">
                  <c:v>15524.491503636878</c:v>
                </c:pt>
                <c:pt idx="2">
                  <c:v>18686.469264972442</c:v>
                </c:pt>
                <c:pt idx="3">
                  <c:v>19866.472204279198</c:v>
                </c:pt>
                <c:pt idx="4">
                  <c:v>19930.528799854634</c:v>
                </c:pt>
                <c:pt idx="5">
                  <c:v>22605.345000599209</c:v>
                </c:pt>
                <c:pt idx="6">
                  <c:v>28711.532699352352</c:v>
                </c:pt>
                <c:pt idx="7">
                  <c:v>20399.46</c:v>
                </c:pt>
                <c:pt idx="8">
                  <c:v>26022.813162503455</c:v>
                </c:pt>
                <c:pt idx="9">
                  <c:v>26555.656029910442</c:v>
                </c:pt>
                <c:pt idx="10">
                  <c:v>23442.967424499493</c:v>
                </c:pt>
                <c:pt idx="11">
                  <c:v>25843.156751336897</c:v>
                </c:pt>
                <c:pt idx="12">
                  <c:v>27638.461538461535</c:v>
                </c:pt>
                <c:pt idx="13">
                  <c:v>30799.895083932854</c:v>
                </c:pt>
                <c:pt idx="14">
                  <c:v>32381.24714828897</c:v>
                </c:pt>
                <c:pt idx="15">
                  <c:v>31449.621796284053</c:v>
                </c:pt>
                <c:pt idx="16">
                  <c:v>31055.040945093304</c:v>
                </c:pt>
                <c:pt idx="17">
                  <c:v>32922.444951582067</c:v>
                </c:pt>
                <c:pt idx="18">
                  <c:v>38324.906147348665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5-E44A-B219-F071945A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84208"/>
        <c:axId val="1649811504"/>
      </c:barChart>
      <c:catAx>
        <c:axId val="20234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1504"/>
        <c:crosses val="autoZero"/>
        <c:auto val="1"/>
        <c:lblAlgn val="ctr"/>
        <c:lblOffset val="100"/>
        <c:noMultiLvlLbl val="0"/>
      </c:catAx>
      <c:valAx>
        <c:axId val="16498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</a:t>
            </a:r>
            <a:r>
              <a:rPr lang="en-GB" baseline="0"/>
              <a:t>Development Expenditure Composition (Base Price- 2011-12)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Composition'!$B$165</c:f>
              <c:strCache>
                <c:ptCount val="1"/>
                <c:pt idx="0">
                  <c:v>Organs of State as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Composition'!$B$166:$B$184</c:f>
              <c:numCache>
                <c:formatCode>General</c:formatCode>
                <c:ptCount val="19"/>
                <c:pt idx="0">
                  <c:v>2.0620023608113338</c:v>
                </c:pt>
                <c:pt idx="1">
                  <c:v>2.6466343515828656</c:v>
                </c:pt>
                <c:pt idx="2">
                  <c:v>2.8265962167573084</c:v>
                </c:pt>
                <c:pt idx="3">
                  <c:v>2.9351528478420215</c:v>
                </c:pt>
                <c:pt idx="4">
                  <c:v>3.7349465165658424</c:v>
                </c:pt>
                <c:pt idx="5">
                  <c:v>3.7923389029104499</c:v>
                </c:pt>
                <c:pt idx="6">
                  <c:v>3.9070587009983648</c:v>
                </c:pt>
                <c:pt idx="7">
                  <c:v>4.3260993578171067</c:v>
                </c:pt>
                <c:pt idx="8">
                  <c:v>4.1900519049320195</c:v>
                </c:pt>
                <c:pt idx="9">
                  <c:v>4.124124551106064</c:v>
                </c:pt>
                <c:pt idx="10">
                  <c:v>4.4578707799051935</c:v>
                </c:pt>
                <c:pt idx="11">
                  <c:v>3.9686170064959079</c:v>
                </c:pt>
                <c:pt idx="12">
                  <c:v>3.7836360963404925</c:v>
                </c:pt>
                <c:pt idx="13">
                  <c:v>3.4985263310869041</c:v>
                </c:pt>
                <c:pt idx="14">
                  <c:v>3.659168226598275</c:v>
                </c:pt>
                <c:pt idx="15">
                  <c:v>3.6902893148433606</c:v>
                </c:pt>
                <c:pt idx="16">
                  <c:v>3.0224991701255566</c:v>
                </c:pt>
                <c:pt idx="17">
                  <c:v>3.1477112429702943</c:v>
                </c:pt>
                <c:pt idx="18">
                  <c:v>3.5415408681415323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8-034C-976D-2F0208B5BD3F}"/>
            </c:ext>
          </c:extLst>
        </c:ser>
        <c:ser>
          <c:idx val="1"/>
          <c:order val="1"/>
          <c:tx>
            <c:strRef>
              <c:f>'Haryana Rev &amp; Exp Composition'!$C$165</c:f>
              <c:strCache>
                <c:ptCount val="1"/>
                <c:pt idx="0">
                  <c:v>Fiscal Services as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Composition'!$C$166:$C$184</c:f>
              <c:numCache>
                <c:formatCode>General</c:formatCode>
                <c:ptCount val="19"/>
                <c:pt idx="0">
                  <c:v>2.0770329932402234</c:v>
                </c:pt>
                <c:pt idx="1">
                  <c:v>2.3488828105426407</c:v>
                </c:pt>
                <c:pt idx="2">
                  <c:v>2.76178780404743</c:v>
                </c:pt>
                <c:pt idx="3">
                  <c:v>2.6051322956639216</c:v>
                </c:pt>
                <c:pt idx="4">
                  <c:v>3.049557309402668</c:v>
                </c:pt>
                <c:pt idx="5">
                  <c:v>2.9593942685537202</c:v>
                </c:pt>
                <c:pt idx="6">
                  <c:v>2.6550102132127726</c:v>
                </c:pt>
                <c:pt idx="7">
                  <c:v>2.3865367623531903</c:v>
                </c:pt>
                <c:pt idx="8">
                  <c:v>2.2743186164288565</c:v>
                </c:pt>
                <c:pt idx="9">
                  <c:v>2.1111528677363394</c:v>
                </c:pt>
                <c:pt idx="10">
                  <c:v>1.995319936557284</c:v>
                </c:pt>
                <c:pt idx="11">
                  <c:v>1.9308171933147087</c:v>
                </c:pt>
                <c:pt idx="12">
                  <c:v>1.8136192962066096</c:v>
                </c:pt>
                <c:pt idx="13">
                  <c:v>1.6213167172746807</c:v>
                </c:pt>
                <c:pt idx="14">
                  <c:v>1.7250541997098225</c:v>
                </c:pt>
                <c:pt idx="15">
                  <c:v>1.6625292662922879</c:v>
                </c:pt>
                <c:pt idx="16">
                  <c:v>1.7571457731680364</c:v>
                </c:pt>
                <c:pt idx="17">
                  <c:v>1.7071568406043129</c:v>
                </c:pt>
                <c:pt idx="18">
                  <c:v>1.6132830634546897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034C-976D-2F0208B5BD3F}"/>
            </c:ext>
          </c:extLst>
        </c:ser>
        <c:ser>
          <c:idx val="2"/>
          <c:order val="2"/>
          <c:tx>
            <c:strRef>
              <c:f>'Haryana Rev &amp; Exp Composition'!$D$165</c:f>
              <c:strCache>
                <c:ptCount val="1"/>
                <c:pt idx="0">
                  <c:v>Interest Payment &amp; Servicing of Debt as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Composition'!$D$166:$D$184</c:f>
              <c:numCache>
                <c:formatCode>General</c:formatCode>
                <c:ptCount val="19"/>
                <c:pt idx="0">
                  <c:v>45.820782755255216</c:v>
                </c:pt>
                <c:pt idx="1">
                  <c:v>44.346551320728928</c:v>
                </c:pt>
                <c:pt idx="2">
                  <c:v>47.802602656319337</c:v>
                </c:pt>
                <c:pt idx="3">
                  <c:v>43.039925839693012</c:v>
                </c:pt>
                <c:pt idx="4">
                  <c:v>38.24109610993149</c:v>
                </c:pt>
                <c:pt idx="5">
                  <c:v>35.896744512954861</c:v>
                </c:pt>
                <c:pt idx="6">
                  <c:v>36.39177076491756</c:v>
                </c:pt>
                <c:pt idx="7">
                  <c:v>40.623963412307255</c:v>
                </c:pt>
                <c:pt idx="8">
                  <c:v>41.652720280748937</c:v>
                </c:pt>
                <c:pt idx="9">
                  <c:v>43.021524110283579</c:v>
                </c:pt>
                <c:pt idx="10">
                  <c:v>41.326463354912377</c:v>
                </c:pt>
                <c:pt idx="11">
                  <c:v>45.670944546451409</c:v>
                </c:pt>
                <c:pt idx="12">
                  <c:v>48.735690529883811</c:v>
                </c:pt>
                <c:pt idx="13">
                  <c:v>44.800995705029507</c:v>
                </c:pt>
                <c:pt idx="14">
                  <c:v>48.107758288641719</c:v>
                </c:pt>
                <c:pt idx="15">
                  <c:v>48.889833286026352</c:v>
                </c:pt>
                <c:pt idx="16">
                  <c:v>49.273294856333123</c:v>
                </c:pt>
                <c:pt idx="17">
                  <c:v>49.703949284136733</c:v>
                </c:pt>
                <c:pt idx="18">
                  <c:v>47.930690247220284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8-034C-976D-2F0208B5BD3F}"/>
            </c:ext>
          </c:extLst>
        </c:ser>
        <c:ser>
          <c:idx val="3"/>
          <c:order val="3"/>
          <c:tx>
            <c:strRef>
              <c:f>'Haryana Rev &amp; Exp Composition'!$E$165</c:f>
              <c:strCache>
                <c:ptCount val="1"/>
                <c:pt idx="0">
                  <c:v>Administrative Services as 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Composition'!$E$166:$E$184</c:f>
              <c:numCache>
                <c:formatCode>General</c:formatCode>
                <c:ptCount val="19"/>
                <c:pt idx="0">
                  <c:v>16.047304406380206</c:v>
                </c:pt>
                <c:pt idx="1">
                  <c:v>19.642076972293367</c:v>
                </c:pt>
                <c:pt idx="2">
                  <c:v>22.220410522079231</c:v>
                </c:pt>
                <c:pt idx="3">
                  <c:v>22.033587720432894</c:v>
                </c:pt>
                <c:pt idx="4">
                  <c:v>25.633908897880687</c:v>
                </c:pt>
                <c:pt idx="5">
                  <c:v>25.901408900674099</c:v>
                </c:pt>
                <c:pt idx="6">
                  <c:v>23.287187891231937</c:v>
                </c:pt>
                <c:pt idx="7">
                  <c:v>21.297516690590747</c:v>
                </c:pt>
                <c:pt idx="8">
                  <c:v>21.272112131464478</c:v>
                </c:pt>
                <c:pt idx="9">
                  <c:v>20.073455705577061</c:v>
                </c:pt>
                <c:pt idx="10">
                  <c:v>20.867917347908378</c:v>
                </c:pt>
                <c:pt idx="11">
                  <c:v>19.346593763159078</c:v>
                </c:pt>
                <c:pt idx="12">
                  <c:v>19.317611292796656</c:v>
                </c:pt>
                <c:pt idx="13">
                  <c:v>17.127295104962158</c:v>
                </c:pt>
                <c:pt idx="14">
                  <c:v>17.610299560118815</c:v>
                </c:pt>
                <c:pt idx="15">
                  <c:v>17.585305459329849</c:v>
                </c:pt>
                <c:pt idx="16">
                  <c:v>16.878912033884792</c:v>
                </c:pt>
                <c:pt idx="17">
                  <c:v>17.458124812736621</c:v>
                </c:pt>
                <c:pt idx="18">
                  <c:v>17.982040811180411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8-034C-976D-2F0208B5BD3F}"/>
            </c:ext>
          </c:extLst>
        </c:ser>
        <c:ser>
          <c:idx val="4"/>
          <c:order val="4"/>
          <c:tx>
            <c:strRef>
              <c:f>'Haryana Rev &amp; Exp Composition'!$F$165</c:f>
              <c:strCache>
                <c:ptCount val="1"/>
                <c:pt idx="0">
                  <c:v>Pensions &amp; Miscellaneous General Services as %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Composition'!$F$166:$F$184</c:f>
              <c:numCache>
                <c:formatCode>General</c:formatCode>
                <c:ptCount val="19"/>
                <c:pt idx="0">
                  <c:v>32.154931750908354</c:v>
                </c:pt>
                <c:pt idx="1">
                  <c:v>25.842266224663685</c:v>
                </c:pt>
                <c:pt idx="2">
                  <c:v>24.38860280079669</c:v>
                </c:pt>
                <c:pt idx="3">
                  <c:v>23.33821986518921</c:v>
                </c:pt>
                <c:pt idx="4">
                  <c:v>25.882616882336439</c:v>
                </c:pt>
                <c:pt idx="5">
                  <c:v>30.556723427366538</c:v>
                </c:pt>
                <c:pt idx="6">
                  <c:v>32.895578667244813</c:v>
                </c:pt>
                <c:pt idx="7">
                  <c:v>31.365883776931714</c:v>
                </c:pt>
                <c:pt idx="8">
                  <c:v>30.610797066425704</c:v>
                </c:pt>
                <c:pt idx="9">
                  <c:v>30.669742765296959</c:v>
                </c:pt>
                <c:pt idx="10">
                  <c:v>31.352428580716772</c:v>
                </c:pt>
                <c:pt idx="11">
                  <c:v>29.08302749057891</c:v>
                </c:pt>
                <c:pt idx="12">
                  <c:v>26.349442784772442</c:v>
                </c:pt>
                <c:pt idx="13">
                  <c:v>32.951866141646761</c:v>
                </c:pt>
                <c:pt idx="14">
                  <c:v>28.89771972493137</c:v>
                </c:pt>
                <c:pt idx="15">
                  <c:v>28.172042673508141</c:v>
                </c:pt>
                <c:pt idx="16">
                  <c:v>29.068148166488506</c:v>
                </c:pt>
                <c:pt idx="17">
                  <c:v>27.983057819552027</c:v>
                </c:pt>
                <c:pt idx="18">
                  <c:v>28.932445010003093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8-034C-976D-2F0208B5BD3F}"/>
            </c:ext>
          </c:extLst>
        </c:ser>
        <c:ser>
          <c:idx val="5"/>
          <c:order val="5"/>
          <c:tx>
            <c:strRef>
              <c:f>'Haryana Rev &amp; Exp Composition'!$G$165</c:f>
              <c:strCache>
                <c:ptCount val="1"/>
                <c:pt idx="0">
                  <c:v>Others as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'Haryana Rev &amp; Exp Composition'!$A$166:$A$184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Composition'!$G$166:$G$184</c:f>
              <c:numCache>
                <c:formatCode>General</c:formatCode>
                <c:ptCount val="19"/>
                <c:pt idx="0">
                  <c:v>1.8379457334046789</c:v>
                </c:pt>
                <c:pt idx="1">
                  <c:v>5.1735883201885073</c:v>
                </c:pt>
                <c:pt idx="2">
                  <c:v>0</c:v>
                </c:pt>
                <c:pt idx="3">
                  <c:v>6.0479814311789486</c:v>
                </c:pt>
                <c:pt idx="4">
                  <c:v>3.4578742838828571</c:v>
                </c:pt>
                <c:pt idx="5">
                  <c:v>0.89338998754033416</c:v>
                </c:pt>
                <c:pt idx="6">
                  <c:v>0.86339376239454657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C8-034C-976D-2F0208B5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61328"/>
        <c:axId val="643746048"/>
      </c:areaChart>
      <c:catAx>
        <c:axId val="11082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6048"/>
        <c:crosses val="autoZero"/>
        <c:auto val="1"/>
        <c:lblAlgn val="ctr"/>
        <c:lblOffset val="100"/>
        <c:noMultiLvlLbl val="0"/>
      </c:catAx>
      <c:valAx>
        <c:axId val="643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'Haryana Rev &amp; Exp Composition'!$E$188</c:f>
              <c:strCache>
                <c:ptCount val="1"/>
                <c:pt idx="0">
                  <c:v>Expenditure on Interest Payments and Servicing Debt As % of Development Expenditure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'Haryana Rev &amp; Exp Composition'!$D$189:$D$207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Composition'!$E$189:$E$207</c:f>
              <c:numCache>
                <c:formatCode>General</c:formatCode>
                <c:ptCount val="19"/>
                <c:pt idx="0">
                  <c:v>35.628279226901071</c:v>
                </c:pt>
                <c:pt idx="1">
                  <c:v>27.421620230539656</c:v>
                </c:pt>
                <c:pt idx="2">
                  <c:v>20.601318770464026</c:v>
                </c:pt>
                <c:pt idx="3">
                  <c:v>20.030349774884932</c:v>
                </c:pt>
                <c:pt idx="4">
                  <c:v>16.694136477857189</c:v>
                </c:pt>
                <c:pt idx="5">
                  <c:v>16.113980334015405</c:v>
                </c:pt>
                <c:pt idx="6">
                  <c:v>18.116895519292555</c:v>
                </c:pt>
                <c:pt idx="7">
                  <c:v>19.13610292206176</c:v>
                </c:pt>
                <c:pt idx="8">
                  <c:v>19.005714786861532</c:v>
                </c:pt>
                <c:pt idx="9">
                  <c:v>20.778387955554731</c:v>
                </c:pt>
                <c:pt idx="10">
                  <c:v>21.511397724418448</c:v>
                </c:pt>
                <c:pt idx="11">
                  <c:v>21.244086266540048</c:v>
                </c:pt>
                <c:pt idx="12">
                  <c:v>22.744972799568707</c:v>
                </c:pt>
                <c:pt idx="13">
                  <c:v>25.907521526033761</c:v>
                </c:pt>
                <c:pt idx="14">
                  <c:v>27.790331948625546</c:v>
                </c:pt>
                <c:pt idx="15">
                  <c:v>29.43116894517394</c:v>
                </c:pt>
                <c:pt idx="16">
                  <c:v>30.998677367613475</c:v>
                </c:pt>
                <c:pt idx="17">
                  <c:v>31.188616142050968</c:v>
                </c:pt>
                <c:pt idx="18">
                  <c:v>30.15787762368684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5-E64F-B037-31FF24A3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357440"/>
        <c:axId val="1056281280"/>
      </c:barChart>
      <c:catAx>
        <c:axId val="17143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1280"/>
        <c:crosses val="autoZero"/>
        <c:auto val="1"/>
        <c:lblAlgn val="ctr"/>
        <c:lblOffset val="100"/>
        <c:noMultiLvlLbl val="0"/>
      </c:catAx>
      <c:valAx>
        <c:axId val="10562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'Haryana Rev &amp; Exp Composition'!$E$209</c:f>
              <c:strCache>
                <c:ptCount val="1"/>
                <c:pt idx="0">
                  <c:v>Expenditure on Administrative Services as % of NSDP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'Haryana Rev &amp; Exp Composition'!$D$210:$D$228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Composition'!$E$210:$E$228</c:f>
              <c:numCache>
                <c:formatCode>General</c:formatCode>
                <c:ptCount val="19"/>
                <c:pt idx="0">
                  <c:v>0.95347133317977373</c:v>
                </c:pt>
                <c:pt idx="1">
                  <c:v>0.99480180811472485</c:v>
                </c:pt>
                <c:pt idx="2">
                  <c:v>0.95201959098219191</c:v>
                </c:pt>
                <c:pt idx="3">
                  <c:v>0.92192344364306311</c:v>
                </c:pt>
                <c:pt idx="4">
                  <c:v>0.99754448352527092</c:v>
                </c:pt>
                <c:pt idx="5">
                  <c:v>1.0208018650261486</c:v>
                </c:pt>
                <c:pt idx="6">
                  <c:v>0.93910404991104035</c:v>
                </c:pt>
                <c:pt idx="7">
                  <c:v>0.80271071096233382</c:v>
                </c:pt>
                <c:pt idx="8">
                  <c:v>0.80504714095000585</c:v>
                </c:pt>
                <c:pt idx="9">
                  <c:v>0.75358284197239844</c:v>
                </c:pt>
                <c:pt idx="10">
                  <c:v>0.89030367945616729</c:v>
                </c:pt>
                <c:pt idx="11">
                  <c:v>0.81163923105960278</c:v>
                </c:pt>
                <c:pt idx="12">
                  <c:v>0.82372293670814212</c:v>
                </c:pt>
                <c:pt idx="13">
                  <c:v>0.78883545181183778</c:v>
                </c:pt>
                <c:pt idx="14">
                  <c:v>0.7885865676617988</c:v>
                </c:pt>
                <c:pt idx="15">
                  <c:v>0.84291735285023217</c:v>
                </c:pt>
                <c:pt idx="16">
                  <c:v>0.89981767440055815</c:v>
                </c:pt>
                <c:pt idx="17">
                  <c:v>0.85057399130567002</c:v>
                </c:pt>
                <c:pt idx="18">
                  <c:v>0.902450276876122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4-684A-8A71-B7697CB3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268848"/>
        <c:axId val="1011075984"/>
      </c:barChart>
      <c:catAx>
        <c:axId val="10112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75984"/>
        <c:crosses val="autoZero"/>
        <c:auto val="1"/>
        <c:lblAlgn val="ctr"/>
        <c:lblOffset val="100"/>
        <c:noMultiLvlLbl val="0"/>
      </c:catAx>
      <c:valAx>
        <c:axId val="1011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'Haryana Rev &amp; Exp Composition'!$E$230</c:f>
              <c:strCache>
                <c:ptCount val="1"/>
                <c:pt idx="0">
                  <c:v>Expenditure on Administrative Services Expenditure as % of Development Expenditure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'Haryana Rev &amp; Exp Composition'!$D$231:$D$249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Composition'!$E$231:$E$249</c:f>
              <c:numCache>
                <c:formatCode>General</c:formatCode>
                <c:ptCount val="19"/>
                <c:pt idx="0">
                  <c:v>12.477712466259334</c:v>
                </c:pt>
                <c:pt idx="1">
                  <c:v>12.145645888974599</c:v>
                </c:pt>
                <c:pt idx="2">
                  <c:v>9.5762577070767918</c:v>
                </c:pt>
                <c:pt idx="3">
                  <c:v>10.254227339377506</c:v>
                </c:pt>
                <c:pt idx="4">
                  <c:v>11.19047270731501</c:v>
                </c:pt>
                <c:pt idx="5">
                  <c:v>11.627081447663871</c:v>
                </c:pt>
                <c:pt idx="6">
                  <c:v>11.593054935736268</c:v>
                </c:pt>
                <c:pt idx="7">
                  <c:v>10.032292202488611</c:v>
                </c:pt>
                <c:pt idx="8">
                  <c:v>9.7062321866077959</c:v>
                </c:pt>
                <c:pt idx="9">
                  <c:v>9.6950189584923567</c:v>
                </c:pt>
                <c:pt idx="10">
                  <c:v>10.862243788607746</c:v>
                </c:pt>
                <c:pt idx="11">
                  <c:v>8.99916817696983</c:v>
                </c:pt>
                <c:pt idx="12">
                  <c:v>9.0155437132001559</c:v>
                </c:pt>
                <c:pt idx="13">
                  <c:v>9.9043768345976968</c:v>
                </c:pt>
                <c:pt idx="14">
                  <c:v>10.17291386794196</c:v>
                </c:pt>
                <c:pt idx="15">
                  <c:v>10.586160274872148</c:v>
                </c:pt>
                <c:pt idx="16">
                  <c:v>10.618803280348285</c:v>
                </c:pt>
                <c:pt idx="17">
                  <c:v>10.954749654952211</c:v>
                </c:pt>
                <c:pt idx="18">
                  <c:v>11.314245791901151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D-6E42-B116-39153243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064656"/>
        <c:axId val="1148448816"/>
      </c:barChart>
      <c:catAx>
        <c:axId val="10570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48816"/>
        <c:crosses val="autoZero"/>
        <c:auto val="1"/>
        <c:lblAlgn val="ctr"/>
        <c:lblOffset val="100"/>
        <c:noMultiLvlLbl val="0"/>
      </c:catAx>
      <c:valAx>
        <c:axId val="11484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'Haryana Rev &amp; Exp Composition'!$E$251</c:f>
              <c:strCache>
                <c:ptCount val="1"/>
                <c:pt idx="0">
                  <c:v>Expenditure on Pensions as % of Developmental Expenditure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'Haryana Rev &amp; Exp Composition'!$D$252:$D$270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Composition'!$E$252:$E$270</c:f>
              <c:numCache>
                <c:formatCode>General</c:formatCode>
                <c:ptCount val="19"/>
                <c:pt idx="0">
                  <c:v>25.00229847801798</c:v>
                </c:pt>
                <c:pt idx="1">
                  <c:v>15.979524657602651</c:v>
                </c:pt>
                <c:pt idx="2">
                  <c:v>10.510669979159051</c:v>
                </c:pt>
                <c:pt idx="3">
                  <c:v>10.861373431823788</c:v>
                </c:pt>
                <c:pt idx="4">
                  <c:v>11.299046904819203</c:v>
                </c:pt>
                <c:pt idx="5">
                  <c:v>13.716855025748432</c:v>
                </c:pt>
                <c:pt idx="6">
                  <c:v>16.376388101885578</c:v>
                </c:pt>
                <c:pt idx="7">
                  <c:v>14.775042358741203</c:v>
                </c:pt>
                <c:pt idx="8">
                  <c:v>13.967396955628653</c:v>
                </c:pt>
                <c:pt idx="9">
                  <c:v>14.812767024264486</c:v>
                </c:pt>
                <c:pt idx="10">
                  <c:v>16.319677661119151</c:v>
                </c:pt>
                <c:pt idx="11">
                  <c:v>13.52812715037267</c:v>
                </c:pt>
                <c:pt idx="12">
                  <c:v>12.297299020641782</c:v>
                </c:pt>
                <c:pt idx="13">
                  <c:v>19.055406424635716</c:v>
                </c:pt>
                <c:pt idx="14">
                  <c:v>16.693299631543923</c:v>
                </c:pt>
                <c:pt idx="15">
                  <c:v>16.959275410162849</c:v>
                </c:pt>
                <c:pt idx="16">
                  <c:v>18.287272026647251</c:v>
                </c:pt>
                <c:pt idx="17">
                  <c:v>17.559024210041379</c:v>
                </c:pt>
                <c:pt idx="18">
                  <c:v>18.204226383247736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2642-BC48-C22FFB7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3007"/>
        <c:axId val="1120473824"/>
      </c:barChart>
      <c:catAx>
        <c:axId val="214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73824"/>
        <c:crosses val="autoZero"/>
        <c:auto val="1"/>
        <c:lblAlgn val="ctr"/>
        <c:lblOffset val="100"/>
        <c:noMultiLvlLbl val="0"/>
      </c:catAx>
      <c:valAx>
        <c:axId val="1120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Development</a:t>
            </a:r>
            <a:r>
              <a:rPr lang="en-GB" baseline="0"/>
              <a:t> Expenditure Composition (Base Price- 2011-12)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Composition'!$B$299</c:f>
              <c:strCache>
                <c:ptCount val="1"/>
                <c:pt idx="0">
                  <c:v>Adj. Expenditure on Social Service as %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'Haryana Rev &amp; Exp Composition'!$A$300:$A$318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Composition'!$B$300:$B$318</c:f>
              <c:numCache>
                <c:formatCode>General</c:formatCode>
                <c:ptCount val="19"/>
                <c:pt idx="0">
                  <c:v>50.149050455877784</c:v>
                </c:pt>
                <c:pt idx="1">
                  <c:v>51.157627615593114</c:v>
                </c:pt>
                <c:pt idx="2">
                  <c:v>41.053913393089836</c:v>
                </c:pt>
                <c:pt idx="3">
                  <c:v>47.979984198051099</c:v>
                </c:pt>
                <c:pt idx="4">
                  <c:v>50.779951421807581</c:v>
                </c:pt>
                <c:pt idx="5">
                  <c:v>56.804418048741034</c:v>
                </c:pt>
                <c:pt idx="6">
                  <c:v>57.691072499009302</c:v>
                </c:pt>
                <c:pt idx="7">
                  <c:v>58.268251132485602</c:v>
                </c:pt>
                <c:pt idx="8">
                  <c:v>55.675624053621597</c:v>
                </c:pt>
                <c:pt idx="9">
                  <c:v>54.747543920655282</c:v>
                </c:pt>
                <c:pt idx="10">
                  <c:v>59.364839657532031</c:v>
                </c:pt>
                <c:pt idx="11">
                  <c:v>53.540348646991262</c:v>
                </c:pt>
                <c:pt idx="12">
                  <c:v>54.960527479735141</c:v>
                </c:pt>
                <c:pt idx="13">
                  <c:v>60.780719872743475</c:v>
                </c:pt>
                <c:pt idx="14">
                  <c:v>60.99319242149609</c:v>
                </c:pt>
                <c:pt idx="15">
                  <c:v>63.677808393811233</c:v>
                </c:pt>
                <c:pt idx="16">
                  <c:v>65.499670997998095</c:v>
                </c:pt>
                <c:pt idx="17">
                  <c:v>67.674623448566422</c:v>
                </c:pt>
                <c:pt idx="18">
                  <c:v>66.150242962089081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A-E94C-9411-0B28166AD108}"/>
            </c:ext>
          </c:extLst>
        </c:ser>
        <c:ser>
          <c:idx val="1"/>
          <c:order val="1"/>
          <c:tx>
            <c:strRef>
              <c:f>'Haryana Rev &amp; Exp Composition'!$C$299</c:f>
              <c:strCache>
                <c:ptCount val="1"/>
                <c:pt idx="0">
                  <c:v>Adj. Expenditure on Economic Service as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'Haryana Rev &amp; Exp Composition'!$A$300:$A$318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Composition'!$C$300:$C$318</c:f>
              <c:numCache>
                <c:formatCode>General</c:formatCode>
                <c:ptCount val="19"/>
                <c:pt idx="0">
                  <c:v>49.850949544122209</c:v>
                </c:pt>
                <c:pt idx="1">
                  <c:v>48.842372384406886</c:v>
                </c:pt>
                <c:pt idx="2">
                  <c:v>58.946086606910164</c:v>
                </c:pt>
                <c:pt idx="3">
                  <c:v>52.020015801948915</c:v>
                </c:pt>
                <c:pt idx="4">
                  <c:v>49.220048578192426</c:v>
                </c:pt>
                <c:pt idx="5">
                  <c:v>43.195581951258973</c:v>
                </c:pt>
                <c:pt idx="6">
                  <c:v>42.308927500990698</c:v>
                </c:pt>
                <c:pt idx="7">
                  <c:v>41.731748867514391</c:v>
                </c:pt>
                <c:pt idx="8">
                  <c:v>44.32437594637841</c:v>
                </c:pt>
                <c:pt idx="9">
                  <c:v>45.252456079344711</c:v>
                </c:pt>
                <c:pt idx="10">
                  <c:v>40.635160342467962</c:v>
                </c:pt>
                <c:pt idx="11">
                  <c:v>46.459651353008745</c:v>
                </c:pt>
                <c:pt idx="12">
                  <c:v>45.039472520264859</c:v>
                </c:pt>
                <c:pt idx="13">
                  <c:v>39.219280127256525</c:v>
                </c:pt>
                <c:pt idx="14">
                  <c:v>39.00680757850391</c:v>
                </c:pt>
                <c:pt idx="15">
                  <c:v>36.322191606188767</c:v>
                </c:pt>
                <c:pt idx="16">
                  <c:v>34.500329002001905</c:v>
                </c:pt>
                <c:pt idx="17">
                  <c:v>32.325376551433585</c:v>
                </c:pt>
                <c:pt idx="18">
                  <c:v>33.849757037910926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A-E94C-9411-0B28166A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12192"/>
        <c:axId val="1834390672"/>
      </c:areaChart>
      <c:catAx>
        <c:axId val="11767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90672"/>
        <c:crosses val="autoZero"/>
        <c:auto val="1"/>
        <c:lblAlgn val="ctr"/>
        <c:lblOffset val="100"/>
        <c:noMultiLvlLbl val="0"/>
      </c:catAx>
      <c:valAx>
        <c:axId val="1834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'Haryana Rev &amp; Exp '!$R$1</c:f>
              <c:strCache>
                <c:ptCount val="1"/>
                <c:pt idx="0">
                  <c:v>Real Revenue Expenditure as % of NSDP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'Haryana Rev &amp; Exp '!$R$2:$R$20</c:f>
              <c:numCache>
                <c:formatCode>0.00</c:formatCode>
                <c:ptCount val="19"/>
                <c:pt idx="0">
                  <c:v>5.9818708051854825</c:v>
                </c:pt>
                <c:pt idx="1">
                  <c:v>5.7282798785757549</c:v>
                </c:pt>
                <c:pt idx="2">
                  <c:v>6.1389593458772396</c:v>
                </c:pt>
                <c:pt idx="3">
                  <c:v>5.490209085238102</c:v>
                </c:pt>
                <c:pt idx="4">
                  <c:v>5.2428794295607561</c:v>
                </c:pt>
                <c:pt idx="5">
                  <c:v>5.1191661775415236</c:v>
                </c:pt>
                <c:pt idx="6">
                  <c:v>4.8014587306442875</c:v>
                </c:pt>
                <c:pt idx="7">
                  <c:v>4.6193150525282531</c:v>
                </c:pt>
                <c:pt idx="8">
                  <c:v>4.672145450275754</c:v>
                </c:pt>
                <c:pt idx="9">
                  <c:v>4.3989149582726847</c:v>
                </c:pt>
                <c:pt idx="10">
                  <c:v>4.6882284674470664</c:v>
                </c:pt>
                <c:pt idx="11">
                  <c:v>4.9111648469707534</c:v>
                </c:pt>
                <c:pt idx="12">
                  <c:v>4.9172067785384606</c:v>
                </c:pt>
                <c:pt idx="13">
                  <c:v>4.5440448757894103</c:v>
                </c:pt>
                <c:pt idx="14">
                  <c:v>4.3484780078369649</c:v>
                </c:pt>
                <c:pt idx="15">
                  <c:v>4.5223496977422322</c:v>
                </c:pt>
                <c:pt idx="16">
                  <c:v>4.758556131554184</c:v>
                </c:pt>
                <c:pt idx="17">
                  <c:v>4.2949714426950436</c:v>
                </c:pt>
                <c:pt idx="18">
                  <c:v>4.3548160220139964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D144-B8F5-F05FD8E3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51615"/>
        <c:axId val="1634053327"/>
      </c:areaChart>
      <c:catAx>
        <c:axId val="1634051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3327"/>
        <c:crosses val="autoZero"/>
        <c:auto val="1"/>
        <c:lblAlgn val="ctr"/>
        <c:lblOffset val="100"/>
        <c:noMultiLvlLbl val="0"/>
      </c:catAx>
      <c:valAx>
        <c:axId val="16340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Development</a:t>
            </a:r>
            <a:r>
              <a:rPr lang="en-GB" baseline="0"/>
              <a:t> Expenditure Composition: Social Services (Base Price- 2011-12)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Comp. Contd.'!$B$122</c:f>
              <c:strCache>
                <c:ptCount val="1"/>
                <c:pt idx="0">
                  <c:v>General Education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Contd.'!$B$123:$B$141</c:f>
              <c:numCache>
                <c:formatCode>General</c:formatCode>
                <c:ptCount val="19"/>
                <c:pt idx="0">
                  <c:v>13.083265380085168</c:v>
                </c:pt>
                <c:pt idx="1">
                  <c:v>46.592479471259772</c:v>
                </c:pt>
                <c:pt idx="2">
                  <c:v>46.667894440351859</c:v>
                </c:pt>
                <c:pt idx="3">
                  <c:v>45.102959396515224</c:v>
                </c:pt>
                <c:pt idx="4">
                  <c:v>48.819697109549473</c:v>
                </c:pt>
                <c:pt idx="5">
                  <c:v>49.709156128625715</c:v>
                </c:pt>
                <c:pt idx="6">
                  <c:v>51.330236021746003</c:v>
                </c:pt>
                <c:pt idx="7">
                  <c:v>46.997983652476293</c:v>
                </c:pt>
                <c:pt idx="8">
                  <c:v>45.488363121583589</c:v>
                </c:pt>
                <c:pt idx="9">
                  <c:v>45.074710917311613</c:v>
                </c:pt>
                <c:pt idx="10">
                  <c:v>42.900003870369105</c:v>
                </c:pt>
                <c:pt idx="11">
                  <c:v>25.435324080903438</c:v>
                </c:pt>
                <c:pt idx="12">
                  <c:v>40.640917283026404</c:v>
                </c:pt>
                <c:pt idx="13">
                  <c:v>39.819793432690318</c:v>
                </c:pt>
                <c:pt idx="14">
                  <c:v>40.25748415015336</c:v>
                </c:pt>
                <c:pt idx="15">
                  <c:v>40.454888858843255</c:v>
                </c:pt>
                <c:pt idx="16">
                  <c:v>36.840876939361742</c:v>
                </c:pt>
                <c:pt idx="17">
                  <c:v>35.38900812359752</c:v>
                </c:pt>
                <c:pt idx="18">
                  <c:v>38.520404940092675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B-174B-9DFB-452EE30C3809}"/>
            </c:ext>
          </c:extLst>
        </c:ser>
        <c:ser>
          <c:idx val="1"/>
          <c:order val="1"/>
          <c:tx>
            <c:strRef>
              <c:f>'Haryana Rev &amp; Exp Comp. Contd.'!$C$122</c:f>
              <c:strCache>
                <c:ptCount val="1"/>
                <c:pt idx="0">
                  <c:v>Technical Education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Contd.'!$C$123:$C$141</c:f>
              <c:numCache>
                <c:formatCode>General</c:formatCode>
                <c:ptCount val="19"/>
                <c:pt idx="0">
                  <c:v>13.083265380085168</c:v>
                </c:pt>
                <c:pt idx="1">
                  <c:v>1.8333166433006212</c:v>
                </c:pt>
                <c:pt idx="2">
                  <c:v>2.0693764354118818</c:v>
                </c:pt>
                <c:pt idx="3">
                  <c:v>1.9682260872292714</c:v>
                </c:pt>
                <c:pt idx="4">
                  <c:v>3.2327969217755723</c:v>
                </c:pt>
                <c:pt idx="5">
                  <c:v>2.0841791032717918</c:v>
                </c:pt>
                <c:pt idx="6">
                  <c:v>1.7907058642269682</c:v>
                </c:pt>
                <c:pt idx="7">
                  <c:v>2.0117595222783069</c:v>
                </c:pt>
                <c:pt idx="8">
                  <c:v>1.9903763687152756</c:v>
                </c:pt>
                <c:pt idx="9">
                  <c:v>1.9127500014597676</c:v>
                </c:pt>
                <c:pt idx="10">
                  <c:v>1.7349051931044721</c:v>
                </c:pt>
                <c:pt idx="11">
                  <c:v>1.040672576902351</c:v>
                </c:pt>
                <c:pt idx="12">
                  <c:v>1.4651702613187281</c:v>
                </c:pt>
                <c:pt idx="13">
                  <c:v>1.2301323453221622</c:v>
                </c:pt>
                <c:pt idx="14">
                  <c:v>1.3272954245997148</c:v>
                </c:pt>
                <c:pt idx="15">
                  <c:v>1.5699533422995817</c:v>
                </c:pt>
                <c:pt idx="16">
                  <c:v>1.5548905595515536</c:v>
                </c:pt>
                <c:pt idx="17">
                  <c:v>1.5560129477165574</c:v>
                </c:pt>
                <c:pt idx="18">
                  <c:v>0.91876677997331291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B-174B-9DFB-452EE30C3809}"/>
            </c:ext>
          </c:extLst>
        </c:ser>
        <c:ser>
          <c:idx val="2"/>
          <c:order val="2"/>
          <c:tx>
            <c:strRef>
              <c:f>'Haryana Rev &amp; Exp Comp. Contd.'!$D$122</c:f>
              <c:strCache>
                <c:ptCount val="1"/>
                <c:pt idx="0">
                  <c:v>Art and Culture as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Contd.'!$D$123:$D$141</c:f>
              <c:numCache>
                <c:formatCode>General</c:formatCode>
                <c:ptCount val="19"/>
                <c:pt idx="0">
                  <c:v>13.083265380085168</c:v>
                </c:pt>
                <c:pt idx="1">
                  <c:v>8.1113558982575634E-2</c:v>
                </c:pt>
                <c:pt idx="2">
                  <c:v>7.5616414611951288E-2</c:v>
                </c:pt>
                <c:pt idx="3">
                  <c:v>7.0922356573909995E-2</c:v>
                </c:pt>
                <c:pt idx="4">
                  <c:v>6.8744807976050898E-2</c:v>
                </c:pt>
                <c:pt idx="5">
                  <c:v>6.6752707978614906E-2</c:v>
                </c:pt>
                <c:pt idx="6">
                  <c:v>7.4100703589848924E-2</c:v>
                </c:pt>
                <c:pt idx="7">
                  <c:v>5.6558983109035441E-2</c:v>
                </c:pt>
                <c:pt idx="8">
                  <c:v>5.3043637002414511E-2</c:v>
                </c:pt>
                <c:pt idx="9">
                  <c:v>4.3663277626430491E-2</c:v>
                </c:pt>
                <c:pt idx="10">
                  <c:v>4.7424269369850024E-2</c:v>
                </c:pt>
                <c:pt idx="11">
                  <c:v>3.0214399076928217E-2</c:v>
                </c:pt>
                <c:pt idx="12">
                  <c:v>7.6824965876289439E-2</c:v>
                </c:pt>
                <c:pt idx="13">
                  <c:v>5.7546092103678455E-2</c:v>
                </c:pt>
                <c:pt idx="14">
                  <c:v>7.9749347665801801E-2</c:v>
                </c:pt>
                <c:pt idx="15">
                  <c:v>4.0769152309994998E-2</c:v>
                </c:pt>
                <c:pt idx="16">
                  <c:v>6.3156800306161179E-2</c:v>
                </c:pt>
                <c:pt idx="17">
                  <c:v>6.2305021931367714E-2</c:v>
                </c:pt>
                <c:pt idx="18">
                  <c:v>0.14225969557752882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B-174B-9DFB-452EE30C3809}"/>
            </c:ext>
          </c:extLst>
        </c:ser>
        <c:ser>
          <c:idx val="3"/>
          <c:order val="3"/>
          <c:tx>
            <c:strRef>
              <c:f>'Haryana Rev &amp; Exp Comp. Contd.'!$E$122</c:f>
              <c:strCache>
                <c:ptCount val="1"/>
                <c:pt idx="0">
                  <c:v>Sports and Youth Services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Contd.'!$E$123:$E$141</c:f>
              <c:numCache>
                <c:formatCode>General</c:formatCode>
                <c:ptCount val="19"/>
                <c:pt idx="0">
                  <c:v>13.083265380085168</c:v>
                </c:pt>
                <c:pt idx="1">
                  <c:v>0.80662928099339093</c:v>
                </c:pt>
                <c:pt idx="2">
                  <c:v>0.84846383845387174</c:v>
                </c:pt>
                <c:pt idx="3">
                  <c:v>0.83852181777310775</c:v>
                </c:pt>
                <c:pt idx="4">
                  <c:v>0.97758147775161752</c:v>
                </c:pt>
                <c:pt idx="5">
                  <c:v>0.71943463183003409</c:v>
                </c:pt>
                <c:pt idx="6">
                  <c:v>0.88379762437546316</c:v>
                </c:pt>
                <c:pt idx="7">
                  <c:v>0.67767945216098824</c:v>
                </c:pt>
                <c:pt idx="8">
                  <c:v>0.85159148132967299</c:v>
                </c:pt>
                <c:pt idx="9">
                  <c:v>0.80702453253368323</c:v>
                </c:pt>
                <c:pt idx="10">
                  <c:v>0.84682695873745628</c:v>
                </c:pt>
                <c:pt idx="11">
                  <c:v>0.63348976035657367</c:v>
                </c:pt>
                <c:pt idx="12">
                  <c:v>1.2363441365906285</c:v>
                </c:pt>
                <c:pt idx="13">
                  <c:v>0.87776497392075237</c:v>
                </c:pt>
                <c:pt idx="14">
                  <c:v>0.93907210356387449</c:v>
                </c:pt>
                <c:pt idx="15">
                  <c:v>0.86602574594206083</c:v>
                </c:pt>
                <c:pt idx="16">
                  <c:v>0.33514028884004965</c:v>
                </c:pt>
                <c:pt idx="17">
                  <c:v>0.65039112893767737</c:v>
                </c:pt>
                <c:pt idx="18">
                  <c:v>0.94011751254757114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B-174B-9DFB-452EE30C3809}"/>
            </c:ext>
          </c:extLst>
        </c:ser>
        <c:ser>
          <c:idx val="4"/>
          <c:order val="4"/>
          <c:tx>
            <c:strRef>
              <c:f>'Haryana Rev &amp; Exp Comp. Contd.'!$F$122</c:f>
              <c:strCache>
                <c:ptCount val="1"/>
                <c:pt idx="0">
                  <c:v>Medical and Public Health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Contd.'!$F$123:$F$141</c:f>
              <c:numCache>
                <c:formatCode>General</c:formatCode>
                <c:ptCount val="19"/>
                <c:pt idx="0">
                  <c:v>5.9475494652782341</c:v>
                </c:pt>
                <c:pt idx="1">
                  <c:v>6.7176547166032456</c:v>
                </c:pt>
                <c:pt idx="2">
                  <c:v>6.2044459851800493</c:v>
                </c:pt>
                <c:pt idx="3">
                  <c:v>8.1635640313870645</c:v>
                </c:pt>
                <c:pt idx="4">
                  <c:v>8.8683557592030553</c:v>
                </c:pt>
                <c:pt idx="5">
                  <c:v>9.3620420471369066</c:v>
                </c:pt>
                <c:pt idx="6">
                  <c:v>8.8539335734880904</c:v>
                </c:pt>
                <c:pt idx="7">
                  <c:v>8.6568467615433722</c:v>
                </c:pt>
                <c:pt idx="8">
                  <c:v>10.145732226076113</c:v>
                </c:pt>
                <c:pt idx="9">
                  <c:v>10.187687215223628</c:v>
                </c:pt>
                <c:pt idx="10">
                  <c:v>10.026558570687394</c:v>
                </c:pt>
                <c:pt idx="11">
                  <c:v>6.4272923601633005</c:v>
                </c:pt>
                <c:pt idx="12">
                  <c:v>10.32748162894052</c:v>
                </c:pt>
                <c:pt idx="13">
                  <c:v>10.346288508668971</c:v>
                </c:pt>
                <c:pt idx="14">
                  <c:v>11.679749213181234</c:v>
                </c:pt>
                <c:pt idx="15">
                  <c:v>12.600929595973254</c:v>
                </c:pt>
                <c:pt idx="16">
                  <c:v>13.43083003078203</c:v>
                </c:pt>
                <c:pt idx="17">
                  <c:v>14.081521356695518</c:v>
                </c:pt>
                <c:pt idx="18">
                  <c:v>13.302962612233223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B-174B-9DFB-452EE30C3809}"/>
            </c:ext>
          </c:extLst>
        </c:ser>
        <c:ser>
          <c:idx val="5"/>
          <c:order val="5"/>
          <c:tx>
            <c:strRef>
              <c:f>'Haryana Rev &amp; Exp Comp. Contd.'!$G$122</c:f>
              <c:strCache>
                <c:ptCount val="1"/>
                <c:pt idx="0">
                  <c:v>Family Wealth as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Contd.'!$G$123:$G$141</c:f>
              <c:numCache>
                <c:formatCode>General</c:formatCode>
                <c:ptCount val="19"/>
                <c:pt idx="0">
                  <c:v>5.9475494652782341</c:v>
                </c:pt>
                <c:pt idx="1">
                  <c:v>6.7176547166032456</c:v>
                </c:pt>
                <c:pt idx="2">
                  <c:v>6.2044459851800493</c:v>
                </c:pt>
                <c:pt idx="3">
                  <c:v>1.0526829387297056</c:v>
                </c:pt>
                <c:pt idx="4">
                  <c:v>1.116862040604899</c:v>
                </c:pt>
                <c:pt idx="5">
                  <c:v>0.95837095116044679</c:v>
                </c:pt>
                <c:pt idx="6">
                  <c:v>0.94414200922957292</c:v>
                </c:pt>
                <c:pt idx="7">
                  <c:v>0.82038211723609289</c:v>
                </c:pt>
                <c:pt idx="8">
                  <c:v>0.85462254630123946</c:v>
                </c:pt>
                <c:pt idx="9">
                  <c:v>0.85879763141316556</c:v>
                </c:pt>
                <c:pt idx="10">
                  <c:v>0.62357035179695353</c:v>
                </c:pt>
                <c:pt idx="11">
                  <c:v>0.38654725775591864</c:v>
                </c:pt>
                <c:pt idx="12">
                  <c:v>0.66527986546013151</c:v>
                </c:pt>
                <c:pt idx="13">
                  <c:v>0.60795753775415595</c:v>
                </c:pt>
                <c:pt idx="14">
                  <c:v>0.68721613249957381</c:v>
                </c:pt>
                <c:pt idx="15">
                  <c:v>0.65995621244790448</c:v>
                </c:pt>
                <c:pt idx="16">
                  <c:v>0.61920763102270904</c:v>
                </c:pt>
                <c:pt idx="17">
                  <c:v>0.582955105200197</c:v>
                </c:pt>
                <c:pt idx="18">
                  <c:v>0.56961698670279826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B-174B-9DFB-452EE30C3809}"/>
            </c:ext>
          </c:extLst>
        </c:ser>
        <c:ser>
          <c:idx val="6"/>
          <c:order val="6"/>
          <c:tx>
            <c:strRef>
              <c:f>'Haryana Rev &amp; Exp Comp. Contd.'!$H$122</c:f>
              <c:strCache>
                <c:ptCount val="1"/>
                <c:pt idx="0">
                  <c:v>Water Supply and Sanitation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Contd.'!$H$123:$H$141</c:f>
              <c:numCache>
                <c:formatCode>General</c:formatCode>
                <c:ptCount val="19"/>
                <c:pt idx="0">
                  <c:v>4.0091916531541241</c:v>
                </c:pt>
                <c:pt idx="1">
                  <c:v>6.717905067093934</c:v>
                </c:pt>
                <c:pt idx="2">
                  <c:v>6.2044459851800493</c:v>
                </c:pt>
                <c:pt idx="3">
                  <c:v>9.574518137477849</c:v>
                </c:pt>
                <c:pt idx="4">
                  <c:v>8.9475707182936937</c:v>
                </c:pt>
                <c:pt idx="5">
                  <c:v>7.5068015051170365</c:v>
                </c:pt>
                <c:pt idx="6">
                  <c:v>7.9439072347231496</c:v>
                </c:pt>
                <c:pt idx="7">
                  <c:v>10.569806046194847</c:v>
                </c:pt>
                <c:pt idx="8">
                  <c:v>7.5631959824611545</c:v>
                </c:pt>
                <c:pt idx="9">
                  <c:v>7.9748089488309191</c:v>
                </c:pt>
                <c:pt idx="10">
                  <c:v>6.6591904853589821</c:v>
                </c:pt>
                <c:pt idx="11">
                  <c:v>45.577052601790925</c:v>
                </c:pt>
                <c:pt idx="12">
                  <c:v>6.8073122293019148</c:v>
                </c:pt>
                <c:pt idx="13">
                  <c:v>6.0704891524725575</c:v>
                </c:pt>
                <c:pt idx="14">
                  <c:v>6.1672268509194872</c:v>
                </c:pt>
                <c:pt idx="15">
                  <c:v>5.3600909433774291</c:v>
                </c:pt>
                <c:pt idx="16">
                  <c:v>6.1663877517838213</c:v>
                </c:pt>
                <c:pt idx="17">
                  <c:v>4.535439096474561</c:v>
                </c:pt>
                <c:pt idx="18">
                  <c:v>5.3671715675913463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B-174B-9DFB-452EE30C3809}"/>
            </c:ext>
          </c:extLst>
        </c:ser>
        <c:ser>
          <c:idx val="7"/>
          <c:order val="7"/>
          <c:tx>
            <c:strRef>
              <c:f>'Haryana Rev &amp; Exp Comp. Contd.'!$I$122</c:f>
              <c:strCache>
                <c:ptCount val="1"/>
                <c:pt idx="0">
                  <c:v>Urban Development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Contd.'!$I$123:$I$141</c:f>
              <c:numCache>
                <c:formatCode>General</c:formatCode>
                <c:ptCount val="19"/>
                <c:pt idx="0">
                  <c:v>4.0091885288668525</c:v>
                </c:pt>
                <c:pt idx="1">
                  <c:v>0</c:v>
                </c:pt>
                <c:pt idx="2">
                  <c:v>0</c:v>
                </c:pt>
                <c:pt idx="3">
                  <c:v>6.4629957812524506</c:v>
                </c:pt>
                <c:pt idx="4">
                  <c:v>6.8966609861504686</c:v>
                </c:pt>
                <c:pt idx="5">
                  <c:v>3.3731829832098255</c:v>
                </c:pt>
                <c:pt idx="6">
                  <c:v>2.9545821380620834</c:v>
                </c:pt>
                <c:pt idx="7">
                  <c:v>7.5479742787147588</c:v>
                </c:pt>
                <c:pt idx="8">
                  <c:v>11.037829757480356</c:v>
                </c:pt>
                <c:pt idx="9">
                  <c:v>10.563723407085128</c:v>
                </c:pt>
                <c:pt idx="10">
                  <c:v>8.035229177291809</c:v>
                </c:pt>
                <c:pt idx="11">
                  <c:v>5.3728809894777818</c:v>
                </c:pt>
                <c:pt idx="12">
                  <c:v>10.809786958912975</c:v>
                </c:pt>
                <c:pt idx="13">
                  <c:v>14.355309170388455</c:v>
                </c:pt>
                <c:pt idx="14">
                  <c:v>9.8242992765738961</c:v>
                </c:pt>
                <c:pt idx="15">
                  <c:v>9.7869685778059274</c:v>
                </c:pt>
                <c:pt idx="16">
                  <c:v>10.000868267745016</c:v>
                </c:pt>
                <c:pt idx="17">
                  <c:v>11.433044824431777</c:v>
                </c:pt>
                <c:pt idx="18">
                  <c:v>8.7303937850308895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4B-174B-9DFB-452EE30C3809}"/>
            </c:ext>
          </c:extLst>
        </c:ser>
        <c:ser>
          <c:idx val="8"/>
          <c:order val="8"/>
          <c:tx>
            <c:strRef>
              <c:f>'Haryana Rev &amp; Exp Comp. Contd.'!$J$122</c:f>
              <c:strCache>
                <c:ptCount val="1"/>
                <c:pt idx="0">
                  <c:v>Welfare of SC, ST and Other Backward Classes as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Contd.'!$J$123:$J$141</c:f>
              <c:numCache>
                <c:formatCode>General</c:formatCode>
                <c:ptCount val="19"/>
                <c:pt idx="0">
                  <c:v>1.5343374792625435</c:v>
                </c:pt>
                <c:pt idx="1">
                  <c:v>0</c:v>
                </c:pt>
                <c:pt idx="2">
                  <c:v>0</c:v>
                </c:pt>
                <c:pt idx="3">
                  <c:v>2.4803656596389065</c:v>
                </c:pt>
                <c:pt idx="4">
                  <c:v>1.6681981558757522</c:v>
                </c:pt>
                <c:pt idx="5">
                  <c:v>1.6290286420620834</c:v>
                </c:pt>
                <c:pt idx="6">
                  <c:v>1.8316996940594716</c:v>
                </c:pt>
                <c:pt idx="7">
                  <c:v>1.9732361309858586</c:v>
                </c:pt>
                <c:pt idx="8">
                  <c:v>2.3176624978041995</c:v>
                </c:pt>
                <c:pt idx="9">
                  <c:v>2.0879221405256851</c:v>
                </c:pt>
                <c:pt idx="10">
                  <c:v>1.3227843729193705</c:v>
                </c:pt>
                <c:pt idx="11">
                  <c:v>0.91300031993326558</c:v>
                </c:pt>
                <c:pt idx="12">
                  <c:v>2.2167751650833871</c:v>
                </c:pt>
                <c:pt idx="13">
                  <c:v>1.4121419047435797</c:v>
                </c:pt>
                <c:pt idx="14">
                  <c:v>1.3405085332138211</c:v>
                </c:pt>
                <c:pt idx="15">
                  <c:v>0.85152675286599722</c:v>
                </c:pt>
                <c:pt idx="16">
                  <c:v>1.0397367987355366</c:v>
                </c:pt>
                <c:pt idx="17">
                  <c:v>0.9677069406328429</c:v>
                </c:pt>
                <c:pt idx="18">
                  <c:v>1.5492451327503753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B-174B-9DFB-452EE30C3809}"/>
            </c:ext>
          </c:extLst>
        </c:ser>
        <c:ser>
          <c:idx val="9"/>
          <c:order val="9"/>
          <c:tx>
            <c:strRef>
              <c:f>'Haryana Rev &amp; Exp Comp. Contd.'!$K$122</c:f>
              <c:strCache>
                <c:ptCount val="1"/>
                <c:pt idx="0">
                  <c:v>Housing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Contd.'!$K$123:$K$141</c:f>
              <c:numCache>
                <c:formatCode>General</c:formatCode>
                <c:ptCount val="19"/>
                <c:pt idx="0">
                  <c:v>4.0091885288668525</c:v>
                </c:pt>
                <c:pt idx="1">
                  <c:v>0.30167234127778897</c:v>
                </c:pt>
                <c:pt idx="2">
                  <c:v>0.39844867183776056</c:v>
                </c:pt>
                <c:pt idx="3">
                  <c:v>0.24639855576292072</c:v>
                </c:pt>
                <c:pt idx="4">
                  <c:v>0.28310737553263449</c:v>
                </c:pt>
                <c:pt idx="5">
                  <c:v>0.1670332511295447</c:v>
                </c:pt>
                <c:pt idx="6">
                  <c:v>0.21432344590281804</c:v>
                </c:pt>
                <c:pt idx="7">
                  <c:v>0.17774550356084282</c:v>
                </c:pt>
                <c:pt idx="8">
                  <c:v>0.19288595273605275</c:v>
                </c:pt>
                <c:pt idx="9">
                  <c:v>0.14772850394559023</c:v>
                </c:pt>
                <c:pt idx="10">
                  <c:v>0.10665561406835071</c:v>
                </c:pt>
                <c:pt idx="11">
                  <c:v>7.0199215246667446E-2</c:v>
                </c:pt>
                <c:pt idx="12">
                  <c:v>0.11349053466957219</c:v>
                </c:pt>
                <c:pt idx="13">
                  <c:v>0.13536693740054148</c:v>
                </c:pt>
                <c:pt idx="14">
                  <c:v>0.16158320610533033</c:v>
                </c:pt>
                <c:pt idx="15">
                  <c:v>0.11471698202717864</c:v>
                </c:pt>
                <c:pt idx="16">
                  <c:v>0.18822606816288925</c:v>
                </c:pt>
                <c:pt idx="17">
                  <c:v>0.59749294365084937</c:v>
                </c:pt>
                <c:pt idx="18">
                  <c:v>0.96847094276654544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4B-174B-9DFB-452EE30C3809}"/>
            </c:ext>
          </c:extLst>
        </c:ser>
        <c:ser>
          <c:idx val="10"/>
          <c:order val="10"/>
          <c:tx>
            <c:strRef>
              <c:f>'Haryana Rev &amp; Exp Comp. Contd.'!$L$122</c:f>
              <c:strCache>
                <c:ptCount val="1"/>
                <c:pt idx="0">
                  <c:v>Labour and Employement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Contd.'!$L$123:$L$141</c:f>
              <c:numCache>
                <c:formatCode>General</c:formatCode>
                <c:ptCount val="19"/>
                <c:pt idx="0">
                  <c:v>2.2819794234440272</c:v>
                </c:pt>
                <c:pt idx="1">
                  <c:v>2.505758061285801</c:v>
                </c:pt>
                <c:pt idx="2">
                  <c:v>2.255275815747281</c:v>
                </c:pt>
                <c:pt idx="3">
                  <c:v>1.8373595275560366</c:v>
                </c:pt>
                <c:pt idx="4">
                  <c:v>2.0036562869813315</c:v>
                </c:pt>
                <c:pt idx="5">
                  <c:v>1.8821032051398578</c:v>
                </c:pt>
                <c:pt idx="6">
                  <c:v>1.967336996793861</c:v>
                </c:pt>
                <c:pt idx="7">
                  <c:v>1.7049171509776793</c:v>
                </c:pt>
                <c:pt idx="8">
                  <c:v>1.6027444915560727</c:v>
                </c:pt>
                <c:pt idx="9">
                  <c:v>1.5422284880503407</c:v>
                </c:pt>
                <c:pt idx="10">
                  <c:v>1.4193476321424843</c:v>
                </c:pt>
                <c:pt idx="11">
                  <c:v>0.83883272799624087</c:v>
                </c:pt>
                <c:pt idx="12">
                  <c:v>1.2811750568924793</c:v>
                </c:pt>
                <c:pt idx="13">
                  <c:v>1.8432565600763384</c:v>
                </c:pt>
                <c:pt idx="14">
                  <c:v>2.2168772078583361</c:v>
                </c:pt>
                <c:pt idx="15">
                  <c:v>2.6964569086367742</c:v>
                </c:pt>
                <c:pt idx="16">
                  <c:v>2.5859170289979305</c:v>
                </c:pt>
                <c:pt idx="17">
                  <c:v>3.2456274091275139</c:v>
                </c:pt>
                <c:pt idx="18">
                  <c:v>3.1934442757658061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4B-174B-9DFB-452EE30C3809}"/>
            </c:ext>
          </c:extLst>
        </c:ser>
        <c:ser>
          <c:idx val="11"/>
          <c:order val="11"/>
          <c:tx>
            <c:strRef>
              <c:f>'Haryana Rev &amp; Exp Comp. Contd.'!$M$122</c:f>
              <c:strCache>
                <c:ptCount val="1"/>
                <c:pt idx="0">
                  <c:v>Social Security and Welfare as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Contd.'!$M$123:$M$141</c:f>
              <c:numCache>
                <c:formatCode>General</c:formatCode>
                <c:ptCount val="19"/>
                <c:pt idx="0">
                  <c:v>19.817979023535258</c:v>
                </c:pt>
                <c:pt idx="1">
                  <c:v>17.021329861806532</c:v>
                </c:pt>
                <c:pt idx="2">
                  <c:v>16.331412228625901</c:v>
                </c:pt>
                <c:pt idx="3">
                  <c:v>14.421634281113919</c:v>
                </c:pt>
                <c:pt idx="4">
                  <c:v>13.082867113117583</c:v>
                </c:pt>
                <c:pt idx="5">
                  <c:v>18.135731179472884</c:v>
                </c:pt>
                <c:pt idx="6">
                  <c:v>17.081312682959037</c:v>
                </c:pt>
                <c:pt idx="7">
                  <c:v>15.938479647071945</c:v>
                </c:pt>
                <c:pt idx="8">
                  <c:v>14.923586163188402</c:v>
                </c:pt>
                <c:pt idx="9">
                  <c:v>15.203189949530959</c:v>
                </c:pt>
                <c:pt idx="10">
                  <c:v>21.261505162043537</c:v>
                </c:pt>
                <c:pt idx="11">
                  <c:v>11.206996822835519</c:v>
                </c:pt>
                <c:pt idx="12">
                  <c:v>19.238510310130263</c:v>
                </c:pt>
                <c:pt idx="13">
                  <c:v>20.416997155833393</c:v>
                </c:pt>
                <c:pt idx="14">
                  <c:v>22.820450664505046</c:v>
                </c:pt>
                <c:pt idx="15">
                  <c:v>22.590409672162647</c:v>
                </c:pt>
                <c:pt idx="16">
                  <c:v>24.200972459874421</c:v>
                </c:pt>
                <c:pt idx="17">
                  <c:v>23.823876652671245</c:v>
                </c:pt>
                <c:pt idx="18">
                  <c:v>22.386874845946014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4B-174B-9DFB-452EE30C3809}"/>
            </c:ext>
          </c:extLst>
        </c:ser>
        <c:ser>
          <c:idx val="12"/>
          <c:order val="12"/>
          <c:tx>
            <c:strRef>
              <c:f>'Haryana Rev &amp; Exp Comp. Contd.'!$N$122</c:f>
              <c:strCache>
                <c:ptCount val="1"/>
                <c:pt idx="0">
                  <c:v>Relief Account of Natural Calamity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Contd.'!$N$123:$N$141</c:f>
              <c:numCache>
                <c:formatCode>General</c:formatCode>
                <c:ptCount val="19"/>
                <c:pt idx="0">
                  <c:v>0</c:v>
                </c:pt>
                <c:pt idx="1">
                  <c:v>3.8661626276787513</c:v>
                </c:pt>
                <c:pt idx="2">
                  <c:v>4.6973176756077475</c:v>
                </c:pt>
                <c:pt idx="3">
                  <c:v>4.6078621004518476</c:v>
                </c:pt>
                <c:pt idx="4">
                  <c:v>1.5523376678840513</c:v>
                </c:pt>
                <c:pt idx="5">
                  <c:v>2.1119506534898238</c:v>
                </c:pt>
                <c:pt idx="6">
                  <c:v>2.5683047079625241</c:v>
                </c:pt>
                <c:pt idx="7">
                  <c:v>1.2195382413874114</c:v>
                </c:pt>
                <c:pt idx="8">
                  <c:v>1.3397996052726753</c:v>
                </c:pt>
                <c:pt idx="9">
                  <c:v>1.9752929429633026</c:v>
                </c:pt>
                <c:pt idx="10">
                  <c:v>3.3436069586296737</c:v>
                </c:pt>
                <c:pt idx="11">
                  <c:v>1.3697741610509577</c:v>
                </c:pt>
                <c:pt idx="12">
                  <c:v>4.0162537602817689</c:v>
                </c:pt>
                <c:pt idx="13">
                  <c:v>1.8242645680693663</c:v>
                </c:pt>
                <c:pt idx="14">
                  <c:v>1.3738607055934484</c:v>
                </c:pt>
                <c:pt idx="15">
                  <c:v>1.1950846930957515</c:v>
                </c:pt>
                <c:pt idx="16">
                  <c:v>1.9239320030217932</c:v>
                </c:pt>
                <c:pt idx="17">
                  <c:v>1.8437155489878732</c:v>
                </c:pt>
                <c:pt idx="18">
                  <c:v>1.5951802595024149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4B-174B-9DFB-452EE30C3809}"/>
            </c:ext>
          </c:extLst>
        </c:ser>
        <c:ser>
          <c:idx val="13"/>
          <c:order val="13"/>
          <c:tx>
            <c:strRef>
              <c:f>'Haryana Rev &amp; Exp Comp. Contd.'!$O$122</c:f>
              <c:strCache>
                <c:ptCount val="1"/>
                <c:pt idx="0">
                  <c:v>Others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Contd.'!$A$123:$A$141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Contd.'!$O$123:$O$141</c:f>
              <c:numCache>
                <c:formatCode>General</c:formatCode>
                <c:ptCount val="19"/>
                <c:pt idx="0">
                  <c:v>0.10997491197320614</c:v>
                </c:pt>
                <c:pt idx="1">
                  <c:v>6.8383236531143616</c:v>
                </c:pt>
                <c:pt idx="2">
                  <c:v>8.0428565238115866</c:v>
                </c:pt>
                <c:pt idx="3">
                  <c:v>3.1719893285377978</c:v>
                </c:pt>
                <c:pt idx="4">
                  <c:v>2.4815635793038173</c:v>
                </c:pt>
                <c:pt idx="5">
                  <c:v>2.2942330103754518</c:v>
                </c:pt>
                <c:pt idx="6">
                  <c:v>1.5616173028811233</c:v>
                </c:pt>
                <c:pt idx="7">
                  <c:v>1.6470925123025675</c:v>
                </c:pt>
                <c:pt idx="8">
                  <c:v>1.6385661684927684</c:v>
                </c:pt>
                <c:pt idx="9">
                  <c:v>1.6204720434997839</c:v>
                </c:pt>
                <c:pt idx="10">
                  <c:v>1.672391383480579</c:v>
                </c:pt>
                <c:pt idx="11">
                  <c:v>0.69772272651015221</c:v>
                </c:pt>
                <c:pt idx="12">
                  <c:v>1.1046778435149642</c:v>
                </c:pt>
                <c:pt idx="13">
                  <c:v>1.002691660555735</c:v>
                </c:pt>
                <c:pt idx="14">
                  <c:v>1.1246271835670616</c:v>
                </c:pt>
                <c:pt idx="15">
                  <c:v>1.212222562212244</c:v>
                </c:pt>
                <c:pt idx="16">
                  <c:v>1.04985737181437</c:v>
                </c:pt>
                <c:pt idx="17">
                  <c:v>1.2309028999444871</c:v>
                </c:pt>
                <c:pt idx="18">
                  <c:v>1.8150906635195221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4B-174B-9DFB-452EE30C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85615"/>
        <c:axId val="2108253759"/>
      </c:areaChart>
      <c:catAx>
        <c:axId val="210798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3759"/>
        <c:crosses val="autoZero"/>
        <c:auto val="1"/>
        <c:lblAlgn val="ctr"/>
        <c:lblOffset val="100"/>
        <c:noMultiLvlLbl val="0"/>
      </c:catAx>
      <c:valAx>
        <c:axId val="21082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8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Development Expenditure Composition: Economic Services (Base Price- 2011-12)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'Haryana Rev &amp; Exp Comp. Contd.'!$B$185</c:f>
              <c:strCache>
                <c:ptCount val="1"/>
                <c:pt idx="0">
                  <c:v>General Economic Service as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Contd.'!$B$186:$B$204</c:f>
              <c:numCache>
                <c:formatCode>General</c:formatCode>
                <c:ptCount val="19"/>
                <c:pt idx="0">
                  <c:v>0.95812688538426671</c:v>
                </c:pt>
                <c:pt idx="1">
                  <c:v>1.0121186860544673</c:v>
                </c:pt>
                <c:pt idx="2">
                  <c:v>0.55229526972682508</c:v>
                </c:pt>
                <c:pt idx="3">
                  <c:v>0.87224440201353926</c:v>
                </c:pt>
                <c:pt idx="4">
                  <c:v>1.7776356465195609</c:v>
                </c:pt>
                <c:pt idx="5">
                  <c:v>4.0600501214522202</c:v>
                </c:pt>
                <c:pt idx="6">
                  <c:v>2.5141526598997337</c:v>
                </c:pt>
                <c:pt idx="7">
                  <c:v>2.797557314636562</c:v>
                </c:pt>
                <c:pt idx="8">
                  <c:v>1.1980897710684597</c:v>
                </c:pt>
                <c:pt idx="9">
                  <c:v>2.2420370166873362</c:v>
                </c:pt>
                <c:pt idx="10">
                  <c:v>0.72195904645476772</c:v>
                </c:pt>
                <c:pt idx="11">
                  <c:v>1.0473319119224624</c:v>
                </c:pt>
                <c:pt idx="12">
                  <c:v>1.6321272935697413</c:v>
                </c:pt>
                <c:pt idx="13">
                  <c:v>0.27613904595064187</c:v>
                </c:pt>
                <c:pt idx="14">
                  <c:v>0.36243046056111006</c:v>
                </c:pt>
                <c:pt idx="15">
                  <c:v>0.40077389386925094</c:v>
                </c:pt>
                <c:pt idx="16">
                  <c:v>0.6129626158951349</c:v>
                </c:pt>
                <c:pt idx="17">
                  <c:v>0.94442554649875032</c:v>
                </c:pt>
                <c:pt idx="18">
                  <c:v>0.61849811131877885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934C-93C9-C69C98B55960}"/>
            </c:ext>
          </c:extLst>
        </c:ser>
        <c:ser>
          <c:idx val="1"/>
          <c:order val="1"/>
          <c:tx>
            <c:strRef>
              <c:f>'Haryana Rev &amp; Exp Comp. Contd.'!$C$185</c:f>
              <c:strCache>
                <c:ptCount val="1"/>
                <c:pt idx="0">
                  <c:v>Agriculture and Allied Service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Contd.'!$C$186:$C$204</c:f>
              <c:numCache>
                <c:formatCode>General</c:formatCode>
                <c:ptCount val="19"/>
                <c:pt idx="0">
                  <c:v>14.484127604370183</c:v>
                </c:pt>
                <c:pt idx="1">
                  <c:v>14.072932313088341</c:v>
                </c:pt>
                <c:pt idx="2">
                  <c:v>9.4300644797182382</c:v>
                </c:pt>
                <c:pt idx="3">
                  <c:v>17.27805743601612</c:v>
                </c:pt>
                <c:pt idx="4">
                  <c:v>13.354653022065877</c:v>
                </c:pt>
                <c:pt idx="5">
                  <c:v>14.905354920707437</c:v>
                </c:pt>
                <c:pt idx="6">
                  <c:v>17.016205373946601</c:v>
                </c:pt>
                <c:pt idx="7">
                  <c:v>15.695766608460154</c:v>
                </c:pt>
                <c:pt idx="8">
                  <c:v>14.75867308486051</c:v>
                </c:pt>
                <c:pt idx="9">
                  <c:v>14.493100579268772</c:v>
                </c:pt>
                <c:pt idx="10">
                  <c:v>15.372249388753053</c:v>
                </c:pt>
                <c:pt idx="11">
                  <c:v>12.279866348142221</c:v>
                </c:pt>
                <c:pt idx="12">
                  <c:v>12.068860624635635</c:v>
                </c:pt>
                <c:pt idx="13">
                  <c:v>15.103148979224404</c:v>
                </c:pt>
                <c:pt idx="14">
                  <c:v>17.832535467610999</c:v>
                </c:pt>
                <c:pt idx="15">
                  <c:v>16.63918601834515</c:v>
                </c:pt>
                <c:pt idx="16">
                  <c:v>22.078203656251656</c:v>
                </c:pt>
                <c:pt idx="17">
                  <c:v>24.506674100805903</c:v>
                </c:pt>
                <c:pt idx="18">
                  <c:v>25.242373084221036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934C-93C9-C69C98B55960}"/>
            </c:ext>
          </c:extLst>
        </c:ser>
        <c:ser>
          <c:idx val="2"/>
          <c:order val="2"/>
          <c:tx>
            <c:strRef>
              <c:f>'Haryana Rev &amp; Exp Comp. Contd.'!$D$185</c:f>
              <c:strCache>
                <c:ptCount val="1"/>
                <c:pt idx="0">
                  <c:v>Rural Development as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Contd.'!$D$186:$D$204</c:f>
              <c:numCache>
                <c:formatCode>General</c:formatCode>
                <c:ptCount val="19"/>
                <c:pt idx="0">
                  <c:v>5.1344972569124243</c:v>
                </c:pt>
                <c:pt idx="1">
                  <c:v>7.3689894803618579</c:v>
                </c:pt>
                <c:pt idx="2">
                  <c:v>4.9102972887734655</c:v>
                </c:pt>
                <c:pt idx="3">
                  <c:v>9.4058387497026601</c:v>
                </c:pt>
                <c:pt idx="4">
                  <c:v>11.992040649539849</c:v>
                </c:pt>
                <c:pt idx="5">
                  <c:v>11.542409999853911</c:v>
                </c:pt>
                <c:pt idx="6">
                  <c:v>12.103197181848079</c:v>
                </c:pt>
                <c:pt idx="7">
                  <c:v>12.117999065603264</c:v>
                </c:pt>
                <c:pt idx="8">
                  <c:v>11.161980940975518</c:v>
                </c:pt>
                <c:pt idx="9">
                  <c:v>13.55865684997096</c:v>
                </c:pt>
                <c:pt idx="10">
                  <c:v>14.084963325183375</c:v>
                </c:pt>
                <c:pt idx="11">
                  <c:v>9.9017407378674012</c:v>
                </c:pt>
                <c:pt idx="12">
                  <c:v>13.854136078152033</c:v>
                </c:pt>
                <c:pt idx="13">
                  <c:v>16.462526274630225</c:v>
                </c:pt>
                <c:pt idx="14">
                  <c:v>17.966961735039884</c:v>
                </c:pt>
                <c:pt idx="15">
                  <c:v>20.566926121413175</c:v>
                </c:pt>
                <c:pt idx="16">
                  <c:v>23.616962412204238</c:v>
                </c:pt>
                <c:pt idx="17">
                  <c:v>10.155989043170011</c:v>
                </c:pt>
                <c:pt idx="18">
                  <c:v>14.303757525639277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934C-93C9-C69C98B55960}"/>
            </c:ext>
          </c:extLst>
        </c:ser>
        <c:ser>
          <c:idx val="3"/>
          <c:order val="3"/>
          <c:tx>
            <c:strRef>
              <c:f>'Haryana Rev &amp; Exp Comp. Contd.'!$E$185</c:f>
              <c:strCache>
                <c:ptCount val="1"/>
                <c:pt idx="0">
                  <c:v>Irrigation and Food Control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Contd.'!$E$186:$E$204</c:f>
              <c:numCache>
                <c:formatCode>General</c:formatCode>
                <c:ptCount val="19"/>
                <c:pt idx="0">
                  <c:v>13.932071460948123</c:v>
                </c:pt>
                <c:pt idx="1">
                  <c:v>13.024114166778078</c:v>
                </c:pt>
                <c:pt idx="2">
                  <c:v>8.3293973492845055</c:v>
                </c:pt>
                <c:pt idx="3">
                  <c:v>11.372607636277134</c:v>
                </c:pt>
                <c:pt idx="4">
                  <c:v>10.737163770742281</c:v>
                </c:pt>
                <c:pt idx="5">
                  <c:v>11.401103096932019</c:v>
                </c:pt>
                <c:pt idx="6">
                  <c:v>11.263854100363522</c:v>
                </c:pt>
                <c:pt idx="7">
                  <c:v>11.014173892778526</c:v>
                </c:pt>
                <c:pt idx="8">
                  <c:v>9.1673855839843963</c:v>
                </c:pt>
                <c:pt idx="9">
                  <c:v>9.119401579253072</c:v>
                </c:pt>
                <c:pt idx="10">
                  <c:v>8.8565097799511001</c:v>
                </c:pt>
                <c:pt idx="11">
                  <c:v>7.5192813403708332</c:v>
                </c:pt>
                <c:pt idx="12">
                  <c:v>6.7626625073472324</c:v>
                </c:pt>
                <c:pt idx="13">
                  <c:v>8.0803255347984901</c:v>
                </c:pt>
                <c:pt idx="14">
                  <c:v>7.730903531672972</c:v>
                </c:pt>
                <c:pt idx="15">
                  <c:v>7.7555726284425734</c:v>
                </c:pt>
                <c:pt idx="16">
                  <c:v>8.2654407414348743</c:v>
                </c:pt>
                <c:pt idx="17">
                  <c:v>10.459578146699778</c:v>
                </c:pt>
                <c:pt idx="18">
                  <c:v>11.32698165053915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1-934C-93C9-C69C98B55960}"/>
            </c:ext>
          </c:extLst>
        </c:ser>
        <c:ser>
          <c:idx val="4"/>
          <c:order val="4"/>
          <c:tx>
            <c:strRef>
              <c:f>'Haryana Rev &amp; Exp Comp. Contd.'!$F$185</c:f>
              <c:strCache>
                <c:ptCount val="1"/>
                <c:pt idx="0">
                  <c:v>Energy as 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Contd.'!$F$186:$F$204</c:f>
              <c:numCache>
                <c:formatCode>General</c:formatCode>
                <c:ptCount val="19"/>
                <c:pt idx="0">
                  <c:v>37.693618218477937</c:v>
                </c:pt>
                <c:pt idx="1">
                  <c:v>37.170786181080388</c:v>
                </c:pt>
                <c:pt idx="2">
                  <c:v>56.774142923754582</c:v>
                </c:pt>
                <c:pt idx="3">
                  <c:v>41.317415314985176</c:v>
                </c:pt>
                <c:pt idx="4">
                  <c:v>42.810787762498663</c:v>
                </c:pt>
                <c:pt idx="5">
                  <c:v>37.022142951056544</c:v>
                </c:pt>
                <c:pt idx="6">
                  <c:v>36.962358363981281</c:v>
                </c:pt>
                <c:pt idx="7">
                  <c:v>39.66481002256468</c:v>
                </c:pt>
                <c:pt idx="8">
                  <c:v>44.478931323999085</c:v>
                </c:pt>
                <c:pt idx="9">
                  <c:v>40.910346776345747</c:v>
                </c:pt>
                <c:pt idx="10">
                  <c:v>40.072356356968214</c:v>
                </c:pt>
                <c:pt idx="11">
                  <c:v>54.680142426439303</c:v>
                </c:pt>
                <c:pt idx="12">
                  <c:v>50.370654953890295</c:v>
                </c:pt>
                <c:pt idx="13">
                  <c:v>42.147213039064845</c:v>
                </c:pt>
                <c:pt idx="14">
                  <c:v>39.152478395590691</c:v>
                </c:pt>
                <c:pt idx="15">
                  <c:v>36.46626585811876</c:v>
                </c:pt>
                <c:pt idx="16">
                  <c:v>30.387322446369708</c:v>
                </c:pt>
                <c:pt idx="17">
                  <c:v>36.473148860965395</c:v>
                </c:pt>
                <c:pt idx="18">
                  <c:v>30.047147978361977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1-934C-93C9-C69C98B55960}"/>
            </c:ext>
          </c:extLst>
        </c:ser>
        <c:ser>
          <c:idx val="5"/>
          <c:order val="5"/>
          <c:tx>
            <c:strRef>
              <c:f>'Haryana Rev &amp; Exp Comp. Contd.'!$G$185</c:f>
              <c:strCache>
                <c:ptCount val="1"/>
                <c:pt idx="0">
                  <c:v>Industries, Village and Small Industries as 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Contd.'!$G$186:$G$204</c:f>
              <c:numCache>
                <c:formatCode>General</c:formatCode>
                <c:ptCount val="19"/>
                <c:pt idx="0">
                  <c:v>0.67178292877350365</c:v>
                </c:pt>
                <c:pt idx="1">
                  <c:v>2.9065972522589831</c:v>
                </c:pt>
                <c:pt idx="2">
                  <c:v>2.2763317332866548</c:v>
                </c:pt>
                <c:pt idx="3">
                  <c:v>0.90808565899695903</c:v>
                </c:pt>
                <c:pt idx="4">
                  <c:v>0.86529510002487287</c:v>
                </c:pt>
                <c:pt idx="5">
                  <c:v>0.75567319325711069</c:v>
                </c:pt>
                <c:pt idx="6">
                  <c:v>0.92825442399580826</c:v>
                </c:pt>
                <c:pt idx="7">
                  <c:v>0.82737186007905905</c:v>
                </c:pt>
                <c:pt idx="8">
                  <c:v>0.6796040056313507</c:v>
                </c:pt>
                <c:pt idx="9">
                  <c:v>0.69378816659079146</c:v>
                </c:pt>
                <c:pt idx="10">
                  <c:v>1.0434749388753055</c:v>
                </c:pt>
                <c:pt idx="11">
                  <c:v>0.45531517601329019</c:v>
                </c:pt>
                <c:pt idx="12">
                  <c:v>1.5592657510990311</c:v>
                </c:pt>
                <c:pt idx="13">
                  <c:v>1.399969735160564</c:v>
                </c:pt>
                <c:pt idx="14">
                  <c:v>1.6241553015049222</c:v>
                </c:pt>
                <c:pt idx="15">
                  <c:v>1.6387545756319073</c:v>
                </c:pt>
                <c:pt idx="16">
                  <c:v>1.5024828765774887</c:v>
                </c:pt>
                <c:pt idx="17">
                  <c:v>1.776520567074777</c:v>
                </c:pt>
                <c:pt idx="18">
                  <c:v>3.1045432973787799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1-934C-93C9-C69C98B55960}"/>
            </c:ext>
          </c:extLst>
        </c:ser>
        <c:ser>
          <c:idx val="6"/>
          <c:order val="6"/>
          <c:tx>
            <c:strRef>
              <c:f>'Haryana Rev &amp; Exp Comp. Contd.'!$H$185</c:f>
              <c:strCache>
                <c:ptCount val="1"/>
                <c:pt idx="0">
                  <c:v>Non-Ferrous Mining and Metallurgical Industries as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Contd.'!$H$186:$H$204</c:f>
              <c:numCache>
                <c:formatCode>General</c:formatCode>
                <c:ptCount val="19"/>
                <c:pt idx="0">
                  <c:v>0.67178292877350365</c:v>
                </c:pt>
                <c:pt idx="1">
                  <c:v>0.21600253750553772</c:v>
                </c:pt>
                <c:pt idx="2">
                  <c:v>0.16116157051045057</c:v>
                </c:pt>
                <c:pt idx="3">
                  <c:v>0.17406314490154098</c:v>
                </c:pt>
                <c:pt idx="4">
                  <c:v>0.17467931634864794</c:v>
                </c:pt>
                <c:pt idx="5">
                  <c:v>0.17145414630842357</c:v>
                </c:pt>
                <c:pt idx="6">
                  <c:v>0.18970254091359842</c:v>
                </c:pt>
                <c:pt idx="7">
                  <c:v>0.15738952084002925</c:v>
                </c:pt>
                <c:pt idx="8">
                  <c:v>7.2338801719863649E-2</c:v>
                </c:pt>
                <c:pt idx="9">
                  <c:v>6.8052306871163717E-2</c:v>
                </c:pt>
                <c:pt idx="10">
                  <c:v>6.9605745721271386E-2</c:v>
                </c:pt>
                <c:pt idx="11">
                  <c:v>5.179143247718742E-2</c:v>
                </c:pt>
                <c:pt idx="12">
                  <c:v>0.11635811088846534</c:v>
                </c:pt>
                <c:pt idx="13">
                  <c:v>0.35461776280981416</c:v>
                </c:pt>
                <c:pt idx="14">
                  <c:v>0.49333441280903056</c:v>
                </c:pt>
                <c:pt idx="15">
                  <c:v>0.39989021602284669</c:v>
                </c:pt>
                <c:pt idx="16">
                  <c:v>0.5480230170717123</c:v>
                </c:pt>
                <c:pt idx="17">
                  <c:v>0.56221530528991859</c:v>
                </c:pt>
                <c:pt idx="18">
                  <c:v>0.46281687618068723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1-934C-93C9-C69C98B55960}"/>
            </c:ext>
          </c:extLst>
        </c:ser>
        <c:ser>
          <c:idx val="7"/>
          <c:order val="7"/>
          <c:tx>
            <c:strRef>
              <c:f>'Haryana Rev &amp; Exp Comp. Contd.'!$I$185</c:f>
              <c:strCache>
                <c:ptCount val="1"/>
                <c:pt idx="0">
                  <c:v>Civil Aviation as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Contd.'!$I$186:$I$204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1.6715205050563491E-2</c:v>
                </c:pt>
                <c:pt idx="4">
                  <c:v>2.075116369967665E-2</c:v>
                </c:pt>
                <c:pt idx="5">
                  <c:v>1.8460206302765972E-2</c:v>
                </c:pt>
                <c:pt idx="6">
                  <c:v>1.8757667196466554E-2</c:v>
                </c:pt>
                <c:pt idx="7">
                  <c:v>3.4570470191529236E-2</c:v>
                </c:pt>
                <c:pt idx="8">
                  <c:v>2.8900908821093856E-2</c:v>
                </c:pt>
                <c:pt idx="9">
                  <c:v>2.4018461248646022E-2</c:v>
                </c:pt>
                <c:pt idx="10">
                  <c:v>1.3141809290953547E-2</c:v>
                </c:pt>
                <c:pt idx="11">
                  <c:v>9.5236311786563634E-3</c:v>
                </c:pt>
                <c:pt idx="12">
                  <c:v>1.0538816136460427E-2</c:v>
                </c:pt>
                <c:pt idx="13">
                  <c:v>1.215011802182824E-2</c:v>
                </c:pt>
                <c:pt idx="14">
                  <c:v>1.1408095436866966E-2</c:v>
                </c:pt>
                <c:pt idx="15">
                  <c:v>2.3703358703551024E-2</c:v>
                </c:pt>
                <c:pt idx="16">
                  <c:v>2.8926207721670032E-2</c:v>
                </c:pt>
                <c:pt idx="17">
                  <c:v>3.6164700285685789E-2</c:v>
                </c:pt>
                <c:pt idx="18">
                  <c:v>4.6746220335819481E-2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1-934C-93C9-C69C98B55960}"/>
            </c:ext>
          </c:extLst>
        </c:ser>
        <c:ser>
          <c:idx val="8"/>
          <c:order val="8"/>
          <c:tx>
            <c:strRef>
              <c:f>'Haryana Rev &amp; Exp Comp. Contd.'!$J$185</c:f>
              <c:strCache>
                <c:ptCount val="1"/>
                <c:pt idx="0">
                  <c:v>Science, Technology and Environment as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Contd.'!$J$186:$J$204</c:f>
              <c:numCache>
                <c:formatCode>General</c:formatCode>
                <c:ptCount val="19"/>
                <c:pt idx="0">
                  <c:v>0.1859985307679082</c:v>
                </c:pt>
                <c:pt idx="1">
                  <c:v>0.23304157262429978</c:v>
                </c:pt>
                <c:pt idx="2">
                  <c:v>0.12630359037195424</c:v>
                </c:pt>
                <c:pt idx="3">
                  <c:v>0.12295319099693339</c:v>
                </c:pt>
                <c:pt idx="4">
                  <c:v>0.13516682656433215</c:v>
                </c:pt>
                <c:pt idx="5">
                  <c:v>0.46602060371514975</c:v>
                </c:pt>
                <c:pt idx="6">
                  <c:v>0.18982759202824154</c:v>
                </c:pt>
                <c:pt idx="7">
                  <c:v>0.13209674871907021</c:v>
                </c:pt>
                <c:pt idx="8">
                  <c:v>0.22497713453546114</c:v>
                </c:pt>
                <c:pt idx="9">
                  <c:v>0.23351281769516966</c:v>
                </c:pt>
                <c:pt idx="10">
                  <c:v>0.16541870415647919</c:v>
                </c:pt>
                <c:pt idx="11">
                  <c:v>0.17939738956199319</c:v>
                </c:pt>
                <c:pt idx="12">
                  <c:v>0.12785500121914947</c:v>
                </c:pt>
                <c:pt idx="13">
                  <c:v>0.14651937778141058</c:v>
                </c:pt>
                <c:pt idx="14">
                  <c:v>0.16239450140314315</c:v>
                </c:pt>
                <c:pt idx="15">
                  <c:v>0.12984866237164577</c:v>
                </c:pt>
                <c:pt idx="16">
                  <c:v>0.16710003480594504</c:v>
                </c:pt>
                <c:pt idx="17">
                  <c:v>0.10409500011509273</c:v>
                </c:pt>
                <c:pt idx="18">
                  <c:v>0.18840777435260458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1-934C-93C9-C69C98B55960}"/>
            </c:ext>
          </c:extLst>
        </c:ser>
        <c:ser>
          <c:idx val="9"/>
          <c:order val="9"/>
          <c:tx>
            <c:strRef>
              <c:f>'Haryana Rev &amp; Exp Comp. Contd.'!$K$185</c:f>
              <c:strCache>
                <c:ptCount val="1"/>
                <c:pt idx="0">
                  <c:v>Road and Bridge as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Contd.'!$K$186:$K$204</c:f>
              <c:numCache>
                <c:formatCode>General</c:formatCode>
                <c:ptCount val="19"/>
                <c:pt idx="0">
                  <c:v>13.133997092796074</c:v>
                </c:pt>
                <c:pt idx="1">
                  <c:v>11.997708905124032</c:v>
                </c:pt>
                <c:pt idx="2">
                  <c:v>8.7200028972866601</c:v>
                </c:pt>
                <c:pt idx="3">
                  <c:v>6.7640327360861976</c:v>
                </c:pt>
                <c:pt idx="4">
                  <c:v>6.3842518565895592</c:v>
                </c:pt>
                <c:pt idx="5">
                  <c:v>6.9431624856734171</c:v>
                </c:pt>
                <c:pt idx="6">
                  <c:v>5.3825751275833991</c:v>
                </c:pt>
                <c:pt idx="7">
                  <c:v>5.8106002118407725</c:v>
                </c:pt>
                <c:pt idx="8">
                  <c:v>7.0054418507657434</c:v>
                </c:pt>
                <c:pt idx="9">
                  <c:v>6.7980094504010937</c:v>
                </c:pt>
                <c:pt idx="10">
                  <c:v>6.0540953545232279</c:v>
                </c:pt>
                <c:pt idx="11">
                  <c:v>4.3803888102683999</c:v>
                </c:pt>
                <c:pt idx="12">
                  <c:v>4.5713073066091319</c:v>
                </c:pt>
                <c:pt idx="13">
                  <c:v>5.157338505601758</c:v>
                </c:pt>
                <c:pt idx="14">
                  <c:v>3.8367475257050145</c:v>
                </c:pt>
                <c:pt idx="15">
                  <c:v>5.6478450216189184</c:v>
                </c:pt>
                <c:pt idx="16">
                  <c:v>4.2770364233977851</c:v>
                </c:pt>
                <c:pt idx="17">
                  <c:v>4.4318382358582964</c:v>
                </c:pt>
                <c:pt idx="18">
                  <c:v>3.861940876284474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1-934C-93C9-C69C98B55960}"/>
            </c:ext>
          </c:extLst>
        </c:ser>
        <c:ser>
          <c:idx val="10"/>
          <c:order val="10"/>
          <c:tx>
            <c:strRef>
              <c:f>'Haryana Rev &amp; Exp Comp. Contd.'!$L$185</c:f>
              <c:strCache>
                <c:ptCount val="1"/>
                <c:pt idx="0">
                  <c:v>Road Transport as 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'Haryana Rev &amp; Exp Comp. Contd.'!$A$186:$A$204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'Haryana Rev &amp; Exp Comp. Contd.'!$L$186:$L$204</c:f>
              <c:numCache>
                <c:formatCode>General</c:formatCode>
                <c:ptCount val="19"/>
                <c:pt idx="0">
                  <c:v>13.133997092796074</c:v>
                </c:pt>
                <c:pt idx="1">
                  <c:v>11.997708905124032</c:v>
                </c:pt>
                <c:pt idx="2">
                  <c:v>8.7200028972866601</c:v>
                </c:pt>
                <c:pt idx="3">
                  <c:v>11.767986524973157</c:v>
                </c:pt>
                <c:pt idx="4">
                  <c:v>11.747574885406671</c:v>
                </c:pt>
                <c:pt idx="5">
                  <c:v>12.714168274740992</c:v>
                </c:pt>
                <c:pt idx="6">
                  <c:v>13.431114968243268</c:v>
                </c:pt>
                <c:pt idx="7">
                  <c:v>11.747664284286341</c:v>
                </c:pt>
                <c:pt idx="8">
                  <c:v>11.22367659363851</c:v>
                </c:pt>
                <c:pt idx="9">
                  <c:v>11.85907599566726</c:v>
                </c:pt>
                <c:pt idx="10">
                  <c:v>13.546225550122248</c:v>
                </c:pt>
                <c:pt idx="11">
                  <c:v>9.4952207957582377</c:v>
                </c:pt>
                <c:pt idx="12">
                  <c:v>8.9262335564528463</c:v>
                </c:pt>
                <c:pt idx="13">
                  <c:v>10.860051626956032</c:v>
                </c:pt>
                <c:pt idx="14">
                  <c:v>10.826650572665363</c:v>
                </c:pt>
                <c:pt idx="15">
                  <c:v>10.331233645462209</c:v>
                </c:pt>
                <c:pt idx="16">
                  <c:v>8.5155395682697872</c:v>
                </c:pt>
                <c:pt idx="17">
                  <c:v>10.549350493236382</c:v>
                </c:pt>
                <c:pt idx="18">
                  <c:v>10.796786605387407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01-934C-93C9-C69C98B5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6079"/>
        <c:axId val="1656727791"/>
      </c:areaChart>
      <c:catAx>
        <c:axId val="165672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27791"/>
        <c:crosses val="autoZero"/>
        <c:auto val="1"/>
        <c:lblAlgn val="ctr"/>
        <c:lblOffset val="100"/>
        <c:noMultiLvlLbl val="0"/>
      </c:catAx>
      <c:valAx>
        <c:axId val="16567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'Capital Outlay'!$B$22</c:f>
              <c:strCache>
                <c:ptCount val="1"/>
                <c:pt idx="0">
                  <c:v>Adj. Capital Outlay (INR Crore)(Base Price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'Capital Outlay'!$A$23:$A$41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'Capital Outlay'!$B$23:$B$41</c:f>
              <c:numCache>
                <c:formatCode>0.00</c:formatCode>
                <c:ptCount val="19"/>
                <c:pt idx="0">
                  <c:v>1533.7209302325582</c:v>
                </c:pt>
                <c:pt idx="1">
                  <c:v>2757.0280437756496</c:v>
                </c:pt>
                <c:pt idx="2">
                  <c:v>4151.1627906976737</c:v>
                </c:pt>
                <c:pt idx="3">
                  <c:v>5858.7038303693571</c:v>
                </c:pt>
                <c:pt idx="4">
                  <c:v>7697.7941176470595</c:v>
                </c:pt>
                <c:pt idx="5">
                  <c:v>8923.5294117647063</c:v>
                </c:pt>
                <c:pt idx="6">
                  <c:v>6893.1258549931599</c:v>
                </c:pt>
                <c:pt idx="7">
                  <c:v>5372.34</c:v>
                </c:pt>
                <c:pt idx="8">
                  <c:v>5310.9411005622642</c:v>
                </c:pt>
                <c:pt idx="9">
                  <c:v>3421.0938179288755</c:v>
                </c:pt>
                <c:pt idx="10">
                  <c:v>3151.9596199524944</c:v>
                </c:pt>
                <c:pt idx="11">
                  <c:v>5772.3345588235288</c:v>
                </c:pt>
                <c:pt idx="12">
                  <c:v>5574.762407602957</c:v>
                </c:pt>
                <c:pt idx="13">
                  <c:v>10145.316247002398</c:v>
                </c:pt>
                <c:pt idx="14">
                  <c:v>11640</c:v>
                </c:pt>
                <c:pt idx="15">
                  <c:v>12973.437614746274</c:v>
                </c:pt>
                <c:pt idx="16">
                  <c:v>3939.9248221237749</c:v>
                </c:pt>
                <c:pt idx="17">
                  <c:v>6812.7860358971193</c:v>
                </c:pt>
                <c:pt idx="18">
                  <c:v>8590.8141717503531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D-CD47-9CA0-62C20FF7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64976"/>
        <c:axId val="1483206640"/>
      </c:barChart>
      <c:catAx>
        <c:axId val="14830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06640"/>
        <c:crosses val="autoZero"/>
        <c:auto val="1"/>
        <c:lblAlgn val="ctr"/>
        <c:lblOffset val="100"/>
        <c:noMultiLvlLbl val="0"/>
      </c:catAx>
      <c:valAx>
        <c:axId val="14832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Variable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'Initial Data'!$I$2:$I$20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'Regressions NSDP PC Har'!$C$25:$C$43</c:f>
              <c:numCache>
                <c:formatCode>General</c:formatCode>
                <c:ptCount val="19"/>
                <c:pt idx="0">
                  <c:v>-0.25126896936720478</c:v>
                </c:pt>
                <c:pt idx="1">
                  <c:v>-0.19010721867614677</c:v>
                </c:pt>
                <c:pt idx="2">
                  <c:v>-8.4972358077925136E-2</c:v>
                </c:pt>
                <c:pt idx="3">
                  <c:v>1.2488794800731284E-2</c:v>
                </c:pt>
                <c:pt idx="4">
                  <c:v>0.13461090298540768</c:v>
                </c:pt>
                <c:pt idx="5">
                  <c:v>0.28407126595974042</c:v>
                </c:pt>
                <c:pt idx="6">
                  <c:v>0.38164656924224616</c:v>
                </c:pt>
                <c:pt idx="7">
                  <c:v>-6.3014674595464726E-2</c:v>
                </c:pt>
                <c:pt idx="8">
                  <c:v>-5.7718535370920421E-2</c:v>
                </c:pt>
                <c:pt idx="9">
                  <c:v>-3.549998219149586E-2</c:v>
                </c:pt>
                <c:pt idx="10">
                  <c:v>-3.9683229701731548E-2</c:v>
                </c:pt>
                <c:pt idx="11">
                  <c:v>1.0793499208613611E-2</c:v>
                </c:pt>
                <c:pt idx="12">
                  <c:v>5.0111018575369926E-2</c:v>
                </c:pt>
                <c:pt idx="13">
                  <c:v>4.188899329582263E-2</c:v>
                </c:pt>
                <c:pt idx="14">
                  <c:v>7.7217493870545439E-2</c:v>
                </c:pt>
                <c:pt idx="15">
                  <c:v>5.1123432533321633E-2</c:v>
                </c:pt>
                <c:pt idx="16">
                  <c:v>-0.13459757734673694</c:v>
                </c:pt>
                <c:pt idx="17">
                  <c:v>-0.10174619602289248</c:v>
                </c:pt>
                <c:pt idx="18">
                  <c:v>-8.5343229121273012E-2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E-EB48-A9D4-D0325E6E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61792"/>
        <c:axId val="1468609792"/>
      </c:scatterChart>
      <c:valAx>
        <c:axId val="3361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 Variable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09792"/>
        <c:crosses val="autoZero"/>
        <c:crossBetween val="midCat"/>
      </c:valAx>
      <c:valAx>
        <c:axId val="146860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16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Year Variable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'India Stats'!$I$2:$I$20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'Regressions NSDP PC Ind'!$C$25:$C$43</c:f>
              <c:numCache>
                <c:formatCode>General</c:formatCode>
                <c:ptCount val="19"/>
                <c:pt idx="0">
                  <c:v>-5.9744398788591724E-2</c:v>
                </c:pt>
                <c:pt idx="1">
                  <c:v>-3.6950934080500986E-2</c:v>
                </c:pt>
                <c:pt idx="2">
                  <c:v>-1.3929304638006457E-2</c:v>
                </c:pt>
                <c:pt idx="3">
                  <c:v>1.416184131709386E-2</c:v>
                </c:pt>
                <c:pt idx="4">
                  <c:v>-1.7549557488139911E-2</c:v>
                </c:pt>
                <c:pt idx="5">
                  <c:v>-2.9864299682014206E-3</c:v>
                </c:pt>
                <c:pt idx="6">
                  <c:v>3.1958555739160843E-2</c:v>
                </c:pt>
                <c:pt idx="7">
                  <c:v>2.8867150039284084E-2</c:v>
                </c:pt>
                <c:pt idx="8">
                  <c:v>1.3697773755129816E-2</c:v>
                </c:pt>
                <c:pt idx="9">
                  <c:v>1.0086935458867075E-2</c:v>
                </c:pt>
                <c:pt idx="10">
                  <c:v>2.0062366281520028E-2</c:v>
                </c:pt>
                <c:pt idx="11">
                  <c:v>3.598512205155302E-2</c:v>
                </c:pt>
                <c:pt idx="12">
                  <c:v>5.3604361225913166E-2</c:v>
                </c:pt>
                <c:pt idx="13">
                  <c:v>5.7206817272779986E-2</c:v>
                </c:pt>
                <c:pt idx="14">
                  <c:v>5.7211650536622471E-2</c:v>
                </c:pt>
                <c:pt idx="15">
                  <c:v>3.1295980498642351E-2</c:v>
                </c:pt>
                <c:pt idx="16">
                  <c:v>-0.10407869160500205</c:v>
                </c:pt>
                <c:pt idx="17">
                  <c:v>-6.4909968312560906E-2</c:v>
                </c:pt>
                <c:pt idx="18">
                  <c:v>-5.3989269295568576E-2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2-A04B-A017-8E178EDC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73312"/>
        <c:axId val="1534675024"/>
      </c:scatterChart>
      <c:valAx>
        <c:axId val="15346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 Variable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675024"/>
        <c:crosses val="autoZero"/>
        <c:crossBetween val="midCat"/>
      </c:valAx>
      <c:valAx>
        <c:axId val="153467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67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Logarithmic</a:t>
            </a:r>
            <a:r>
              <a:rPr lang="en-GB" baseline="0"/>
              <a:t> Comparison of India and Haryana's Real Revenue (Base Price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Haryana'!$B$25</c:f>
              <c:strCache>
                <c:ptCount val="1"/>
                <c:pt idx="0">
                  <c:v>LN Haryana Revenue Receipts (INR Crore)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Haryana'!$A$26:$A$44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Haryana'!$B$26:$B$44</c:f>
              <c:numCache>
                <c:formatCode>General</c:formatCode>
                <c:ptCount val="19"/>
                <c:pt idx="0">
                  <c:v>9.855603838698979</c:v>
                </c:pt>
                <c:pt idx="1">
                  <c:v>10.072772842980633</c:v>
                </c:pt>
                <c:pt idx="2">
                  <c:v>10.331974113384167</c:v>
                </c:pt>
                <c:pt idx="3">
                  <c:v>10.427439608711744</c:v>
                </c:pt>
                <c:pt idx="4">
                  <c:v>10.359438215390707</c:v>
                </c:pt>
                <c:pt idx="5">
                  <c:v>10.488421502339428</c:v>
                </c:pt>
                <c:pt idx="6">
                  <c:v>10.68542124358096</c:v>
                </c:pt>
                <c:pt idx="7">
                  <c:v>10.327368378914199</c:v>
                </c:pt>
                <c:pt idx="8">
                  <c:v>10.341802091892555</c:v>
                </c:pt>
                <c:pt idx="9">
                  <c:v>10.405826851450062</c:v>
                </c:pt>
                <c:pt idx="10">
                  <c:v>10.451942393173161</c:v>
                </c:pt>
                <c:pt idx="11">
                  <c:v>10.589998010386264</c:v>
                </c:pt>
                <c:pt idx="12">
                  <c:v>10.660608258828631</c:v>
                </c:pt>
                <c:pt idx="13">
                  <c:v>10.757532752268308</c:v>
                </c:pt>
                <c:pt idx="14">
                  <c:v>10.821863070609787</c:v>
                </c:pt>
                <c:pt idx="15">
                  <c:v>10.816439974518866</c:v>
                </c:pt>
                <c:pt idx="16">
                  <c:v>10.784597060993287</c:v>
                </c:pt>
                <c:pt idx="17">
                  <c:v>10.872893662176553</c:v>
                </c:pt>
                <c:pt idx="18">
                  <c:v>10.949034900431236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F243-9DC7-B84FEB05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643024"/>
        <c:axId val="1222155968"/>
      </c:barChart>
      <c:lineChart>
        <c:grouping val="standard"/>
        <c:varyColors val="0"/>
        <c:ser>
          <c:idx val="1"/>
          <c:order val="1"/>
          <c:tx>
            <c:strRef>
              <c:f>'India Haryana'!$C$25</c:f>
              <c:strCache>
                <c:ptCount val="1"/>
                <c:pt idx="0">
                  <c:v>LN India Revenue Receipts (INR Crore) (Base Price- 2011-12)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Haryana'!$A$26:$A$44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Haryana'!$C$26:$C$44</c:f>
              <c:numCache>
                <c:formatCode>General</c:formatCode>
                <c:ptCount val="19"/>
                <c:pt idx="0">
                  <c:v>13.214804660444216</c:v>
                </c:pt>
                <c:pt idx="1">
                  <c:v>13.29786592106991</c:v>
                </c:pt>
                <c:pt idx="2">
                  <c:v>13.453998102800814</c:v>
                </c:pt>
                <c:pt idx="3">
                  <c:v>13.619736742922406</c:v>
                </c:pt>
                <c:pt idx="4">
                  <c:v>13.503377445606318</c:v>
                </c:pt>
                <c:pt idx="5">
                  <c:v>13.502167656990233</c:v>
                </c:pt>
                <c:pt idx="6">
                  <c:v>13.744125990115663</c:v>
                </c:pt>
                <c:pt idx="7">
                  <c:v>13.52974265232571</c:v>
                </c:pt>
                <c:pt idx="8">
                  <c:v>13.607074012440865</c:v>
                </c:pt>
                <c:pt idx="9">
                  <c:v>13.687204828762763</c:v>
                </c:pt>
                <c:pt idx="10">
                  <c:v>13.73817564146637</c:v>
                </c:pt>
                <c:pt idx="11">
                  <c:v>13.795353120673367</c:v>
                </c:pt>
                <c:pt idx="12">
                  <c:v>13.909461255706125</c:v>
                </c:pt>
                <c:pt idx="13">
                  <c:v>13.823908294895254</c:v>
                </c:pt>
                <c:pt idx="14">
                  <c:v>13.94337964734464</c:v>
                </c:pt>
                <c:pt idx="15">
                  <c:v>13.999401258619958</c:v>
                </c:pt>
                <c:pt idx="16">
                  <c:v>13.916869354286501</c:v>
                </c:pt>
                <c:pt idx="17">
                  <c:v>14.118999857019693</c:v>
                </c:pt>
                <c:pt idx="18">
                  <c:v>14.151976006058005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F243-9DC7-B84FEB05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43024"/>
        <c:axId val="1222155968"/>
      </c:lineChart>
      <c:catAx>
        <c:axId val="6436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55968"/>
        <c:crosses val="autoZero"/>
        <c:auto val="1"/>
        <c:lblAlgn val="ctr"/>
        <c:lblOffset val="100"/>
        <c:noMultiLvlLbl val="0"/>
      </c:catAx>
      <c:valAx>
        <c:axId val="1222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Logarithmic Comparison of India and Haryana's Real Expenditure (Base Price 2011-12)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Haryana'!$B$48</c:f>
              <c:strCache>
                <c:ptCount val="1"/>
                <c:pt idx="0">
                  <c:v>LN Haryana Expenditure (INR Crore)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Haryana'!$A$49:$A$67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Haryana'!$B$49:$B$67</c:f>
              <c:numCache>
                <c:formatCode>General</c:formatCode>
                <c:ptCount val="19"/>
                <c:pt idx="0">
                  <c:v>9.878484617833637</c:v>
                </c:pt>
                <c:pt idx="1">
                  <c:v>9.9811063358801704</c:v>
                </c:pt>
                <c:pt idx="2">
                  <c:v>10.239219372200729</c:v>
                </c:pt>
                <c:pt idx="3">
                  <c:v>10.307983781647776</c:v>
                </c:pt>
                <c:pt idx="4">
                  <c:v>10.466366248528075</c:v>
                </c:pt>
                <c:pt idx="5">
                  <c:v>10.673367039767637</c:v>
                </c:pt>
                <c:pt idx="6">
                  <c:v>10.787470459984831</c:v>
                </c:pt>
                <c:pt idx="7">
                  <c:v>10.373956386057573</c:v>
                </c:pt>
                <c:pt idx="8">
                  <c:v>10.465750355150089</c:v>
                </c:pt>
                <c:pt idx="9">
                  <c:v>10.50290075113425</c:v>
                </c:pt>
                <c:pt idx="10">
                  <c:v>10.637514853594054</c:v>
                </c:pt>
                <c:pt idx="11">
                  <c:v>10.809602881818991</c:v>
                </c:pt>
                <c:pt idx="12">
                  <c:v>10.925278632064204</c:v>
                </c:pt>
                <c:pt idx="13">
                  <c:v>10.913231710318794</c:v>
                </c:pt>
                <c:pt idx="14">
                  <c:v>10.979773835655836</c:v>
                </c:pt>
                <c:pt idx="15">
                  <c:v>11.039884667682784</c:v>
                </c:pt>
                <c:pt idx="16">
                  <c:v>11.00835602778205</c:v>
                </c:pt>
                <c:pt idx="17">
                  <c:v>11.013842368447596</c:v>
                </c:pt>
                <c:pt idx="18">
                  <c:v>11.119296046675711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3747-B3C6-DB22F4F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028336"/>
        <c:axId val="1645996064"/>
      </c:barChart>
      <c:lineChart>
        <c:grouping val="standard"/>
        <c:varyColors val="0"/>
        <c:ser>
          <c:idx val="1"/>
          <c:order val="1"/>
          <c:tx>
            <c:strRef>
              <c:f>'India Haryana'!$C$48</c:f>
              <c:strCache>
                <c:ptCount val="1"/>
                <c:pt idx="0">
                  <c:v>LN India Expenditure (INR Crore) (Base Price-2011-12)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Haryana'!$A$49:$A$67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Haryana'!$C$49:$C$67</c:f>
              <c:numCache>
                <c:formatCode>General</c:formatCode>
                <c:ptCount val="19"/>
                <c:pt idx="0">
                  <c:v>13.442733273321105</c:v>
                </c:pt>
                <c:pt idx="1">
                  <c:v>13.533442012079909</c:v>
                </c:pt>
                <c:pt idx="2">
                  <c:v>13.623469649970859</c:v>
                </c:pt>
                <c:pt idx="3">
                  <c:v>13.71232970551036</c:v>
                </c:pt>
                <c:pt idx="4">
                  <c:v>13.888157812223357</c:v>
                </c:pt>
                <c:pt idx="5">
                  <c:v>13.965298121500338</c:v>
                </c:pt>
                <c:pt idx="6">
                  <c:v>14.021701305991519</c:v>
                </c:pt>
                <c:pt idx="7">
                  <c:v>13.951600549580995</c:v>
                </c:pt>
                <c:pt idx="8">
                  <c:v>13.953721735014016</c:v>
                </c:pt>
                <c:pt idx="9">
                  <c:v>13.988691509164669</c:v>
                </c:pt>
                <c:pt idx="10">
                  <c:v>14.024742220251088</c:v>
                </c:pt>
                <c:pt idx="11">
                  <c:v>14.047513477395793</c:v>
                </c:pt>
                <c:pt idx="12">
                  <c:v>14.116661360377645</c:v>
                </c:pt>
                <c:pt idx="13">
                  <c:v>14.093231928945427</c:v>
                </c:pt>
                <c:pt idx="14">
                  <c:v>14.200085047741835</c:v>
                </c:pt>
                <c:pt idx="15">
                  <c:v>14.332866624192455</c:v>
                </c:pt>
                <c:pt idx="16">
                  <c:v>14.551958795915089</c:v>
                </c:pt>
                <c:pt idx="17">
                  <c:v>14.507756612172297</c:v>
                </c:pt>
                <c:pt idx="18">
                  <c:v>14.716983276866493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7-3747-B3C6-DB22F4F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28336"/>
        <c:axId val="1645996064"/>
      </c:lineChart>
      <c:catAx>
        <c:axId val="8340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6064"/>
        <c:crosses val="autoZero"/>
        <c:auto val="1"/>
        <c:lblAlgn val="ctr"/>
        <c:lblOffset val="100"/>
        <c:noMultiLvlLbl val="0"/>
      </c:catAx>
      <c:valAx>
        <c:axId val="16459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Real Revenue as % of NDP with NSDP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Haryana'!$B$69</c:f>
              <c:strCache>
                <c:ptCount val="1"/>
                <c:pt idx="0">
                  <c:v>Real Revenue Receipt as % of NSDP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Haryana'!$A$70:$A$88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Haryana'!$B$70:$B$88</c:f>
              <c:numCache>
                <c:formatCode>0.00</c:formatCode>
                <c:ptCount val="19"/>
                <c:pt idx="0">
                  <c:v>13.275772235211978</c:v>
                </c:pt>
                <c:pt idx="1">
                  <c:v>14.52773274480171</c:v>
                </c:pt>
                <c:pt idx="2">
                  <c:v>15.875184671728732</c:v>
                </c:pt>
                <c:pt idx="3">
                  <c:v>14.846525965215982</c:v>
                </c:pt>
                <c:pt idx="4">
                  <c:v>11.507107968641424</c:v>
                </c:pt>
                <c:pt idx="5">
                  <c:v>10.572734282191492</c:v>
                </c:pt>
                <c:pt idx="6">
                  <c:v>10.956176771707419</c:v>
                </c:pt>
                <c:pt idx="7">
                  <c:v>11.269522594814548</c:v>
                </c:pt>
                <c:pt idx="8">
                  <c:v>10.699286426451382</c:v>
                </c:pt>
                <c:pt idx="9">
                  <c:v>10.494880388240183</c:v>
                </c:pt>
                <c:pt idx="10">
                  <c:v>10.38265435117871</c:v>
                </c:pt>
                <c:pt idx="11">
                  <c:v>10.661492732508806</c:v>
                </c:pt>
                <c:pt idx="12">
                  <c:v>10.348765657522042</c:v>
                </c:pt>
                <c:pt idx="13">
                  <c:v>10.815336055846894</c:v>
                </c:pt>
                <c:pt idx="14">
                  <c:v>10.473672881076983</c:v>
                </c:pt>
                <c:pt idx="15">
                  <c:v>10.201519079020084</c:v>
                </c:pt>
                <c:pt idx="16">
                  <c:v>11.037243173825265</c:v>
                </c:pt>
                <c:pt idx="17">
                  <c:v>10.975371422791737</c:v>
                </c:pt>
                <c:pt idx="18">
                  <c:v>10.960368467771865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8F4F-B1BC-A500BBF9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501344"/>
        <c:axId val="829507984"/>
      </c:barChart>
      <c:lineChart>
        <c:grouping val="standard"/>
        <c:varyColors val="0"/>
        <c:ser>
          <c:idx val="1"/>
          <c:order val="1"/>
          <c:tx>
            <c:strRef>
              <c:f>'India Haryana'!$C$69</c:f>
              <c:strCache>
                <c:ptCount val="1"/>
                <c:pt idx="0">
                  <c:v>Real Receips as % of 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Haryana'!$A$70:$A$88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Haryana'!$C$70:$C$88</c:f>
              <c:numCache>
                <c:formatCode>0.00</c:formatCode>
                <c:ptCount val="19"/>
                <c:pt idx="0">
                  <c:v>12.013023531933726</c:v>
                </c:pt>
                <c:pt idx="1">
                  <c:v>11.949293045593953</c:v>
                </c:pt>
                <c:pt idx="2">
                  <c:v>12.792608171337713</c:v>
                </c:pt>
                <c:pt idx="3">
                  <c:v>13.76572327220077</c:v>
                </c:pt>
                <c:pt idx="4">
                  <c:v>11.868317921974487</c:v>
                </c:pt>
                <c:pt idx="5">
                  <c:v>10.961243159158562</c:v>
                </c:pt>
                <c:pt idx="6">
                  <c:v>12.648761901964148</c:v>
                </c:pt>
                <c:pt idx="7">
                  <c:v>9.610208470123494</c:v>
                </c:pt>
                <c:pt idx="8">
                  <c:v>9.8977970322999589</c:v>
                </c:pt>
                <c:pt idx="9">
                  <c:v>10.109282676335162</c:v>
                </c:pt>
                <c:pt idx="10">
                  <c:v>9.9002774485091596</c:v>
                </c:pt>
                <c:pt idx="11">
                  <c:v>9.7047518912297921</c:v>
                </c:pt>
                <c:pt idx="12">
                  <c:v>10.053437024996805</c:v>
                </c:pt>
                <c:pt idx="13">
                  <c:v>8.6526162951930861</c:v>
                </c:pt>
                <c:pt idx="14">
                  <c:v>9.1804983607224155</c:v>
                </c:pt>
                <c:pt idx="15">
                  <c:v>9.3871833316220723</c:v>
                </c:pt>
                <c:pt idx="16">
                  <c:v>9.3294838858392133</c:v>
                </c:pt>
                <c:pt idx="17">
                  <c:v>10.367144364505645</c:v>
                </c:pt>
                <c:pt idx="18">
                  <c:v>10.009370951763117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E-8F4F-B1BC-A500BBF9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01344"/>
        <c:axId val="829507984"/>
      </c:lineChart>
      <c:catAx>
        <c:axId val="8295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7984"/>
        <c:crosses val="autoZero"/>
        <c:auto val="1"/>
        <c:lblAlgn val="ctr"/>
        <c:lblOffset val="100"/>
        <c:noMultiLvlLbl val="0"/>
      </c:catAx>
      <c:valAx>
        <c:axId val="829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Real Expenditure as % of NDP with NSDP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Haryana'!$B$92</c:f>
              <c:strCache>
                <c:ptCount val="1"/>
                <c:pt idx="0">
                  <c:v>Real Expenditure as % of NSDP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Haryana'!$A$93:$A$111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Haryana'!$B$93:$B$111</c:f>
              <c:numCache>
                <c:formatCode>0.00</c:formatCode>
                <c:ptCount val="19"/>
                <c:pt idx="0">
                  <c:v>5.9818708051854825</c:v>
                </c:pt>
                <c:pt idx="1">
                  <c:v>5.7282798785757549</c:v>
                </c:pt>
                <c:pt idx="2">
                  <c:v>6.1389593458772396</c:v>
                </c:pt>
                <c:pt idx="3">
                  <c:v>5.490209085238102</c:v>
                </c:pt>
                <c:pt idx="4">
                  <c:v>5.2428794295607561</c:v>
                </c:pt>
                <c:pt idx="5">
                  <c:v>5.1191661775415236</c:v>
                </c:pt>
                <c:pt idx="6">
                  <c:v>4.8014587306442875</c:v>
                </c:pt>
                <c:pt idx="7">
                  <c:v>4.6193150525282531</c:v>
                </c:pt>
                <c:pt idx="8">
                  <c:v>4.672145450275754</c:v>
                </c:pt>
                <c:pt idx="9">
                  <c:v>4.3989149582726847</c:v>
                </c:pt>
                <c:pt idx="10">
                  <c:v>4.6882284674470664</c:v>
                </c:pt>
                <c:pt idx="11">
                  <c:v>4.9111648469707534</c:v>
                </c:pt>
                <c:pt idx="12">
                  <c:v>4.9172067785384606</c:v>
                </c:pt>
                <c:pt idx="13">
                  <c:v>4.5440448757894103</c:v>
                </c:pt>
                <c:pt idx="14">
                  <c:v>4.3484780078369649</c:v>
                </c:pt>
                <c:pt idx="15">
                  <c:v>4.5223496977422322</c:v>
                </c:pt>
                <c:pt idx="16">
                  <c:v>4.758556131554184</c:v>
                </c:pt>
                <c:pt idx="17">
                  <c:v>4.2949714426950436</c:v>
                </c:pt>
                <c:pt idx="18">
                  <c:v>4.3548160220139964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B94E-82D7-A1C2F58A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855184"/>
        <c:axId val="1894993680"/>
      </c:barChart>
      <c:lineChart>
        <c:grouping val="standard"/>
        <c:varyColors val="0"/>
        <c:ser>
          <c:idx val="1"/>
          <c:order val="1"/>
          <c:tx>
            <c:strRef>
              <c:f>'India Haryana'!$C$92</c:f>
              <c:strCache>
                <c:ptCount val="1"/>
                <c:pt idx="0">
                  <c:v>Real Expenditure as % of 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Haryana'!$A$93:$A$111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Haryana'!$C$93:$C$111</c:f>
              <c:numCache>
                <c:formatCode>0.00</c:formatCode>
                <c:ptCount val="19"/>
                <c:pt idx="0">
                  <c:v>15.088305423371748</c:v>
                </c:pt>
                <c:pt idx="1">
                  <c:v>15.123475542716736</c:v>
                </c:pt>
                <c:pt idx="2">
                  <c:v>15.155129638879455</c:v>
                </c:pt>
                <c:pt idx="3">
                  <c:v>15.101206542350331</c:v>
                </c:pt>
                <c:pt idx="4">
                  <c:v>17.438019597688339</c:v>
                </c:pt>
                <c:pt idx="5">
                  <c:v>17.417860870058625</c:v>
                </c:pt>
                <c:pt idx="6">
                  <c:v>16.695423716151687</c:v>
                </c:pt>
                <c:pt idx="7">
                  <c:v>14.653567380818949</c:v>
                </c:pt>
                <c:pt idx="8">
                  <c:v>13.998636513256397</c:v>
                </c:pt>
                <c:pt idx="9">
                  <c:v>13.666406742603543</c:v>
                </c:pt>
                <c:pt idx="10">
                  <c:v>13.185653212013875</c:v>
                </c:pt>
                <c:pt idx="11">
                  <c:v>12.488097715955245</c:v>
                </c:pt>
                <c:pt idx="12">
                  <c:v>12.368026979614511</c:v>
                </c:pt>
                <c:pt idx="13">
                  <c:v>11.326955993728205</c:v>
                </c:pt>
                <c:pt idx="14">
                  <c:v>11.867302049058555</c:v>
                </c:pt>
                <c:pt idx="15">
                  <c:v>13.102599545529086</c:v>
                </c:pt>
                <c:pt idx="16">
                  <c:v>17.606517346124072</c:v>
                </c:pt>
                <c:pt idx="17">
                  <c:v>15.293048286491617</c:v>
                </c:pt>
                <c:pt idx="18">
                  <c:v>17.611093573942902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7-B94E-82D7-A1C2F58A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55184"/>
        <c:axId val="1894993680"/>
      </c:lineChart>
      <c:catAx>
        <c:axId val="18978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93680"/>
        <c:crosses val="autoZero"/>
        <c:auto val="1"/>
        <c:lblAlgn val="ctr"/>
        <c:lblOffset val="100"/>
        <c:noMultiLvlLbl val="0"/>
      </c:catAx>
      <c:valAx>
        <c:axId val="1894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Real Revenue Receipts Per Capita of Haryana with India</a:t>
            </a:r>
          </a:p>
          <a:p>
            <a:pPr>
              <a:defRPr/>
            </a:pPr>
            <a:r>
              <a:rPr lang="en-GB" baseline="0"/>
              <a:t>(Base Price- 2011-12)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Haryana'!$B$115</c:f>
              <c:strCache>
                <c:ptCount val="1"/>
                <c:pt idx="0">
                  <c:v>Haryana Revenue Receipts Per Capita (Constant Prices, INR Crores, Receipts) (Base Price- 2011-12)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Haryana'!$A$116:$A$134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Haryana'!$B$116:$B$134</c:f>
              <c:numCache>
                <c:formatCode>0.00</c:formatCode>
                <c:ptCount val="19"/>
                <c:pt idx="0">
                  <c:v>8396.0420116518962</c:v>
                </c:pt>
                <c:pt idx="1">
                  <c:v>10237.320702484696</c:v>
                </c:pt>
                <c:pt idx="2">
                  <c:v>13025.013683061374</c:v>
                </c:pt>
                <c:pt idx="3">
                  <c:v>14074.16152322157</c:v>
                </c:pt>
                <c:pt idx="4">
                  <c:v>12918.50567032543</c:v>
                </c:pt>
                <c:pt idx="5">
                  <c:v>14446.234697956274</c:v>
                </c:pt>
                <c:pt idx="6">
                  <c:v>17298.73082667746</c:v>
                </c:pt>
                <c:pt idx="7">
                  <c:v>11955.238654147104</c:v>
                </c:pt>
                <c:pt idx="8">
                  <c:v>11959.666660079702</c:v>
                </c:pt>
                <c:pt idx="9">
                  <c:v>12571.948552776519</c:v>
                </c:pt>
                <c:pt idx="10">
                  <c:v>12981.598782980165</c:v>
                </c:pt>
                <c:pt idx="11">
                  <c:v>14695.048101994138</c:v>
                </c:pt>
                <c:pt idx="12">
                  <c:v>15549.927799581719</c:v>
                </c:pt>
                <c:pt idx="13">
                  <c:v>16893.533919335434</c:v>
                </c:pt>
                <c:pt idx="14">
                  <c:v>17763.719791484724</c:v>
                </c:pt>
                <c:pt idx="15">
                  <c:v>17667.6461758082</c:v>
                </c:pt>
                <c:pt idx="16">
                  <c:v>16639.041084412394</c:v>
                </c:pt>
                <c:pt idx="17">
                  <c:v>17921.135712648142</c:v>
                </c:pt>
                <c:pt idx="18">
                  <c:v>19068.064864965458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5842-9C54-E84D8DD4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234736"/>
        <c:axId val="1887223952"/>
      </c:barChart>
      <c:lineChart>
        <c:grouping val="standard"/>
        <c:varyColors val="0"/>
        <c:ser>
          <c:idx val="1"/>
          <c:order val="1"/>
          <c:tx>
            <c:strRef>
              <c:f>'India Haryana'!$C$115</c:f>
              <c:strCache>
                <c:ptCount val="1"/>
                <c:pt idx="0">
                  <c:v>India Revenue Receipts Per Capita (INR Crore) (Base Price- 2011-12)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Haryana'!$A$116:$A$134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Haryana'!$C$116:$C$134</c:f>
              <c:numCache>
                <c:formatCode>0.00</c:formatCode>
                <c:ptCount val="19"/>
                <c:pt idx="0">
                  <c:v>48277.1329395801</c:v>
                </c:pt>
                <c:pt idx="1">
                  <c:v>51609.499994048674</c:v>
                </c:pt>
                <c:pt idx="2">
                  <c:v>59394.18469267364</c:v>
                </c:pt>
                <c:pt idx="3">
                  <c:v>69053.057465639635</c:v>
                </c:pt>
                <c:pt idx="4">
                  <c:v>60589.892876809739</c:v>
                </c:pt>
                <c:pt idx="5">
                  <c:v>59647.841475878275</c:v>
                </c:pt>
                <c:pt idx="6">
                  <c:v>74878.747798595126</c:v>
                </c:pt>
                <c:pt idx="7">
                  <c:v>59579.932208765291</c:v>
                </c:pt>
                <c:pt idx="8">
                  <c:v>63491.704205265421</c:v>
                </c:pt>
                <c:pt idx="9">
                  <c:v>67878.124612853964</c:v>
                </c:pt>
                <c:pt idx="10">
                  <c:v>70532.350238675339</c:v>
                </c:pt>
                <c:pt idx="11">
                  <c:v>73797.187824187553</c:v>
                </c:pt>
                <c:pt idx="12">
                  <c:v>81737.45228790096</c:v>
                </c:pt>
                <c:pt idx="13">
                  <c:v>74168.198070212806</c:v>
                </c:pt>
                <c:pt idx="14">
                  <c:v>82668.081726282398</c:v>
                </c:pt>
                <c:pt idx="15">
                  <c:v>86526.88932093374</c:v>
                </c:pt>
                <c:pt idx="16">
                  <c:v>78900.573140407563</c:v>
                </c:pt>
                <c:pt idx="17">
                  <c:v>95783.712647541572</c:v>
                </c:pt>
                <c:pt idx="18">
                  <c:v>98215.792511681429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7-5842-9C54-E84D8DD4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34736"/>
        <c:axId val="1887223952"/>
      </c:lineChart>
      <c:catAx>
        <c:axId val="13032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3952"/>
        <c:crosses val="autoZero"/>
        <c:auto val="1"/>
        <c:lblAlgn val="ctr"/>
        <c:lblOffset val="100"/>
        <c:noMultiLvlLbl val="0"/>
      </c:catAx>
      <c:valAx>
        <c:axId val="18872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Real Expenditure Per Capita of Haryana with India (Base Price- 2011-12)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Haryana'!$B$137</c:f>
              <c:strCache>
                <c:ptCount val="1"/>
                <c:pt idx="0">
                  <c:v>Haryana Revenue Expenditure Per Capita (Constant Prices, INR Crores, Receipts)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Haryana'!$A$138:$A$156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Haryana'!$B$138:$B$156</c:f>
              <c:numCache>
                <c:formatCode>0.00</c:formatCode>
                <c:ptCount val="19"/>
                <c:pt idx="0">
                  <c:v>8590.3646433972317</c:v>
                </c:pt>
                <c:pt idx="1">
                  <c:v>9340.6274438476648</c:v>
                </c:pt>
                <c:pt idx="2">
                  <c:v>11871.218973381467</c:v>
                </c:pt>
                <c:pt idx="3">
                  <c:v>12489.456059697328</c:v>
                </c:pt>
                <c:pt idx="4">
                  <c:v>14376.412814634139</c:v>
                </c:pt>
                <c:pt idx="5">
                  <c:v>17381.029337657397</c:v>
                </c:pt>
                <c:pt idx="6">
                  <c:v>19157.271428139295</c:v>
                </c:pt>
                <c:pt idx="7">
                  <c:v>12525.38732394366</c:v>
                </c:pt>
                <c:pt idx="8">
                  <c:v>13537.832049621004</c:v>
                </c:pt>
                <c:pt idx="9">
                  <c:v>13853.555665067666</c:v>
                </c:pt>
                <c:pt idx="10">
                  <c:v>15628.643257368034</c:v>
                </c:pt>
                <c:pt idx="11">
                  <c:v>18303.923662572117</c:v>
                </c:pt>
                <c:pt idx="12">
                  <c:v>20261.577705920896</c:v>
                </c:pt>
                <c:pt idx="13">
                  <c:v>19739.661746896156</c:v>
                </c:pt>
                <c:pt idx="14">
                  <c:v>20802.411726967963</c:v>
                </c:pt>
                <c:pt idx="15">
                  <c:v>22091.209305807148</c:v>
                </c:pt>
                <c:pt idx="16">
                  <c:v>20811.605199159483</c:v>
                </c:pt>
                <c:pt idx="17">
                  <c:v>20633.778968812268</c:v>
                </c:pt>
                <c:pt idx="18">
                  <c:v>22607.372849437554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B-C046-9265-00A2D333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9392"/>
        <c:axId val="1685402032"/>
      </c:barChart>
      <c:lineChart>
        <c:grouping val="standard"/>
        <c:varyColors val="0"/>
        <c:ser>
          <c:idx val="1"/>
          <c:order val="1"/>
          <c:tx>
            <c:strRef>
              <c:f>'India Haryana'!$C$137</c:f>
              <c:strCache>
                <c:ptCount val="1"/>
                <c:pt idx="0">
                  <c:v>India Revenue Expenditure Per Capita (INR Crore) (Base Price- 2011-12)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Haryana'!$A$138:$A$156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Haryana'!$C$138:$C$156</c:f>
              <c:numCache>
                <c:formatCode>0.00</c:formatCode>
                <c:ptCount val="19"/>
                <c:pt idx="0">
                  <c:v>60635.869464567033</c:v>
                </c:pt>
                <c:pt idx="1">
                  <c:v>65318.927902570176</c:v>
                </c:pt>
                <c:pt idx="2">
                  <c:v>70363.021891797151</c:v>
                </c:pt>
                <c:pt idx="3">
                  <c:v>75752.247996679187</c:v>
                </c:pt>
                <c:pt idx="4">
                  <c:v>89024.219468487921</c:v>
                </c:pt>
                <c:pt idx="5">
                  <c:v>94782.844330762382</c:v>
                </c:pt>
                <c:pt idx="6">
                  <c:v>98834.370630241727</c:v>
                </c:pt>
                <c:pt idx="7">
                  <c:v>90846.993993934477</c:v>
                </c:pt>
                <c:pt idx="8">
                  <c:v>89797.485832074366</c:v>
                </c:pt>
                <c:pt idx="9">
                  <c:v>91762.204063788682</c:v>
                </c:pt>
                <c:pt idx="10">
                  <c:v>93938.287619961993</c:v>
                </c:pt>
                <c:pt idx="11">
                  <c:v>94962.396055070392</c:v>
                </c:pt>
                <c:pt idx="12">
                  <c:v>100555.76144040492</c:v>
                </c:pt>
                <c:pt idx="13">
                  <c:v>97092.01090335309</c:v>
                </c:pt>
                <c:pt idx="14">
                  <c:v>106862.07405246487</c:v>
                </c:pt>
                <c:pt idx="15">
                  <c:v>120773.94684232806</c:v>
                </c:pt>
                <c:pt idx="16">
                  <c:v>148900.44579253354</c:v>
                </c:pt>
                <c:pt idx="17">
                  <c:v>141294.9305108033</c:v>
                </c:pt>
                <c:pt idx="18">
                  <c:v>172806.81480363198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B-C046-9265-00A2D333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189392"/>
        <c:axId val="1685402032"/>
      </c:lineChart>
      <c:catAx>
        <c:axId val="1589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02032"/>
        <c:crosses val="autoZero"/>
        <c:auto val="1"/>
        <c:lblAlgn val="ctr"/>
        <c:lblOffset val="100"/>
        <c:noMultiLvlLbl val="0"/>
      </c:catAx>
      <c:valAx>
        <c:axId val="16854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Comparing Logarithmic Real Expenditure Per Capita of Haryana with India (Base Price- 2011-12)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'India Haryana'!$B$158</c:f>
              <c:strCache>
                <c:ptCount val="1"/>
                <c:pt idx="0">
                  <c:v>LN Haryana Revenue Expenditure Per Capita (Constant Prices, INR Crores, Receipts)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'India Haryana'!$A$159:$A$177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Haryana'!$B$159:$B$177</c:f>
              <c:numCache>
                <c:formatCode>General</c:formatCode>
                <c:ptCount val="19"/>
                <c:pt idx="0">
                  <c:v>9.0583964638325423</c:v>
                </c:pt>
                <c:pt idx="1">
                  <c:v>9.1421287071086859</c:v>
                </c:pt>
                <c:pt idx="2">
                  <c:v>9.3818721759605257</c:v>
                </c:pt>
                <c:pt idx="3">
                  <c:v>9.4326400521070273</c:v>
                </c:pt>
                <c:pt idx="4">
                  <c:v>9.5733441435932747</c:v>
                </c:pt>
                <c:pt idx="5">
                  <c:v>9.7631346224774465</c:v>
                </c:pt>
                <c:pt idx="6">
                  <c:v>9.8604376315787743</c:v>
                </c:pt>
                <c:pt idx="7">
                  <c:v>9.4355128495422846</c:v>
                </c:pt>
                <c:pt idx="8">
                  <c:v>9.5132434191429525</c:v>
                </c:pt>
                <c:pt idx="9">
                  <c:v>9.5362972053865072</c:v>
                </c:pt>
                <c:pt idx="10">
                  <c:v>9.6568606158966137</c:v>
                </c:pt>
                <c:pt idx="11">
                  <c:v>9.8148707236382737</c:v>
                </c:pt>
                <c:pt idx="12">
                  <c:v>9.9164816477184576</c:v>
                </c:pt>
                <c:pt idx="13">
                  <c:v>9.8903851774250651</c:v>
                </c:pt>
                <c:pt idx="14">
                  <c:v>9.9428242073798323</c:v>
                </c:pt>
                <c:pt idx="15">
                  <c:v>10.002935039406781</c:v>
                </c:pt>
                <c:pt idx="16">
                  <c:v>9.9432660523647769</c:v>
                </c:pt>
                <c:pt idx="17">
                  <c:v>9.9346847676136232</c:v>
                </c:pt>
                <c:pt idx="18">
                  <c:v>10.026031364334196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2-3644-80E5-87B5C6E0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30256"/>
        <c:axId val="753617488"/>
      </c:barChart>
      <c:lineChart>
        <c:grouping val="standard"/>
        <c:varyColors val="0"/>
        <c:ser>
          <c:idx val="1"/>
          <c:order val="1"/>
          <c:tx>
            <c:strRef>
              <c:f>'India Haryana'!$C$158</c:f>
              <c:strCache>
                <c:ptCount val="1"/>
                <c:pt idx="0">
                  <c:v>LN India Revenue Expenditure Per Capita (INR Crore) (Base Price- 2011-12)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'India Haryana'!$A$159:$A$177</c:f>
              <c:strCache>
                <c:ptCount val="19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  <c:pt idx="17">
                  <c:v>2021-22</c:v>
                </c:pt>
                <c:pt idx="18">
                  <c:v>2022-23</c:v>
                </c:pt>
              </c:strCache>
            </c:strRef>
          </c:cat>
          <c:val>
            <c:numRef>
              <c:f>'India Haryana'!$C$159:$C$177</c:f>
              <c:numCache>
                <c:formatCode>General</c:formatCode>
                <c:ptCount val="19"/>
                <c:pt idx="0">
                  <c:v>11.012641902306417</c:v>
                </c:pt>
                <c:pt idx="1">
                  <c:v>11.087037133945575</c:v>
                </c:pt>
                <c:pt idx="2">
                  <c:v>11.161423146931446</c:v>
                </c:pt>
                <c:pt idx="3">
                  <c:v>11.235223399455094</c:v>
                </c:pt>
                <c:pt idx="4">
                  <c:v>11.39666374055335</c:v>
                </c:pt>
                <c:pt idx="5">
                  <c:v>11.459343704891534</c:v>
                </c:pt>
                <c:pt idx="6">
                  <c:v>11.50120070411233</c:v>
                </c:pt>
                <c:pt idx="7">
                  <c:v>11.416931985703268</c:v>
                </c:pt>
                <c:pt idx="8">
                  <c:v>11.405312256482704</c:v>
                </c:pt>
                <c:pt idx="9">
                  <c:v>11.42695577139042</c:v>
                </c:pt>
                <c:pt idx="10">
                  <c:v>11.450393330970753</c:v>
                </c:pt>
                <c:pt idx="11">
                  <c:v>11.46123626122165</c:v>
                </c:pt>
                <c:pt idx="12">
                  <c:v>11.518467692817389</c:v>
                </c:pt>
                <c:pt idx="13">
                  <c:v>11.483414373895025</c:v>
                </c:pt>
                <c:pt idx="14">
                  <c:v>11.57929425438634</c:v>
                </c:pt>
                <c:pt idx="15">
                  <c:v>11.701675869387305</c:v>
                </c:pt>
                <c:pt idx="16">
                  <c:v>11.91103321257315</c:v>
                </c:pt>
                <c:pt idx="17">
                  <c:v>11.85860469054</c:v>
                </c:pt>
                <c:pt idx="18">
                  <c:v>12.059929572095472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2-3644-80E5-87B5C6E0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30256"/>
        <c:axId val="753617488"/>
      </c:lineChart>
      <c:catAx>
        <c:axId val="21426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17488"/>
        <c:auto val="1"/>
        <c:lblAlgn val="ctr"/>
        <c:lblOffset val="100"/>
        <c:noMultiLvlLbl val="0"/>
      </c:catAx>
      <c:valAx>
        <c:axId val="753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3025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Haryana's Own Tax Revenue (Base Price- 2011-12)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Haryana's Own Tax Revenue (Base Price- 2011-12)</a:t>
          </a:r>
        </a:p>
      </cx:txPr>
    </cx:title>
    <cx:plotArea>
      <cx:plotAreaRegion>
        <cx:series layoutId="clusteredColumn" uniqueId="{9ED946AB-C1EB-C54D-8395-E9003323F7E2}">
          <cx:tx>
            <cx:txData>
              <cx:f>_xlchart.v1.1</cx:f>
              <cx:v>Adj. State's Own Tax Revenue (Base Price- 2011-12)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D0881F5-65A8-B249-8C03-0F417CCF0F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microsoft.com/office/2014/relationships/chartEx" Target="../charts/chartEx1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5137150</xdr:colOff>
      <xdr:row>29</xdr:row>
      <xdr:rowOff>44450</xdr:rowOff>
    </xdr:from>
    <xdr:to>
      <xdr:col>19</xdr:col>
      <xdr:colOff>1752600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389DD-D55D-DEE0-3B06-44E3BB58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5136149</xdr:colOff>
      <xdr:row>43</xdr:row>
      <xdr:rowOff>99372</xdr:rowOff>
    </xdr:from>
    <xdr:to>
      <xdr:col>19</xdr:col>
      <xdr:colOff>1778001</xdr:colOff>
      <xdr:row>57</xdr:row>
      <xdr:rowOff>35204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AB1E9-9CBD-3B83-AECB-A5F30B9C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253999</xdr:colOff>
      <xdr:row>24</xdr:row>
      <xdr:rowOff>67733</xdr:rowOff>
    </xdr:from>
    <xdr:to>
      <xdr:col>4</xdr:col>
      <xdr:colOff>2810934</xdr:colOff>
      <xdr:row>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5BD127-A7C4-1E17-09A7-796D8A8A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302845</xdr:colOff>
      <xdr:row>47</xdr:row>
      <xdr:rowOff>27911</xdr:rowOff>
    </xdr:from>
    <xdr:to>
      <xdr:col>4</xdr:col>
      <xdr:colOff>2791208</xdr:colOff>
      <xdr:row>67</xdr:row>
      <xdr:rowOff>55824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226C0-43D5-F86E-90D7-5D97F1D51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302845</xdr:colOff>
      <xdr:row>68</xdr:row>
      <xdr:rowOff>17027</xdr:rowOff>
    </xdr:from>
    <xdr:to>
      <xdr:col>4</xdr:col>
      <xdr:colOff>3544835</xdr:colOff>
      <xdr:row>88</xdr:row>
      <xdr:rowOff>27912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4D9EC4-BC47-7E74-5F9E-DEF3F00AA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260977</xdr:colOff>
      <xdr:row>90</xdr:row>
      <xdr:rowOff>139561</xdr:rowOff>
    </xdr:from>
    <xdr:to>
      <xdr:col>4</xdr:col>
      <xdr:colOff>3405274</xdr:colOff>
      <xdr:row>110</xdr:row>
      <xdr:rowOff>209339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3EC6774-1B25-28FD-9221-BA1EEB514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320990</xdr:colOff>
      <xdr:row>114</xdr:row>
      <xdr:rowOff>69780</xdr:rowOff>
    </xdr:from>
    <xdr:to>
      <xdr:col>4</xdr:col>
      <xdr:colOff>4061210</xdr:colOff>
      <xdr:row>133</xdr:row>
      <xdr:rowOff>195384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F9E8FB-7C1F-8198-080A-55CAB89A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302846</xdr:colOff>
      <xdr:row>136</xdr:row>
      <xdr:rowOff>0</xdr:rowOff>
    </xdr:from>
    <xdr:to>
      <xdr:col>4</xdr:col>
      <xdr:colOff>4270550</xdr:colOff>
      <xdr:row>155</xdr:row>
      <xdr:rowOff>192314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8ABA45-7187-B8FD-D581-2559F7A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343647</xdr:colOff>
      <xdr:row>157</xdr:row>
      <xdr:rowOff>2988</xdr:rowOff>
    </xdr:from>
    <xdr:to>
      <xdr:col>4</xdr:col>
      <xdr:colOff>4303059</xdr:colOff>
      <xdr:row>177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572B7-ED54-E5FE-6435-1106F78D2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59764</xdr:colOff>
      <xdr:row>178</xdr:row>
      <xdr:rowOff>104588</xdr:rowOff>
    </xdr:from>
    <xdr:to>
      <xdr:col>5</xdr:col>
      <xdr:colOff>0</xdr:colOff>
      <xdr:row>197</xdr:row>
      <xdr:rowOff>206188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D2F5F-855E-F105-CD9F-B0FF00DE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703147</xdr:colOff>
      <xdr:row>48</xdr:row>
      <xdr:rowOff>138461</xdr:rowOff>
    </xdr:from>
    <xdr:to>
      <xdr:col>7</xdr:col>
      <xdr:colOff>1558074</xdr:colOff>
      <xdr:row>62</xdr:row>
      <xdr:rowOff>62880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12971-EDE7-4353-965A-645057A0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482599</xdr:colOff>
      <xdr:row>68</xdr:row>
      <xdr:rowOff>50800</xdr:rowOff>
    </xdr:from>
    <xdr:to>
      <xdr:col>4</xdr:col>
      <xdr:colOff>1554655</xdr:colOff>
      <xdr:row>87</xdr:row>
      <xdr:rowOff>186267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B1B0C54-D59F-86DD-B88E-7302DADEA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0599" y="14033500"/>
              <a:ext cx="7968156" cy="3996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292100</xdr:colOff>
      <xdr:row>117</xdr:row>
      <xdr:rowOff>12700</xdr:rowOff>
    </xdr:from>
    <xdr:to>
      <xdr:col>6</xdr:col>
      <xdr:colOff>2667000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B7DC1-D5AB-0960-C765-2060FE9A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1847850</xdr:colOff>
      <xdr:row>68</xdr:row>
      <xdr:rowOff>152400</xdr:rowOff>
    </xdr:from>
    <xdr:to>
      <xdr:col>6</xdr:col>
      <xdr:colOff>419100</xdr:colOff>
      <xdr:row>87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518BF-FD09-0205-39EC-33400CD1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558320</xdr:colOff>
      <xdr:row>163</xdr:row>
      <xdr:rowOff>191699</xdr:rowOff>
    </xdr:from>
    <xdr:to>
      <xdr:col>9</xdr:col>
      <xdr:colOff>2899434</xdr:colOff>
      <xdr:row>183</xdr:row>
      <xdr:rowOff>119812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F90771-26B6-6625-8D24-92A800278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608417</xdr:colOff>
      <xdr:row>187</xdr:row>
      <xdr:rowOff>44303</xdr:rowOff>
    </xdr:from>
    <xdr:to>
      <xdr:col>6</xdr:col>
      <xdr:colOff>2318489</xdr:colOff>
      <xdr:row>206</xdr:row>
      <xdr:rowOff>191977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69F55E-9BD8-51FA-4088-BFCB07499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652720</xdr:colOff>
      <xdr:row>208</xdr:row>
      <xdr:rowOff>44302</xdr:rowOff>
    </xdr:from>
    <xdr:to>
      <xdr:col>6</xdr:col>
      <xdr:colOff>1934534</xdr:colOff>
      <xdr:row>227</xdr:row>
      <xdr:rowOff>160669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7AF071-5C84-5CAE-4A41-ABD29F140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519813</xdr:colOff>
      <xdr:row>229</xdr:row>
      <xdr:rowOff>0</xdr:rowOff>
    </xdr:from>
    <xdr:to>
      <xdr:col>6</xdr:col>
      <xdr:colOff>1801628</xdr:colOff>
      <xdr:row>248</xdr:row>
      <xdr:rowOff>160670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5395FA-02AF-381A-838F-6EA7B5785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239232</xdr:colOff>
      <xdr:row>250</xdr:row>
      <xdr:rowOff>14767</xdr:rowOff>
    </xdr:from>
    <xdr:to>
      <xdr:col>6</xdr:col>
      <xdr:colOff>1624418</xdr:colOff>
      <xdr:row>270</xdr:row>
      <xdr:rowOff>27763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89571D-2AAF-E8BD-3713-00FE8009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6350</xdr:colOff>
      <xdr:row>298</xdr:row>
      <xdr:rowOff>139700</xdr:rowOff>
    </xdr:from>
    <xdr:to>
      <xdr:col>4</xdr:col>
      <xdr:colOff>6870700</xdr:colOff>
      <xdr:row>317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B22FE9-CAED-94B6-561B-3484E01C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61383</xdr:colOff>
      <xdr:row>142</xdr:row>
      <xdr:rowOff>30703</xdr:rowOff>
    </xdr:from>
    <xdr:to>
      <xdr:col>1</xdr:col>
      <xdr:colOff>2489675</xdr:colOff>
      <xdr:row>160</xdr:row>
      <xdr:rowOff>91472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7A12A-A2C6-7591-A04B-70CAC4E0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91557</xdr:colOff>
      <xdr:row>207</xdr:row>
      <xdr:rowOff>29533</xdr:rowOff>
    </xdr:from>
    <xdr:to>
      <xdr:col>3</xdr:col>
      <xdr:colOff>1719146</xdr:colOff>
      <xdr:row>237</xdr:row>
      <xdr:rowOff>139390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E2D0BC-00C3-F0CE-70BA-6D8A3FB8A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25</xdr:row>
      <xdr:rowOff>82550</xdr:rowOff>
    </xdr:from>
    <xdr:to>
      <xdr:col>6</xdr:col>
      <xdr:colOff>336550</xdr:colOff>
      <xdr:row>38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87588-6E4A-4B4F-8E1D-9DBDC432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702C0-29D3-2B46-1B11-DEB75F2A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DED3E-EC44-AB61-D7AD-141BF0C92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9F41B-5DC2-D841-A6DB-B01EA81E566B}" name="Table2" displayName="Table2" ref="A1:F20" totalsRowShown="0" headerRowDxfId="335" dataDxfId="334">
  <autoFilter ref="A1:F20" xr:uid="{B1B9F41B-5DC2-D841-A6DB-B01EA81E566B}"/>
  <tableColumns count="6">
    <tableColumn id="1" xr3:uid="{1E66906D-B4D0-3A45-AD03-82757984058D}" name="Year" dataDxfId="333"/>
    <tableColumn id="2" xr3:uid="{4AB4EF56-5C9F-8243-A3AF-691CA084678A}" name="NSDP Haryana INR Crore(Constant, Base Price = 2011-12)" dataDxfId="332"/>
    <tableColumn id="3" xr3:uid="{9B6ECBBB-5FCE-D44D-AF0D-63DC8428224F}" name="Population (000)" dataDxfId="331"/>
    <tableColumn id="4" xr3:uid="{3B39DAE7-9E6C-DF43-8D3A-A8204341061D}" name="Adjusted Population" dataDxfId="330"/>
    <tableColumn id="5" xr3:uid="{BB512E90-3825-9144-8F0C-C3016AB58DE5}" name="NSDP Constant Per Capita" dataDxfId="329">
      <calculatedColumnFormula>Table2[[#This Row],[NSDP Haryana INR Crore(Constant, Base Price = 2011-12)]]/Table2[[#This Row],[Adjusted Population]]</calculatedColumnFormula>
    </tableColumn>
    <tableColumn id="6" xr3:uid="{8A4121E5-879C-9E42-B057-872D2E210932}" name="Log NSDP Per Capita (Constant" dataDxfId="328">
      <calculatedColumnFormula>LN(Table2[[#This Row],[NSDP Constant Per Capita]])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23A2DB-398B-4F4B-88EC-F599112A61DB}" name="Table7" displayName="Table7" ref="A47:F66" totalsRowShown="0" dataDxfId="253" tableBorderDxfId="252">
  <autoFilter ref="A47:F66" xr:uid="{EF23A2DB-398B-4F4B-88EC-F599112A61DB}"/>
  <tableColumns count="6">
    <tableColumn id="1" xr3:uid="{BAA73869-FC86-2C4B-8E6E-156D9C746956}" name="Year" dataDxfId="251"/>
    <tableColumn id="2" xr3:uid="{103AB1A2-0AEE-B345-B151-0420BE17BB7E}" name="State's own Tax Revenue as %" dataDxfId="250">
      <calculatedColumnFormula>G26/K26*100</calculatedColumnFormula>
    </tableColumn>
    <tableColumn id="3" xr3:uid="{F324AFF8-2480-F14E-BDF2-9EE137E42C1A}" name="Share in Central Taxes as %" dataDxfId="249">
      <calculatedColumnFormula>H26/K26*100</calculatedColumnFormula>
    </tableColumn>
    <tableColumn id="4" xr3:uid="{27CF3B5F-C3EE-CF44-8180-E4E2B9670A84}" name="State's Own Non-Tax Revenue as %" dataDxfId="248">
      <calculatedColumnFormula>I26/K26*100</calculatedColumnFormula>
    </tableColumn>
    <tableColumn id="5" xr3:uid="{B103C15F-C714-E649-9912-92E7ACB6B99B}" name="Grants from the Centre as %" dataDxfId="247">
      <calculatedColumnFormula>J26/K26*100</calculatedColumnFormula>
    </tableColumn>
    <tableColumn id="6" xr3:uid="{B6D30C05-1DC8-8D4E-B44D-91D16BF55B2C}" name="Summation" dataDxfId="246">
      <calculatedColumnFormula>SUM(Table7[[#This Row],[State''s own Tax Revenue as %]:[Grants from the Centre as %]])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B8AB72-6A48-4346-8704-9EB263FD84CC}" name="Table8" displayName="Table8" ref="A96:I115" totalsRowShown="0" headerRowDxfId="245" dataDxfId="244" tableBorderDxfId="243">
  <autoFilter ref="A96:I115" xr:uid="{AEB8AB72-6A48-4346-8704-9EB263FD84CC}"/>
  <tableColumns count="9">
    <tableColumn id="1" xr3:uid="{73AE4B07-A5D0-244F-A70B-1C106CFD1470}" name="Year" dataDxfId="242"/>
    <tableColumn id="2" xr3:uid="{9480CB2F-7FD2-284F-93BA-87ED9C6E7ACD}" name="Developmental Expenditure (INR Crore)" dataDxfId="241"/>
    <tableColumn id="3" xr3:uid="{F93C8159-2794-8541-A468-2628D4A683C8}" name="Non-Developmental Expenditure (INR Crore)" dataDxfId="240"/>
    <tableColumn id="4" xr3:uid="{317F604A-B977-B04C-9E9E-FE863D0ECD02}" name="Others (INR Crore)" dataDxfId="239"/>
    <tableColumn id="5" xr3:uid="{F9D2DEB1-5694-704F-A6A9-6F84823C9B00}" name="NSDP Deflator (Base 2011-12)" dataDxfId="238"/>
    <tableColumn id="6" xr3:uid="{ADF735E5-225B-234E-AABE-72C95E09ED56}" name="Adj. Developmental Expenditure (INR Crore) (Base Price- 2011-12)" dataDxfId="237">
      <calculatedColumnFormula>Table8[[#This Row],[Developmental Expenditure (INR Crore)]]/Table8[[#This Row],[NSDP Deflator (Base 2011-12)]]*100</calculatedColumnFormula>
    </tableColumn>
    <tableColumn id="7" xr3:uid="{164A6C85-9A1E-6B4C-B56A-5A40C794409A}" name="Adj. Non-Developmental Expenditure (INR Crore) (Base Price- 2011-12)" dataDxfId="236">
      <calculatedColumnFormula>Table8[[#This Row],[Non-Developmental Expenditure (INR Crore)]]/Table8[[#This Row],[NSDP Deflator (Base 2011-12)]]*100</calculatedColumnFormula>
    </tableColumn>
    <tableColumn id="8" xr3:uid="{D6FDCE35-7E4C-5D47-B25A-B7A8D0521B8A}" name="Adj. Other Expenses (INR Crores) (Base Price- 2011-12)" dataDxfId="235">
      <calculatedColumnFormula>Table8[[#This Row],[Others (INR Crore)]]/Table8[[#This Row],[NSDP Deflator (Base 2011-12)]]*100</calculatedColumnFormula>
    </tableColumn>
    <tableColumn id="9" xr3:uid="{1CE1BA43-33EB-D347-B671-9895D99CB640}" name="Summation" dataDxfId="234">
      <calculatedColumnFormula>SUM(Table8[[#This Row],[Adj. Developmental Expenditure (INR Crore) (Base Price- 2011-12)]:[Adj. Other Expenses (INR Crores) (Base Price- 2011-12)]])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E1C84F-C9AA-5543-B626-57889BE8CF6E}" name="Table9" displayName="Table9" ref="A118:E137" totalsRowShown="0" headerRowDxfId="233" dataDxfId="232" tableBorderDxfId="231">
  <autoFilter ref="A118:E137" xr:uid="{43E1C84F-C9AA-5543-B626-57889BE8CF6E}"/>
  <tableColumns count="5">
    <tableColumn id="1" xr3:uid="{3EBE8D9C-827D-A240-B5CC-2513B30CE926}" name="Year" dataDxfId="230"/>
    <tableColumn id="2" xr3:uid="{27CFFB07-75E6-1E40-A70E-C5254B50A805}" name="Developmental Expenditure as %" dataDxfId="229">
      <calculatedColumnFormula>F97/I97*100</calculatedColumnFormula>
    </tableColumn>
    <tableColumn id="3" xr3:uid="{CE62CBF3-0CCC-564B-9B84-7B2801EC5FF4}" name="Non-Developmental Expenditure as %" dataDxfId="228">
      <calculatedColumnFormula>G97/I97*100</calculatedColumnFormula>
    </tableColumn>
    <tableColumn id="4" xr3:uid="{3045C878-9D14-594B-84B3-9543D8EC54A1}" name="Other Expenses as %" dataDxfId="227">
      <calculatedColumnFormula>H97/I97*100</calculatedColumnFormula>
    </tableColumn>
    <tableColumn id="5" xr3:uid="{D8B0A5F5-4623-E44E-92E8-38B589B475A0}" name="Summation" dataDxfId="226">
      <calculatedColumnFormula>SUM(Table9[[#This Row],[Developmental Expenditure as %]:[Other Expenses as %]])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DE217E-9DAF-8545-B3AE-84A228735F70}" name="Table13" displayName="Table13" ref="A143:O162" totalsRowShown="0" headerRowDxfId="225" dataDxfId="224" tableBorderDxfId="223">
  <autoFilter ref="A143:O162" xr:uid="{4EDE217E-9DAF-8545-B3AE-84A228735F70}"/>
  <tableColumns count="15">
    <tableColumn id="1" xr3:uid="{0B6FF8EF-9F99-F741-A659-49E522AFDC35}" name="Year" dataDxfId="222"/>
    <tableColumn id="2" xr3:uid="{11CB9975-212C-7B4B-AD5B-DC858671024D}" name="Organs of State" dataDxfId="221"/>
    <tableColumn id="3" xr3:uid="{DBCDB193-C8C9-1C43-89AE-86EDA5A3B2B0}" name="Fiscal Services" dataDxfId="220"/>
    <tableColumn id="4" xr3:uid="{1A5C2666-51C8-8544-8213-304DF7A56050}" name="Interest Payment &amp; Servicing of Debt" dataDxfId="219"/>
    <tableColumn id="5" xr3:uid="{B9A37890-FF82-A541-81C1-D06ECC90F955}" name="Administrative Services" dataDxfId="218"/>
    <tableColumn id="6" xr3:uid="{6A3E8E53-46C0-B14E-872B-A46D5A162A8E}" name="Pensions &amp; Miscsellaneous General Services " dataDxfId="217"/>
    <tableColumn id="7" xr3:uid="{B12DEE2C-CEC0-714C-83E6-AD7180406DE1}" name="Others" dataDxfId="216"/>
    <tableColumn id="8" xr3:uid="{35F239E3-E309-DA49-8D09-ED6518167D89}" name="NSDP Deflator (Base 2011-12)" dataDxfId="215"/>
    <tableColumn id="9" xr3:uid="{54BC2069-2469-7E44-BBB6-0171A57F55FD}" name="Adj. Organs of State (Base Price- 2011,12)" dataDxfId="214">
      <calculatedColumnFormula>Table13[[#This Row],[Organs of State]]/Table13[[#This Row],[NSDP Deflator (Base 2011-12)]]*100</calculatedColumnFormula>
    </tableColumn>
    <tableColumn id="10" xr3:uid="{4AEB8973-2B03-D748-9E21-4EAB15A14CD6}" name="Adj. Fiscal Services (Base Price- 2011,12)" dataDxfId="213">
      <calculatedColumnFormula>Table13[[#This Row],[Fiscal Services]]/Table13[[#This Row],[NSDP Deflator (Base 2011-12)]]*100</calculatedColumnFormula>
    </tableColumn>
    <tableColumn id="11" xr3:uid="{74F75E48-4563-1A4A-A236-CC7CE0700BC1}" name="Adj. Interest Payment &amp; Servicing of Debt (Base Price- 2011-12)" dataDxfId="212">
      <calculatedColumnFormula>Table13[[#This Row],[Interest Payment &amp; Servicing of Debt]]/Table13[[#This Row],[NSDP Deflator (Base 2011-12)]]*100</calculatedColumnFormula>
    </tableColumn>
    <tableColumn id="12" xr3:uid="{8DD936B3-8132-1148-BAB1-74716DCCDD21}" name="Adj. Administrative Services (Base Price- 2011-12)" dataDxfId="211">
      <calculatedColumnFormula>Table13[[#This Row],[Administrative Services]]/Table13[[#This Row],[NSDP Deflator (Base 2011-12)]]*100</calculatedColumnFormula>
    </tableColumn>
    <tableColumn id="13" xr3:uid="{053D1D2F-5B23-954B-A11F-FC6E70A6F323}" name="Adj.Pensions &amp; Miscellaneous General Services (Base Price- 2011,12)" dataDxfId="210">
      <calculatedColumnFormula>Table13[[#This Row],[Pensions &amp; Miscsellaneous General Services ]]/Table13[[#This Row],[NSDP Deflator (Base 2011-12)]]*100</calculatedColumnFormula>
    </tableColumn>
    <tableColumn id="14" xr3:uid="{3F312346-09AB-2649-B9D2-5A5FF44CE159}" name="Adj. Others (Base Price- 2011-12)" dataDxfId="209">
      <calculatedColumnFormula>Table13[[#This Row],[Others]]/Table13[[#This Row],[NSDP Deflator (Base 2011-12)]]*100</calculatedColumnFormula>
    </tableColumn>
    <tableColumn id="15" xr3:uid="{BB352606-CBF5-CA44-A2F2-78732AA80AE2}" name="Summation" dataDxfId="208">
      <calculatedColumnFormula>SUM(Table13[[#This Row],[Adj. Organs of State (Base Price- 2011,12)]:[Adj. Others (Base Price- 2011-12)]])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12A320-1726-784D-ADBF-7E507871E5A4}" name="Table14" displayName="Table14" ref="A165:H184" totalsRowShown="0" headerRowDxfId="207" dataDxfId="206" tableBorderDxfId="205">
  <autoFilter ref="A165:H184" xr:uid="{8F12A320-1726-784D-ADBF-7E507871E5A4}"/>
  <tableColumns count="8">
    <tableColumn id="1" xr3:uid="{9089B221-BE56-4843-9CF4-E643AEDB0CD4}" name="Year" dataDxfId="204"/>
    <tableColumn id="2" xr3:uid="{A43875C2-C47B-FA44-8853-E9D30C742C44}" name="Organs of State as %" dataDxfId="203">
      <calculatedColumnFormula>I144/O144*100</calculatedColumnFormula>
    </tableColumn>
    <tableColumn id="3" xr3:uid="{82E32CE3-8878-5746-94BC-F2F71F280F54}" name="Fiscal Services as %" dataDxfId="202">
      <calculatedColumnFormula>J144/O144*100</calculatedColumnFormula>
    </tableColumn>
    <tableColumn id="4" xr3:uid="{56F703BF-5D9D-D244-A992-6EFC12A64303}" name="Interest Payment &amp; Servicing of Debt as %" dataDxfId="201">
      <calculatedColumnFormula>K144/O144*100</calculatedColumnFormula>
    </tableColumn>
    <tableColumn id="5" xr3:uid="{4D7F4A72-844D-084F-B471-2768F3240968}" name="Administrative Services as %" dataDxfId="200">
      <calculatedColumnFormula>L144/O144*100</calculatedColumnFormula>
    </tableColumn>
    <tableColumn id="6" xr3:uid="{46321E68-6EB1-EB4C-AF35-19DF2F6B4C5B}" name="Pensions &amp; Miscellaneous General Services as %" dataDxfId="199">
      <calculatedColumnFormula>M144/O144*100</calculatedColumnFormula>
    </tableColumn>
    <tableColumn id="7" xr3:uid="{FF60BBBC-C718-2146-8C4A-0159D886B129}" name="Others as %" dataDxfId="198">
      <calculatedColumnFormula>N144/O144*100</calculatedColumnFormula>
    </tableColumn>
    <tableColumn id="8" xr3:uid="{BEFC7381-84E6-CD43-9757-8EFF82FB72E1}" name="Summation" dataDxfId="197">
      <calculatedColumnFormula>SUM(Table14[[#This Row],[Organs of State as %]:[Others as %]])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E6DC12-1341-8646-863C-33EAAB42EB35}" name="Table15" displayName="Table15" ref="A188:E207" totalsRowShown="0" headerRowDxfId="196" dataDxfId="195" tableBorderDxfId="194">
  <autoFilter ref="A188:E207" xr:uid="{99E6DC12-1341-8646-863C-33EAAB42EB35}"/>
  <tableColumns count="5">
    <tableColumn id="1" xr3:uid="{E8D19159-CEDB-9D4A-895E-1E5D9C4080A0}" name="Year" dataDxfId="193"/>
    <tableColumn id="2" xr3:uid="{04BFC50F-039E-E34B-9A62-389C66776502}" name="Adj. Developmental Expenditure (INR Crore) (Base Price- 2011-12)" dataDxfId="192"/>
    <tableColumn id="3" xr3:uid="{03CCED80-63D1-8A44-91AE-6E4940ECB2D9}" name="Adj. Interest Payment &amp; Servicing of Debt (Base Price- 2011-12)" dataDxfId="191"/>
    <tableColumn id="4" xr3:uid="{8645E0BE-C7DA-084A-8D74-952E00220B08}" name="Year2" dataDxfId="190"/>
    <tableColumn id="5" xr3:uid="{579B51DE-FAA7-5D48-BA4C-3079ED2E2EDB}" name="Expenditure on Interest Payments and Servicing Debt As % of Development Expenditure (Base Price- 2011-12)" dataDxfId="189">
      <calculatedColumnFormula>C189/B189*100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D204F3-CE61-0F4E-87DD-167E8800AA41}" name="Table16" displayName="Table16" ref="A209:E228" totalsRowShown="0" headerRowDxfId="188" dataDxfId="186" headerRowBorderDxfId="187" tableBorderDxfId="185" totalsRowBorderDxfId="184">
  <autoFilter ref="A209:E228" xr:uid="{A2D204F3-CE61-0F4E-87DD-167E8800AA41}"/>
  <tableColumns count="5">
    <tableColumn id="1" xr3:uid="{D692BC52-C103-B942-A702-643D830D9DB2}" name="Year" dataDxfId="183"/>
    <tableColumn id="2" xr3:uid="{49F5478E-C7A0-284F-8323-5A5D289E77A4}" name="NSDP Haryana INR Crore(Constant, Base Price = 2011-12)" dataDxfId="182"/>
    <tableColumn id="3" xr3:uid="{AC7BB96B-E009-904C-A492-213F2D147B97}" name="Adj. Administrative Services (Base Price- 2011-12)" dataDxfId="181"/>
    <tableColumn id="4" xr3:uid="{5F03523B-7D6C-D247-AB49-8CDD07541F42}" name="Year2" dataDxfId="180"/>
    <tableColumn id="5" xr3:uid="{8A44E545-32D5-784A-A8A3-906707F2BAB3}" name="Expenditure on Administrative Services as % of NSDP (Base Price- 2011-12)" dataDxfId="179">
      <calculatedColumnFormula>Table16[[#This Row],[Adj. Administrative Services (Base Price- 2011-12)]]/Table16[[#This Row],[NSDP Haryana INR Crore(Constant, Base Price = 2011-12)]]*100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C04185F-00BD-434D-8773-7A36AD17E6DE}" name="Table17" displayName="Table17" ref="A230:E249" totalsRowShown="0" headerRowDxfId="178" dataDxfId="177" tableBorderDxfId="176">
  <autoFilter ref="A230:E249" xr:uid="{FC04185F-00BD-434D-8773-7A36AD17E6DE}"/>
  <tableColumns count="5">
    <tableColumn id="1" xr3:uid="{FA9EE3BE-8E37-B549-BD1B-D24EEE71A3B4}" name="Year" dataDxfId="175"/>
    <tableColumn id="2" xr3:uid="{AA0CD3B9-242D-0147-9019-9DDD7C7E9BC2}" name="Adj. Developmental Expenditure (INR Crore) (Base Price- 2011-12)" dataDxfId="174"/>
    <tableColumn id="3" xr3:uid="{81FF818D-6A89-0345-86CA-8DB90AA75544}" name="Adj. Administrative Services (Base Price- 2011-12)" dataDxfId="173"/>
    <tableColumn id="4" xr3:uid="{934A1C51-2849-D341-A198-4E06EF308153}" name="Year2" dataDxfId="172"/>
    <tableColumn id="5" xr3:uid="{4D635686-8E2F-1D4B-AFF8-56DC2601CD06}" name="Expenditure on Administrative Services Expenditure as % of Development Expenditure (Base Price- 2011-12)" dataDxfId="171">
      <calculatedColumnFormula>Table17[[#This Row],[Adj. Administrative Services (Base Price- 2011-12)]]/Table17[[#This Row],[Adj. Developmental Expenditure (INR Crore) (Base Price- 2011-12)]]*100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376C3E-BB7D-5749-9AAC-8694A3D07FE2}" name="Table18" displayName="Table18" ref="A251:E270" totalsRowShown="0" headerRowDxfId="170" dataDxfId="169" tableBorderDxfId="168">
  <autoFilter ref="A251:E270" xr:uid="{C5376C3E-BB7D-5749-9AAC-8694A3D07FE2}"/>
  <tableColumns count="5">
    <tableColumn id="1" xr3:uid="{8CBAA8BA-1A06-D04A-A432-4966CF4103B9}" name="Year" dataDxfId="167"/>
    <tableColumn id="2" xr3:uid="{DC166A05-60E2-2A4E-AE3C-873A5C62A55A}" name="Adj. Developmental Expenditure (INR Crore) (Base Price- 2011-12)" dataDxfId="166"/>
    <tableColumn id="3" xr3:uid="{B710D305-EA81-9C4A-BC30-D84C39EFBD3A}" name="Adj.Pensions &amp; Miscellaneous General Services (Base Price- 2011,12)" dataDxfId="165"/>
    <tableColumn id="4" xr3:uid="{C98BD1F5-D570-DC4E-A665-22760FC9817F}" name="Year2" dataDxfId="164"/>
    <tableColumn id="5" xr3:uid="{1EDF3524-8DEA-0949-8DD4-5D72014FE660}" name="Expenditure on Pensions as % of Developmental Expenditure (Base Price- 2011-12)" dataDxfId="163">
      <calculatedColumnFormula>Table18[[#This Row],[Adj.Pensions &amp; Miscellaneous General Services (Base Price- 2011,12)]]/Table18[[#This Row],[Adj. Developmental Expenditure (INR Crore) (Base Price- 2011-12)]]*100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EE4199-3C85-0A49-A23D-EE087AF989EE}" name="Table12" displayName="Table12" ref="A277:G296" totalsRowShown="0" headerRowDxfId="162" dataDxfId="161" tableBorderDxfId="160">
  <autoFilter ref="A277:G296" xr:uid="{93EE4199-3C85-0A49-A23D-EE087AF989EE}"/>
  <tableColumns count="7">
    <tableColumn id="1" xr3:uid="{E627063B-5821-5048-9CA2-B1200E1D40BD}" name="Year" dataDxfId="159"/>
    <tableColumn id="2" xr3:uid="{5FE68132-C651-F249-93A9-8C9627ABC6CD}" name="Social Services " dataDxfId="158"/>
    <tableColumn id="3" xr3:uid="{DDE61825-C043-4948-AD23-2E4CA2767309}" name="Economic Services" dataDxfId="157"/>
    <tableColumn id="4" xr3:uid="{8819B908-9C25-1448-9133-2344D196EC2C}" name="NSDP Deflator (Base 2011-12)" dataDxfId="156"/>
    <tableColumn id="5" xr3:uid="{D7587FAD-3592-7E48-808F-0F3631A5FC45}" name="Adj Expenditure on Social Service (INR Crore) (Base Price- 2011-12)" dataDxfId="155">
      <calculatedColumnFormula>Table12[[#This Row],[Social Services ]]/Table12[[#This Row],[NSDP Deflator (Base 2011-12)]]*100</calculatedColumnFormula>
    </tableColumn>
    <tableColumn id="6" xr3:uid="{8AE49DB1-A9CA-8543-A08F-C177742ED703}" name="Adj. Expenditure on Economic Service (INR Crore) (Base Price- 2011-12)" dataDxfId="154">
      <calculatedColumnFormula>Table12[[#This Row],[Economic Services]]/Table12[[#This Row],[NSDP Deflator (Base 2011-12)]]*100</calculatedColumnFormula>
    </tableColumn>
    <tableColumn id="7" xr3:uid="{B8681C05-C078-4646-8497-628A265E49DF}" name="Summation" dataDxfId="153">
      <calculatedColumnFormula>SUM(Table12[[#This Row],[Adj Expenditure on Social Service (INR Crore) (Base Price- 2011-12)]:[Adj. Expenditure on Economic Service (INR Crore) (Base Price- 2011-12)]])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3E930-3D01-5646-BB48-4E4883E93724}" name="Table3" displayName="Table3" ref="K1:P20" totalsRowShown="0" headerRowDxfId="327" dataDxfId="326">
  <autoFilter ref="K1:P20" xr:uid="{2223E930-3D01-5646-BB48-4E4883E93724}"/>
  <tableColumns count="6">
    <tableColumn id="1" xr3:uid="{8B77DBB6-A1C9-C148-B9E8-FB00D13C1BC8}" name="NSDP Current Prices (INR Crore) (Base Price- 20-11-12)" dataDxfId="325"/>
    <tableColumn id="2" xr3:uid="{858D4495-5E43-8B44-9866-C4EACB21E144}" name="Population (000)" dataDxfId="324"/>
    <tableColumn id="3" xr3:uid="{0EF71FE3-ABBE-A04C-8DA6-DAF44DE32FB6}" name="Adjusted Population" dataDxfId="323"/>
    <tableColumn id="4" xr3:uid="{25C7879A-6F1C-B242-8579-D5A32564EBD4}" name="NSDP Current Per Capita" dataDxfId="322">
      <calculatedColumnFormula>Table3[[#This Row],[NSDP Current Prices (INR Crore) (Base Price- 20-11-12)]]/Table3[[#This Row],[Adjusted Population]]</calculatedColumnFormula>
    </tableColumn>
    <tableColumn id="5" xr3:uid="{71FA2819-950B-EF49-9D0C-4B66C1AD25F6}" name="Log NSDP Per Capita (Current)" dataDxfId="321">
      <calculatedColumnFormula>LN(Table3[[#This Row],[NSDP Current Per Capita]])</calculatedColumnFormula>
    </tableColumn>
    <tableColumn id="6" xr3:uid="{D50D2E20-5E0C-CB4D-B112-266CE6026048}" name="NSDP Deflator (Base 2011-12)" dataDxfId="320">
      <calculatedColumnFormula>Table26[[#This Row],[NSDP Current Prices (INR Crore) (Base Price- 20-11-12)]]/Table26[[#This Row],[NSDP Haryana INR Crore(Constant, Base Price = 2011-12)]] *100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BD08B5-DBB3-D841-A9C9-F12D2426D519}" name="Table19" displayName="Table19" ref="A299:D318" totalsRowShown="0" headerRowDxfId="152" dataDxfId="151" tableBorderDxfId="150">
  <autoFilter ref="A299:D318" xr:uid="{1DBD08B5-DBB3-D841-A9C9-F12D2426D519}"/>
  <tableColumns count="4">
    <tableColumn id="1" xr3:uid="{4AE43C98-A2D2-2F40-868F-AE719D85D549}" name="Year" dataDxfId="149"/>
    <tableColumn id="2" xr3:uid="{38BD99BE-B652-5748-BB62-A659E77708D9}" name="Adj. Expenditure on Social Service as % " dataDxfId="148">
      <calculatedColumnFormula>E278/G278*100</calculatedColumnFormula>
    </tableColumn>
    <tableColumn id="3" xr3:uid="{CA083EB4-FC0C-434A-8D0D-070863056F4B}" name="Adj. Expenditure on Economic Service as %" dataDxfId="147">
      <calculatedColumnFormula>F278/G278*100</calculatedColumnFormula>
    </tableColumn>
    <tableColumn id="4" xr3:uid="{40BCB59A-83B3-6E4D-93A7-FEEAB5699F74}" name="Summation" dataDxfId="146">
      <calculatedColumnFormula>SUM(Table19[[#This Row],[Adj. Expenditure on Social Service as % ]:[Adj. Expenditure on Economic Service as %]])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B71CFBC-E1B7-9E4D-B9D1-A5753E1430AA}" name="Table22" displayName="Table22" ref="A4:G23" totalsRowShown="0" headerRowDxfId="145" dataDxfId="144">
  <autoFilter ref="A4:G23" xr:uid="{0B71CFBC-E1B7-9E4D-B9D1-A5753E1430AA}"/>
  <tableColumns count="7">
    <tableColumn id="1" xr3:uid="{CB087314-00ED-4740-B981-2499EBBCBCCA}" name="Year" dataDxfId="143"/>
    <tableColumn id="2" xr3:uid="{CBB15567-7A25-EC46-A010-D301E4A5CF36}" name="Social Services " dataDxfId="142"/>
    <tableColumn id="3" xr3:uid="{97402DAF-1154-5F48-821D-4ECAE363C0C2}" name="Economic Services" dataDxfId="141"/>
    <tableColumn id="4" xr3:uid="{E1AC711A-5CB3-7D4E-BC32-36D4D3EFDCE2}" name="NSDP Deflator (Base 2011-12)" dataDxfId="140"/>
    <tableColumn id="5" xr3:uid="{6449C261-8B7F-D44A-AA47-2A6040EA2422}" name="Adj Expenditure on Social Service (INR Crore) (Base Price- 2011-12)" dataDxfId="139"/>
    <tableColumn id="6" xr3:uid="{0B892213-1645-EF4E-877A-D67DA6C6C88C}" name="Adj. Expenditure on Economic Service (INR Crore) (Base Price- 2011-12)" dataDxfId="138"/>
    <tableColumn id="7" xr3:uid="{48E636AA-8EBB-B246-9F75-C81C58C78740}" name="Summation" dataDxfId="13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09E2C4-C12B-0744-8BB8-24C072D4F95D}" name="Table23" displayName="Table23" ref="A26:D45" totalsRowShown="0" headerRowDxfId="136" dataDxfId="135">
  <autoFilter ref="A26:D45" xr:uid="{BB09E2C4-C12B-0744-8BB8-24C072D4F95D}"/>
  <tableColumns count="4">
    <tableColumn id="1" xr3:uid="{49F5B3D8-8543-814F-BA89-0657AEC4770A}" name="Year" dataDxfId="134"/>
    <tableColumn id="2" xr3:uid="{B3F7556D-FF56-134A-8126-D5C33F248E3C}" name="Adj. Expenditure on Social Service as % " dataDxfId="133"/>
    <tableColumn id="3" xr3:uid="{F99DB4DD-D0FF-6943-82E5-7F36B49F80DD}" name="Adj. Expenditure on Economic Service as %" dataDxfId="132"/>
    <tableColumn id="4" xr3:uid="{6123CAD6-B63B-5847-88F7-7A4F4AC62818}" name="Summation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D188D5-D8E9-3D41-BE03-11552F4A8AC0}" name="Table24" displayName="Table24" ref="A52:P71" totalsRowShown="0" headerRowDxfId="130" dataDxfId="129" tableBorderDxfId="128">
  <autoFilter ref="A52:P71" xr:uid="{03D188D5-D8E9-3D41-BE03-11552F4A8AC0}"/>
  <tableColumns count="16">
    <tableColumn id="1" xr3:uid="{AF78B851-885F-834F-A77E-342F3F7128AD}" name="Year" dataDxfId="127"/>
    <tableColumn id="2" xr3:uid="{1AE5F510-0666-6E4C-A87D-1C6DA9FA5016}" name="General Education" dataDxfId="126"/>
    <tableColumn id="3" xr3:uid="{C7262DEC-56E5-EF4D-9AF4-DF96AB7BF66D}" name="Technical Education" dataDxfId="125"/>
    <tableColumn id="4" xr3:uid="{2185A5B1-6CAD-F048-946E-11A843ECAECD}" name="Art and Culture " dataDxfId="124"/>
    <tableColumn id="5" xr3:uid="{096A82E6-DFD8-DD41-A3BE-2356A4F46C9D}" name="Sports and Youth Services " dataDxfId="123"/>
    <tableColumn id="6" xr3:uid="{DABFBDA7-224A-E045-8F86-F4E58CFF408E}" name="Medical &amp; Public Health" dataDxfId="122"/>
    <tableColumn id="7" xr3:uid="{5F3DC391-0F51-2340-A5F7-AEDB47035644}" name="Family Welfare" dataDxfId="121"/>
    <tableColumn id="8" xr3:uid="{7D485CC4-A841-514B-8983-B5BEFE375D7F}" name="Water Supply and Sanitation" dataDxfId="120"/>
    <tableColumn id="9" xr3:uid="{E4621192-1EED-BF48-92D8-74430C7542D4}" name="Urban Development" dataDxfId="119"/>
    <tableColumn id="10" xr3:uid="{7B4B34E3-4BBC-8C45-8833-E67A0E754C40}" name="Welfare of SC, ST and Other Backward Classes" dataDxfId="118"/>
    <tableColumn id="11" xr3:uid="{93A82483-87C1-154A-A50D-55DA185F5D49}" name="Housing" dataDxfId="117"/>
    <tableColumn id="12" xr3:uid="{5369EA2C-6F0D-DA4F-A790-5F729EEA56E7}" name="Labour and Employment " dataDxfId="116"/>
    <tableColumn id="13" xr3:uid="{F2A9D9DC-E440-3343-9FF3-95E879F7A25C}" name="Social Security and Welfare" dataDxfId="115"/>
    <tableColumn id="14" xr3:uid="{5E413C37-E157-CB48-A892-9179D636B576}" name="Relief on Account of Natural Calamities" dataDxfId="114"/>
    <tableColumn id="15" xr3:uid="{5AE82F51-6684-9B4E-A29E-6D1BF6CB6A3F}" name="Others" dataDxfId="113"/>
    <tableColumn id="16" xr3:uid="{A541D234-3135-4147-84B7-4E4AC2A3BCCC}" name="NSDP Deflator (Base 2011-12)" dataDxfId="1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C139163-B2EF-6B4B-BD0B-50E927F55D0E}" name="Table25" displayName="Table25" ref="A77:M96" totalsRowShown="0" headerRowDxfId="111" dataDxfId="110" tableBorderDxfId="109">
  <autoFilter ref="A77:M96" xr:uid="{DC139163-B2EF-6B4B-BD0B-50E927F55D0E}"/>
  <tableColumns count="13">
    <tableColumn id="1" xr3:uid="{46DF8C25-7875-744A-BBFB-E338B0D00315}" name="Year" dataDxfId="108"/>
    <tableColumn id="2" xr3:uid="{1C15F69E-F76F-9540-81F4-A8F5498FC2A2}" name="General Economic Service " dataDxfId="107"/>
    <tableColumn id="3" xr3:uid="{3A8A33AF-D748-C943-AF5F-4EF3C14353D1}" name="Agriculture and Allied Service" dataDxfId="106"/>
    <tableColumn id="4" xr3:uid="{4A5A4AF2-CE48-5E4F-90B5-4AF4E8B4E355}" name="Rural Development " dataDxfId="105"/>
    <tableColumn id="5" xr3:uid="{E38A24E4-A8AA-0D43-94D4-66966161037D}" name="Irrigation and Flood Control" dataDxfId="104"/>
    <tableColumn id="6" xr3:uid="{3AAB5AAF-7F67-1840-B33D-2B767D597036}" name="Energy" dataDxfId="103"/>
    <tableColumn id="7" xr3:uid="{DE450CC2-9876-6749-831E-E110660D5E63}" name="Industries, Village and Small Industries" dataDxfId="102"/>
    <tableColumn id="8" xr3:uid="{69DFE856-1450-A649-BE68-FFBDFA073E6E}" name="Non-Ferrous Mining and Metallurgical Industries" dataDxfId="101"/>
    <tableColumn id="9" xr3:uid="{291EA017-3E9E-7342-AFC3-F43BB3F7E4DD}" name="Civil Aviation" dataDxfId="100"/>
    <tableColumn id="10" xr3:uid="{D8EADF46-4386-0944-BD5F-0F46F225DA16}" name="Science, Technology and Environment" dataDxfId="99"/>
    <tableColumn id="11" xr3:uid="{CEFFCF4C-77D6-F14E-A11E-8BCD1E3CB277}" name="Roads &amp; Bridges" dataDxfId="98"/>
    <tableColumn id="12" xr3:uid="{4A68F4B1-41C4-B546-9F39-FE1EFB1BEC36}" name="Road Transport" dataDxfId="97"/>
    <tableColumn id="13" xr3:uid="{C9F12D7F-932C-7E41-A689-0EF1340E8898}" name="NSDP Deflator (Base 2011-12)" dataDxfId="9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1EBC54B-7730-EA44-8D98-EABF81B9A4BA}" name="Table27" displayName="Table27" ref="A100:P119" totalsRowShown="0" headerRowDxfId="95" dataDxfId="94" tableBorderDxfId="93">
  <autoFilter ref="A100:P119" xr:uid="{31EBC54B-7730-EA44-8D98-EABF81B9A4BA}"/>
  <tableColumns count="16">
    <tableColumn id="1" xr3:uid="{130458B0-B391-054A-BDB6-1D6C913A2035}" name="Year" dataDxfId="92"/>
    <tableColumn id="2" xr3:uid="{D5E0CE88-7D37-C94C-972F-0A0E9E57D84E}" name="Adj. General Education " dataDxfId="91">
      <calculatedColumnFormula>B53/P53*100</calculatedColumnFormula>
    </tableColumn>
    <tableColumn id="3" xr3:uid="{D8C85962-DA96-614C-9310-D707D90324C7}" name="Adj. Technical Education" dataDxfId="90">
      <calculatedColumnFormula>C53/P53*100</calculatedColumnFormula>
    </tableColumn>
    <tableColumn id="4" xr3:uid="{85768D78-9E2D-CD4E-AFF2-2BE94B1BCE5A}" name="Adj. Art and Culture" dataDxfId="89">
      <calculatedColumnFormula>D53/P53*100</calculatedColumnFormula>
    </tableColumn>
    <tableColumn id="5" xr3:uid="{099FB3B8-A85A-6344-A2B9-8C3CD108D56A}" name="Adj. Sports and Youth Services" dataDxfId="88">
      <calculatedColumnFormula>E53/P53*100</calculatedColumnFormula>
    </tableColumn>
    <tableColumn id="6" xr3:uid="{74608FA5-E85D-B442-8AC2-6040A0D7B761}" name="Adj. Medical &amp; Public Health" dataDxfId="87">
      <calculatedColumnFormula>F53/P53*100</calculatedColumnFormula>
    </tableColumn>
    <tableColumn id="7" xr3:uid="{3A95A5AB-B1A4-D946-8B83-6FEB1897C192}" name="Adj. Family Wealth" dataDxfId="86">
      <calculatedColumnFormula>G53/P53*100</calculatedColumnFormula>
    </tableColumn>
    <tableColumn id="8" xr3:uid="{E6F120A0-CCC3-A241-B962-076C1AD434DA}" name="Adj. Water Supply and Sanitation" dataDxfId="85">
      <calculatedColumnFormula>H53/P53*100</calculatedColumnFormula>
    </tableColumn>
    <tableColumn id="9" xr3:uid="{B3964B5C-3488-7C4A-8FF4-5D9A832D8D62}" name="Adj. Urban Development" dataDxfId="84">
      <calculatedColumnFormula>I53/P53*100</calculatedColumnFormula>
    </tableColumn>
    <tableColumn id="10" xr3:uid="{5D5E0EEB-3EDB-6D45-BBB0-A4545954BC16}" name="Adj. Welfare of SC, ST and Other Backward Classes" dataDxfId="83">
      <calculatedColumnFormula>J53/P53*100</calculatedColumnFormula>
    </tableColumn>
    <tableColumn id="11" xr3:uid="{D1C066C6-C5F4-3841-BFDA-5D369833677B}" name="Adj. Housing" dataDxfId="82">
      <calculatedColumnFormula>K53/P53*100</calculatedColumnFormula>
    </tableColumn>
    <tableColumn id="12" xr3:uid="{2EAADB39-61A3-3840-A572-280C6A3F43C1}" name="Adj. Labour and Employment" dataDxfId="81">
      <calculatedColumnFormula>L53/P53*100</calculatedColumnFormula>
    </tableColumn>
    <tableColumn id="13" xr3:uid="{828BEF56-B312-6748-8C9B-DB54749466F9}" name="Adj. Social Security and Welfare" dataDxfId="80">
      <calculatedColumnFormula>M53/P53*100</calculatedColumnFormula>
    </tableColumn>
    <tableColumn id="14" xr3:uid="{FE4031AC-B291-1B47-91D6-062E381CCD00}" name="Adj. Relief on Account of Natural Calamities" dataDxfId="79">
      <calculatedColumnFormula>N53/P53*100</calculatedColumnFormula>
    </tableColumn>
    <tableColumn id="15" xr3:uid="{CEB92FC0-E64D-8649-A927-B2EA2D45BB31}" name="Adj. Others" dataDxfId="78">
      <calculatedColumnFormula>O53/P53*100</calculatedColumnFormula>
    </tableColumn>
    <tableColumn id="16" xr3:uid="{BC32DFC8-285F-5944-BF6F-187558B86456}" name="Summation" dataDxfId="77">
      <calculatedColumnFormula>SUM(Table27[[#This Row],[Adj. General Education ]:[Adj. Others]])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885D766-C792-1E48-AB7D-1F85CB9DBEF8}" name="Table28" displayName="Table28" ref="A122:P141" totalsRowShown="0" headerRowDxfId="76" dataDxfId="74" headerRowBorderDxfId="75" tableBorderDxfId="73" totalsRowBorderDxfId="72">
  <autoFilter ref="A122:P141" xr:uid="{9885D766-C792-1E48-AB7D-1F85CB9DBEF8}"/>
  <tableColumns count="16">
    <tableColumn id="1" xr3:uid="{22772807-BE9F-0042-BB48-783EBF953F99}" name="Year" dataDxfId="71"/>
    <tableColumn id="2" xr3:uid="{32A59A57-7790-E647-BD26-65D7C0251E8B}" name="General Education as %" dataDxfId="70">
      <calculatedColumnFormula>B101/P101*100</calculatedColumnFormula>
    </tableColumn>
    <tableColumn id="3" xr3:uid="{03313613-1BEE-384C-91E2-90049A823C74}" name="Technical Education as %" dataDxfId="69">
      <calculatedColumnFormula>C101/P101*100</calculatedColumnFormula>
    </tableColumn>
    <tableColumn id="4" xr3:uid="{9B1942A1-8D1E-ED4B-BFFB-4802D19FAF1E}" name="Art and Culture as %" dataDxfId="68">
      <calculatedColumnFormula>D101/P101*100</calculatedColumnFormula>
    </tableColumn>
    <tableColumn id="5" xr3:uid="{0D725221-0BEC-D64C-BBFB-2603ACC834BD}" name="Sports and Youth Services as %" dataDxfId="67">
      <calculatedColumnFormula>E101/P101*100</calculatedColumnFormula>
    </tableColumn>
    <tableColumn id="6" xr3:uid="{E1781DC0-5000-3542-86DA-34DD3003586B}" name="Medical and Public Health as %" dataDxfId="66">
      <calculatedColumnFormula>F101/P101*100</calculatedColumnFormula>
    </tableColumn>
    <tableColumn id="7" xr3:uid="{B8C52CFB-F38C-ED43-A499-A9F76A660DF2}" name="Family Wealth as %" dataDxfId="65">
      <calculatedColumnFormula>G101/P101*100</calculatedColumnFormula>
    </tableColumn>
    <tableColumn id="8" xr3:uid="{17517FAE-EFE7-8143-A1BE-127A9976FD60}" name="Water Supply and Sanitation as %" dataDxfId="64">
      <calculatedColumnFormula>H101/P101*100</calculatedColumnFormula>
    </tableColumn>
    <tableColumn id="9" xr3:uid="{5C8B9020-BD96-754F-8BE2-912C68761B89}" name="Urban Development as %" dataDxfId="63">
      <calculatedColumnFormula>I101/P101*100</calculatedColumnFormula>
    </tableColumn>
    <tableColumn id="10" xr3:uid="{70C05303-768A-2F44-969C-AA52197A7FD2}" name="Welfare of SC, ST and Other Backward Classes as %" dataDxfId="62">
      <calculatedColumnFormula>J101/P101*100</calculatedColumnFormula>
    </tableColumn>
    <tableColumn id="11" xr3:uid="{1E396CBF-7D62-AE41-B1E7-D17802D6D0D1}" name="Housing as %" dataDxfId="61">
      <calculatedColumnFormula>K101/P101*100</calculatedColumnFormula>
    </tableColumn>
    <tableColumn id="12" xr3:uid="{61EA9ABF-0C7C-3347-B3F6-40F2A046FE30}" name="Labour and Employement as %" dataDxfId="60">
      <calculatedColumnFormula>L101/P101*100</calculatedColumnFormula>
    </tableColumn>
    <tableColumn id="13" xr3:uid="{B3F90CD5-D126-9E4E-B7B4-478AF340A7D6}" name="Social Security and Welfare as %" dataDxfId="59">
      <calculatedColumnFormula>M101/P101*100</calculatedColumnFormula>
    </tableColumn>
    <tableColumn id="14" xr3:uid="{A140F095-CD9C-5D41-87ED-405D709E3857}" name="Relief Account of Natural Calamity as %" dataDxfId="58">
      <calculatedColumnFormula>N101/P101*100</calculatedColumnFormula>
    </tableColumn>
    <tableColumn id="15" xr3:uid="{6727D5F4-0EB4-1441-9E7A-4E61E5AF7875}" name="Others as %" dataDxfId="57">
      <calculatedColumnFormula>O101/P101*100</calculatedColumnFormula>
    </tableColumn>
    <tableColumn id="16" xr3:uid="{F068613B-EDAC-9747-8E69-22D2A5B67039}" name="Summation" dataDxfId="56">
      <calculatedColumnFormula>SUM(Table28[[#This Row],[General Education as %]:[Others as %]])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04A3DD3-5593-C34E-A2B4-0A66F44EC3C9}" name="Table29" displayName="Table29" ref="A163:M182" totalsRowShown="0" headerRowDxfId="55" dataDxfId="53" headerRowBorderDxfId="54" tableBorderDxfId="52" totalsRowBorderDxfId="51">
  <autoFilter ref="A163:M182" xr:uid="{304A3DD3-5593-C34E-A2B4-0A66F44EC3C9}"/>
  <tableColumns count="13">
    <tableColumn id="1" xr3:uid="{DECB4B49-5CB9-D047-90D8-DEA842F87B7D}" name="Year" dataDxfId="50"/>
    <tableColumn id="2" xr3:uid="{F8EACAEB-37D3-0844-A70D-0CE092D7EE83}" name="Adj General Economic Service" dataDxfId="49">
      <calculatedColumnFormula>B78/M78*100</calculatedColumnFormula>
    </tableColumn>
    <tableColumn id="3" xr3:uid="{449299A0-003F-5C41-9264-891A81D8699E}" name="Adj. Agriculture and Allied Service" dataDxfId="48">
      <calculatedColumnFormula>C78/M78*100</calculatedColumnFormula>
    </tableColumn>
    <tableColumn id="4" xr3:uid="{D4E9146D-216E-9646-82D4-BD27EE7DEC3E}" name="Adj. Rural Development " dataDxfId="47">
      <calculatedColumnFormula>D78/M78*100</calculatedColumnFormula>
    </tableColumn>
    <tableColumn id="5" xr3:uid="{B6A35F0C-C5AE-1B42-AF46-4D66E9D3B9EE}" name="Adj. Irrigation and Food Control" dataDxfId="46">
      <calculatedColumnFormula>E78/M78*100</calculatedColumnFormula>
    </tableColumn>
    <tableColumn id="6" xr3:uid="{9EFAA048-4FC1-A84E-9CA6-267B40F18A8B}" name="Adj. Energy" dataDxfId="45">
      <calculatedColumnFormula>F78/M78*100</calculatedColumnFormula>
    </tableColumn>
    <tableColumn id="7" xr3:uid="{1B37F63B-EF60-E541-9671-5ACDE4071ACE}" name="Adj. Industries, Village and Small Industries" dataDxfId="44">
      <calculatedColumnFormula>G78/M78*100</calculatedColumnFormula>
    </tableColumn>
    <tableColumn id="8" xr3:uid="{92395EC4-7CEE-A44A-A981-7DE47DFCCAE3}" name="Adj. Non-Ferrous Mining and Metallurgical Industries" dataDxfId="43">
      <calculatedColumnFormula>H78/M78*100</calculatedColumnFormula>
    </tableColumn>
    <tableColumn id="9" xr3:uid="{522B846C-892B-1D43-AF3F-33DBB02872DF}" name="Adj. Civil Aviation" dataDxfId="42">
      <calculatedColumnFormula>I78/M78*100</calculatedColumnFormula>
    </tableColumn>
    <tableColumn id="10" xr3:uid="{A65DF899-ED1A-7D4D-BA80-98C6105FD68E}" name="Adj. Science, Technology and Environment" dataDxfId="41">
      <calculatedColumnFormula>J78/M78*100</calculatedColumnFormula>
    </tableColumn>
    <tableColumn id="11" xr3:uid="{58BEA9D1-DBC9-9143-8CF3-F90469888B11}" name="Adj. Road and Bridge" dataDxfId="40">
      <calculatedColumnFormula>K78/M78*100</calculatedColumnFormula>
    </tableColumn>
    <tableColumn id="12" xr3:uid="{C7DABC51-E9F2-D94A-85C3-ADD0FCBF7D23}" name="Adj. Road Transport" dataDxfId="39">
      <calculatedColumnFormula>L78/M78*100</calculatedColumnFormula>
    </tableColumn>
    <tableColumn id="13" xr3:uid="{5EBCA88C-A4EA-F041-BB53-C510BB6EDE66}" name="Summation" dataDxfId="38">
      <calculatedColumnFormula>SUM(Table29[[#This Row],[Adj General Economic Service]:[Adj. Road Transport]])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C72452D-61CE-B246-9563-6D7CBF3438BA}" name="Table30" displayName="Table30" ref="A185:M204" totalsRowShown="0" headerRowDxfId="37" dataDxfId="35" headerRowBorderDxfId="36" tableBorderDxfId="34" totalsRowBorderDxfId="33">
  <autoFilter ref="A185:M204" xr:uid="{CC72452D-61CE-B246-9563-6D7CBF3438BA}"/>
  <tableColumns count="13">
    <tableColumn id="1" xr3:uid="{4AC32A25-91B5-3E43-ABA0-BB126A05C3BD}" name="Year" dataDxfId="32"/>
    <tableColumn id="2" xr3:uid="{59F8C270-86A5-8E4A-BA6A-4A52970E7544}" name="General Economic Service as %" dataDxfId="31">
      <calculatedColumnFormula>B164/M164*100</calculatedColumnFormula>
    </tableColumn>
    <tableColumn id="3" xr3:uid="{66D66D11-B189-6741-93EF-804A3D9C4DEF}" name="Agriculture and Allied Service as %" dataDxfId="30">
      <calculatedColumnFormula>C164/M164*100</calculatedColumnFormula>
    </tableColumn>
    <tableColumn id="4" xr3:uid="{DB26ADF9-5219-AA48-9640-67570C887C4E}" name="Rural Development as %" dataDxfId="29">
      <calculatedColumnFormula>D164/M164*100</calculatedColumnFormula>
    </tableColumn>
    <tableColumn id="5" xr3:uid="{2C388502-C78E-F24C-B6E2-E2AA349E39D6}" name="Irrigation and Food Control as %" dataDxfId="28">
      <calculatedColumnFormula>E164/M164*100</calculatedColumnFormula>
    </tableColumn>
    <tableColumn id="6" xr3:uid="{95A60A13-64F3-0144-8EC7-B83505424A5B}" name="Energy as %" dataDxfId="27">
      <calculatedColumnFormula>F164/M164*100</calculatedColumnFormula>
    </tableColumn>
    <tableColumn id="7" xr3:uid="{6ED0EE6A-0B82-9A4F-8717-DD9E5455E517}" name="Industries, Village and Small Industries as %" dataDxfId="26">
      <calculatedColumnFormula>G164/M164*100</calculatedColumnFormula>
    </tableColumn>
    <tableColumn id="8" xr3:uid="{A0EFC800-8872-714D-8A6E-D860247F1418}" name="Non-Ferrous Mining and Metallurgical Industries as %" dataDxfId="25">
      <calculatedColumnFormula>H164/M164*100</calculatedColumnFormula>
    </tableColumn>
    <tableColumn id="9" xr3:uid="{FD90BE50-4AFA-9E4B-B4F0-8398A4F33FA7}" name="Civil Aviation as %" dataDxfId="24">
      <calculatedColumnFormula>I164/M164*100</calculatedColumnFormula>
    </tableColumn>
    <tableColumn id="10" xr3:uid="{EBAD54DC-F9DC-CF47-AD3E-DB8A5D0E9453}" name="Science, Technology and Environment as %" dataDxfId="23">
      <calculatedColumnFormula>J164/M164*100</calculatedColumnFormula>
    </tableColumn>
    <tableColumn id="11" xr3:uid="{15252422-6100-0341-A7BF-61A30D4DDF07}" name="Road and Bridge as %" dataDxfId="22">
      <calculatedColumnFormula>K164/M164*100</calculatedColumnFormula>
    </tableColumn>
    <tableColumn id="12" xr3:uid="{26F0568E-7780-D045-9420-6796D209EDC1}" name="Road Transport as %" dataDxfId="21">
      <calculatedColumnFormula>L164/M164*100</calculatedColumnFormula>
    </tableColumn>
    <tableColumn id="13" xr3:uid="{BE36CB6B-4D19-A64F-906F-32C53C138DD2}" name="Summation" dataDxfId="20">
      <calculatedColumnFormula>SUM(Table30[[#This Row],[General Economic Service as %]:[Road Transport as %]])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A84467-10B0-8D41-B78C-B8AFC0FCFEF4}" name="Table10" displayName="Table10" ref="A1:C20" totalsRowShown="0" headerRowDxfId="19" dataDxfId="18" tableBorderDxfId="17">
  <autoFilter ref="A1:C20" xr:uid="{50A84467-10B0-8D41-B78C-B8AFC0FCFEF4}"/>
  <tableColumns count="3">
    <tableColumn id="1" xr3:uid="{463FDE7F-2320-DD4E-9439-2C01EDB4A79D}" name="Year" dataDxfId="16"/>
    <tableColumn id="2" xr3:uid="{6D1D23B9-99D9-1C48-873B-D9E520537E35}" name="Capital Outlay (INR Crore)" dataDxfId="15"/>
    <tableColumn id="3" xr3:uid="{15107903-04E6-754C-9CFC-0A0BCD6D2636}" name="NSDP Deflator (Base 2011-12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3F1E14-366F-2947-95A7-D145542D5547}" name="Table4" displayName="Table4" ref="H1:I20" totalsRowShown="0" headerRowDxfId="319" dataDxfId="318">
  <autoFilter ref="H1:I20" xr:uid="{9D3F1E14-366F-2947-95A7-D145542D5547}"/>
  <tableColumns count="2">
    <tableColumn id="1" xr3:uid="{9BBDDB12-D693-9345-894C-AF5BA5F14290}" name="Financial Year" dataDxfId="317"/>
    <tableColumn id="2" xr3:uid="{11B99491-252D-6D4F-A991-AC1B2AB7F4CF}" name="Year Variable 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0DECF8-C13B-9043-AE19-D240400CCC26}" name="Table20" displayName="Table20" ref="A22:B41" totalsRowShown="0" tableBorderDxfId="14">
  <autoFilter ref="A22:B41" xr:uid="{CE0DECF8-C13B-9043-AE19-D240400CCC26}"/>
  <tableColumns count="2">
    <tableColumn id="1" xr3:uid="{01E5BEF1-5F41-5944-8FCB-0AC0076C15EB}" name="Year" dataDxfId="13"/>
    <tableColumn id="2" xr3:uid="{FEB03710-7D05-004F-88D9-969F63856DF9}" name="Adj. Capital Outlay (INR Crore)(Base Price 2011-12)" dataDxfId="12">
      <calculatedColumnFormula>B2/C2*100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EC039-4581-C048-AC45-0E2839D3B6E4}" name="Table1" displayName="Table1" ref="A1:Q20" totalsRowShown="0" headerRowDxfId="315" dataDxfId="314" tableBorderDxfId="313">
  <autoFilter ref="A1:Q20" xr:uid="{7AEEC039-4581-C048-AC45-0E2839D3B6E4}"/>
  <tableColumns count="17">
    <tableColumn id="1" xr3:uid="{28604ED9-0803-D74C-8A63-5529E956FD1F}" name="Year" dataDxfId="312"/>
    <tableColumn id="2" xr3:uid="{22D6FEEC-581A-2F40-AC80-64B66719B21E}" name="All-India NDP (Current Prices) (INR Crore) (Base 2011-12)" dataDxfId="311"/>
    <tableColumn id="3" xr3:uid="{62DF12F2-7DB2-F04C-840A-D1101C367E50}" name="All-India NDP (Constant Prices) (INR Crore) (Base 2011-2012)" dataDxfId="310"/>
    <tableColumn id="4" xr3:uid="{9234B83F-9586-5446-9C1D-93FCB45CA3A0}" name="NDP Deflator (2011-12 base)" dataDxfId="309">
      <calculatedColumnFormula>B2/C2*100</calculatedColumnFormula>
    </tableColumn>
    <tableColumn id="5" xr3:uid="{FA64668A-0443-5843-80BC-5BFF2130FAD6}" name="Population (000)" dataDxfId="308"/>
    <tableColumn id="6" xr3:uid="{79D8B008-4180-E040-96EA-CF8FCB1DCA84}" name="Adjusted Population" dataDxfId="307">
      <calculatedColumnFormula>Table1[[#This Row],[Population (000)]]/100000</calculatedColumnFormula>
    </tableColumn>
    <tableColumn id="7" xr3:uid="{BDC47A7B-DC7C-624F-9015-B0A66A9442E9}" name="All-India NDP Per Capita (Constant Prices) (Base 2011-12)" dataDxfId="306">
      <calculatedColumnFormula>Table1[[#This Row],[All-India NDP (Constant Prices) (INR Crore) (Base 2011-2012)]]/Table1[[#This Row],[Adjusted Population]]</calculatedColumnFormula>
    </tableColumn>
    <tableColumn id="8" xr3:uid="{C95C112D-D2C1-EF4A-A292-09B85B56AB6E}" name="Log All-India NDP Per Capita (Constant Prices) (Base 2011-12)" dataDxfId="305">
      <calculatedColumnFormula>LN(Table1[[#This Row],[All-India NDP Per Capita (Constant Prices) (Base 2011-12)]])</calculatedColumnFormula>
    </tableColumn>
    <tableColumn id="9" xr3:uid="{14B1091A-0B2B-7546-A4C2-A1B2FF176937}" name="Year Variable " dataDxfId="304"/>
    <tableColumn id="10" xr3:uid="{308AE208-00E7-8643-A356-E1413C7C47B6}" name="Revenue Receipts (INR Crore)" dataDxfId="303"/>
    <tableColumn id="11" xr3:uid="{FF343365-7D04-574D-8543-88AB2E7E4E16}" name="Revenue Expenditure (INR Crore)" dataDxfId="302"/>
    <tableColumn id="12" xr3:uid="{E560B811-277F-2843-A9B8-7FE426B67128}" name="Revenue Receipts (INR Crore) (Base Price- 2011)" dataDxfId="301">
      <calculatedColumnFormula>Table1[[#This Row],[Revenue Receipts (INR Crore)]]/Table1[[#This Row],[NDP Deflator (2011-12 base)]]*100</calculatedColumnFormula>
    </tableColumn>
    <tableColumn id="13" xr3:uid="{135E2CCB-B5AC-B748-9DF5-8D02289FA160}" name="Revenue Expenditure (INR Crore) (Base Price- 2011-12" dataDxfId="300">
      <calculatedColumnFormula>Table1[[#This Row],[Revenue Expenditure (INR Crore)]]/Table1[[#This Row],[NDP Deflator (2011-12 base)]]*100</calculatedColumnFormula>
    </tableColumn>
    <tableColumn id="14" xr3:uid="{A1E924C0-12AC-FA4B-8289-7F87CEFD809C}" name="Revenue Receipts Per Capita (INR Crore) (Base Price- 2011)2" dataDxfId="299">
      <calculatedColumnFormula>Table1[[#This Row],[Revenue Receipts (INR Crore) (Base Price- 2011)]]/Table1[[#This Row],[Adjusted Population]]</calculatedColumnFormula>
    </tableColumn>
    <tableColumn id="15" xr3:uid="{68B24160-83BD-F244-8F4E-42E9D00F6083}" name="Revenue Expenditure Per Capita (INR Crore) (Base Price- 2011-122" dataDxfId="298">
      <calculatedColumnFormula>Table1[[#This Row],[Revenue Expenditure (INR Crore) (Base Price- 2011-12]]/Table1[[#This Row],[Adjusted Population]]</calculatedColumnFormula>
    </tableColumn>
    <tableColumn id="16" xr3:uid="{F96C3B59-F0B9-074D-99AD-0D175F92AEBE}" name="Real Receips as % of NDP" dataDxfId="297">
      <calculatedColumnFormula>Table1[[#This Row],[Revenue Receipts (INR Crore) (Base Price- 2011)]]/Table1[[#This Row],[All-India NDP (Constant Prices) (INR Crore) (Base 2011-2012)]]*100</calculatedColumnFormula>
    </tableColumn>
    <tableColumn id="17" xr3:uid="{3268EC96-05C5-214B-BA1E-E8460563BFC0}" name="Real Expenditure as % of NDP" dataDxfId="296">
      <calculatedColumnFormula>Table1[[#This Row],[Revenue Expenditure (INR Crore) (Base Price- 2011-12]]/Table1[[#This Row],[All-India NDP (Constant Prices) (INR Crore) (Base 2011-2012)]]*100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651C16-A4C5-5D4B-9CCB-E7CCB36C260E}" name="Table26" displayName="Table26" ref="A1:T20" totalsRowShown="0" headerRowDxfId="295" dataDxfId="294">
  <autoFilter ref="A1:T20" xr:uid="{5B651C16-A4C5-5D4B-9CCB-E7CCB36C260E}"/>
  <tableColumns count="20">
    <tableColumn id="1" xr3:uid="{2BB3216F-D0A5-F441-BD63-20396F4C9865}" name="Year" dataDxfId="293"/>
    <tableColumn id="2" xr3:uid="{5F247A1A-5AFE-6E49-9D6A-83721355467F}" name="NSDP Haryana INR Crore(Constant, Base Price = 2011-12)" dataDxfId="292"/>
    <tableColumn id="13" xr3:uid="{A23F1DF5-9D0F-B443-AA6C-36C3C586EEA2}" name="NSDP Current Prices (INR Crore) (Base Price- 20-11-12)" dataDxfId="291"/>
    <tableColumn id="3" xr3:uid="{76E31A2F-2ECA-F142-81F6-82A802174871}" name="Population (000)" dataDxfId="290"/>
    <tableColumn id="4" xr3:uid="{8307A838-5636-3C44-86E7-C5BF2389519A}" name="Adjusted Population" dataDxfId="289"/>
    <tableColumn id="5" xr3:uid="{E96BD3EA-23D4-5849-8EA2-5C896838577F}" name="NSDP Constant Per Capita" dataDxfId="288">
      <calculatedColumnFormula>B2/E2</calculatedColumnFormula>
    </tableColumn>
    <tableColumn id="6" xr3:uid="{C45D0D58-7946-254B-84AB-493B52804BEC}" name="Log NSDP Per Capita (Constant)" dataDxfId="287">
      <calculatedColumnFormula>LN(Table26[[#This Row],[NSDP Constant Per Capita]])</calculatedColumnFormula>
    </tableColumn>
    <tableColumn id="7" xr3:uid="{1F17FC0E-A376-F642-B4F0-D6B582BF09AE}" name="Revenue Receipts" dataDxfId="286"/>
    <tableColumn id="8" xr3:uid="{21C2456B-E759-024C-961A-4D9E8E0344D8}" name="Revenue Expenditure" dataDxfId="285"/>
    <tableColumn id="9" xr3:uid="{2AA96CA5-8B0D-BA49-BC64-D64B8C2EF2CC}" name="Revenue Deficit/ Surplus" dataDxfId="284">
      <calculatedColumnFormula>Table26[[#This Row],[Revenue Receipts]]-Table26[[#This Row],[Revenue Expenditure]]</calculatedColumnFormula>
    </tableColumn>
    <tableColumn id="10" xr3:uid="{EBE574E8-E500-4140-9661-B22F1D6B603B}" name="NSDP Deflator (Base 2011-12)" dataDxfId="283">
      <calculatedColumnFormula xml:space="preserve"> 83980.50072/143606.6562 * 100</calculatedColumnFormula>
    </tableColumn>
    <tableColumn id="11" xr3:uid="{1446DAC3-01DD-1640-BF0B-7895E54F21DB}" name="Real Revenue Receipts" dataDxfId="282">
      <calculatedColumnFormula>Table26[[#This Row],[Revenue Receipts]]/Table26[[#This Row],[NSDP Deflator (Base 2011-12)]] * 100</calculatedColumnFormula>
    </tableColumn>
    <tableColumn id="14" xr3:uid="{6C46D6B7-2929-3F46-8FA7-0EBE74F9D506}" name="Real Revenue Expenditure" dataDxfId="281">
      <calculatedColumnFormula>Table26[[#This Row],[Revenue Expenditure]]/Table26[[#This Row],[NSDP Deflator (Base 2011-12)]] * 100</calculatedColumnFormula>
    </tableColumn>
    <tableColumn id="15" xr3:uid="{4A8396D5-DFBD-2249-B205-F617C05CF822}" name="Real Revenue Deficit/ Surplus" dataDxfId="280">
      <calculatedColumnFormula>Table26[[#This Row],[Real Revenue Receipts]]-Table26[[#This Row],[Real Revenue Expenditure]]</calculatedColumnFormula>
    </tableColumn>
    <tableColumn id="19" xr3:uid="{BCCC9E34-5D30-5F45-A5C4-5C85992D0EA0}" name="Real Revenue Expenditure Per Capita (Constant Prices, INR Crores, Receipts)" dataDxfId="279">
      <calculatedColumnFormula>Table26[[#This Row],[Real Revenue Expenditure]]/Table26[[#This Row],[Adjusted Population]]</calculatedColumnFormula>
    </tableColumn>
    <tableColumn id="16" xr3:uid="{E7BDCAC6-690A-E14B-B352-DAE9FDDD211B}" name="Real Revenue Receipts Per Capita (Constant Prices, INR Crores, Receipts)2" dataDxfId="278">
      <calculatedColumnFormula>Table26[[#This Row],[Real Revenue Receipts]]/Table26[[#This Row],[Adjusted Population]]</calculatedColumnFormula>
    </tableColumn>
    <tableColumn id="17" xr3:uid="{7199BD9B-CD1B-FB46-8C4A-FBEDF5CE50DA}" name="Real Revenue Receipt as % of NSDP" dataDxfId="277">
      <calculatedColumnFormula>Table26[[#This Row],[Real Revenue Receipts]]/Table26[[#This Row],[NSDP Haryana INR Crore(Constant, Base Price = 2011-12)]] * 100</calculatedColumnFormula>
    </tableColumn>
    <tableColumn id="20" xr3:uid="{DE2322CD-354E-254C-8093-F34E3D8EC6A7}" name="Real Revenue Expenditure as % of NSDP" dataDxfId="276">
      <calculatedColumnFormula>Table26[[#This Row],[Real Revenue Expenditure Per Capita (Constant Prices, INR Crores, Receipts)]]/Table26[[#This Row],[NSDP Haryana INR Crore(Constant, Base Price = 2011-12)]] * 100</calculatedColumnFormula>
    </tableColumn>
    <tableColumn id="18" xr3:uid="{A4184A8C-BC0F-2B47-A222-81A64EF36B51}" name="LN Real Revenue Receipts Per Capita (Constant Prices, INR Crores, Receipts)" dataDxfId="275">
      <calculatedColumnFormula>LN(Table26[[#This Row],[Real Revenue Receipts Per Capita (Constant Prices, INR Crores, Receipts)2]])</calculatedColumnFormula>
    </tableColumn>
    <tableColumn id="21" xr3:uid="{46C8D40D-E0E0-E746-A30B-43209FBD6B35}" name="LN Real Revenue Expenditure Per Capita (Constant Prices, INR Crores, Receipts)" dataDxfId="274">
      <calculatedColumnFormula>LN(Table26[[#This Row],[Real Revenue Expenditure Per Capita (Constant Prices, INR Crores, Receipts)]])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ECC17C-8FCC-1040-A6CA-5AE49BF710E7}" name="Table11" displayName="Table11" ref="A25:C44" totalsRowShown="0" headerRowDxfId="273" dataDxfId="272" tableBorderDxfId="271">
  <autoFilter ref="A25:C44" xr:uid="{FBECC17C-8FCC-1040-A6CA-5AE49BF710E7}"/>
  <tableColumns count="3">
    <tableColumn id="1" xr3:uid="{3590AC8A-A0BF-DF4A-AC47-9B72CE1AABC2}" name="Year" dataDxfId="270"/>
    <tableColumn id="2" xr3:uid="{EF36F218-E8C4-1241-8FEC-01BC3F5EA96B}" name="LN Haryana Revenue Receipts (INR Crore) (Base Price- 2011-12)" dataDxfId="269"/>
    <tableColumn id="3" xr3:uid="{C2C57D5F-CDE2-7645-A03C-F2D4D05C5178}" name="LN India Revenue Receipts (INR Crore) (Base Price- 2011-12)" dataDxfId="2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F96F5F-6615-F943-9406-C3989F613F2E}" name="Table31" displayName="Table31" ref="A158:C177" totalsRowShown="0" headerRowDxfId="9" dataDxfId="8" tableBorderDxfId="11">
  <autoFilter ref="A158:C177" xr:uid="{1EF96F5F-6615-F943-9406-C3989F613F2E}"/>
  <tableColumns count="3">
    <tableColumn id="1" xr3:uid="{B3ABD18A-9CF1-BB4C-84BA-BA2554FB1E1D}" name="Year" dataDxfId="10"/>
    <tableColumn id="2" xr3:uid="{02E2E102-3F9A-6B47-A9B3-7C5B0870CE07}" name="LN Haryana Revenue Expenditure Per Capita (Constant Prices, INR Crores, Receipts)" dataDxfId="6">
      <calculatedColumnFormula>LN(B138)</calculatedColumnFormula>
    </tableColumn>
    <tableColumn id="3" xr3:uid="{D4680FBD-F31E-AB42-B82A-CBCC374A4004}" name="LN India Revenue Expenditure Per Capita (INR Crore) (Base Price- 2011-12)" dataDxfId="7">
      <calculatedColumnFormula>LN(C138)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2D63C62-9870-4641-BB3E-192EE98C7D41}" name="Table32" displayName="Table32" ref="A179:C198" totalsRowShown="0" headerRowDxfId="3" dataDxfId="2" tableBorderDxfId="5">
  <autoFilter ref="A179:C198" xr:uid="{E2D63C62-9870-4641-BB3E-192EE98C7D41}"/>
  <tableColumns count="3">
    <tableColumn id="1" xr3:uid="{8FAA1B55-5127-8046-BFE0-C5EF81163749}" name="Year" dataDxfId="4"/>
    <tableColumn id="2" xr3:uid="{827AF282-C442-2C4C-ABBF-262C03FA5C37}" name="LN Haryana Revenue Receipts Per Capita (Constant Prices, INR Crores, Receipts) (Base Price- 2011-12)" dataDxfId="0">
      <calculatedColumnFormula>LN(B116)</calculatedColumnFormula>
    </tableColumn>
    <tableColumn id="3" xr3:uid="{CE346F24-C30A-D840-8E51-26038076D6BD}" name="LN India Revenue Receipts Per Capita (INR Crore) (Base Price- 2011-12)" dataDxfId="1">
      <calculatedColumnFormula>LN(C116)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893CE0-2348-2A42-994F-D252D62E59ED}" name="Table6" displayName="Table6" ref="A25:K44" totalsRowShown="0" headerRowDxfId="267" dataDxfId="266" tableBorderDxfId="265">
  <autoFilter ref="A25:K44" xr:uid="{AF893CE0-2348-2A42-994F-D252D62E59ED}"/>
  <tableColumns count="11">
    <tableColumn id="1" xr3:uid="{BC48A768-1424-0444-8D97-B661042CA218}" name="Year" dataDxfId="264"/>
    <tableColumn id="2" xr3:uid="{A005F2CE-6D14-2441-8DF3-FFA5CA0411F0}" name="State's Own Tax Revenue" dataDxfId="263"/>
    <tableColumn id="3" xr3:uid="{ED0F9368-B85E-A348-89B2-758DEDED6560}" name="Share in Central Taxes" dataDxfId="262"/>
    <tableColumn id="4" xr3:uid="{5FC86BE8-1D70-B848-BAD6-815D48249411}" name="State's Own Non-Tax Revenue" dataDxfId="261"/>
    <tableColumn id="5" xr3:uid="{79EE1C0D-7006-8446-88B9-DFC0B1CC97B7}" name="Grants from the Centre" dataDxfId="260"/>
    <tableColumn id="6" xr3:uid="{9BFD5F39-8CFA-4943-9ED3-B87F94F09F8F}" name="NSDP Deflator (Base 2011-12)" dataDxfId="259"/>
    <tableColumn id="7" xr3:uid="{F5775CAC-2DF6-004B-9B1F-58B07D7D408E}" name="Adj. State's Own Tax Revenue (Base Price- 2011-12)" dataDxfId="258">
      <calculatedColumnFormula>Table6[[#This Row],[State''s Own Tax Revenue]]/Table6[[#This Row],[NSDP Deflator (Base 2011-12)]]*100</calculatedColumnFormula>
    </tableColumn>
    <tableColumn id="8" xr3:uid="{452CCFA8-70FE-EB44-9087-2C7DBDD99D98}" name="Adj. Share in Central Taxes (Base Price- 2011-12)" dataDxfId="257">
      <calculatedColumnFormula>Table6[[#This Row],[Share in Central Taxes]]/Table6[[#This Row],[NSDP Deflator (Base 2011-12)]]*100</calculatedColumnFormula>
    </tableColumn>
    <tableColumn id="9" xr3:uid="{1A23CAD7-39AA-4949-9470-DCED523EDF26}" name="Adj. State's Own Non-Tax Revenue (Base Price- 2011-12)" dataDxfId="256">
      <calculatedColumnFormula>Table6[[#This Row],[State''s Own Non-Tax Revenue]]/Table6[[#This Row],[NSDP Deflator (Base 2011-12)]]*100</calculatedColumnFormula>
    </tableColumn>
    <tableColumn id="10" xr3:uid="{20461D34-AC39-CC47-A0B0-004AA8DCA728}" name="Adj. Grants from the Centre (Base Price- 2011-12)" dataDxfId="255">
      <calculatedColumnFormula>Table6[[#This Row],[Grants from the Centre]]/Table6[[#This Row],[NSDP Deflator (Base 2011-12)]]*100</calculatedColumnFormula>
    </tableColumn>
    <tableColumn id="11" xr3:uid="{4D1E9A66-2FB4-7B4D-8F16-E963A5B1C493}" name="Summation" dataDxfId="254">
      <calculatedColumnFormula>SUM(Table6[[#This Row],[Adj. State''s Own Tax Revenue (Base Price- 2011-12)]:[Adj. Grants from the Centre (Base Price- 2011-12)]])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cdnbbsr.s3waas.gov.in/s32b0f658cbffd284984fb11d90254081f/uploads/2024/10/20241028827687465.pdf" TargetMode="External"/><Relationship Id="rId1" Type="http://schemas.openxmlformats.org/officeDocument/2006/relationships/hyperlink" Target="https://cdnbbsr.s3waas.gov.in/s32b0f658cbffd284984fb11d90254081f/uploads/2021/02/2021021876.pdf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iabudget.gov.in/previous_union_budget.php" TargetMode="External"/><Relationship Id="rId2" Type="http://schemas.openxmlformats.org/officeDocument/2006/relationships/hyperlink" Target="https://data.worldbank.org/indicator/SP.POP.TOTL?locations=IN" TargetMode="External"/><Relationship Id="rId1" Type="http://schemas.openxmlformats.org/officeDocument/2006/relationships/hyperlink" Target="https://www.rbi.org.in/scripts/annualPublications.aspx?head=Handbook+of+Statistics+on+Indian+Economy" TargetMode="Externa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esaharyana.gov.in/state-statistical-abstract-of-haryana/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3" Type="http://schemas.openxmlformats.org/officeDocument/2006/relationships/hyperlink" Target="https://esaharyana.gov.in/economic-survey-of-haryana/" TargetMode="Externa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" Type="http://schemas.openxmlformats.org/officeDocument/2006/relationships/hyperlink" Target="https://esaharyana.gov.in/economic-survey-of-haryana/" TargetMode="External"/><Relationship Id="rId16" Type="http://schemas.openxmlformats.org/officeDocument/2006/relationships/table" Target="../tables/table18.xml"/><Relationship Id="rId1" Type="http://schemas.openxmlformats.org/officeDocument/2006/relationships/hyperlink" Target="https://esaharyana.gov.in/economic-survey-of-haryana/" TargetMode="External"/><Relationship Id="rId6" Type="http://schemas.openxmlformats.org/officeDocument/2006/relationships/vmlDrawing" Target="../drawings/vmlDrawing3.vml"/><Relationship Id="rId11" Type="http://schemas.openxmlformats.org/officeDocument/2006/relationships/table" Target="../tables/table13.xml"/><Relationship Id="rId5" Type="http://schemas.openxmlformats.org/officeDocument/2006/relationships/drawing" Target="../drawings/drawing3.xml"/><Relationship Id="rId15" Type="http://schemas.openxmlformats.org/officeDocument/2006/relationships/table" Target="../tables/table17.xml"/><Relationship Id="rId10" Type="http://schemas.openxmlformats.org/officeDocument/2006/relationships/table" Target="../tables/table12.xml"/><Relationship Id="rId19" Type="http://schemas.openxmlformats.org/officeDocument/2006/relationships/comments" Target="../comments3.xml"/><Relationship Id="rId4" Type="http://schemas.openxmlformats.org/officeDocument/2006/relationships/hyperlink" Target="https://esaharyana.gov.in/economic-survey-of-haryana/" TargetMode="Externa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hyperlink" Target="https://esaharyana.gov.in/state-statistical-abstract-of-haryana/" TargetMode="External"/><Relationship Id="rId7" Type="http://schemas.openxmlformats.org/officeDocument/2006/relationships/vmlDrawing" Target="../drawings/vmlDrawing4.vml"/><Relationship Id="rId12" Type="http://schemas.openxmlformats.org/officeDocument/2006/relationships/table" Target="../tables/table25.xml"/><Relationship Id="rId2" Type="http://schemas.openxmlformats.org/officeDocument/2006/relationships/hyperlink" Target="https://esaharyana.gov.in/state-statistical-abstract-of-haryana/" TargetMode="External"/><Relationship Id="rId16" Type="http://schemas.openxmlformats.org/officeDocument/2006/relationships/comments" Target="../comments4.xml"/><Relationship Id="rId1" Type="http://schemas.openxmlformats.org/officeDocument/2006/relationships/hyperlink" Target="https://esaharyana.gov.in/economic-survey-of-haryana/" TargetMode="External"/><Relationship Id="rId6" Type="http://schemas.openxmlformats.org/officeDocument/2006/relationships/drawing" Target="../drawings/drawing4.xml"/><Relationship Id="rId11" Type="http://schemas.openxmlformats.org/officeDocument/2006/relationships/table" Target="../tables/table24.xml"/><Relationship Id="rId5" Type="http://schemas.openxmlformats.org/officeDocument/2006/relationships/hyperlink" Target="https://esaharyana.gov.in/economic-survey-of-haryana/" TargetMode="Externa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hyperlink" Target="https://esaharyana.gov.in/economic-survey-of-haryana/" TargetMode="Externa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mments" Target="../comments5.xml"/><Relationship Id="rId4" Type="http://schemas.openxmlformats.org/officeDocument/2006/relationships/table" Target="../tables/table3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8DE8-A762-184B-A1FF-31B34509F4BD}">
  <dimension ref="A1:P33"/>
  <sheetViews>
    <sheetView topLeftCell="F1" zoomScale="75" workbookViewId="0">
      <selection activeCell="O21" sqref="O21"/>
    </sheetView>
  </sheetViews>
  <sheetFormatPr baseColWidth="10" defaultRowHeight="16" x14ac:dyDescent="0.2"/>
  <cols>
    <col min="1" max="1" width="10.83203125" style="4"/>
    <col min="2" max="2" width="50.83203125" style="4" customWidth="1"/>
    <col min="3" max="3" width="17" style="4" customWidth="1"/>
    <col min="4" max="4" width="20" style="4" customWidth="1"/>
    <col min="5" max="5" width="25.83203125" style="4" bestFit="1" customWidth="1"/>
    <col min="6" max="6" width="30" style="4" bestFit="1" customWidth="1"/>
    <col min="7" max="7" width="15" style="4" customWidth="1"/>
    <col min="8" max="10" width="30" style="4" customWidth="1"/>
    <col min="11" max="11" width="50.5" style="4" bestFit="1" customWidth="1"/>
    <col min="12" max="12" width="17" style="4" customWidth="1"/>
    <col min="13" max="13" width="20" style="4" customWidth="1"/>
    <col min="14" max="14" width="24" style="4" customWidth="1"/>
    <col min="15" max="15" width="29.33203125" style="4" bestFit="1" customWidth="1"/>
    <col min="16" max="16" width="28.83203125" style="4" bestFit="1" customWidth="1"/>
    <col min="17" max="16384" width="10.83203125" style="4"/>
  </cols>
  <sheetData>
    <row r="1" spans="1:16" x14ac:dyDescent="0.2">
      <c r="A1" s="4" t="s">
        <v>0</v>
      </c>
      <c r="B1" s="4" t="s">
        <v>20</v>
      </c>
      <c r="C1" s="4" t="s">
        <v>21</v>
      </c>
      <c r="D1" s="4" t="s">
        <v>24</v>
      </c>
      <c r="E1" s="4" t="s">
        <v>26</v>
      </c>
      <c r="F1" s="4" t="s">
        <v>28</v>
      </c>
      <c r="H1" s="4" t="s">
        <v>53</v>
      </c>
      <c r="I1" s="4" t="s">
        <v>54</v>
      </c>
      <c r="K1" s="4" t="s">
        <v>69</v>
      </c>
      <c r="L1" s="4" t="s">
        <v>21</v>
      </c>
      <c r="M1" s="4" t="s">
        <v>24</v>
      </c>
      <c r="N1" s="4" t="s">
        <v>25</v>
      </c>
      <c r="O1" s="4" t="s">
        <v>27</v>
      </c>
      <c r="P1" s="4" t="s">
        <v>73</v>
      </c>
    </row>
    <row r="2" spans="1:16" x14ac:dyDescent="0.2">
      <c r="A2" s="4" t="s">
        <v>19</v>
      </c>
      <c r="B2" s="9">
        <f xml:space="preserve"> 83980.50072 * 1.71</f>
        <v>143606.6562312</v>
      </c>
      <c r="C2" s="4">
        <v>22707</v>
      </c>
      <c r="D2" s="9">
        <v>2.2707000000000002</v>
      </c>
      <c r="E2" s="9">
        <f>Table2[[#This Row],[NSDP Haryana INR Crore(Constant, Base Price = 2011-12)]]/Table2[[#This Row],[Adjusted Population]]</f>
        <v>63243.341802615927</v>
      </c>
      <c r="F2" s="9">
        <f>LN(Table2[[#This Row],[NSDP Constant Per Capita]])</f>
        <v>11.054745133105877</v>
      </c>
      <c r="H2" s="11" t="s">
        <v>19</v>
      </c>
      <c r="I2" s="4">
        <v>1</v>
      </c>
      <c r="K2" s="9">
        <f ca="1">Table3[[#This Row],[NSDP Current Prices (INR Crore) (Base Price- 20-11-12)]] * 0.974</f>
        <v>83980.500719999996</v>
      </c>
      <c r="L2" s="5">
        <v>22707</v>
      </c>
      <c r="M2" s="12">
        <v>2.2707000000000002</v>
      </c>
      <c r="N2" s="9">
        <f ca="1">Table3[[#This Row],[NSDP Current Prices (INR Crore) (Base Price- 20-11-12)]]/Table3[[#This Row],[Adjusted Population]]</f>
        <v>37971.673933148362</v>
      </c>
      <c r="O2" s="9">
        <f ca="1">LN(Table3[[#This Row],[NSDP Current Per Capita]])</f>
        <v>10.54459573793091</v>
      </c>
      <c r="P2" s="9">
        <f xml:space="preserve"> 83980.50072/143606.6562 * 100</f>
        <v>58.479532176447954</v>
      </c>
    </row>
    <row r="3" spans="1:16" x14ac:dyDescent="0.2">
      <c r="A3" s="4" t="s">
        <v>18</v>
      </c>
      <c r="B3" s="9">
        <f xml:space="preserve"> 95357.68758 * 1.71</f>
        <v>163061.6457618</v>
      </c>
      <c r="C3" s="4">
        <v>23140</v>
      </c>
      <c r="D3" s="9">
        <v>2.3140000000000001</v>
      </c>
      <c r="E3" s="9">
        <f>Table2[[#This Row],[NSDP Haryana INR Crore(Constant, Base Price = 2011-12)]]/Table2[[#This Row],[Adjusted Population]]</f>
        <v>70467.43550639585</v>
      </c>
      <c r="F3" s="9">
        <f>LN(Table2[[#This Row],[NSDP Constant Per Capita]])</f>
        <v>11.162905974377434</v>
      </c>
      <c r="H3" s="13" t="s">
        <v>18</v>
      </c>
      <c r="I3" s="4">
        <v>2</v>
      </c>
      <c r="K3" s="9">
        <f ca="1">Table3[[#This Row],[NSDP Current Prices (INR Crore) (Base Price- 20-11-12)]] * 0.974</f>
        <v>95357.687579999998</v>
      </c>
      <c r="L3" s="7">
        <v>23140</v>
      </c>
      <c r="M3" s="14">
        <v>2.3140000000000001</v>
      </c>
      <c r="N3" s="9">
        <f ca="1">Table3[[#This Row],[NSDP Current Prices (INR Crore) (Base Price- 20-11-12)]]/Table3[[#This Row],[Adjusted Population]]</f>
        <v>42309.062229904928</v>
      </c>
      <c r="O3" s="9">
        <f ca="1">LN(Table3[[#This Row],[NSDP Current Per Capita]])</f>
        <v>10.652756579202467</v>
      </c>
      <c r="P3" s="9">
        <f>95357.68758/163061.6458 * 100</f>
        <v>58.479532150042857</v>
      </c>
    </row>
    <row r="4" spans="1:16" x14ac:dyDescent="0.2">
      <c r="A4" s="4" t="s">
        <v>17</v>
      </c>
      <c r="B4" s="9">
        <f xml:space="preserve"> 113084.8557 * 1.71</f>
        <v>193375.10324699999</v>
      </c>
      <c r="C4" s="4">
        <v>23569</v>
      </c>
      <c r="D4" s="9">
        <v>2.3569</v>
      </c>
      <c r="E4" s="9">
        <f>Table2[[#This Row],[NSDP Haryana INR Crore(Constant, Base Price = 2011-12)]]/Table2[[#This Row],[Adjusted Population]]</f>
        <v>82046.375852602985</v>
      </c>
      <c r="F4" s="9">
        <f>LN(Table2[[#This Row],[NSDP Constant Per Capita]])</f>
        <v>11.315039925556157</v>
      </c>
      <c r="H4" s="11" t="s">
        <v>17</v>
      </c>
      <c r="I4" s="4">
        <v>3</v>
      </c>
      <c r="K4" s="9">
        <f ca="1">Table3[[#This Row],[NSDP Current Prices (INR Crore) (Base Price- 20-11-12)]] * 0.974</f>
        <v>113084.85769999999</v>
      </c>
      <c r="L4" s="5">
        <v>23569</v>
      </c>
      <c r="M4" s="12">
        <v>2.3569</v>
      </c>
      <c r="N4" s="9">
        <f ca="1">Table3[[#This Row],[NSDP Current Prices (INR Crore) (Base Price- 20-11-12)]]/Table3[[#This Row],[Adjusted Population]]</f>
        <v>49261.126903984048</v>
      </c>
      <c r="O4" s="9">
        <f ca="1">LN(Table3[[#This Row],[NSDP Current Per Capita]])</f>
        <v>10.804890548067025</v>
      </c>
      <c r="P4" s="9">
        <f>113084.8577/193375.1032 * 100</f>
        <v>58.479533212215493</v>
      </c>
    </row>
    <row r="5" spans="1:16" x14ac:dyDescent="0.2">
      <c r="A5" s="4" t="s">
        <v>16</v>
      </c>
      <c r="B5" s="9">
        <f xml:space="preserve"> 133032.7381 * 1.71</f>
        <v>227485.98215099997</v>
      </c>
      <c r="C5" s="4">
        <v>23997</v>
      </c>
      <c r="D5" s="9">
        <v>2.3997000000000002</v>
      </c>
      <c r="E5" s="9">
        <f>Table2[[#This Row],[NSDP Haryana INR Crore(Constant, Base Price = 2011-12)]]/Table2[[#This Row],[Adjusted Population]]</f>
        <v>94797.675605700701</v>
      </c>
      <c r="F5" s="9">
        <f>LN(Table2[[#This Row],[NSDP Constant Per Capita]])</f>
        <v>11.459500169015312</v>
      </c>
      <c r="H5" s="13" t="s">
        <v>16</v>
      </c>
      <c r="I5" s="4">
        <v>4</v>
      </c>
      <c r="K5" s="9">
        <f ca="1">Table3[[#This Row],[NSDP Current Prices (INR Crore) (Base Price- 20-11-12)]] * 0.974</f>
        <v>133032.73808000001</v>
      </c>
      <c r="L5" s="7">
        <v>23997</v>
      </c>
      <c r="M5" s="14">
        <v>2.3997000000000002</v>
      </c>
      <c r="N5" s="9">
        <f ca="1">Table3[[#This Row],[NSDP Current Prices (INR Crore) (Base Price- 20-11-12)]]/Table3[[#This Row],[Adjusted Population]]</f>
        <v>56917.081301829399</v>
      </c>
      <c r="O5" s="9">
        <f ca="1">LN(Table3[[#This Row],[NSDP Current Per Capita]])</f>
        <v>10.949350773690007</v>
      </c>
      <c r="P5" s="9">
        <f>133032.7381/227485.9822 * 100</f>
        <v>58.479532151146316</v>
      </c>
    </row>
    <row r="6" spans="1:16" x14ac:dyDescent="0.2">
      <c r="A6" s="4" t="s">
        <v>15</v>
      </c>
      <c r="B6" s="9">
        <f xml:space="preserve"> 160355.7562 * 1.71</f>
        <v>274208.34310200001</v>
      </c>
      <c r="C6" s="4">
        <v>24425</v>
      </c>
      <c r="D6" s="9">
        <v>2.4424999999999999</v>
      </c>
      <c r="E6" s="9">
        <f>Table2[[#This Row],[NSDP Haryana INR Crore(Constant, Base Price = 2011-12)]]/Table2[[#This Row],[Adjusted Population]]</f>
        <v>112265.44241637667</v>
      </c>
      <c r="F6" s="9">
        <f>LN(Table2[[#This Row],[NSDP Constant Per Capita]])</f>
        <v>11.628621367780489</v>
      </c>
      <c r="H6" s="11" t="s">
        <v>15</v>
      </c>
      <c r="I6" s="4">
        <v>5</v>
      </c>
      <c r="K6" s="9">
        <f ca="1">Table3[[#This Row],[NSDP Current Prices (INR Crore) (Base Price- 20-11-12)]] * 0.974</f>
        <v>160355.75619999997</v>
      </c>
      <c r="L6" s="5">
        <v>24425</v>
      </c>
      <c r="M6" s="12">
        <v>2.4424999999999999</v>
      </c>
      <c r="N6" s="9">
        <f ca="1">Table3[[#This Row],[NSDP Current Prices (INR Crore) (Base Price- 20-11-12)]]/Table3[[#This Row],[Adjusted Population]]</f>
        <v>67404.831115660185</v>
      </c>
      <c r="O6" s="9">
        <f ca="1">LN(Table3[[#This Row],[NSDP Current Per Capita]])</f>
        <v>11.118471972605523</v>
      </c>
      <c r="P6" s="9">
        <f>160355.7562/274208.3431 * 100</f>
        <v>58.479532164169221</v>
      </c>
    </row>
    <row r="7" spans="1:16" x14ac:dyDescent="0.2">
      <c r="A7" s="4" t="s">
        <v>14</v>
      </c>
      <c r="B7" s="9">
        <f xml:space="preserve"> 198554.6921 * 1.71</f>
        <v>339528.52349099994</v>
      </c>
      <c r="C7" s="4">
        <v>24849</v>
      </c>
      <c r="D7" s="9">
        <v>2.4849000000000001</v>
      </c>
      <c r="E7" s="9">
        <f>Table2[[#This Row],[NSDP Haryana INR Crore(Constant, Base Price = 2011-12)]]/Table2[[#This Row],[Adjusted Population]]</f>
        <v>136636.69503440781</v>
      </c>
      <c r="F7" s="9">
        <f>LN(Table2[[#This Row],[NSDP Constant Per Capita]])</f>
        <v>11.825080821335321</v>
      </c>
      <c r="H7" s="13" t="s">
        <v>14</v>
      </c>
      <c r="I7" s="4">
        <v>6</v>
      </c>
      <c r="K7" s="9">
        <f ca="1">Table3[[#This Row],[NSDP Current Prices (INR Crore) (Base Price- 20-11-12)]] * 0.974</f>
        <v>198554.69208000001</v>
      </c>
      <c r="L7" s="7">
        <v>24849</v>
      </c>
      <c r="M7" s="14">
        <v>2.4849000000000001</v>
      </c>
      <c r="N7" s="9">
        <f ca="1">Table3[[#This Row],[NSDP Current Prices (INR Crore) (Base Price- 20-11-12)]]/Table3[[#This Row],[Adjusted Population]]</f>
        <v>82037.474345044073</v>
      </c>
      <c r="O7" s="9">
        <f ca="1">LN(Table3[[#This Row],[NSDP Current Per Capita]])</f>
        <v>11.314931426059626</v>
      </c>
      <c r="P7" s="9">
        <f>198554.6921/339528.5235 * 100</f>
        <v>58.479532162192548</v>
      </c>
    </row>
    <row r="8" spans="1:16" x14ac:dyDescent="0.2">
      <c r="A8" s="4" t="s">
        <v>13</v>
      </c>
      <c r="B8" s="9">
        <f xml:space="preserve"> 233326.6479 * 1.71</f>
        <v>398988.56790900003</v>
      </c>
      <c r="C8" s="4">
        <v>25270</v>
      </c>
      <c r="D8" s="9">
        <v>2.5270000000000001</v>
      </c>
      <c r="E8" s="9">
        <f>Table2[[#This Row],[NSDP Haryana INR Crore(Constant, Base Price = 2011-12)]]/Table2[[#This Row],[Adjusted Population]]</f>
        <v>157890.21286466165</v>
      </c>
      <c r="F8" s="9">
        <f>LN(Table2[[#This Row],[NSDP Constant Per Capita]])</f>
        <v>11.969655215198328</v>
      </c>
      <c r="H8" s="11" t="s">
        <v>13</v>
      </c>
      <c r="I8" s="4">
        <v>7</v>
      </c>
      <c r="K8" s="9">
        <f ca="1">Table3[[#This Row],[NSDP Current Prices (INR Crore) (Base Price- 20-11-12)]] * 0.974</f>
        <v>233326.64791999999</v>
      </c>
      <c r="L8" s="5">
        <v>25270</v>
      </c>
      <c r="M8" s="12">
        <v>2.5270000000000001</v>
      </c>
      <c r="N8" s="9">
        <f ca="1">Table3[[#This Row],[NSDP Current Prices (INR Crore) (Base Price- 20-11-12)]]/Table3[[#This Row],[Adjusted Population]]</f>
        <v>94798.211317768088</v>
      </c>
      <c r="O8" s="9">
        <f ca="1">LN(Table3[[#This Row],[NSDP Current Per Capita]])</f>
        <v>11.459505820109078</v>
      </c>
      <c r="P8" s="9">
        <f>(233326.6479/398988.5679) * 100</f>
        <v>58.479532165061812</v>
      </c>
    </row>
    <row r="9" spans="1:16" x14ac:dyDescent="0.2">
      <c r="A9" s="4" t="s">
        <v>12</v>
      </c>
      <c r="B9" s="9">
        <v>271152.48</v>
      </c>
      <c r="C9" s="4">
        <v>25560</v>
      </c>
      <c r="D9" s="9">
        <v>2.556</v>
      </c>
      <c r="E9" s="9">
        <f>Table2[[#This Row],[NSDP Haryana INR Crore(Constant, Base Price = 2011-12)]]/Table2[[#This Row],[Adjusted Population]]</f>
        <v>106084.69483568074</v>
      </c>
      <c r="F9" s="9">
        <f>LN(Table2[[#This Row],[NSDP Constant Per Capita]])</f>
        <v>11.571993061941116</v>
      </c>
      <c r="H9" s="13" t="s">
        <v>12</v>
      </c>
      <c r="I9" s="4">
        <v>8</v>
      </c>
      <c r="K9" s="9">
        <v>271152.48</v>
      </c>
      <c r="L9" s="7">
        <v>25560</v>
      </c>
      <c r="M9" s="14">
        <v>2.556</v>
      </c>
      <c r="N9" s="9">
        <f>Table3[[#This Row],[NSDP Current Prices (INR Crore) (Base Price- 20-11-12)]]/Table3[[#This Row],[Adjusted Population]]</f>
        <v>106084.69483568074</v>
      </c>
      <c r="O9" s="9">
        <f>LN(Table3[[#This Row],[NSDP Current Per Capita]])</f>
        <v>11.571993061941116</v>
      </c>
      <c r="P9" s="9">
        <v>100</v>
      </c>
    </row>
    <row r="10" spans="1:16" x14ac:dyDescent="0.2">
      <c r="A10" s="4" t="s">
        <v>11</v>
      </c>
      <c r="B10" s="9">
        <v>289756.21999999997</v>
      </c>
      <c r="C10" s="4">
        <v>25922</v>
      </c>
      <c r="D10" s="9">
        <v>2.5922000000000001</v>
      </c>
      <c r="E10" s="9">
        <f>Table2[[#This Row],[NSDP Haryana INR Crore(Constant, Base Price = 2011-12)]]/Table2[[#This Row],[Adjusted Population]]</f>
        <v>111780.04012036107</v>
      </c>
      <c r="F10" s="9">
        <f>LN(Table2[[#This Row],[NSDP Constant Per Capita]])</f>
        <v>11.624288291746161</v>
      </c>
      <c r="H10" s="11" t="s">
        <v>11</v>
      </c>
      <c r="I10" s="4">
        <v>9</v>
      </c>
      <c r="K10" s="9">
        <v>314353.02</v>
      </c>
      <c r="L10" s="5">
        <v>25922</v>
      </c>
      <c r="M10" s="12">
        <v>2.5922000000000001</v>
      </c>
      <c r="N10" s="9">
        <f>Table3[[#This Row],[NSDP Current Prices (INR Crore) (Base Price- 20-11-12)]]/Table3[[#This Row],[Adjusted Population]]</f>
        <v>121268.81413471184</v>
      </c>
      <c r="O10" s="9">
        <f>LN(Table3[[#This Row],[NSDP Current Per Capita]])</f>
        <v>11.705764964883736</v>
      </c>
      <c r="P10" s="9">
        <f>Table26[[#This Row],[NSDP Current Prices (INR Crore) (Base Price- 20-11-12)]]/Table26[[#This Row],[NSDP Haryana INR Crore(Constant, Base Price = 2011-12)]] *100</f>
        <v>108.48879102578024</v>
      </c>
    </row>
    <row r="11" spans="1:16" x14ac:dyDescent="0.2">
      <c r="A11" s="4" t="s">
        <v>10</v>
      </c>
      <c r="B11" s="9">
        <v>314931.20000000001</v>
      </c>
      <c r="C11" s="4">
        <v>26290</v>
      </c>
      <c r="D11" s="9">
        <v>2.629</v>
      </c>
      <c r="E11" s="9">
        <f>Table2[[#This Row],[NSDP Haryana INR Crore(Constant, Base Price = 2011-12)]]/Table2[[#This Row],[Adjusted Population]]</f>
        <v>119791.25142639788</v>
      </c>
      <c r="F11" s="9">
        <f>LN(Table2[[#This Row],[NSDP Constant Per Capita]])</f>
        <v>11.693505935506087</v>
      </c>
      <c r="H11" s="13" t="s">
        <v>10</v>
      </c>
      <c r="I11" s="4">
        <v>10</v>
      </c>
      <c r="K11" s="9">
        <v>362196.41</v>
      </c>
      <c r="L11" s="7">
        <v>26290</v>
      </c>
      <c r="M11" s="14">
        <v>2.629</v>
      </c>
      <c r="N11" s="9">
        <f>Table3[[#This Row],[NSDP Current Prices (INR Crore) (Base Price- 20-11-12)]]/Table3[[#This Row],[Adjusted Population]]</f>
        <v>137769.6500570559</v>
      </c>
      <c r="O11" s="9">
        <f>LN(Table3[[#This Row],[NSDP Current Per Capita]])</f>
        <v>11.833338366983563</v>
      </c>
      <c r="P11" s="9">
        <f>Table26[[#This Row],[NSDP Current Prices (INR Crore) (Base Price- 20-11-12)]]/Table26[[#This Row],[NSDP Haryana INR Crore(Constant, Base Price = 2011-12)]] *100</f>
        <v>115.00810653247437</v>
      </c>
    </row>
    <row r="12" spans="1:16" x14ac:dyDescent="0.2">
      <c r="A12" s="4" t="s">
        <v>9</v>
      </c>
      <c r="B12" s="9">
        <v>333359.25</v>
      </c>
      <c r="C12" s="4">
        <v>26662</v>
      </c>
      <c r="D12" s="9">
        <v>2.6661999999999999</v>
      </c>
      <c r="E12" s="9">
        <f>Table2[[#This Row],[NSDP Haryana INR Crore(Constant, Base Price = 2011-12)]]/Table2[[#This Row],[Adjusted Population]]</f>
        <v>125031.59927987398</v>
      </c>
      <c r="F12" s="9">
        <f>LN(Table2[[#This Row],[NSDP Constant Per Capita]])</f>
        <v>11.73632177857635</v>
      </c>
      <c r="H12" s="11" t="s">
        <v>9</v>
      </c>
      <c r="I12" s="4">
        <v>11</v>
      </c>
      <c r="K12" s="9">
        <v>392950.19</v>
      </c>
      <c r="L12" s="5">
        <v>26662</v>
      </c>
      <c r="M12" s="12">
        <v>2.6661999999999999</v>
      </c>
      <c r="N12" s="9">
        <f>Table3[[#This Row],[NSDP Current Prices (INR Crore) (Base Price- 20-11-12)]]/Table3[[#This Row],[Adjusted Population]]</f>
        <v>147382.11311979598</v>
      </c>
      <c r="O12" s="9">
        <f>LN(Table3[[#This Row],[NSDP Current Per Capita]])</f>
        <v>11.900783902118841</v>
      </c>
      <c r="P12" s="9">
        <f>Table26[[#This Row],[NSDP Current Prices (INR Crore) (Base Price- 20-11-12)]]/Table26[[#This Row],[NSDP Haryana INR Crore(Constant, Base Price = 2011-12)]] *100</f>
        <v>117.87589214938538</v>
      </c>
    </row>
    <row r="13" spans="1:16" x14ac:dyDescent="0.2">
      <c r="A13" s="4" t="s">
        <v>8</v>
      </c>
      <c r="B13" s="9">
        <v>372700.25</v>
      </c>
      <c r="C13" s="4">
        <v>27040</v>
      </c>
      <c r="D13" s="9">
        <v>2.7040000000000002</v>
      </c>
      <c r="E13" s="9">
        <f>Table2[[#This Row],[NSDP Haryana INR Crore(Constant, Base Price = 2011-12)]]/Table2[[#This Row],[Adjusted Population]]</f>
        <v>137832.93269230769</v>
      </c>
      <c r="F13" s="9">
        <f>LN(Table2[[#This Row],[NSDP Constant Per Capita]])</f>
        <v>11.833797598067196</v>
      </c>
      <c r="H13" s="13" t="s">
        <v>8</v>
      </c>
      <c r="I13" s="4">
        <v>12</v>
      </c>
      <c r="K13" s="9">
        <v>446059.02</v>
      </c>
      <c r="L13" s="7">
        <v>27040</v>
      </c>
      <c r="M13" s="14">
        <v>2.7040000000000002</v>
      </c>
      <c r="N13" s="9">
        <f>Table3[[#This Row],[NSDP Current Prices (INR Crore) (Base Price- 20-11-12)]]/Table3[[#This Row],[Adjusted Population]]</f>
        <v>164962.65532544377</v>
      </c>
      <c r="O13" s="9">
        <f>LN(Table3[[#This Row],[NSDP Current Per Capita]])</f>
        <v>12.013474395904963</v>
      </c>
      <c r="P13" s="9">
        <f>Table26[[#This Row],[NSDP Current Prices (INR Crore) (Base Price- 20-11-12)]]/Table26[[#This Row],[NSDP Haryana INR Crore(Constant, Base Price = 2011-12)]] *100</f>
        <v>119.68304824050963</v>
      </c>
    </row>
    <row r="14" spans="1:16" x14ac:dyDescent="0.2">
      <c r="A14" s="4" t="s">
        <v>7</v>
      </c>
      <c r="B14" s="9">
        <v>412054.62</v>
      </c>
      <c r="C14" s="4">
        <v>27423</v>
      </c>
      <c r="D14" s="9">
        <v>2.7423000000000002</v>
      </c>
      <c r="E14" s="9">
        <f>Table2[[#This Row],[NSDP Haryana INR Crore(Constant, Base Price = 2011-12)]]/Table2[[#This Row],[Adjusted Population]]</f>
        <v>150258.76818728802</v>
      </c>
      <c r="F14" s="9">
        <f>LN(Table2[[#This Row],[NSDP Constant Per Capita]])</f>
        <v>11.920114208014452</v>
      </c>
      <c r="H14" s="11" t="s">
        <v>7</v>
      </c>
      <c r="I14" s="4">
        <v>13</v>
      </c>
      <c r="K14" s="9">
        <v>507276.15</v>
      </c>
      <c r="L14" s="5">
        <v>27423</v>
      </c>
      <c r="M14" s="12">
        <v>2.7423000000000002</v>
      </c>
      <c r="N14" s="9">
        <f>Table3[[#This Row],[NSDP Current Prices (INR Crore) (Base Price- 20-11-12)]]/Table3[[#This Row],[Adjusted Population]]</f>
        <v>184982.0041570944</v>
      </c>
      <c r="O14" s="9">
        <f>LN(Table3[[#This Row],[NSDP Current Per Capita]])</f>
        <v>12.128013824502442</v>
      </c>
      <c r="P14" s="9">
        <f>Table26[[#This Row],[NSDP Current Prices (INR Crore) (Base Price- 20-11-12)]]/Table26[[#This Row],[NSDP Haryana INR Crore(Constant, Base Price = 2011-12)]] *100</f>
        <v>123.10895822500424</v>
      </c>
    </row>
    <row r="15" spans="1:16" x14ac:dyDescent="0.2">
      <c r="A15" s="4" t="s">
        <v>6</v>
      </c>
      <c r="B15" s="9">
        <v>434407.28</v>
      </c>
      <c r="C15" s="4">
        <v>27811</v>
      </c>
      <c r="D15" s="9">
        <v>2.7810999999999999</v>
      </c>
      <c r="E15" s="9">
        <f>Table2[[#This Row],[NSDP Haryana INR Crore(Constant, Base Price = 2011-12)]]/Table2[[#This Row],[Adjusted Population]]</f>
        <v>156199.80583222467</v>
      </c>
      <c r="F15" s="9">
        <f>LN(Table2[[#This Row],[NSDP Constant Per Capita]])</f>
        <v>11.958891273315405</v>
      </c>
      <c r="H15" s="13" t="s">
        <v>6</v>
      </c>
      <c r="I15" s="4">
        <v>14</v>
      </c>
      <c r="K15" s="9">
        <v>579684.9</v>
      </c>
      <c r="L15" s="7">
        <v>27811</v>
      </c>
      <c r="M15" s="14">
        <v>2.7810999999999999</v>
      </c>
      <c r="N15" s="9">
        <f>Table3[[#This Row],[NSDP Current Prices (INR Crore) (Base Price- 20-11-12)]]/Table3[[#This Row],[Adjusted Population]]</f>
        <v>208437.27302146633</v>
      </c>
      <c r="O15" s="9">
        <f>LN(Table3[[#This Row],[NSDP Current Per Capita]])</f>
        <v>12.247393426139002</v>
      </c>
      <c r="P15" s="9">
        <f>Table26[[#This Row],[NSDP Current Prices (INR Crore) (Base Price- 20-11-12)]]/Table26[[#This Row],[NSDP Haryana INR Crore(Constant, Base Price = 2011-12)]] *100</f>
        <v>133.44272223062191</v>
      </c>
    </row>
    <row r="16" spans="1:16" x14ac:dyDescent="0.2">
      <c r="A16" s="4" t="s">
        <v>5</v>
      </c>
      <c r="B16" s="9">
        <v>478383.74</v>
      </c>
      <c r="C16" s="4">
        <v>28206</v>
      </c>
      <c r="D16" s="9">
        <v>2.8206000000000002</v>
      </c>
      <c r="E16" s="9">
        <f>Table2[[#This Row],[NSDP Haryana INR Crore(Constant, Base Price = 2011-12)]]/Table2[[#This Row],[Adjusted Population]]</f>
        <v>169603.53825427213</v>
      </c>
      <c r="F16" s="9">
        <f>LN(Table2[[#This Row],[NSDP Constant Per Capita]])</f>
        <v>12.041218864470627</v>
      </c>
      <c r="H16" s="11" t="s">
        <v>5</v>
      </c>
      <c r="I16" s="4">
        <v>15</v>
      </c>
      <c r="K16" s="9">
        <v>629054.59</v>
      </c>
      <c r="L16" s="5">
        <v>28206</v>
      </c>
      <c r="M16" s="12">
        <v>2.8206000000000002</v>
      </c>
      <c r="N16" s="9">
        <f>Table3[[#This Row],[NSDP Current Prices (INR Crore) (Base Price- 20-11-12)]]/Table3[[#This Row],[Adjusted Population]]</f>
        <v>223021.55215202435</v>
      </c>
      <c r="O16" s="9">
        <f>LN(Table3[[#This Row],[NSDP Current Per Capita]])</f>
        <v>12.315023692193925</v>
      </c>
      <c r="P16" s="9">
        <f>Table26[[#This Row],[NSDP Current Prices (INR Crore) (Base Price- 20-11-12)]]/Table26[[#This Row],[NSDP Haryana INR Crore(Constant, Base Price = 2011-12)]] *100</f>
        <v>131.49581338195148</v>
      </c>
    </row>
    <row r="17" spans="1:16" x14ac:dyDescent="0.2">
      <c r="A17" s="4" t="s">
        <v>4</v>
      </c>
      <c r="B17" s="9">
        <v>488489.63</v>
      </c>
      <c r="C17" s="4">
        <v>28206</v>
      </c>
      <c r="D17" s="9">
        <v>2.8206000000000002</v>
      </c>
      <c r="E17" s="9">
        <f>Table2[[#This Row],[NSDP Haryana INR Crore(Constant, Base Price = 2011-12)]]/Table2[[#This Row],[Adjusted Population]]</f>
        <v>173186.42487414024</v>
      </c>
      <c r="F17" s="9">
        <f>LN(Table2[[#This Row],[NSDP Constant Per Capita]])</f>
        <v>12.062123893713904</v>
      </c>
      <c r="H17" s="13" t="s">
        <v>4</v>
      </c>
      <c r="I17" s="4">
        <v>16</v>
      </c>
      <c r="K17" s="9">
        <v>665176.72</v>
      </c>
      <c r="L17" s="7">
        <v>28206</v>
      </c>
      <c r="M17" s="14">
        <v>2.8206000000000002</v>
      </c>
      <c r="N17" s="9">
        <f>Table3[[#This Row],[NSDP Current Prices (INR Crore) (Base Price- 20-11-12)]]/Table3[[#This Row],[Adjusted Population]]</f>
        <v>235828.09331347936</v>
      </c>
      <c r="O17" s="9">
        <f>LN(Table3[[#This Row],[NSDP Current Per Capita]])</f>
        <v>12.370858400419111</v>
      </c>
      <c r="P17" s="9">
        <f>Table26[[#This Row],[NSDP Current Prices (INR Crore) (Base Price- 20-11-12)]]/Table26[[#This Row],[NSDP Haryana INR Crore(Constant, Base Price = 2011-12)]] *100</f>
        <v>136.17008000763497</v>
      </c>
    </row>
    <row r="18" spans="1:16" x14ac:dyDescent="0.2">
      <c r="A18" s="4" t="s">
        <v>3</v>
      </c>
      <c r="B18" s="9">
        <v>437351.26</v>
      </c>
      <c r="C18" s="4">
        <v>29011</v>
      </c>
      <c r="D18" s="9">
        <v>2.9011</v>
      </c>
      <c r="E18" s="9">
        <f>Table2[[#This Row],[NSDP Haryana INR Crore(Constant, Base Price = 2011-12)]]/Table2[[#This Row],[Adjusted Population]]</f>
        <v>150753.59691151633</v>
      </c>
      <c r="F18" s="9">
        <f>LN(Table2[[#This Row],[NSDP Constant Per Capita]])</f>
        <v>11.923401974414345</v>
      </c>
      <c r="H18" s="11" t="s">
        <v>3</v>
      </c>
      <c r="I18" s="4">
        <v>17</v>
      </c>
      <c r="K18" s="9">
        <v>651548.66</v>
      </c>
      <c r="L18" s="5">
        <v>29011</v>
      </c>
      <c r="M18" s="12">
        <v>2.9011</v>
      </c>
      <c r="N18" s="9">
        <f>Table3[[#This Row],[NSDP Current Prices (INR Crore) (Base Price- 20-11-12)]]/Table3[[#This Row],[Adjusted Population]]</f>
        <v>224586.76364137742</v>
      </c>
      <c r="O18" s="9">
        <f>LN(Table3[[#This Row],[NSDP Current Per Capita]])</f>
        <v>12.322017386519484</v>
      </c>
      <c r="P18" s="9">
        <f>Table26[[#This Row],[NSDP Current Prices (INR Crore) (Base Price- 20-11-12)]]/Table26[[#This Row],[NSDP Haryana INR Crore(Constant, Base Price = 2011-12)]] *100</f>
        <v>148.97605645402737</v>
      </c>
    </row>
    <row r="19" spans="1:16" x14ac:dyDescent="0.2">
      <c r="A19" s="4" t="s">
        <v>2</v>
      </c>
      <c r="B19" s="9">
        <v>480417.14</v>
      </c>
      <c r="C19" s="4">
        <v>29422</v>
      </c>
      <c r="D19" s="9">
        <v>2.9422000000000001</v>
      </c>
      <c r="E19" s="9">
        <f>Table2[[#This Row],[NSDP Haryana INR Crore(Constant, Base Price = 2011-12)]]/Table2[[#This Row],[Adjusted Population]]</f>
        <v>163285.00441846237</v>
      </c>
      <c r="F19" s="9">
        <f>LN(Table2[[#This Row],[NSDP Constant Per Capita]])</f>
        <v>12.00325244631869</v>
      </c>
      <c r="H19" s="13" t="s">
        <v>2</v>
      </c>
      <c r="I19" s="4">
        <v>18</v>
      </c>
      <c r="K19" s="9">
        <v>778884.62</v>
      </c>
      <c r="L19" s="7">
        <v>29422</v>
      </c>
      <c r="M19" s="14">
        <v>2.9422000000000001</v>
      </c>
      <c r="N19" s="9">
        <f>Table3[[#This Row],[NSDP Current Prices (INR Crore) (Base Price- 20-11-12)]]/Table3[[#This Row],[Adjusted Population]]</f>
        <v>264728.64523145946</v>
      </c>
      <c r="O19" s="9">
        <f>LN(Table3[[#This Row],[NSDP Current Per Capita]])</f>
        <v>12.486460600083763</v>
      </c>
      <c r="P19" s="9">
        <f>Table26[[#This Row],[NSDP Current Prices (INR Crore) (Base Price- 20-11-12)]]/Table26[[#This Row],[NSDP Haryana INR Crore(Constant, Base Price = 2011-12)]] *100</f>
        <v>162.12673427929735</v>
      </c>
    </row>
    <row r="20" spans="1:16" x14ac:dyDescent="0.2">
      <c r="A20" s="4" t="s">
        <v>1</v>
      </c>
      <c r="B20" s="9">
        <v>519134.97</v>
      </c>
      <c r="C20" s="4">
        <v>29840</v>
      </c>
      <c r="D20" s="9">
        <v>2.984</v>
      </c>
      <c r="E20" s="9">
        <f>Table2[[#This Row],[NSDP Haryana INR Crore(Constant, Base Price = 2011-12)]]/Table2[[#This Row],[Adjusted Population]]</f>
        <v>173972.84517426274</v>
      </c>
      <c r="F20" s="9">
        <f>LN(Table2[[#This Row],[NSDP Constant Per Capita]])</f>
        <v>12.066654503800811</v>
      </c>
      <c r="H20" s="11" t="s">
        <v>1</v>
      </c>
      <c r="I20" s="4">
        <v>19</v>
      </c>
      <c r="K20" s="9">
        <v>885029.37</v>
      </c>
      <c r="L20" s="5">
        <v>29840</v>
      </c>
      <c r="M20" s="12">
        <v>2.984</v>
      </c>
      <c r="N20" s="9">
        <f>Table3[[#This Row],[NSDP Current Prices (INR Crore) (Base Price- 20-11-12)]]/Table3[[#This Row],[Adjusted Population]]</f>
        <v>296591.61193029489</v>
      </c>
      <c r="O20" s="9">
        <f>LN(Table3[[#This Row],[NSDP Current Per Capita]])</f>
        <v>12.600111427538572</v>
      </c>
      <c r="P20" s="9">
        <f>Table26[[#This Row],[NSDP Current Prices (INR Crore) (Base Price- 20-11-12)]]/Table26[[#This Row],[NSDP Haryana INR Crore(Constant, Base Price = 2011-12)]] *100</f>
        <v>170.48155511465546</v>
      </c>
    </row>
    <row r="24" spans="1:16" x14ac:dyDescent="0.2">
      <c r="B24" s="4" t="s">
        <v>68</v>
      </c>
      <c r="C24" s="4">
        <f>271152.48/158522.49</f>
        <v>1.7104984914127956</v>
      </c>
    </row>
    <row r="25" spans="1:16" x14ac:dyDescent="0.2">
      <c r="B25" s="4" t="s">
        <v>67</v>
      </c>
      <c r="C25" s="4">
        <v>0.97399999999999998</v>
      </c>
    </row>
    <row r="32" spans="1:16" x14ac:dyDescent="0.2">
      <c r="B32" s="15" t="s">
        <v>22</v>
      </c>
    </row>
    <row r="33" spans="2:2" x14ac:dyDescent="0.2">
      <c r="B33" s="15" t="s">
        <v>23</v>
      </c>
    </row>
  </sheetData>
  <hyperlinks>
    <hyperlink ref="B33" r:id="rId1" xr:uid="{29A4B692-CEB2-5C45-A395-EE196BF9CA2D}"/>
    <hyperlink ref="B32" r:id="rId2" xr:uid="{167BA6DE-0BFC-C54D-9C64-32A8FB1FCC7E}"/>
  </hyperlinks>
  <pageMargins left="0.7" right="0.7" top="0.75" bottom="0.75" header="0.3" footer="0.3"/>
  <pageSetup paperSize="9" orientation="portrait" horizontalDpi="0" verticalDpi="0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6A08-7C0A-C140-953F-0836DFF81E79}">
  <dimension ref="A1:Q26"/>
  <sheetViews>
    <sheetView zoomScale="50" zoomScaleNormal="50" workbookViewId="0">
      <selection activeCell="H46" sqref="H46"/>
    </sheetView>
  </sheetViews>
  <sheetFormatPr baseColWidth="10" defaultRowHeight="16" x14ac:dyDescent="0.2"/>
  <cols>
    <col min="1" max="1" width="10.83203125" style="4"/>
    <col min="2" max="2" width="50.83203125" style="4" customWidth="1"/>
    <col min="3" max="3" width="54.1640625" style="4" customWidth="1"/>
    <col min="4" max="4" width="30.1640625" style="4" bestFit="1" customWidth="1"/>
    <col min="5" max="5" width="19.6640625" style="4" bestFit="1" customWidth="1"/>
    <col min="6" max="6" width="22.83203125" style="4" bestFit="1" customWidth="1"/>
    <col min="7" max="7" width="55.1640625" style="4" bestFit="1" customWidth="1"/>
    <col min="8" max="8" width="58.6640625" style="4" bestFit="1" customWidth="1"/>
    <col min="9" max="9" width="17.33203125" style="4" bestFit="1" customWidth="1"/>
    <col min="10" max="10" width="30.83203125" style="4" bestFit="1" customWidth="1"/>
    <col min="11" max="11" width="33.5" style="4" bestFit="1" customWidth="1"/>
    <col min="12" max="12" width="48.83203125" style="4" bestFit="1" customWidth="1"/>
    <col min="13" max="13" width="51.83203125" style="4" bestFit="1" customWidth="1"/>
    <col min="14" max="14" width="58" style="4" bestFit="1" customWidth="1"/>
    <col min="15" max="15" width="62.83203125" style="4" bestFit="1" customWidth="1"/>
    <col min="16" max="16" width="27.6640625" style="4" bestFit="1" customWidth="1"/>
    <col min="17" max="17" width="30.83203125" style="4" bestFit="1" customWidth="1"/>
    <col min="18" max="16384" width="10.83203125" style="4"/>
  </cols>
  <sheetData>
    <row r="1" spans="1:17" x14ac:dyDescent="0.2">
      <c r="A1" s="3" t="s">
        <v>0</v>
      </c>
      <c r="B1" s="4" t="s">
        <v>64</v>
      </c>
      <c r="C1" s="4" t="s">
        <v>65</v>
      </c>
      <c r="D1" s="4" t="s">
        <v>79</v>
      </c>
      <c r="E1" s="4" t="s">
        <v>21</v>
      </c>
      <c r="F1" s="4" t="s">
        <v>24</v>
      </c>
      <c r="G1" s="4" t="s">
        <v>82</v>
      </c>
      <c r="H1" s="4" t="s">
        <v>83</v>
      </c>
      <c r="I1" s="4" t="s">
        <v>54</v>
      </c>
      <c r="J1" s="4" t="s">
        <v>117</v>
      </c>
      <c r="K1" s="4" t="s">
        <v>118</v>
      </c>
      <c r="L1" s="4" t="s">
        <v>120</v>
      </c>
      <c r="M1" s="4" t="s">
        <v>119</v>
      </c>
      <c r="N1" s="4" t="s">
        <v>122</v>
      </c>
      <c r="O1" s="4" t="s">
        <v>123</v>
      </c>
      <c r="P1" s="4" t="s">
        <v>124</v>
      </c>
      <c r="Q1" s="4" t="s">
        <v>125</v>
      </c>
    </row>
    <row r="2" spans="1:17" x14ac:dyDescent="0.2">
      <c r="A2" s="5" t="s">
        <v>19</v>
      </c>
      <c r="B2" s="6">
        <f>2651573* 0.9606915275</f>
        <v>2547343.7156477575</v>
      </c>
      <c r="C2" s="6">
        <f>2922318*H26</f>
        <v>4565248.4286336489</v>
      </c>
      <c r="D2" s="6">
        <f>B2/C2*100</f>
        <v>55.798578225679648</v>
      </c>
      <c r="E2" s="4">
        <v>1135992</v>
      </c>
      <c r="F2" s="4">
        <f>Table1[[#This Row],[Population (000)]]/100000</f>
        <v>11.359920000000001</v>
      </c>
      <c r="G2" s="4">
        <f>Table1[[#This Row],[All-India NDP (Constant Prices) (INR Crore) (Base 2011-2012)]]/Table1[[#This Row],[Adjusted Population]]</f>
        <v>401873.29036064062</v>
      </c>
      <c r="H2" s="4">
        <f>LN(Table1[[#This Row],[All-India NDP Per Capita (Constant Prices) (Base 2011-12)]])</f>
        <v>12.903892119807935</v>
      </c>
      <c r="I2" s="4">
        <v>1</v>
      </c>
      <c r="J2" s="4">
        <v>306013</v>
      </c>
      <c r="K2" s="4">
        <v>384351</v>
      </c>
      <c r="L2" s="9">
        <f>Table1[[#This Row],[Revenue Receipts (INR Crore)]]/Table1[[#This Row],[NDP Deflator (2011-12 base)]]*100</f>
        <v>548424.36802299484</v>
      </c>
      <c r="M2" s="9">
        <f>Table1[[#This Row],[Revenue Expenditure (INR Crore)]]/Table1[[#This Row],[NDP Deflator (2011-12 base)]]*100</f>
        <v>688818.6262479244</v>
      </c>
      <c r="N2" s="9">
        <f>Table1[[#This Row],[Revenue Receipts (INR Crore) (Base Price- 2011)]]/Table1[[#This Row],[Adjusted Population]]</f>
        <v>48277.1329395801</v>
      </c>
      <c r="O2" s="9">
        <f>Table1[[#This Row],[Revenue Expenditure (INR Crore) (Base Price- 2011-12]]/Table1[[#This Row],[Adjusted Population]]</f>
        <v>60635.869464567033</v>
      </c>
      <c r="P2" s="9">
        <f>Table1[[#This Row],[Revenue Receipts (INR Crore) (Base Price- 2011)]]/Table1[[#This Row],[All-India NDP (Constant Prices) (INR Crore) (Base 2011-2012)]]*100</f>
        <v>12.013023531933726</v>
      </c>
      <c r="Q2" s="9">
        <f>Table1[[#This Row],[Revenue Expenditure (INR Crore) (Base Price- 2011-12]]/Table1[[#This Row],[All-India NDP (Constant Prices) (INR Crore) (Base 2011-2012)]]*100</f>
        <v>15.088305423371748</v>
      </c>
    </row>
    <row r="3" spans="1:17" x14ac:dyDescent="0.2">
      <c r="A3" s="7" t="s">
        <v>18</v>
      </c>
      <c r="B3" s="6">
        <f>3026782*0.9606915275</f>
        <v>2907803.8229895048</v>
      </c>
      <c r="C3" s="6">
        <f>3192351*H26</f>
        <v>4987094.2814563848</v>
      </c>
      <c r="D3" s="6">
        <f t="shared" ref="D3:D20" si="0">B3/C3*100</f>
        <v>58.306574106722856</v>
      </c>
      <c r="E3" s="4">
        <v>1154676</v>
      </c>
      <c r="F3" s="4">
        <f>Table1[[#This Row],[Population (000)]]/100000</f>
        <v>11.546760000000001</v>
      </c>
      <c r="G3" s="4">
        <f>Table1[[#This Row],[All-India NDP (Constant Prices) (INR Crore) (Base 2011-2012)]]/Table1[[#This Row],[Adjusted Population]]</f>
        <v>431904.21221679368</v>
      </c>
      <c r="H3" s="4">
        <f>LN(Table1[[#This Row],[All-India NDP Per Capita (Constant Prices) (Base 2011-12)]])</f>
        <v>12.975959111660655</v>
      </c>
      <c r="I3" s="4">
        <v>2</v>
      </c>
      <c r="J3" s="4">
        <v>347462</v>
      </c>
      <c r="K3" s="4">
        <v>439761</v>
      </c>
      <c r="L3" s="9">
        <f>Table1[[#This Row],[Revenue Receipts (INR Crore)]]/Table1[[#This Row],[NDP Deflator (2011-12 base)]]*100</f>
        <v>595922.51015128149</v>
      </c>
      <c r="M3" s="9">
        <f>Table1[[#This Row],[Revenue Expenditure (INR Crore)]]/Table1[[#This Row],[NDP Deflator (2011-12 base)]]*100</f>
        <v>754221.98394828127</v>
      </c>
      <c r="N3" s="9">
        <f>Table1[[#This Row],[Revenue Receipts (INR Crore) (Base Price- 2011)]]/Table1[[#This Row],[Adjusted Population]]</f>
        <v>51609.499994048674</v>
      </c>
      <c r="O3" s="9">
        <f>Table1[[#This Row],[Revenue Expenditure (INR Crore) (Base Price- 2011-12]]/Table1[[#This Row],[Adjusted Population]]</f>
        <v>65318.927902570176</v>
      </c>
      <c r="P3" s="9">
        <f>Table1[[#This Row],[Revenue Receipts (INR Crore) (Base Price- 2011)]]/Table1[[#This Row],[All-India NDP (Constant Prices) (INR Crore) (Base 2011-2012)]]*100</f>
        <v>11.949293045593953</v>
      </c>
      <c r="Q3" s="9">
        <f>Table1[[#This Row],[Revenue Expenditure (INR Crore) (Base Price- 2011-12]]/Table1[[#This Row],[All-India NDP (Constant Prices) (INR Crore) (Base 2011-2012)]]*100</f>
        <v>15.123475542716736</v>
      </c>
    </row>
    <row r="4" spans="1:17" x14ac:dyDescent="0.2">
      <c r="A4" s="5" t="s">
        <v>17</v>
      </c>
      <c r="B4" s="6">
        <f>3534547*0.9606915275</f>
        <v>3395609.3564505423</v>
      </c>
      <c r="C4" s="6">
        <f>3485789*H26</f>
        <v>5445503.4513008026</v>
      </c>
      <c r="D4" s="6">
        <f t="shared" si="0"/>
        <v>62.356206121573777</v>
      </c>
      <c r="E4" s="4">
        <v>1172879</v>
      </c>
      <c r="F4" s="4">
        <f>Table1[[#This Row],[Population (000)]]/100000</f>
        <v>11.72879</v>
      </c>
      <c r="G4" s="4">
        <f>Table1[[#This Row],[All-India NDP (Constant Prices) (INR Crore) (Base 2011-2012)]]/Table1[[#This Row],[Adjusted Population]]</f>
        <v>464285.18639184459</v>
      </c>
      <c r="H4" s="4">
        <f>LN(Table1[[#This Row],[All-India NDP Per Capita (Constant Prices) (Base 2011-12)]])</f>
        <v>13.04825426824778</v>
      </c>
      <c r="I4" s="4">
        <v>3</v>
      </c>
      <c r="J4" s="4">
        <v>434387</v>
      </c>
      <c r="K4" s="4">
        <v>514609</v>
      </c>
      <c r="L4" s="9">
        <f>Table1[[#This Row],[Revenue Receipts (INR Crore)]]/Table1[[#This Row],[NDP Deflator (2011-12 base)]]*100</f>
        <v>696621.91948158364</v>
      </c>
      <c r="M4" s="9">
        <f>Table1[[#This Row],[Revenue Expenditure (INR Crore)]]/Table1[[#This Row],[NDP Deflator (2011-12 base)]]*100</f>
        <v>825273.10753429157</v>
      </c>
      <c r="N4" s="9">
        <f>Table1[[#This Row],[Revenue Receipts (INR Crore) (Base Price- 2011)]]/Table1[[#This Row],[Adjusted Population]]</f>
        <v>59394.18469267364</v>
      </c>
      <c r="O4" s="9">
        <f>Table1[[#This Row],[Revenue Expenditure (INR Crore) (Base Price- 2011-12]]/Table1[[#This Row],[Adjusted Population]]</f>
        <v>70363.021891797151</v>
      </c>
      <c r="P4" s="9">
        <f>Table1[[#This Row],[Revenue Receipts (INR Crore) (Base Price- 2011)]]/Table1[[#This Row],[All-India NDP (Constant Prices) (INR Crore) (Base 2011-2012)]]*100</f>
        <v>12.792608171337713</v>
      </c>
      <c r="Q4" s="9">
        <f>Table1[[#This Row],[Revenue Expenditure (INR Crore) (Base Price- 2011-12]]/Table1[[#This Row],[All-India NDP (Constant Prices) (INR Crore) (Base 2011-2012)]]*100</f>
        <v>15.155129638879455</v>
      </c>
    </row>
    <row r="5" spans="1:17" x14ac:dyDescent="0.2">
      <c r="A5" s="7" t="s">
        <v>16</v>
      </c>
      <c r="B5" s="6">
        <f>4097390*0.9606915275</f>
        <v>3936327.857863225</v>
      </c>
      <c r="C5" s="6">
        <f>3823319*H26</f>
        <v>5972793.1925667142</v>
      </c>
      <c r="D5" s="6">
        <f t="shared" si="0"/>
        <v>65.904305254735434</v>
      </c>
      <c r="E5" s="4">
        <v>1190676</v>
      </c>
      <c r="F5" s="4">
        <f>Table1[[#This Row],[Population (000)]]/100000</f>
        <v>11.90676</v>
      </c>
      <c r="G5" s="4">
        <f>Table1[[#This Row],[All-India NDP (Constant Prices) (INR Crore) (Base 2011-2012)]]/Table1[[#This Row],[Adjusted Population]]</f>
        <v>501630.43452347355</v>
      </c>
      <c r="H5" s="4">
        <f>LN(Table1[[#This Row],[All-India NDP Per Capita (Constant Prices) (Base 2011-12)]])</f>
        <v>13.12561894134751</v>
      </c>
      <c r="I5" s="4">
        <v>4</v>
      </c>
      <c r="J5" s="4">
        <v>541864</v>
      </c>
      <c r="K5" s="4">
        <v>594433</v>
      </c>
      <c r="L5" s="9">
        <f>Table1[[#This Row],[Revenue Receipts (INR Crore)]]/Table1[[#This Row],[NDP Deflator (2011-12 base)]]*100</f>
        <v>822198.18250957946</v>
      </c>
      <c r="M5" s="9">
        <f>Table1[[#This Row],[Revenue Expenditure (INR Crore)]]/Table1[[#This Row],[NDP Deflator (2011-12 base)]]*100</f>
        <v>901963.83635693986</v>
      </c>
      <c r="N5" s="9">
        <f>Table1[[#This Row],[Revenue Receipts (INR Crore) (Base Price- 2011)]]/Table1[[#This Row],[Adjusted Population]]</f>
        <v>69053.057465639635</v>
      </c>
      <c r="O5" s="9">
        <f>Table1[[#This Row],[Revenue Expenditure (INR Crore) (Base Price- 2011-12]]/Table1[[#This Row],[Adjusted Population]]</f>
        <v>75752.247996679187</v>
      </c>
      <c r="P5" s="9">
        <f>Table1[[#This Row],[Revenue Receipts (INR Crore) (Base Price- 2011)]]/Table1[[#This Row],[All-India NDP (Constant Prices) (INR Crore) (Base 2011-2012)]]*100</f>
        <v>13.76572327220077</v>
      </c>
      <c r="Q5" s="9">
        <f>Table1[[#This Row],[Revenue Expenditure (INR Crore) (Base Price- 2011-12]]/Table1[[#This Row],[All-India NDP (Constant Prices) (INR Crore) (Base 2011-2012)]]*100</f>
        <v>15.101206542350331</v>
      </c>
    </row>
    <row r="6" spans="1:17" x14ac:dyDescent="0.2">
      <c r="A6" s="5" t="s">
        <v>15</v>
      </c>
      <c r="B6" s="6">
        <f>4738369*0.9606915275</f>
        <v>4552110.9524686476</v>
      </c>
      <c r="C6" s="6">
        <f>3947446*H26</f>
        <v>6166704.5299711339</v>
      </c>
      <c r="D6" s="6">
        <f t="shared" si="0"/>
        <v>73.81756220595112</v>
      </c>
      <c r="E6" s="4">
        <v>1207931</v>
      </c>
      <c r="F6" s="4">
        <f>Table1[[#This Row],[Population (000)]]/100000</f>
        <v>12.07931</v>
      </c>
      <c r="G6" s="4">
        <f>Table1[[#This Row],[All-India NDP (Constant Prices) (INR Crore) (Base 2011-2012)]]/Table1[[#This Row],[Adjusted Population]]</f>
        <v>510517.9459730013</v>
      </c>
      <c r="H6" s="4">
        <f>LN(Table1[[#This Row],[All-India NDP Per Capita (Constant Prices) (Base 2011-12)]])</f>
        <v>13.143181069686905</v>
      </c>
      <c r="I6" s="4">
        <v>5</v>
      </c>
      <c r="J6" s="4">
        <v>540259</v>
      </c>
      <c r="K6" s="4">
        <v>793798</v>
      </c>
      <c r="L6" s="9">
        <f>Table1[[#This Row],[Revenue Receipts (INR Crore)]]/Table1[[#This Row],[NDP Deflator (2011-12 base)]]*100</f>
        <v>731884.09892577666</v>
      </c>
      <c r="M6" s="9">
        <f>Table1[[#This Row],[Revenue Expenditure (INR Crore)]]/Table1[[#This Row],[NDP Deflator (2011-12 base)]]*100</f>
        <v>1075351.1444679007</v>
      </c>
      <c r="N6" s="9">
        <f>Table1[[#This Row],[Revenue Receipts (INR Crore) (Base Price- 2011)]]/Table1[[#This Row],[Adjusted Population]]</f>
        <v>60589.892876809739</v>
      </c>
      <c r="O6" s="9">
        <f>Table1[[#This Row],[Revenue Expenditure (INR Crore) (Base Price- 2011-12]]/Table1[[#This Row],[Adjusted Population]]</f>
        <v>89024.219468487921</v>
      </c>
      <c r="P6" s="9">
        <f>Table1[[#This Row],[Revenue Receipts (INR Crore) (Base Price- 2011)]]/Table1[[#This Row],[All-India NDP (Constant Prices) (INR Crore) (Base 2011-2012)]]*100</f>
        <v>11.868317921974487</v>
      </c>
      <c r="Q6" s="9">
        <f>Table1[[#This Row],[Revenue Expenditure (INR Crore) (Base Price- 2011-12]]/Table1[[#This Row],[All-India NDP (Constant Prices) (INR Crore) (Base 2011-2012)]]*100</f>
        <v>17.438019597688339</v>
      </c>
    </row>
    <row r="7" spans="1:17" x14ac:dyDescent="0.2">
      <c r="A7" s="7" t="s">
        <v>14</v>
      </c>
      <c r="B7" s="6">
        <f>5449104*0.9606915275</f>
        <v>5234908.04526636</v>
      </c>
      <c r="C7" s="6">
        <f>4268941 *H26</f>
        <v>6668944.3764093295</v>
      </c>
      <c r="D7" s="6">
        <f t="shared" si="0"/>
        <v>78.49680173948191</v>
      </c>
      <c r="E7" s="4">
        <v>1225525</v>
      </c>
      <c r="F7" s="4">
        <f>Table1[[#This Row],[Population (000)]]/100000</f>
        <v>12.25525</v>
      </c>
      <c r="G7" s="4">
        <f>Table1[[#This Row],[All-India NDP (Constant Prices) (INR Crore) (Base 2011-2012)]]/Table1[[#This Row],[Adjusted Population]]</f>
        <v>544170.40667545167</v>
      </c>
      <c r="H7" s="4">
        <f>LN(Table1[[#This Row],[All-India NDP Per Capita (Constant Prices) (Base 2011-12)]])</f>
        <v>13.207017724351473</v>
      </c>
      <c r="I7" s="4">
        <v>6</v>
      </c>
      <c r="J7" s="4">
        <v>573811</v>
      </c>
      <c r="K7" s="4">
        <v>911809</v>
      </c>
      <c r="L7" s="9">
        <f>Table1[[#This Row],[Revenue Receipts (INR Crore)]]/Table1[[#This Row],[NDP Deflator (2011-12 base)]]*100</f>
        <v>730999.20924725721</v>
      </c>
      <c r="M7" s="9">
        <f>Table1[[#This Row],[Revenue Expenditure (INR Crore)]]/Table1[[#This Row],[NDP Deflator (2011-12 base)]]*100</f>
        <v>1161587.4529845756</v>
      </c>
      <c r="N7" s="9">
        <f>Table1[[#This Row],[Revenue Receipts (INR Crore) (Base Price- 2011)]]/Table1[[#This Row],[Adjusted Population]]</f>
        <v>59647.841475878275</v>
      </c>
      <c r="O7" s="9">
        <f>Table1[[#This Row],[Revenue Expenditure (INR Crore) (Base Price- 2011-12]]/Table1[[#This Row],[Adjusted Population]]</f>
        <v>94782.844330762382</v>
      </c>
      <c r="P7" s="9">
        <f>Table1[[#This Row],[Revenue Receipts (INR Crore) (Base Price- 2011)]]/Table1[[#This Row],[All-India NDP (Constant Prices) (INR Crore) (Base 2011-2012)]]*100</f>
        <v>10.961243159158562</v>
      </c>
      <c r="Q7" s="9">
        <f>Table1[[#This Row],[Revenue Expenditure (INR Crore) (Base Price- 2011-12]]/Table1[[#This Row],[All-India NDP (Constant Prices) (INR Crore) (Base 2011-2012)]]*100</f>
        <v>17.417860870058625</v>
      </c>
    </row>
    <row r="8" spans="1:17" x14ac:dyDescent="0.2">
      <c r="A8" s="5" t="s">
        <v>13</v>
      </c>
      <c r="B8" s="6">
        <f>6488641*0.9606915275</f>
        <v>6233582.4336891277</v>
      </c>
      <c r="C8" s="6">
        <f>4712085*H26</f>
        <v>7361224.4258969035</v>
      </c>
      <c r="D8" s="6">
        <f t="shared" si="0"/>
        <v>84.68132572835691</v>
      </c>
      <c r="E8" s="4">
        <v>1243482</v>
      </c>
      <c r="F8" s="4">
        <f>Table1[[#This Row],[Population (000)]]/100000</f>
        <v>12.43482</v>
      </c>
      <c r="G8" s="4">
        <f>Table1[[#This Row],[All-India NDP (Constant Prices) (INR Crore) (Base 2011-2012)]]/Table1[[#This Row],[Adjusted Population]]</f>
        <v>591984.79961084307</v>
      </c>
      <c r="H8" s="4">
        <f>LN(Table1[[#This Row],[All-India NDP Per Capita (Constant Prices) (Base 2011-12)]])</f>
        <v>13.291236237203465</v>
      </c>
      <c r="I8" s="4">
        <v>7</v>
      </c>
      <c r="J8" s="4">
        <v>788471</v>
      </c>
      <c r="K8" s="4">
        <v>1040723</v>
      </c>
      <c r="L8" s="9">
        <f>Table1[[#This Row],[Revenue Receipts (INR Crore)]]/Table1[[#This Row],[NDP Deflator (2011-12 base)]]*100</f>
        <v>931103.75070092664</v>
      </c>
      <c r="M8" s="9">
        <f>Table1[[#This Row],[Revenue Expenditure (INR Crore)]]/Table1[[#This Row],[NDP Deflator (2011-12 base)]]*100</f>
        <v>1228987.6086003424</v>
      </c>
      <c r="N8" s="9">
        <f>Table1[[#This Row],[Revenue Receipts (INR Crore) (Base Price- 2011)]]/Table1[[#This Row],[Adjusted Population]]</f>
        <v>74878.747798595126</v>
      </c>
      <c r="O8" s="9">
        <f>Table1[[#This Row],[Revenue Expenditure (INR Crore) (Base Price- 2011-12]]/Table1[[#This Row],[Adjusted Population]]</f>
        <v>98834.370630241727</v>
      </c>
      <c r="P8" s="9">
        <f>Table1[[#This Row],[Revenue Receipts (INR Crore) (Base Price- 2011)]]/Table1[[#This Row],[All-India NDP (Constant Prices) (INR Crore) (Base 2011-2012)]]*100</f>
        <v>12.648761901964148</v>
      </c>
      <c r="Q8" s="9">
        <f>Table1[[#This Row],[Revenue Expenditure (INR Crore) (Base Price- 2011-12]]/Table1[[#This Row],[All-India NDP (Constant Prices) (INR Crore) (Base 2011-2012)]]*100</f>
        <v>16.695423716151687</v>
      </c>
    </row>
    <row r="9" spans="1:17" x14ac:dyDescent="0.2">
      <c r="A9" s="7" t="s">
        <v>12</v>
      </c>
      <c r="B9" s="6">
        <v>7819154</v>
      </c>
      <c r="C9" s="6">
        <v>7819154</v>
      </c>
      <c r="D9" s="6">
        <f t="shared" si="0"/>
        <v>100</v>
      </c>
      <c r="E9" s="4">
        <v>1261225</v>
      </c>
      <c r="F9" s="4">
        <f>Table1[[#This Row],[Population (000)]]/100000</f>
        <v>12.61225</v>
      </c>
      <c r="G9" s="4">
        <f>Table1[[#This Row],[All-India NDP (Constant Prices) (INR Crore) (Base 2011-2012)]]/Table1[[#This Row],[Adjusted Population]]</f>
        <v>619965.03399472742</v>
      </c>
      <c r="H9" s="4">
        <f>LN(Table1[[#This Row],[All-India NDP Per Capita (Constant Prices) (Base 2011-12)]])</f>
        <v>13.337418358648218</v>
      </c>
      <c r="I9" s="4">
        <v>8</v>
      </c>
      <c r="J9" s="4">
        <v>751437</v>
      </c>
      <c r="K9" s="4">
        <v>1145785</v>
      </c>
      <c r="L9" s="9">
        <f>Table1[[#This Row],[Revenue Receipts (INR Crore)]]/Table1[[#This Row],[NDP Deflator (2011-12 base)]]*100</f>
        <v>751437</v>
      </c>
      <c r="M9" s="9">
        <f>Table1[[#This Row],[Revenue Expenditure (INR Crore)]]/Table1[[#This Row],[NDP Deflator (2011-12 base)]]*100</f>
        <v>1145785</v>
      </c>
      <c r="N9" s="9">
        <f>Table1[[#This Row],[Revenue Receipts (INR Crore) (Base Price- 2011)]]/Table1[[#This Row],[Adjusted Population]]</f>
        <v>59579.932208765291</v>
      </c>
      <c r="O9" s="9">
        <f>Table1[[#This Row],[Revenue Expenditure (INR Crore) (Base Price- 2011-12]]/Table1[[#This Row],[Adjusted Population]]</f>
        <v>90846.993993934477</v>
      </c>
      <c r="P9" s="9">
        <f>Table1[[#This Row],[Revenue Receipts (INR Crore) (Base Price- 2011)]]/Table1[[#This Row],[All-India NDP (Constant Prices) (INR Crore) (Base 2011-2012)]]*100</f>
        <v>9.610208470123494</v>
      </c>
      <c r="Q9" s="9">
        <f>Table1[[#This Row],[Revenue Expenditure (INR Crore) (Base Price- 2011-12]]/Table1[[#This Row],[All-India NDP (Constant Prices) (INR Crore) (Base 2011-2012)]]*100</f>
        <v>14.653567380818949</v>
      </c>
    </row>
    <row r="10" spans="1:17" x14ac:dyDescent="0.2">
      <c r="A10" s="5" t="s">
        <v>11</v>
      </c>
      <c r="B10" s="6">
        <v>8883108</v>
      </c>
      <c r="C10" s="4">
        <v>8202356</v>
      </c>
      <c r="D10" s="6">
        <f t="shared" si="0"/>
        <v>108.29946907937182</v>
      </c>
      <c r="E10" s="4">
        <v>1278675</v>
      </c>
      <c r="F10" s="4">
        <f>Table1[[#This Row],[Population (000)]]/100000</f>
        <v>12.78675</v>
      </c>
      <c r="G10" s="4">
        <f>Table1[[#This Row],[All-India NDP (Constant Prices) (INR Crore) (Base 2011-2012)]]/Table1[[#This Row],[Adjusted Population]]</f>
        <v>641473.08737560362</v>
      </c>
      <c r="H10" s="4">
        <f>LN(Table1[[#This Row],[All-India NDP Per Capita (Constant Prices) (Base 2011-12)]])</f>
        <v>13.371522509508694</v>
      </c>
      <c r="I10" s="4">
        <v>9</v>
      </c>
      <c r="J10" s="4">
        <v>879232</v>
      </c>
      <c r="K10" s="4">
        <v>1243514</v>
      </c>
      <c r="L10" s="9">
        <f>Table1[[#This Row],[Revenue Receipts (INR Crore)]]/Table1[[#This Row],[NDP Deflator (2011-12 base)]]*100</f>
        <v>811852.54874667758</v>
      </c>
      <c r="M10" s="9">
        <f>Table1[[#This Row],[Revenue Expenditure (INR Crore)]]/Table1[[#This Row],[NDP Deflator (2011-12 base)]]*100</f>
        <v>1148218.0019632769</v>
      </c>
      <c r="N10" s="9">
        <f>Table1[[#This Row],[Revenue Receipts (INR Crore) (Base Price- 2011)]]/Table1[[#This Row],[Adjusted Population]]</f>
        <v>63491.704205265421</v>
      </c>
      <c r="O10" s="9">
        <f>Table1[[#This Row],[Revenue Expenditure (INR Crore) (Base Price- 2011-12]]/Table1[[#This Row],[Adjusted Population]]</f>
        <v>89797.485832074366</v>
      </c>
      <c r="P10" s="9">
        <f>Table1[[#This Row],[Revenue Receipts (INR Crore) (Base Price- 2011)]]/Table1[[#This Row],[All-India NDP (Constant Prices) (INR Crore) (Base 2011-2012)]]*100</f>
        <v>9.8977970322999589</v>
      </c>
      <c r="Q10" s="9">
        <f>Table1[[#This Row],[Revenue Expenditure (INR Crore) (Base Price- 2011-12]]/Table1[[#This Row],[All-India NDP (Constant Prices) (INR Crore) (Base 2011-2012)]]*100</f>
        <v>13.998636513256397</v>
      </c>
    </row>
    <row r="11" spans="1:17" x14ac:dyDescent="0.2">
      <c r="A11" s="7" t="s">
        <v>10</v>
      </c>
      <c r="B11" s="6">
        <v>10037547</v>
      </c>
      <c r="C11" s="4">
        <v>8700760</v>
      </c>
      <c r="D11" s="6">
        <f t="shared" si="0"/>
        <v>115.36402567132068</v>
      </c>
      <c r="E11" s="4">
        <v>1295829</v>
      </c>
      <c r="F11" s="4">
        <f>Table1[[#This Row],[Population (000)]]/100000</f>
        <v>12.95829</v>
      </c>
      <c r="G11" s="4">
        <f>Table1[[#This Row],[All-India NDP (Constant Prices) (INR Crore) (Base 2011-2012)]]/Table1[[#This Row],[Adjusted Population]]</f>
        <v>671443.53151534661</v>
      </c>
      <c r="H11" s="4">
        <f>LN(Table1[[#This Row],[All-India NDP Per Capita (Constant Prices) (Base 2011-12)]])</f>
        <v>13.41718519835706</v>
      </c>
      <c r="I11" s="4">
        <v>10</v>
      </c>
      <c r="J11" s="4">
        <v>1014724</v>
      </c>
      <c r="K11" s="4">
        <v>1371772</v>
      </c>
      <c r="L11" s="9">
        <f>Table1[[#This Row],[Revenue Receipts (INR Crore)]]/Table1[[#This Row],[NDP Deflator (2011-12 base)]]*100</f>
        <v>879584.42338949931</v>
      </c>
      <c r="M11" s="9">
        <f>Table1[[#This Row],[Revenue Expenditure (INR Crore)]]/Table1[[#This Row],[NDP Deflator (2011-12 base)]]*100</f>
        <v>1189081.2512977521</v>
      </c>
      <c r="N11" s="9">
        <f>Table1[[#This Row],[Revenue Receipts (INR Crore) (Base Price- 2011)]]/Table1[[#This Row],[Adjusted Population]]</f>
        <v>67878.124612853964</v>
      </c>
      <c r="O11" s="9">
        <f>Table1[[#This Row],[Revenue Expenditure (INR Crore) (Base Price- 2011-12]]/Table1[[#This Row],[Adjusted Population]]</f>
        <v>91762.204063788682</v>
      </c>
      <c r="P11" s="9">
        <f>Table1[[#This Row],[Revenue Receipts (INR Crore) (Base Price- 2011)]]/Table1[[#This Row],[All-India NDP (Constant Prices) (INR Crore) (Base 2011-2012)]]*100</f>
        <v>10.109282676335162</v>
      </c>
      <c r="Q11" s="9">
        <f>Table1[[#This Row],[Revenue Expenditure (INR Crore) (Base Price- 2011-12]]/Table1[[#This Row],[All-India NDP (Constant Prices) (INR Crore) (Base 2011-2012)]]*100</f>
        <v>13.666406742603543</v>
      </c>
    </row>
    <row r="12" spans="1:17" x14ac:dyDescent="0.2">
      <c r="A12" s="5" t="s">
        <v>9</v>
      </c>
      <c r="B12" s="6">
        <v>11125668</v>
      </c>
      <c r="C12" s="4">
        <v>9349029</v>
      </c>
      <c r="D12" s="6">
        <f t="shared" si="0"/>
        <v>119.00346014543328</v>
      </c>
      <c r="E12" s="4">
        <v>1312277</v>
      </c>
      <c r="F12" s="4">
        <f>Table1[[#This Row],[Population (000)]]/100000</f>
        <v>13.122769999999999</v>
      </c>
      <c r="G12" s="4">
        <f>Table1[[#This Row],[All-India NDP (Constant Prices) (INR Crore) (Base 2011-2012)]]/Table1[[#This Row],[Adjusted Population]]</f>
        <v>712428.01634106215</v>
      </c>
      <c r="H12" s="4">
        <f>LN(Table1[[#This Row],[All-India NDP Per Capita (Constant Prices) (Base 2011-12)]])</f>
        <v>13.476434156324345</v>
      </c>
      <c r="I12" s="4">
        <v>11</v>
      </c>
      <c r="J12" s="4">
        <v>1101472</v>
      </c>
      <c r="K12" s="4">
        <v>1466992</v>
      </c>
      <c r="L12" s="9">
        <f>Table1[[#This Row],[Revenue Receipts (INR Crore)]]/Table1[[#This Row],[NDP Deflator (2011-12 base)]]*100</f>
        <v>925579.80974158144</v>
      </c>
      <c r="M12" s="9">
        <f>Table1[[#This Row],[Revenue Expenditure (INR Crore)]]/Table1[[#This Row],[NDP Deflator (2011-12 base)]]*100</f>
        <v>1232730.5426306087</v>
      </c>
      <c r="N12" s="9">
        <f>Table1[[#This Row],[Revenue Receipts (INR Crore) (Base Price- 2011)]]/Table1[[#This Row],[Adjusted Population]]</f>
        <v>70532.350238675339</v>
      </c>
      <c r="O12" s="9">
        <f>Table1[[#This Row],[Revenue Expenditure (INR Crore) (Base Price- 2011-12]]/Table1[[#This Row],[Adjusted Population]]</f>
        <v>93938.287619961993</v>
      </c>
      <c r="P12" s="9">
        <f>Table1[[#This Row],[Revenue Receipts (INR Crore) (Base Price- 2011)]]/Table1[[#This Row],[All-India NDP (Constant Prices) (INR Crore) (Base 2011-2012)]]*100</f>
        <v>9.9002774485091596</v>
      </c>
      <c r="Q12" s="9">
        <f>Table1[[#This Row],[Revenue Expenditure (INR Crore) (Base Price- 2011-12]]/Table1[[#This Row],[All-India NDP (Constant Prices) (INR Crore) (Base 2011-2012)]]*100</f>
        <v>13.185653212013875</v>
      </c>
    </row>
    <row r="13" spans="1:17" x14ac:dyDescent="0.2">
      <c r="A13" s="7" t="s">
        <v>8</v>
      </c>
      <c r="B13" s="6">
        <v>12313813</v>
      </c>
      <c r="C13" s="4">
        <v>10098603</v>
      </c>
      <c r="D13" s="6">
        <f t="shared" si="0"/>
        <v>121.93580636846502</v>
      </c>
      <c r="E13" s="4">
        <v>1328024</v>
      </c>
      <c r="F13" s="4">
        <f>Table1[[#This Row],[Population (000)]]/100000</f>
        <v>13.280239999999999</v>
      </c>
      <c r="G13" s="4">
        <f>Table1[[#This Row],[All-India NDP (Constant Prices) (INR Crore) (Base 2011-2012)]]/Table1[[#This Row],[Adjusted Population]]</f>
        <v>760423.2303030669</v>
      </c>
      <c r="H13" s="4">
        <f>LN(Table1[[#This Row],[All-India NDP Per Capita (Constant Prices) (Base 2011-12)]])</f>
        <v>13.541630439239007</v>
      </c>
      <c r="I13" s="4">
        <v>12</v>
      </c>
      <c r="J13" s="4">
        <v>1195025</v>
      </c>
      <c r="K13" s="4">
        <v>1537761</v>
      </c>
      <c r="L13" s="9">
        <f>Table1[[#This Row],[Revenue Receipts (INR Crore)]]/Table1[[#This Row],[NDP Deflator (2011-12 base)]]*100</f>
        <v>980044.36563028849</v>
      </c>
      <c r="M13" s="9">
        <f>Table1[[#This Row],[Revenue Expenditure (INR Crore)]]/Table1[[#This Row],[NDP Deflator (2011-12 base)]]*100</f>
        <v>1261123.4105863879</v>
      </c>
      <c r="N13" s="9">
        <f>Table1[[#This Row],[Revenue Receipts (INR Crore) (Base Price- 2011)]]/Table1[[#This Row],[Adjusted Population]]</f>
        <v>73797.187824187553</v>
      </c>
      <c r="O13" s="9">
        <f>Table1[[#This Row],[Revenue Expenditure (INR Crore) (Base Price- 2011-12]]/Table1[[#This Row],[Adjusted Population]]</f>
        <v>94962.396055070392</v>
      </c>
      <c r="P13" s="9">
        <f>Table1[[#This Row],[Revenue Receipts (INR Crore) (Base Price- 2011)]]/Table1[[#This Row],[All-India NDP (Constant Prices) (INR Crore) (Base 2011-2012)]]*100</f>
        <v>9.7047518912297921</v>
      </c>
      <c r="Q13" s="9">
        <f>Table1[[#This Row],[Revenue Expenditure (INR Crore) (Base Price- 2011-12]]/Table1[[#This Row],[All-India NDP (Constant Prices) (INR Crore) (Base 2011-2012)]]*100</f>
        <v>12.488097715955245</v>
      </c>
    </row>
    <row r="14" spans="1:17" x14ac:dyDescent="0.2">
      <c r="A14" s="5" t="s">
        <v>7</v>
      </c>
      <c r="B14" s="6">
        <v>13668987</v>
      </c>
      <c r="C14" s="4">
        <v>10926667</v>
      </c>
      <c r="D14" s="6">
        <f t="shared" si="0"/>
        <v>125.09749770904521</v>
      </c>
      <c r="E14" s="4">
        <v>1343944</v>
      </c>
      <c r="F14" s="4">
        <f>Table1[[#This Row],[Population (000)]]/100000</f>
        <v>13.439439999999999</v>
      </c>
      <c r="G14" s="4">
        <f>Table1[[#This Row],[All-India NDP (Constant Prices) (INR Crore) (Base 2011-2012)]]/Table1[[#This Row],[Adjusted Population]]</f>
        <v>813029.93279481889</v>
      </c>
      <c r="H14" s="4">
        <f>LN(Table1[[#This Row],[All-India NDP Per Capita (Constant Prices) (Base 2011-12)]])</f>
        <v>13.608523205557997</v>
      </c>
      <c r="I14" s="4">
        <v>13</v>
      </c>
      <c r="J14" s="4">
        <v>1374203</v>
      </c>
      <c r="K14" s="4">
        <v>1690584</v>
      </c>
      <c r="L14" s="9">
        <f>Table1[[#This Row],[Revenue Receipts (INR Crore)]]/Table1[[#This Row],[NDP Deflator (2011-12 base)]]*100</f>
        <v>1098505.5857761076</v>
      </c>
      <c r="M14" s="9">
        <f>Table1[[#This Row],[Revenue Expenditure (INR Crore)]]/Table1[[#This Row],[NDP Deflator (2011-12 base)]]*100</f>
        <v>1351413.1225326355</v>
      </c>
      <c r="N14" s="9">
        <f>Table1[[#This Row],[Revenue Receipts (INR Crore) (Base Price- 2011)]]/Table1[[#This Row],[Adjusted Population]]</f>
        <v>81737.45228790096</v>
      </c>
      <c r="O14" s="9">
        <f>Table1[[#This Row],[Revenue Expenditure (INR Crore) (Base Price- 2011-12]]/Table1[[#This Row],[Adjusted Population]]</f>
        <v>100555.76144040492</v>
      </c>
      <c r="P14" s="9">
        <f>Table1[[#This Row],[Revenue Receipts (INR Crore) (Base Price- 2011)]]/Table1[[#This Row],[All-India NDP (Constant Prices) (INR Crore) (Base 2011-2012)]]*100</f>
        <v>10.053437024996805</v>
      </c>
      <c r="Q14" s="9">
        <f>Table1[[#This Row],[Revenue Expenditure (INR Crore) (Base Price- 2011-12]]/Table1[[#This Row],[All-India NDP (Constant Prices) (INR Crore) (Base 2011-2012)]]*100</f>
        <v>12.368026979614511</v>
      </c>
    </row>
    <row r="15" spans="1:17" x14ac:dyDescent="0.2">
      <c r="A15" s="7" t="s">
        <v>6</v>
      </c>
      <c r="B15" s="6">
        <v>16587272</v>
      </c>
      <c r="C15" s="4">
        <v>11654661</v>
      </c>
      <c r="D15" s="6">
        <f t="shared" si="0"/>
        <v>142.32307572052073</v>
      </c>
      <c r="E15" s="4">
        <v>1359657</v>
      </c>
      <c r="F15" s="4">
        <f>Table1[[#This Row],[Population (000)]]/100000</f>
        <v>13.59657</v>
      </c>
      <c r="G15" s="4">
        <f>Table1[[#This Row],[All-India NDP (Constant Prices) (INR Crore) (Base 2011-2012)]]/Table1[[#This Row],[Adjusted Population]]</f>
        <v>857176.5526158436</v>
      </c>
      <c r="H15" s="4">
        <f>LN(Table1[[#This Row],[All-India NDP Per Capita (Constant Prices) (Base 2011-12)]])</f>
        <v>13.661399188749494</v>
      </c>
      <c r="I15" s="4">
        <v>14</v>
      </c>
      <c r="J15" s="4">
        <v>1435233</v>
      </c>
      <c r="K15" s="4">
        <v>1878833</v>
      </c>
      <c r="L15" s="9">
        <f>Table1[[#This Row],[Revenue Receipts (INR Crore)]]/Table1[[#This Row],[NDP Deflator (2011-12 base)]]*100</f>
        <v>1008433.0968355134</v>
      </c>
      <c r="M15" s="9">
        <f>Table1[[#This Row],[Revenue Expenditure (INR Crore)]]/Table1[[#This Row],[NDP Deflator (2011-12 base)]]*100</f>
        <v>1320118.3226882035</v>
      </c>
      <c r="N15" s="9">
        <f>Table1[[#This Row],[Revenue Receipts (INR Crore) (Base Price- 2011)]]/Table1[[#This Row],[Adjusted Population]]</f>
        <v>74168.198070212806</v>
      </c>
      <c r="O15" s="9">
        <f>Table1[[#This Row],[Revenue Expenditure (INR Crore) (Base Price- 2011-12]]/Table1[[#This Row],[Adjusted Population]]</f>
        <v>97092.01090335309</v>
      </c>
      <c r="P15" s="9">
        <f>Table1[[#This Row],[Revenue Receipts (INR Crore) (Base Price- 2011)]]/Table1[[#This Row],[All-India NDP (Constant Prices) (INR Crore) (Base 2011-2012)]]*100</f>
        <v>8.6526162951930861</v>
      </c>
      <c r="Q15" s="9">
        <f>Table1[[#This Row],[Revenue Expenditure (INR Crore) (Base Price- 2011-12]]/Table1[[#This Row],[All-India NDP (Constant Prices) (INR Crore) (Base 2011-2012)]]*100</f>
        <v>11.326955993728205</v>
      </c>
    </row>
    <row r="16" spans="1:17" x14ac:dyDescent="0.2">
      <c r="A16" s="5" t="s">
        <v>5</v>
      </c>
      <c r="B16" s="6">
        <v>16915378</v>
      </c>
      <c r="C16" s="4">
        <v>12378459</v>
      </c>
      <c r="D16" s="6">
        <f t="shared" si="0"/>
        <v>136.65172700414485</v>
      </c>
      <c r="E16" s="4">
        <v>1374659</v>
      </c>
      <c r="F16" s="4">
        <f>Table1[[#This Row],[Population (000)]]/100000</f>
        <v>13.746589999999999</v>
      </c>
      <c r="G16" s="4">
        <f>Table1[[#This Row],[All-India NDP (Constant Prices) (INR Crore) (Base 2011-2012)]]/Table1[[#This Row],[Adjusted Population]]</f>
        <v>900474.88140695263</v>
      </c>
      <c r="H16" s="4">
        <f>LN(Table1[[#This Row],[All-India NDP Per Capita (Constant Prices) (Base 2011-12)]])</f>
        <v>13.710677549157966</v>
      </c>
      <c r="I16" s="4">
        <v>15</v>
      </c>
      <c r="J16" s="4">
        <v>1552916</v>
      </c>
      <c r="K16" s="4">
        <v>2007399</v>
      </c>
      <c r="L16" s="9">
        <f>Table1[[#This Row],[Revenue Receipts (INR Crore)]]/Table1[[#This Row],[NDP Deflator (2011-12 base)]]*100</f>
        <v>1136404.2255776962</v>
      </c>
      <c r="M16" s="9">
        <f>Table1[[#This Row],[Revenue Expenditure (INR Crore)]]/Table1[[#This Row],[NDP Deflator (2011-12 base)]]*100</f>
        <v>1468989.1185488731</v>
      </c>
      <c r="N16" s="9">
        <f>Table1[[#This Row],[Revenue Receipts (INR Crore) (Base Price- 2011)]]/Table1[[#This Row],[Adjusted Population]]</f>
        <v>82668.081726282398</v>
      </c>
      <c r="O16" s="9">
        <f>Table1[[#This Row],[Revenue Expenditure (INR Crore) (Base Price- 2011-12]]/Table1[[#This Row],[Adjusted Population]]</f>
        <v>106862.07405246487</v>
      </c>
      <c r="P16" s="9">
        <f>Table1[[#This Row],[Revenue Receipts (INR Crore) (Base Price- 2011)]]/Table1[[#This Row],[All-India NDP (Constant Prices) (INR Crore) (Base 2011-2012)]]*100</f>
        <v>9.1804983607224155</v>
      </c>
      <c r="Q16" s="9">
        <f>Table1[[#This Row],[Revenue Expenditure (INR Crore) (Base Price- 2011-12]]/Table1[[#This Row],[All-India NDP (Constant Prices) (INR Crore) (Base 2011-2012)]]*100</f>
        <v>11.867302049058555</v>
      </c>
    </row>
    <row r="17" spans="1:17" x14ac:dyDescent="0.2">
      <c r="A17" s="7" t="s">
        <v>4</v>
      </c>
      <c r="B17" s="6">
        <v>17939982</v>
      </c>
      <c r="C17" s="4">
        <v>12803462</v>
      </c>
      <c r="D17" s="6">
        <f t="shared" si="0"/>
        <v>140.11821177740833</v>
      </c>
      <c r="E17" s="4">
        <v>1389030</v>
      </c>
      <c r="F17" s="4">
        <f>Table1[[#This Row],[Population (000)]]/100000</f>
        <v>13.8903</v>
      </c>
      <c r="G17" s="4">
        <f>Table1[[#This Row],[All-India NDP (Constant Prices) (INR Crore) (Base 2011-2012)]]/Table1[[#This Row],[Adjusted Population]]</f>
        <v>921755.61362965521</v>
      </c>
      <c r="H17" s="4">
        <f>LN(Table1[[#This Row],[All-India NDP Per Capita (Constant Prices) (Base 2011-12)]])</f>
        <v>13.734035406264615</v>
      </c>
      <c r="I17" s="4">
        <v>16</v>
      </c>
      <c r="J17" s="4">
        <v>1684059</v>
      </c>
      <c r="K17" s="4">
        <v>2350604</v>
      </c>
      <c r="L17" s="9">
        <f>Table1[[#This Row],[Revenue Receipts (INR Crore)]]/Table1[[#This Row],[NDP Deflator (2011-12 base)]]*100</f>
        <v>1201884.450734566</v>
      </c>
      <c r="M17" s="9">
        <f>Table1[[#This Row],[Revenue Expenditure (INR Crore)]]/Table1[[#This Row],[NDP Deflator (2011-12 base)]]*100</f>
        <v>1677586.3538239894</v>
      </c>
      <c r="N17" s="9">
        <f>Table1[[#This Row],[Revenue Receipts (INR Crore) (Base Price- 2011)]]/Table1[[#This Row],[Adjusted Population]]</f>
        <v>86526.88932093374</v>
      </c>
      <c r="O17" s="9">
        <f>Table1[[#This Row],[Revenue Expenditure (INR Crore) (Base Price- 2011-12]]/Table1[[#This Row],[Adjusted Population]]</f>
        <v>120773.94684232806</v>
      </c>
      <c r="P17" s="9">
        <f>Table1[[#This Row],[Revenue Receipts (INR Crore) (Base Price- 2011)]]/Table1[[#This Row],[All-India NDP (Constant Prices) (INR Crore) (Base 2011-2012)]]*100</f>
        <v>9.3871833316220723</v>
      </c>
      <c r="Q17" s="9">
        <f>Table1[[#This Row],[Revenue Expenditure (INR Crore) (Base Price- 2011-12]]/Table1[[#This Row],[All-India NDP (Constant Prices) (INR Crore) (Base 2011-2012)]]*100</f>
        <v>13.102599545529086</v>
      </c>
    </row>
    <row r="18" spans="1:17" x14ac:dyDescent="0.2">
      <c r="A18" s="5" t="s">
        <v>3</v>
      </c>
      <c r="B18" s="6">
        <v>17513509</v>
      </c>
      <c r="C18" s="4">
        <v>11862110</v>
      </c>
      <c r="D18" s="6">
        <f t="shared" si="0"/>
        <v>147.6424430392232</v>
      </c>
      <c r="E18" s="4">
        <v>1402618</v>
      </c>
      <c r="F18" s="4">
        <f>Table1[[#This Row],[Population (000)]]/100000</f>
        <v>14.02618</v>
      </c>
      <c r="G18" s="4">
        <f>Table1[[#This Row],[All-India NDP (Constant Prices) (INR Crore) (Base 2011-2012)]]/Table1[[#This Row],[Adjusted Population]]</f>
        <v>845712.08982060687</v>
      </c>
      <c r="H18" s="4">
        <f>LN(Table1[[#This Row],[All-India NDP Per Capita (Constant Prices) (Base 2011-12)]])</f>
        <v>13.647934261305601</v>
      </c>
      <c r="I18" s="4">
        <v>17</v>
      </c>
      <c r="J18" s="4">
        <v>1633920</v>
      </c>
      <c r="K18" s="4">
        <v>3083519</v>
      </c>
      <c r="L18" s="9">
        <f>Table1[[#This Row],[Revenue Receipts (INR Crore)]]/Table1[[#This Row],[NDP Deflator (2011-12 base)]]*100</f>
        <v>1106673.6409705218</v>
      </c>
      <c r="M18" s="9">
        <f>Table1[[#This Row],[Revenue Expenditure (INR Crore)]]/Table1[[#This Row],[NDP Deflator (2011-12 base)]]*100</f>
        <v>2088504.454766318</v>
      </c>
      <c r="N18" s="9">
        <f>Table1[[#This Row],[Revenue Receipts (INR Crore) (Base Price- 2011)]]/Table1[[#This Row],[Adjusted Population]]</f>
        <v>78900.573140407563</v>
      </c>
      <c r="O18" s="9">
        <f>Table1[[#This Row],[Revenue Expenditure (INR Crore) (Base Price- 2011-12]]/Table1[[#This Row],[Adjusted Population]]</f>
        <v>148900.44579253354</v>
      </c>
      <c r="P18" s="9">
        <f>Table1[[#This Row],[Revenue Receipts (INR Crore) (Base Price- 2011)]]/Table1[[#This Row],[All-India NDP (Constant Prices) (INR Crore) (Base 2011-2012)]]*100</f>
        <v>9.3294838858392133</v>
      </c>
      <c r="Q18" s="9">
        <f>Table1[[#This Row],[Revenue Expenditure (INR Crore) (Base Price- 2011-12]]/Table1[[#This Row],[All-India NDP (Constant Prices) (INR Crore) (Base 2011-2012)]]*100</f>
        <v>17.606517346124072</v>
      </c>
    </row>
    <row r="19" spans="1:17" x14ac:dyDescent="0.2">
      <c r="A19" s="7" t="s">
        <v>2</v>
      </c>
      <c r="B19" s="6">
        <v>20930595</v>
      </c>
      <c r="C19" s="4">
        <v>13066058</v>
      </c>
      <c r="D19" s="6">
        <f t="shared" si="0"/>
        <v>160.19058693907527</v>
      </c>
      <c r="E19" s="4">
        <v>1414204</v>
      </c>
      <c r="F19" s="4">
        <f>Table1[[#This Row],[Population (000)]]/100000</f>
        <v>14.14204</v>
      </c>
      <c r="G19" s="4">
        <f>Table1[[#This Row],[All-India NDP (Constant Prices) (INR Crore) (Base 2011-2012)]]/Table1[[#This Row],[Adjusted Population]]</f>
        <v>923916.06868598878</v>
      </c>
      <c r="H19" s="4">
        <f>LN(Table1[[#This Row],[All-India NDP Per Capita (Constant Prices) (Base 2011-12)]])</f>
        <v>13.736376511742671</v>
      </c>
      <c r="I19" s="4">
        <v>18</v>
      </c>
      <c r="J19" s="4">
        <v>2169905</v>
      </c>
      <c r="K19" s="4">
        <v>3200926</v>
      </c>
      <c r="L19" s="9">
        <f>Table1[[#This Row],[Revenue Receipts (INR Crore)]]/Table1[[#This Row],[NDP Deflator (2011-12 base)]]*100</f>
        <v>1354577.0956100388</v>
      </c>
      <c r="M19" s="9">
        <f>Table1[[#This Row],[Revenue Expenditure (INR Crore)]]/Table1[[#This Row],[NDP Deflator (2011-12 base)]]*100</f>
        <v>1998198.5590810007</v>
      </c>
      <c r="N19" s="9">
        <f>Table1[[#This Row],[Revenue Receipts (INR Crore) (Base Price- 2011)]]/Table1[[#This Row],[Adjusted Population]]</f>
        <v>95783.712647541572</v>
      </c>
      <c r="O19" s="9">
        <f>Table1[[#This Row],[Revenue Expenditure (INR Crore) (Base Price- 2011-12]]/Table1[[#This Row],[Adjusted Population]]</f>
        <v>141294.9305108033</v>
      </c>
      <c r="P19" s="9">
        <f>Table1[[#This Row],[Revenue Receipts (INR Crore) (Base Price- 2011)]]/Table1[[#This Row],[All-India NDP (Constant Prices) (INR Crore) (Base 2011-2012)]]*100</f>
        <v>10.367144364505645</v>
      </c>
      <c r="Q19" s="9">
        <f>Table1[[#This Row],[Revenue Expenditure (INR Crore) (Base Price- 2011-12]]/Table1[[#This Row],[All-India NDP (Constant Prices) (INR Crore) (Base 2011-2012)]]*100</f>
        <v>15.293048286491617</v>
      </c>
    </row>
    <row r="20" spans="1:17" x14ac:dyDescent="0.2">
      <c r="A20" s="5" t="s">
        <v>1</v>
      </c>
      <c r="B20" s="6">
        <v>23809748</v>
      </c>
      <c r="C20" s="4">
        <v>13986798</v>
      </c>
      <c r="D20" s="6">
        <f t="shared" si="0"/>
        <v>170.23015560816708</v>
      </c>
      <c r="E20" s="4">
        <v>1425423</v>
      </c>
      <c r="F20" s="4">
        <f>Table1[[#This Row],[Population (000)]]/100000</f>
        <v>14.25423</v>
      </c>
      <c r="G20" s="4">
        <f>Table1[[#This Row],[All-India NDP (Constant Prices) (INR Crore) (Base 2011-2012)]]/Table1[[#This Row],[Adjusted Population]]</f>
        <v>981238.4113347407</v>
      </c>
      <c r="H20" s="4">
        <f>LN(Table1[[#This Row],[All-India NDP Per Capita (Constant Prices) (Base 2011-12)]])</f>
        <v>13.796570737904293</v>
      </c>
      <c r="I20" s="4">
        <v>19</v>
      </c>
      <c r="J20" s="4">
        <v>2383206</v>
      </c>
      <c r="K20" s="4">
        <v>4193157</v>
      </c>
      <c r="L20" s="9">
        <f>Table1[[#This Row],[Revenue Receipts (INR Crore)]]/Table1[[#This Row],[NDP Deflator (2011-12 base)]]*100</f>
        <v>1399990.4960937847</v>
      </c>
      <c r="M20" s="9">
        <f>Table1[[#This Row],[Revenue Expenditure (INR Crore)]]/Table1[[#This Row],[NDP Deflator (2011-12 base)]]*100</f>
        <v>2463228.0837783748</v>
      </c>
      <c r="N20" s="9">
        <f>Table1[[#This Row],[Revenue Receipts (INR Crore) (Base Price- 2011)]]/Table1[[#This Row],[Adjusted Population]]</f>
        <v>98215.792511681429</v>
      </c>
      <c r="O20" s="9">
        <f>Table1[[#This Row],[Revenue Expenditure (INR Crore) (Base Price- 2011-12]]/Table1[[#This Row],[Adjusted Population]]</f>
        <v>172806.81480363198</v>
      </c>
      <c r="P20" s="9">
        <f>Table1[[#This Row],[Revenue Receipts (INR Crore) (Base Price- 2011)]]/Table1[[#This Row],[All-India NDP (Constant Prices) (INR Crore) (Base 2011-2012)]]*100</f>
        <v>10.009370951763117</v>
      </c>
      <c r="Q20" s="9">
        <f>Table1[[#This Row],[Revenue Expenditure (INR Crore) (Base Price- 2011-12]]/Table1[[#This Row],[All-India NDP (Constant Prices) (INR Crore) (Base 2011-2012)]]*100</f>
        <v>17.611093573942902</v>
      </c>
    </row>
    <row r="21" spans="1:17" x14ac:dyDescent="0.2">
      <c r="A21" s="8"/>
    </row>
    <row r="22" spans="1:17" x14ac:dyDescent="0.2">
      <c r="A22" s="16" t="s">
        <v>80</v>
      </c>
      <c r="L22" s="15" t="s">
        <v>121</v>
      </c>
    </row>
    <row r="23" spans="1:17" x14ac:dyDescent="0.2">
      <c r="A23" s="16" t="s">
        <v>81</v>
      </c>
    </row>
    <row r="25" spans="1:17" x14ac:dyDescent="0.2">
      <c r="G25" s="4" t="s">
        <v>77</v>
      </c>
      <c r="H25" s="4">
        <f>7511795/7819154</f>
        <v>0.9606915274977319</v>
      </c>
    </row>
    <row r="26" spans="1:17" x14ac:dyDescent="0.2">
      <c r="G26" s="4" t="s">
        <v>78</v>
      </c>
      <c r="H26" s="4">
        <f>C9/5005216</f>
        <v>1.56220111180017</v>
      </c>
    </row>
  </sheetData>
  <phoneticPr fontId="7" type="noConversion"/>
  <hyperlinks>
    <hyperlink ref="A22" r:id="rId1" xr:uid="{D27DC556-83E8-3A45-A35E-52AFB73ED2E5}"/>
    <hyperlink ref="A23" r:id="rId2" xr:uid="{5FB300CF-9345-AB4F-8E3A-D3F16E15521D}"/>
    <hyperlink ref="L22" r:id="rId3" xr:uid="{E8228C14-739B-294C-8CEE-1857C8B67FBE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F0EF-147A-A04D-BA1E-4BB1DAA240F0}">
  <dimension ref="A1:T28"/>
  <sheetViews>
    <sheetView topLeftCell="R9" zoomScale="75" zoomScaleNormal="100" workbookViewId="0">
      <selection activeCell="D39" sqref="D39"/>
    </sheetView>
  </sheetViews>
  <sheetFormatPr baseColWidth="10" defaultRowHeight="16" x14ac:dyDescent="0.2"/>
  <cols>
    <col min="1" max="1" width="7.83203125" bestFit="1" customWidth="1"/>
    <col min="2" max="2" width="52.1640625" bestFit="1" customWidth="1"/>
    <col min="3" max="3" width="52.1640625" customWidth="1"/>
    <col min="4" max="4" width="17.1640625" bestFit="1" customWidth="1"/>
    <col min="5" max="5" width="20.33203125" bestFit="1" customWidth="1"/>
    <col min="6" max="6" width="25.83203125" bestFit="1" customWidth="1"/>
    <col min="7" max="7" width="30" bestFit="1" customWidth="1"/>
    <col min="8" max="8" width="17.33203125" bestFit="1" customWidth="1"/>
    <col min="9" max="9" width="20.83203125" bestFit="1" customWidth="1"/>
    <col min="10" max="10" width="24.1640625" bestFit="1" customWidth="1"/>
    <col min="11" max="11" width="31.83203125" bestFit="1" customWidth="1"/>
    <col min="12" max="12" width="22.5" bestFit="1" customWidth="1"/>
    <col min="13" max="13" width="25" bestFit="1" customWidth="1"/>
    <col min="14" max="14" width="28.1640625" bestFit="1" customWidth="1"/>
    <col min="15" max="16" width="68.5" bestFit="1" customWidth="1"/>
    <col min="17" max="17" width="71.1640625" bestFit="1" customWidth="1"/>
    <col min="18" max="18" width="71.1640625" customWidth="1"/>
    <col min="19" max="19" width="71.1640625" bestFit="1" customWidth="1"/>
    <col min="20" max="20" width="73.83203125" bestFit="1" customWidth="1"/>
  </cols>
  <sheetData>
    <row r="1" spans="1:20" x14ac:dyDescent="0.2">
      <c r="A1" s="4" t="s">
        <v>0</v>
      </c>
      <c r="B1" s="4" t="s">
        <v>20</v>
      </c>
      <c r="C1" s="4" t="s">
        <v>69</v>
      </c>
      <c r="D1" s="4" t="s">
        <v>21</v>
      </c>
      <c r="E1" s="4" t="s">
        <v>24</v>
      </c>
      <c r="F1" s="4" t="s">
        <v>26</v>
      </c>
      <c r="G1" s="4" t="s">
        <v>59</v>
      </c>
      <c r="H1" s="4" t="s">
        <v>63</v>
      </c>
      <c r="I1" s="4" t="s">
        <v>60</v>
      </c>
      <c r="J1" s="4" t="s">
        <v>62</v>
      </c>
      <c r="K1" s="4" t="s">
        <v>73</v>
      </c>
      <c r="L1" s="4" t="s">
        <v>66</v>
      </c>
      <c r="M1" s="4" t="s">
        <v>70</v>
      </c>
      <c r="N1" s="4" t="s">
        <v>71</v>
      </c>
      <c r="O1" s="4" t="s">
        <v>89</v>
      </c>
      <c r="P1" s="4" t="s">
        <v>88</v>
      </c>
      <c r="Q1" s="4" t="s">
        <v>90</v>
      </c>
      <c r="R1" s="4" t="s">
        <v>91</v>
      </c>
      <c r="S1" s="4" t="s">
        <v>87</v>
      </c>
      <c r="T1" s="4" t="s">
        <v>92</v>
      </c>
    </row>
    <row r="2" spans="1:20" x14ac:dyDescent="0.2">
      <c r="A2" s="4" t="s">
        <v>19</v>
      </c>
      <c r="B2" s="9">
        <f xml:space="preserve"> 83980.50072 * 1.71</f>
        <v>143606.6562312</v>
      </c>
      <c r="C2" s="9">
        <f ca="1">Table3[[#This Row],[NSDP Current Prices (INR Crore) (Base Price- 20-11-12)]] * 0.974</f>
        <v>83980.500719999996</v>
      </c>
      <c r="D2" s="4">
        <v>22707</v>
      </c>
      <c r="E2" s="9">
        <v>2.2707000000000002</v>
      </c>
      <c r="F2" s="9">
        <f>B2/E2</f>
        <v>63243.341802615927</v>
      </c>
      <c r="G2" s="9">
        <f>LN(Table26[[#This Row],[NSDP Constant Per Capita]])</f>
        <v>11.054745133105877</v>
      </c>
      <c r="H2" s="9">
        <v>11149.06</v>
      </c>
      <c r="I2" s="9">
        <v>11407.1</v>
      </c>
      <c r="J2" s="9">
        <f>Table26[[#This Row],[Revenue Receipts]]-Table26[[#This Row],[Revenue Expenditure]]</f>
        <v>-258.04000000000087</v>
      </c>
      <c r="K2" s="9">
        <f xml:space="preserve"> 83980.50072/143606.6562 * 100</f>
        <v>58.479532176447954</v>
      </c>
      <c r="L2" s="9">
        <f>Table26[[#This Row],[Revenue Receipts]]/Table26[[#This Row],[NSDP Deflator (Base 2011-12)]] * 100</f>
        <v>19064.89259585796</v>
      </c>
      <c r="M2" s="9">
        <f>Table26[[#This Row],[Revenue Expenditure]]/Table26[[#This Row],[NSDP Deflator (Base 2011-12)]] * 100</f>
        <v>19506.140995762096</v>
      </c>
      <c r="N2" s="9">
        <f>Table26[[#This Row],[Real Revenue Receipts]]-Table26[[#This Row],[Real Revenue Expenditure]]</f>
        <v>-441.24839990413602</v>
      </c>
      <c r="O2" s="9">
        <f>Table26[[#This Row],[Real Revenue Expenditure]]/Table26[[#This Row],[Adjusted Population]]</f>
        <v>8590.3646433972317</v>
      </c>
      <c r="P2" s="9">
        <f>Table26[[#This Row],[Real Revenue Receipts]]/Table26[[#This Row],[Adjusted Population]]</f>
        <v>8396.0420116518962</v>
      </c>
      <c r="Q2" s="9">
        <f>Table26[[#This Row],[Real Revenue Receipts]]/Table26[[#This Row],[NSDP Haryana INR Crore(Constant, Base Price = 2011-12)]] * 100</f>
        <v>13.275772235211978</v>
      </c>
      <c r="R2" s="9">
        <f>Table26[[#This Row],[Real Revenue Expenditure Per Capita (Constant Prices, INR Crores, Receipts)]]/Table26[[#This Row],[NSDP Haryana INR Crore(Constant, Base Price = 2011-12)]] * 100</f>
        <v>5.9818708051854825</v>
      </c>
      <c r="S2" s="9">
        <f>LN(Table26[[#This Row],[Real Revenue Receipts Per Capita (Constant Prices, INR Crores, Receipts)2]])</f>
        <v>9.0355156846978826</v>
      </c>
      <c r="T2" s="9">
        <f>LN(Table26[[#This Row],[Real Revenue Expenditure Per Capita (Constant Prices, INR Crores, Receipts)]])</f>
        <v>9.0583964638325423</v>
      </c>
    </row>
    <row r="3" spans="1:20" x14ac:dyDescent="0.2">
      <c r="A3" s="4" t="s">
        <v>18</v>
      </c>
      <c r="B3" s="9">
        <f xml:space="preserve"> 95357.68758 * 1.71</f>
        <v>163061.6457618</v>
      </c>
      <c r="C3" s="9">
        <f ca="1">Table3[[#This Row],[NSDP Current Prices (INR Crore) (Base Price- 20-11-12)]] * 0.974</f>
        <v>95357.687579999998</v>
      </c>
      <c r="D3" s="4">
        <v>23140</v>
      </c>
      <c r="E3" s="9">
        <v>2.3140000000000001</v>
      </c>
      <c r="F3" s="9">
        <f t="shared" ref="F3:F20" si="0">B3/E3</f>
        <v>70467.43550639585</v>
      </c>
      <c r="G3" s="9">
        <f>LN(Table26[[#This Row],[NSDP Constant Per Capita]])</f>
        <v>11.162905974377434</v>
      </c>
      <c r="H3" s="9">
        <v>13853.31</v>
      </c>
      <c r="I3" s="9">
        <v>12639.89</v>
      </c>
      <c r="J3" s="9">
        <f>Table26[[#This Row],[Revenue Receipts]]-Table26[[#This Row],[Revenue Expenditure]]</f>
        <v>1213.42</v>
      </c>
      <c r="K3" s="9">
        <f>95357.68758/163061.6458 * 100</f>
        <v>58.479532150042857</v>
      </c>
      <c r="L3" s="9">
        <f>Table26[[#This Row],[Revenue Receipts]]/Table26[[#This Row],[NSDP Deflator (Base 2011-12)]] * 100</f>
        <v>23689.160105549588</v>
      </c>
      <c r="M3" s="9">
        <f>Table26[[#This Row],[Revenue Expenditure]]/Table26[[#This Row],[NSDP Deflator (Base 2011-12)]] * 100</f>
        <v>21614.211905063497</v>
      </c>
      <c r="N3" s="9">
        <f>Table26[[#This Row],[Real Revenue Receipts]]-Table26[[#This Row],[Real Revenue Expenditure]]</f>
        <v>2074.9482004860911</v>
      </c>
      <c r="O3" s="9">
        <f>Table26[[#This Row],[Real Revenue Expenditure]]/Table26[[#This Row],[Adjusted Population]]</f>
        <v>9340.6274438476648</v>
      </c>
      <c r="P3" s="9">
        <f>Table26[[#This Row],[Real Revenue Receipts]]/Table26[[#This Row],[Adjusted Population]]</f>
        <v>10237.320702484696</v>
      </c>
      <c r="Q3" s="9">
        <f>Table26[[#This Row],[Real Revenue Receipts]]/Table26[[#This Row],[NSDP Haryana INR Crore(Constant, Base Price = 2011-12)]] * 100</f>
        <v>14.52773274480171</v>
      </c>
      <c r="R3" s="9">
        <f>Table26[[#This Row],[Real Revenue Expenditure Per Capita (Constant Prices, INR Crores, Receipts)]]/Table26[[#This Row],[NSDP Haryana INR Crore(Constant, Base Price = 2011-12)]] * 100</f>
        <v>5.7282798785757549</v>
      </c>
      <c r="S3" s="9">
        <f>LN(Table26[[#This Row],[Real Revenue Receipts Per Capita (Constant Prices, INR Crores, Receipts)2]])</f>
        <v>9.2337952142091471</v>
      </c>
      <c r="T3" s="9">
        <f>LN(Table26[[#This Row],[Real Revenue Expenditure Per Capita (Constant Prices, INR Crores, Receipts)]])</f>
        <v>9.1421287071086859</v>
      </c>
    </row>
    <row r="4" spans="1:20" x14ac:dyDescent="0.2">
      <c r="A4" s="4" t="s">
        <v>17</v>
      </c>
      <c r="B4" s="9">
        <f xml:space="preserve"> 113084.8557 * 1.71</f>
        <v>193375.10324699999</v>
      </c>
      <c r="C4" s="9">
        <f ca="1">Table3[[#This Row],[NSDP Current Prices (INR Crore) (Base Price- 20-11-12)]] * 0.974</f>
        <v>113084.85769999999</v>
      </c>
      <c r="D4" s="4">
        <v>23569</v>
      </c>
      <c r="E4" s="9">
        <v>2.3569</v>
      </c>
      <c r="F4" s="9">
        <f t="shared" si="0"/>
        <v>82046.375852602985</v>
      </c>
      <c r="G4" s="9">
        <f>LN(Table26[[#This Row],[NSDP Constant Per Capita]])</f>
        <v>11.315039925556157</v>
      </c>
      <c r="H4" s="9">
        <v>17952.43</v>
      </c>
      <c r="I4" s="9">
        <v>16362.15</v>
      </c>
      <c r="J4" s="9">
        <f>Table26[[#This Row],[Revenue Receipts]]-Table26[[#This Row],[Revenue Expenditure]]</f>
        <v>1590.2800000000007</v>
      </c>
      <c r="K4" s="9">
        <f>113084.8577/193375.1032 * 100</f>
        <v>58.479533212215493</v>
      </c>
      <c r="L4" s="9">
        <f>Table26[[#This Row],[Revenue Receipts]]/Table26[[#This Row],[NSDP Deflator (Base 2011-12)]] * 100</f>
        <v>30698.654749607351</v>
      </c>
      <c r="M4" s="9">
        <f>Table26[[#This Row],[Revenue Expenditure]]/Table26[[#This Row],[NSDP Deflator (Base 2011-12)]] * 100</f>
        <v>27979.275998362777</v>
      </c>
      <c r="N4" s="9">
        <f>Table26[[#This Row],[Real Revenue Receipts]]-Table26[[#This Row],[Real Revenue Expenditure]]</f>
        <v>2719.3787512445742</v>
      </c>
      <c r="O4" s="9">
        <f>Table26[[#This Row],[Real Revenue Expenditure]]/Table26[[#This Row],[Adjusted Population]]</f>
        <v>11871.218973381467</v>
      </c>
      <c r="P4" s="9">
        <f>Table26[[#This Row],[Real Revenue Receipts]]/Table26[[#This Row],[Adjusted Population]]</f>
        <v>13025.013683061374</v>
      </c>
      <c r="Q4" s="9">
        <f>Table26[[#This Row],[Real Revenue Receipts]]/Table26[[#This Row],[NSDP Haryana INR Crore(Constant, Base Price = 2011-12)]] * 100</f>
        <v>15.875184671728732</v>
      </c>
      <c r="R4" s="9">
        <f>Table26[[#This Row],[Real Revenue Expenditure Per Capita (Constant Prices, INR Crores, Receipts)]]/Table26[[#This Row],[NSDP Haryana INR Crore(Constant, Base Price = 2011-12)]] * 100</f>
        <v>6.1389593458772396</v>
      </c>
      <c r="S4" s="9">
        <f>LN(Table26[[#This Row],[Real Revenue Receipts Per Capita (Constant Prices, INR Crores, Receipts)2]])</f>
        <v>9.4746269171439614</v>
      </c>
      <c r="T4" s="9">
        <f>LN(Table26[[#This Row],[Real Revenue Expenditure Per Capita (Constant Prices, INR Crores, Receipts)]])</f>
        <v>9.3818721759605257</v>
      </c>
    </row>
    <row r="5" spans="1:20" x14ac:dyDescent="0.2">
      <c r="A5" s="4" t="s">
        <v>16</v>
      </c>
      <c r="B5" s="9">
        <f xml:space="preserve"> 133032.7381 * 1.71</f>
        <v>227485.98215099997</v>
      </c>
      <c r="C5" s="9">
        <f ca="1">Table3[[#This Row],[NSDP Current Prices (INR Crore) (Base Price- 20-11-12)]] * 0.974</f>
        <v>133032.73808000001</v>
      </c>
      <c r="D5" s="4">
        <v>23997</v>
      </c>
      <c r="E5" s="9">
        <v>2.3997000000000002</v>
      </c>
      <c r="F5" s="9">
        <f t="shared" si="0"/>
        <v>94797.675605700701</v>
      </c>
      <c r="G5" s="9">
        <f>LN(Table26[[#This Row],[NSDP Constant Per Capita]])</f>
        <v>11.459500169015312</v>
      </c>
      <c r="H5" s="9">
        <v>19750.740000000002</v>
      </c>
      <c r="I5" s="9">
        <v>17526.87</v>
      </c>
      <c r="J5" s="9">
        <f>Table26[[#This Row],[Revenue Receipts]]-Table26[[#This Row],[Revenue Expenditure]]</f>
        <v>2223.8700000000026</v>
      </c>
      <c r="K5" s="9">
        <f>133032.7381/227485.9822 * 100</f>
        <v>58.479532151146316</v>
      </c>
      <c r="L5" s="9">
        <f>Table26[[#This Row],[Revenue Receipts]]/Table26[[#This Row],[NSDP Deflator (Base 2011-12)]] * 100</f>
        <v>33773.765407274805</v>
      </c>
      <c r="M5" s="9">
        <f>Table26[[#This Row],[Revenue Expenditure]]/Table26[[#This Row],[NSDP Deflator (Base 2011-12)]] * 100</f>
        <v>29970.947706455678</v>
      </c>
      <c r="N5" s="9">
        <f>Table26[[#This Row],[Real Revenue Receipts]]-Table26[[#This Row],[Real Revenue Expenditure]]</f>
        <v>3802.8177008191269</v>
      </c>
      <c r="O5" s="9">
        <f>Table26[[#This Row],[Real Revenue Expenditure]]/Table26[[#This Row],[Adjusted Population]]</f>
        <v>12489.456059697328</v>
      </c>
      <c r="P5" s="9">
        <f>Table26[[#This Row],[Real Revenue Receipts]]/Table26[[#This Row],[Adjusted Population]]</f>
        <v>14074.16152322157</v>
      </c>
      <c r="Q5" s="9">
        <f>Table26[[#This Row],[Real Revenue Receipts]]/Table26[[#This Row],[NSDP Haryana INR Crore(Constant, Base Price = 2011-12)]] * 100</f>
        <v>14.846525965215982</v>
      </c>
      <c r="R5" s="9">
        <f>Table26[[#This Row],[Real Revenue Expenditure Per Capita (Constant Prices, INR Crores, Receipts)]]/Table26[[#This Row],[NSDP Haryana INR Crore(Constant, Base Price = 2011-12)]] * 100</f>
        <v>5.490209085238102</v>
      </c>
      <c r="S5" s="9">
        <f>LN(Table26[[#This Row],[Real Revenue Receipts Per Capita (Constant Prices, INR Crores, Receipts)2]])</f>
        <v>9.5520958791709951</v>
      </c>
      <c r="T5" s="9">
        <f>LN(Table26[[#This Row],[Real Revenue Expenditure Per Capita (Constant Prices, INR Crores, Receipts)]])</f>
        <v>9.4326400521070273</v>
      </c>
    </row>
    <row r="6" spans="1:20" x14ac:dyDescent="0.2">
      <c r="A6" s="4" t="s">
        <v>15</v>
      </c>
      <c r="B6" s="9">
        <f xml:space="preserve"> 160355.7562 * 1.71</f>
        <v>274208.34310200001</v>
      </c>
      <c r="C6" s="9">
        <f ca="1">Table3[[#This Row],[NSDP Current Prices (INR Crore) (Base Price- 20-11-12)]] * 0.974</f>
        <v>160355.75619999997</v>
      </c>
      <c r="D6" s="4">
        <v>24425</v>
      </c>
      <c r="E6" s="9">
        <v>2.4424999999999999</v>
      </c>
      <c r="F6" s="9">
        <f t="shared" si="0"/>
        <v>112265.44241637667</v>
      </c>
      <c r="G6" s="9">
        <f>LN(Table26[[#This Row],[NSDP Constant Per Capita]])</f>
        <v>11.628621367780489</v>
      </c>
      <c r="H6" s="9">
        <v>18452.310000000001</v>
      </c>
      <c r="I6" s="9">
        <v>20534.73</v>
      </c>
      <c r="J6" s="9">
        <f>Table26[[#This Row],[Revenue Receipts]]-Table26[[#This Row],[Revenue Expenditure]]</f>
        <v>-2082.4199999999983</v>
      </c>
      <c r="K6" s="9">
        <f>160355.7562/274208.3431 * 100</f>
        <v>58.479532164169221</v>
      </c>
      <c r="L6" s="9">
        <f>Table26[[#This Row],[Revenue Receipts]]/Table26[[#This Row],[NSDP Deflator (Base 2011-12)]] * 100</f>
        <v>31553.450099769863</v>
      </c>
      <c r="M6" s="9">
        <f>Table26[[#This Row],[Revenue Expenditure]]/Table26[[#This Row],[NSDP Deflator (Base 2011-12)]] * 100</f>
        <v>35114.388299743885</v>
      </c>
      <c r="N6" s="9">
        <f>Table26[[#This Row],[Real Revenue Receipts]]-Table26[[#This Row],[Real Revenue Expenditure]]</f>
        <v>-3560.9381999740217</v>
      </c>
      <c r="O6" s="9">
        <f>Table26[[#This Row],[Real Revenue Expenditure]]/Table26[[#This Row],[Adjusted Population]]</f>
        <v>14376.412814634139</v>
      </c>
      <c r="P6" s="9">
        <f>Table26[[#This Row],[Real Revenue Receipts]]/Table26[[#This Row],[Adjusted Population]]</f>
        <v>12918.50567032543</v>
      </c>
      <c r="Q6" s="9">
        <f>Table26[[#This Row],[Real Revenue Receipts]]/Table26[[#This Row],[NSDP Haryana INR Crore(Constant, Base Price = 2011-12)]] * 100</f>
        <v>11.507107968641424</v>
      </c>
      <c r="R6" s="9">
        <f>Table26[[#This Row],[Real Revenue Expenditure Per Capita (Constant Prices, INR Crores, Receipts)]]/Table26[[#This Row],[NSDP Haryana INR Crore(Constant, Base Price = 2011-12)]] * 100</f>
        <v>5.2428794295607561</v>
      </c>
      <c r="S6" s="9">
        <f>LN(Table26[[#This Row],[Real Revenue Receipts Per Capita (Constant Prices, INR Crores, Receipts)2]])</f>
        <v>9.4664161104559064</v>
      </c>
      <c r="T6" s="9">
        <f>LN(Table26[[#This Row],[Real Revenue Expenditure Per Capita (Constant Prices, INR Crores, Receipts)]])</f>
        <v>9.5733441435932747</v>
      </c>
    </row>
    <row r="7" spans="1:20" x14ac:dyDescent="0.2">
      <c r="A7" s="4" t="s">
        <v>14</v>
      </c>
      <c r="B7" s="9">
        <f xml:space="preserve"> 198554.6921 * 1.71</f>
        <v>339528.52349099994</v>
      </c>
      <c r="C7" s="9">
        <f ca="1">Table3[[#This Row],[NSDP Current Prices (INR Crore) (Base Price- 20-11-12)]] * 0.974</f>
        <v>198554.69208000001</v>
      </c>
      <c r="D7" s="4">
        <v>24849</v>
      </c>
      <c r="E7" s="9">
        <v>2.4849000000000001</v>
      </c>
      <c r="F7" s="9">
        <f t="shared" si="0"/>
        <v>136636.69503440781</v>
      </c>
      <c r="G7" s="9">
        <f>LN(Table26[[#This Row],[NSDP Constant Per Capita]])</f>
        <v>11.825080821335321</v>
      </c>
      <c r="H7" s="9">
        <v>20992.66</v>
      </c>
      <c r="I7" s="9">
        <v>25257.38</v>
      </c>
      <c r="J7" s="9">
        <f>Table26[[#This Row],[Revenue Receipts]]-Table26[[#This Row],[Revenue Expenditure]]</f>
        <v>-4264.7200000000012</v>
      </c>
      <c r="K7" s="9">
        <f>198554.6921/339528.5235 * 100</f>
        <v>58.479532162192548</v>
      </c>
      <c r="L7" s="9">
        <f>Table26[[#This Row],[Revenue Receipts]]/Table26[[#This Row],[NSDP Deflator (Base 2011-12)]] * 100</f>
        <v>35897.448600951546</v>
      </c>
      <c r="M7" s="9">
        <f>Table26[[#This Row],[Revenue Expenditure]]/Table26[[#This Row],[NSDP Deflator (Base 2011-12)]] * 100</f>
        <v>43190.119801144865</v>
      </c>
      <c r="N7" s="9">
        <f>Table26[[#This Row],[Real Revenue Receipts]]-Table26[[#This Row],[Real Revenue Expenditure]]</f>
        <v>-7292.6712001933192</v>
      </c>
      <c r="O7" s="9">
        <f>Table26[[#This Row],[Real Revenue Expenditure]]/Table26[[#This Row],[Adjusted Population]]</f>
        <v>17381.029337657397</v>
      </c>
      <c r="P7" s="9">
        <f>Table26[[#This Row],[Real Revenue Receipts]]/Table26[[#This Row],[Adjusted Population]]</f>
        <v>14446.234697956274</v>
      </c>
      <c r="Q7" s="9">
        <f>Table26[[#This Row],[Real Revenue Receipts]]/Table26[[#This Row],[NSDP Haryana INR Crore(Constant, Base Price = 2011-12)]] * 100</f>
        <v>10.572734282191492</v>
      </c>
      <c r="R7" s="9">
        <f>Table26[[#This Row],[Real Revenue Expenditure Per Capita (Constant Prices, INR Crores, Receipts)]]/Table26[[#This Row],[NSDP Haryana INR Crore(Constant, Base Price = 2011-12)]] * 100</f>
        <v>5.1191661775415236</v>
      </c>
      <c r="S7" s="9">
        <f>LN(Table26[[#This Row],[Real Revenue Receipts Per Capita (Constant Prices, INR Crores, Receipts)2]])</f>
        <v>9.5781890850492371</v>
      </c>
      <c r="T7" s="9">
        <f>LN(Table26[[#This Row],[Real Revenue Expenditure Per Capita (Constant Prices, INR Crores, Receipts)]])</f>
        <v>9.7631346224774465</v>
      </c>
    </row>
    <row r="8" spans="1:20" x14ac:dyDescent="0.2">
      <c r="A8" s="4" t="s">
        <v>13</v>
      </c>
      <c r="B8" s="9">
        <f xml:space="preserve"> 233326.6479 * 1.71</f>
        <v>398988.56790900003</v>
      </c>
      <c r="C8" s="9">
        <f ca="1">Table3[[#This Row],[NSDP Current Prices (INR Crore) (Base Price- 20-11-12)]] * 0.974</f>
        <v>233326.64791999999</v>
      </c>
      <c r="D8" s="4">
        <v>25270</v>
      </c>
      <c r="E8" s="9">
        <v>2.5270000000000001</v>
      </c>
      <c r="F8" s="9">
        <f t="shared" si="0"/>
        <v>157890.21286466165</v>
      </c>
      <c r="G8" s="9">
        <f>LN(Table26[[#This Row],[NSDP Constant Per Capita]])</f>
        <v>11.969655215198328</v>
      </c>
      <c r="H8" s="9">
        <v>25563.68</v>
      </c>
      <c r="I8" s="9">
        <v>28310.19</v>
      </c>
      <c r="J8" s="9">
        <f>Table26[[#This Row],[Revenue Receipts]]-Table26[[#This Row],[Revenue Expenditure]]</f>
        <v>-2746.5099999999984</v>
      </c>
      <c r="K8" s="9">
        <f>(233326.6479/398988.5679) * 100</f>
        <v>58.479532165061812</v>
      </c>
      <c r="L8" s="9">
        <f>Table26[[#This Row],[Revenue Receipts]]/Table26[[#This Row],[NSDP Deflator (Base 2011-12)]] * 100</f>
        <v>43713.892799013942</v>
      </c>
      <c r="M8" s="9">
        <f>Table26[[#This Row],[Revenue Expenditure]]/Table26[[#This Row],[NSDP Deflator (Base 2011-12)]] * 100</f>
        <v>48410.424898908001</v>
      </c>
      <c r="N8" s="9">
        <f>Table26[[#This Row],[Real Revenue Receipts]]-Table26[[#This Row],[Real Revenue Expenditure]]</f>
        <v>-4696.5320998940588</v>
      </c>
      <c r="O8" s="9">
        <f>Table26[[#This Row],[Real Revenue Expenditure]]/Table26[[#This Row],[Adjusted Population]]</f>
        <v>19157.271428139295</v>
      </c>
      <c r="P8" s="9">
        <f>Table26[[#This Row],[Real Revenue Receipts]]/Table26[[#This Row],[Adjusted Population]]</f>
        <v>17298.73082667746</v>
      </c>
      <c r="Q8" s="9">
        <f>Table26[[#This Row],[Real Revenue Receipts]]/Table26[[#This Row],[NSDP Haryana INR Crore(Constant, Base Price = 2011-12)]] * 100</f>
        <v>10.956176771707419</v>
      </c>
      <c r="R8" s="9">
        <f>Table26[[#This Row],[Real Revenue Expenditure Per Capita (Constant Prices, INR Crores, Receipts)]]/Table26[[#This Row],[NSDP Haryana INR Crore(Constant, Base Price = 2011-12)]] * 100</f>
        <v>4.8014587306442875</v>
      </c>
      <c r="S8" s="9">
        <f>LN(Table26[[#This Row],[Real Revenue Receipts Per Capita (Constant Prices, INR Crores, Receipts)2]])</f>
        <v>9.7583884151749025</v>
      </c>
      <c r="T8" s="9">
        <f>LN(Table26[[#This Row],[Real Revenue Expenditure Per Capita (Constant Prices, INR Crores, Receipts)]])</f>
        <v>9.8604376315787743</v>
      </c>
    </row>
    <row r="9" spans="1:20" x14ac:dyDescent="0.2">
      <c r="A9" s="4" t="s">
        <v>12</v>
      </c>
      <c r="B9" s="9">
        <v>271152.48</v>
      </c>
      <c r="C9" s="9">
        <v>271152.48</v>
      </c>
      <c r="D9" s="4">
        <v>25560</v>
      </c>
      <c r="E9" s="9">
        <v>2.556</v>
      </c>
      <c r="F9" s="9">
        <f t="shared" si="0"/>
        <v>106084.69483568074</v>
      </c>
      <c r="G9" s="9">
        <f>LN(Table26[[#This Row],[NSDP Constant Per Capita]])</f>
        <v>11.571993061941116</v>
      </c>
      <c r="H9" s="9">
        <v>30557.59</v>
      </c>
      <c r="I9" s="9">
        <v>32014.89</v>
      </c>
      <c r="J9" s="9">
        <f>Table26[[#This Row],[Revenue Receipts]]-Table26[[#This Row],[Revenue Expenditure]]</f>
        <v>-1457.2999999999993</v>
      </c>
      <c r="K9" s="9">
        <v>100</v>
      </c>
      <c r="L9" s="9">
        <f>Table26[[#This Row],[Revenue Receipts]]/Table26[[#This Row],[NSDP Deflator (Base 2011-12)]] * 100</f>
        <v>30557.59</v>
      </c>
      <c r="M9" s="9">
        <f>Table26[[#This Row],[Revenue Expenditure]]/Table26[[#This Row],[NSDP Deflator (Base 2011-12)]] * 100</f>
        <v>32014.889999999996</v>
      </c>
      <c r="N9" s="9">
        <f>Table26[[#This Row],[Real Revenue Receipts]]-Table26[[#This Row],[Real Revenue Expenditure]]</f>
        <v>-1457.2999999999956</v>
      </c>
      <c r="O9" s="9">
        <f>Table26[[#This Row],[Real Revenue Expenditure]]/Table26[[#This Row],[Adjusted Population]]</f>
        <v>12525.38732394366</v>
      </c>
      <c r="P9" s="9">
        <f>Table26[[#This Row],[Real Revenue Receipts]]/Table26[[#This Row],[Adjusted Population]]</f>
        <v>11955.238654147104</v>
      </c>
      <c r="Q9" s="9">
        <f>Table26[[#This Row],[Real Revenue Receipts]]/Table26[[#This Row],[NSDP Haryana INR Crore(Constant, Base Price = 2011-12)]] * 100</f>
        <v>11.269522594814548</v>
      </c>
      <c r="R9" s="9">
        <f>Table26[[#This Row],[Real Revenue Expenditure Per Capita (Constant Prices, INR Crores, Receipts)]]/Table26[[#This Row],[NSDP Haryana INR Crore(Constant, Base Price = 2011-12)]] * 100</f>
        <v>4.6193150525282531</v>
      </c>
      <c r="S9" s="9">
        <f>LN(Table26[[#This Row],[Real Revenue Receipts Per Capita (Constant Prices, INR Crores, Receipts)2]])</f>
        <v>9.3889248423989109</v>
      </c>
      <c r="T9" s="9">
        <f>LN(Table26[[#This Row],[Real Revenue Expenditure Per Capita (Constant Prices, INR Crores, Receipts)]])</f>
        <v>9.4355128495422846</v>
      </c>
    </row>
    <row r="10" spans="1:20" x14ac:dyDescent="0.2">
      <c r="A10" s="4" t="s">
        <v>11</v>
      </c>
      <c r="B10" s="9">
        <v>289756.21999999997</v>
      </c>
      <c r="C10" s="9">
        <v>314353.02</v>
      </c>
      <c r="D10" s="4">
        <v>25922</v>
      </c>
      <c r="E10" s="9">
        <v>2.5922000000000001</v>
      </c>
      <c r="F10" s="9">
        <f t="shared" si="0"/>
        <v>111780.04012036107</v>
      </c>
      <c r="G10" s="9">
        <f>LN(Table26[[#This Row],[NSDP Constant Per Capita]])</f>
        <v>11.624288291746161</v>
      </c>
      <c r="H10" s="9">
        <v>33633.53</v>
      </c>
      <c r="I10" s="9">
        <v>38071.72</v>
      </c>
      <c r="J10" s="9">
        <f>Table26[[#This Row],[Revenue Receipts]]-Table26[[#This Row],[Revenue Expenditure]]</f>
        <v>-4438.1900000000023</v>
      </c>
      <c r="K10" s="9">
        <f>Table26[[#This Row],[NSDP Current Prices (INR Crore) (Base Price- 20-11-12)]]/Table26[[#This Row],[NSDP Haryana INR Crore(Constant, Base Price = 2011-12)]] *100</f>
        <v>108.48879102578024</v>
      </c>
      <c r="L10" s="9">
        <f>Table26[[#This Row],[Revenue Receipts]]/Table26[[#This Row],[NSDP Deflator (Base 2011-12)]] * 100</f>
        <v>31001.847916258601</v>
      </c>
      <c r="M10" s="9">
        <f>Table26[[#This Row],[Revenue Expenditure]]/Table26[[#This Row],[NSDP Deflator (Base 2011-12)]] * 100</f>
        <v>35092.768239027566</v>
      </c>
      <c r="N10" s="9">
        <f>Table26[[#This Row],[Real Revenue Receipts]]-Table26[[#This Row],[Real Revenue Expenditure]]</f>
        <v>-4090.920322768965</v>
      </c>
      <c r="O10" s="9">
        <f>Table26[[#This Row],[Real Revenue Expenditure]]/Table26[[#This Row],[Adjusted Population]]</f>
        <v>13537.832049621004</v>
      </c>
      <c r="P10" s="9">
        <f>Table26[[#This Row],[Real Revenue Receipts]]/Table26[[#This Row],[Adjusted Population]]</f>
        <v>11959.666660079702</v>
      </c>
      <c r="Q10" s="9">
        <f>Table26[[#This Row],[Real Revenue Receipts]]/Table26[[#This Row],[NSDP Haryana INR Crore(Constant, Base Price = 2011-12)]] * 100</f>
        <v>10.699286426451382</v>
      </c>
      <c r="R10" s="9">
        <f>Table26[[#This Row],[Real Revenue Expenditure Per Capita (Constant Prices, INR Crores, Receipts)]]/Table26[[#This Row],[NSDP Haryana INR Crore(Constant, Base Price = 2011-12)]] * 100</f>
        <v>4.672145450275754</v>
      </c>
      <c r="S10" s="9">
        <f>LN(Table26[[#This Row],[Real Revenue Receipts Per Capita (Constant Prices, INR Crores, Receipts)2]])</f>
        <v>9.389295155885419</v>
      </c>
      <c r="T10" s="9">
        <f>LN(Table26[[#This Row],[Real Revenue Expenditure Per Capita (Constant Prices, INR Crores, Receipts)]])</f>
        <v>9.5132434191429525</v>
      </c>
    </row>
    <row r="11" spans="1:20" x14ac:dyDescent="0.2">
      <c r="A11" s="4" t="s">
        <v>10</v>
      </c>
      <c r="B11" s="9">
        <v>314931.20000000001</v>
      </c>
      <c r="C11" s="9">
        <v>362196.41</v>
      </c>
      <c r="D11" s="4">
        <v>26290</v>
      </c>
      <c r="E11" s="9">
        <v>2.629</v>
      </c>
      <c r="F11" s="9">
        <f t="shared" si="0"/>
        <v>119791.25142639788</v>
      </c>
      <c r="G11" s="9">
        <f>LN(Table26[[#This Row],[NSDP Constant Per Capita]])</f>
        <v>11.693505935506087</v>
      </c>
      <c r="H11" s="9">
        <v>38012.080000000002</v>
      </c>
      <c r="I11" s="9">
        <v>41887.1</v>
      </c>
      <c r="J11" s="9">
        <f>Table26[[#This Row],[Revenue Receipts]]-Table26[[#This Row],[Revenue Expenditure]]</f>
        <v>-3875.0199999999968</v>
      </c>
      <c r="K11" s="9">
        <f>Table26[[#This Row],[NSDP Current Prices (INR Crore) (Base Price- 20-11-12)]]/Table26[[#This Row],[NSDP Haryana INR Crore(Constant, Base Price = 2011-12)]] *100</f>
        <v>115.00810653247437</v>
      </c>
      <c r="L11" s="9">
        <f>Table26[[#This Row],[Revenue Receipts]]/Table26[[#This Row],[NSDP Deflator (Base 2011-12)]] * 100</f>
        <v>33051.65274524947</v>
      </c>
      <c r="M11" s="9">
        <f>Table26[[#This Row],[Revenue Expenditure]]/Table26[[#This Row],[NSDP Deflator (Base 2011-12)]] * 100</f>
        <v>36420.997843462894</v>
      </c>
      <c r="N11" s="9">
        <f>Table26[[#This Row],[Real Revenue Receipts]]-Table26[[#This Row],[Real Revenue Expenditure]]</f>
        <v>-3369.3450982134236</v>
      </c>
      <c r="O11" s="9">
        <f>Table26[[#This Row],[Real Revenue Expenditure]]/Table26[[#This Row],[Adjusted Population]]</f>
        <v>13853.555665067666</v>
      </c>
      <c r="P11" s="9">
        <f>Table26[[#This Row],[Real Revenue Receipts]]/Table26[[#This Row],[Adjusted Population]]</f>
        <v>12571.948552776519</v>
      </c>
      <c r="Q11" s="9">
        <f>Table26[[#This Row],[Real Revenue Receipts]]/Table26[[#This Row],[NSDP Haryana INR Crore(Constant, Base Price = 2011-12)]] * 100</f>
        <v>10.494880388240183</v>
      </c>
      <c r="R11" s="9">
        <f>Table26[[#This Row],[Real Revenue Expenditure Per Capita (Constant Prices, INR Crores, Receipts)]]/Table26[[#This Row],[NSDP Haryana INR Crore(Constant, Base Price = 2011-12)]] * 100</f>
        <v>4.3989149582726847</v>
      </c>
      <c r="S11" s="9">
        <f>LN(Table26[[#This Row],[Real Revenue Receipts Per Capita (Constant Prices, INR Crores, Receipts)2]])</f>
        <v>9.4392233057023169</v>
      </c>
      <c r="T11" s="9">
        <f>LN(Table26[[#This Row],[Real Revenue Expenditure Per Capita (Constant Prices, INR Crores, Receipts)]])</f>
        <v>9.5362972053865072</v>
      </c>
    </row>
    <row r="12" spans="1:20" x14ac:dyDescent="0.2">
      <c r="A12" s="4" t="s">
        <v>9</v>
      </c>
      <c r="B12" s="9">
        <v>333359.25</v>
      </c>
      <c r="C12" s="9">
        <v>392950.19</v>
      </c>
      <c r="D12" s="4">
        <v>26662</v>
      </c>
      <c r="E12" s="9">
        <v>2.6661999999999999</v>
      </c>
      <c r="F12" s="9">
        <f t="shared" si="0"/>
        <v>125031.59927987398</v>
      </c>
      <c r="G12" s="9">
        <f>LN(Table26[[#This Row],[NSDP Constant Per Capita]])</f>
        <v>11.73632177857635</v>
      </c>
      <c r="H12" s="9">
        <v>40798.660000000003</v>
      </c>
      <c r="I12" s="9">
        <v>49117.81</v>
      </c>
      <c r="J12" s="9">
        <f>Table26[[#This Row],[Revenue Receipts]]-Table26[[#This Row],[Revenue Expenditure]]</f>
        <v>-8319.1499999999942</v>
      </c>
      <c r="K12" s="9">
        <f>Table26[[#This Row],[NSDP Current Prices (INR Crore) (Base Price- 20-11-12)]]/Table26[[#This Row],[NSDP Haryana INR Crore(Constant, Base Price = 2011-12)]] *100</f>
        <v>117.87589214938538</v>
      </c>
      <c r="L12" s="9">
        <f>Table26[[#This Row],[Revenue Receipts]]/Table26[[#This Row],[NSDP Deflator (Base 2011-12)]] * 100</f>
        <v>34611.538675181713</v>
      </c>
      <c r="M12" s="9">
        <f>Table26[[#This Row],[Revenue Expenditure]]/Table26[[#This Row],[NSDP Deflator (Base 2011-12)]] * 100</f>
        <v>41669.08865279465</v>
      </c>
      <c r="N12" s="9">
        <f>Table26[[#This Row],[Real Revenue Receipts]]-Table26[[#This Row],[Real Revenue Expenditure]]</f>
        <v>-7057.5499776129363</v>
      </c>
      <c r="O12" s="9">
        <f>Table26[[#This Row],[Real Revenue Expenditure]]/Table26[[#This Row],[Adjusted Population]]</f>
        <v>15628.643257368034</v>
      </c>
      <c r="P12" s="9">
        <f>Table26[[#This Row],[Real Revenue Receipts]]/Table26[[#This Row],[Adjusted Population]]</f>
        <v>12981.598782980165</v>
      </c>
      <c r="Q12" s="9">
        <f>Table26[[#This Row],[Real Revenue Receipts]]/Table26[[#This Row],[NSDP Haryana INR Crore(Constant, Base Price = 2011-12)]] * 100</f>
        <v>10.38265435117871</v>
      </c>
      <c r="R12" s="9">
        <f>Table26[[#This Row],[Real Revenue Expenditure Per Capita (Constant Prices, INR Crores, Receipts)]]/Table26[[#This Row],[NSDP Haryana INR Crore(Constant, Base Price = 2011-12)]] * 100</f>
        <v>4.6882284674470664</v>
      </c>
      <c r="S12" s="9">
        <f>LN(Table26[[#This Row],[Real Revenue Receipts Per Capita (Constant Prices, INR Crores, Receipts)2]])</f>
        <v>9.4712881554757207</v>
      </c>
      <c r="T12" s="9">
        <f>LN(Table26[[#This Row],[Real Revenue Expenditure Per Capita (Constant Prices, INR Crores, Receipts)]])</f>
        <v>9.6568606158966137</v>
      </c>
    </row>
    <row r="13" spans="1:20" x14ac:dyDescent="0.2">
      <c r="A13" s="4" t="s">
        <v>8</v>
      </c>
      <c r="B13" s="9">
        <v>372700.25</v>
      </c>
      <c r="C13" s="9">
        <v>446059.02</v>
      </c>
      <c r="D13" s="4">
        <v>27040</v>
      </c>
      <c r="E13" s="9">
        <v>2.7040000000000002</v>
      </c>
      <c r="F13" s="9">
        <f t="shared" si="0"/>
        <v>137832.93269230769</v>
      </c>
      <c r="G13" s="9">
        <f>LN(Table26[[#This Row],[NSDP Constant Per Capita]])</f>
        <v>11.833797598067196</v>
      </c>
      <c r="H13" s="9">
        <v>47556.55</v>
      </c>
      <c r="I13" s="9">
        <v>59235.7</v>
      </c>
      <c r="J13" s="9">
        <f>Table26[[#This Row],[Revenue Receipts]]-Table26[[#This Row],[Revenue Expenditure]]</f>
        <v>-11679.149999999994</v>
      </c>
      <c r="K13" s="9">
        <f>Table26[[#This Row],[NSDP Current Prices (INR Crore) (Base Price- 20-11-12)]]/Table26[[#This Row],[NSDP Haryana INR Crore(Constant, Base Price = 2011-12)]] *100</f>
        <v>119.68304824050963</v>
      </c>
      <c r="L13" s="9">
        <f>Table26[[#This Row],[Revenue Receipts]]/Table26[[#This Row],[NSDP Deflator (Base 2011-12)]] * 100</f>
        <v>39735.410067792152</v>
      </c>
      <c r="M13" s="9">
        <f>Table26[[#This Row],[Revenue Expenditure]]/Table26[[#This Row],[NSDP Deflator (Base 2011-12)]] * 100</f>
        <v>49493.809583595008</v>
      </c>
      <c r="N13" s="9">
        <f>Table26[[#This Row],[Real Revenue Receipts]]-Table26[[#This Row],[Real Revenue Expenditure]]</f>
        <v>-9758.3995158028556</v>
      </c>
      <c r="O13" s="9">
        <f>Table26[[#This Row],[Real Revenue Expenditure]]/Table26[[#This Row],[Adjusted Population]]</f>
        <v>18303.923662572117</v>
      </c>
      <c r="P13" s="9">
        <f>Table26[[#This Row],[Real Revenue Receipts]]/Table26[[#This Row],[Adjusted Population]]</f>
        <v>14695.048101994138</v>
      </c>
      <c r="Q13" s="9">
        <f>Table26[[#This Row],[Real Revenue Receipts]]/Table26[[#This Row],[NSDP Haryana INR Crore(Constant, Base Price = 2011-12)]] * 100</f>
        <v>10.661492732508806</v>
      </c>
      <c r="R13" s="9">
        <f>Table26[[#This Row],[Real Revenue Expenditure Per Capita (Constant Prices, INR Crores, Receipts)]]/Table26[[#This Row],[NSDP Haryana INR Crore(Constant, Base Price = 2011-12)]] * 100</f>
        <v>4.9111648469707534</v>
      </c>
      <c r="S13" s="9">
        <f>LN(Table26[[#This Row],[Real Revenue Receipts Per Capita (Constant Prices, INR Crores, Receipts)2]])</f>
        <v>9.5952658522055465</v>
      </c>
      <c r="T13" s="9">
        <f>LN(Table26[[#This Row],[Real Revenue Expenditure Per Capita (Constant Prices, INR Crores, Receipts)]])</f>
        <v>9.8148707236382737</v>
      </c>
    </row>
    <row r="14" spans="1:20" x14ac:dyDescent="0.2">
      <c r="A14" s="4" t="s">
        <v>7</v>
      </c>
      <c r="B14" s="9">
        <v>412054.62</v>
      </c>
      <c r="C14" s="9">
        <v>507276.15</v>
      </c>
      <c r="D14" s="4">
        <v>27423</v>
      </c>
      <c r="E14" s="9">
        <v>2.7423000000000002</v>
      </c>
      <c r="F14" s="9">
        <f t="shared" si="0"/>
        <v>150258.76818728802</v>
      </c>
      <c r="G14" s="9">
        <f>LN(Table26[[#This Row],[NSDP Constant Per Capita]])</f>
        <v>11.920114208014452</v>
      </c>
      <c r="H14" s="9">
        <v>52496.82</v>
      </c>
      <c r="I14" s="9">
        <v>68403.429999999993</v>
      </c>
      <c r="J14" s="9">
        <f>Table26[[#This Row],[Revenue Receipts]]-Table26[[#This Row],[Revenue Expenditure]]</f>
        <v>-15906.609999999993</v>
      </c>
      <c r="K14" s="9">
        <f>Table26[[#This Row],[NSDP Current Prices (INR Crore) (Base Price- 20-11-12)]]/Table26[[#This Row],[NSDP Haryana INR Crore(Constant, Base Price = 2011-12)]] *100</f>
        <v>123.10895822500424</v>
      </c>
      <c r="L14" s="9">
        <f>Table26[[#This Row],[Revenue Receipts]]/Table26[[#This Row],[NSDP Deflator (Base 2011-12)]] * 100</f>
        <v>42642.567004792953</v>
      </c>
      <c r="M14" s="9">
        <f>Table26[[#This Row],[Revenue Expenditure]]/Table26[[#This Row],[NSDP Deflator (Base 2011-12)]] * 100</f>
        <v>55563.324542946873</v>
      </c>
      <c r="N14" s="9">
        <f>Table26[[#This Row],[Real Revenue Receipts]]-Table26[[#This Row],[Real Revenue Expenditure]]</f>
        <v>-12920.757538153921</v>
      </c>
      <c r="O14" s="9">
        <f>Table26[[#This Row],[Real Revenue Expenditure]]/Table26[[#This Row],[Adjusted Population]]</f>
        <v>20261.577705920896</v>
      </c>
      <c r="P14" s="9">
        <f>Table26[[#This Row],[Real Revenue Receipts]]/Table26[[#This Row],[Adjusted Population]]</f>
        <v>15549.927799581719</v>
      </c>
      <c r="Q14" s="9">
        <f>Table26[[#This Row],[Real Revenue Receipts]]/Table26[[#This Row],[NSDP Haryana INR Crore(Constant, Base Price = 2011-12)]] * 100</f>
        <v>10.348765657522042</v>
      </c>
      <c r="R14" s="9">
        <f>Table26[[#This Row],[Real Revenue Expenditure Per Capita (Constant Prices, INR Crores, Receipts)]]/Table26[[#This Row],[NSDP Haryana INR Crore(Constant, Base Price = 2011-12)]] * 100</f>
        <v>4.9172067785384606</v>
      </c>
      <c r="S14" s="9">
        <f>LN(Table26[[#This Row],[Real Revenue Receipts Per Capita (Constant Prices, INR Crores, Receipts)2]])</f>
        <v>9.6518112744828848</v>
      </c>
      <c r="T14" s="9">
        <f>LN(Table26[[#This Row],[Real Revenue Expenditure Per Capita (Constant Prices, INR Crores, Receipts)]])</f>
        <v>9.9164816477184576</v>
      </c>
    </row>
    <row r="15" spans="1:20" x14ac:dyDescent="0.2">
      <c r="A15" s="4" t="s">
        <v>6</v>
      </c>
      <c r="B15" s="9">
        <v>434407.28</v>
      </c>
      <c r="C15" s="9">
        <v>579684.9</v>
      </c>
      <c r="D15" s="4">
        <v>27811</v>
      </c>
      <c r="E15" s="9">
        <v>2.7810999999999999</v>
      </c>
      <c r="F15" s="9">
        <f t="shared" si="0"/>
        <v>156199.80583222467</v>
      </c>
      <c r="G15" s="9">
        <f>LN(Table26[[#This Row],[NSDP Constant Per Capita]])</f>
        <v>11.958891273315405</v>
      </c>
      <c r="H15" s="9">
        <v>62694.87</v>
      </c>
      <c r="I15" s="9">
        <v>73257.350000000006</v>
      </c>
      <c r="J15" s="9">
        <f>Table26[[#This Row],[Revenue Receipts]]-Table26[[#This Row],[Revenue Expenditure]]</f>
        <v>-10562.480000000003</v>
      </c>
      <c r="K15" s="9">
        <f>Table26[[#This Row],[NSDP Current Prices (INR Crore) (Base Price- 20-11-12)]]/Table26[[#This Row],[NSDP Haryana INR Crore(Constant, Base Price = 2011-12)]] *100</f>
        <v>133.44272223062191</v>
      </c>
      <c r="L15" s="9">
        <f>Table26[[#This Row],[Revenue Receipts]]/Table26[[#This Row],[NSDP Deflator (Base 2011-12)]] * 100</f>
        <v>46982.607183063774</v>
      </c>
      <c r="M15" s="9">
        <f>Table26[[#This Row],[Revenue Expenditure]]/Table26[[#This Row],[NSDP Deflator (Base 2011-12)]] * 100</f>
        <v>54897.973284292901</v>
      </c>
      <c r="N15" s="9">
        <f>Table26[[#This Row],[Real Revenue Receipts]]-Table26[[#This Row],[Real Revenue Expenditure]]</f>
        <v>-7915.3661012291268</v>
      </c>
      <c r="O15" s="9">
        <f>Table26[[#This Row],[Real Revenue Expenditure]]/Table26[[#This Row],[Adjusted Population]]</f>
        <v>19739.661746896156</v>
      </c>
      <c r="P15" s="9">
        <f>Table26[[#This Row],[Real Revenue Receipts]]/Table26[[#This Row],[Adjusted Population]]</f>
        <v>16893.533919335434</v>
      </c>
      <c r="Q15" s="9">
        <f>Table26[[#This Row],[Real Revenue Receipts]]/Table26[[#This Row],[NSDP Haryana INR Crore(Constant, Base Price = 2011-12)]] * 100</f>
        <v>10.815336055846894</v>
      </c>
      <c r="R15" s="9">
        <f>Table26[[#This Row],[Real Revenue Expenditure Per Capita (Constant Prices, INR Crores, Receipts)]]/Table26[[#This Row],[NSDP Haryana INR Crore(Constant, Base Price = 2011-12)]] * 100</f>
        <v>4.5440448757894103</v>
      </c>
      <c r="S15" s="9">
        <f>LN(Table26[[#This Row],[Real Revenue Receipts Per Capita (Constant Prices, INR Crores, Receipts)2]])</f>
        <v>9.7346862193745771</v>
      </c>
      <c r="T15" s="9">
        <f>LN(Table26[[#This Row],[Real Revenue Expenditure Per Capita (Constant Prices, INR Crores, Receipts)]])</f>
        <v>9.8903851774250651</v>
      </c>
    </row>
    <row r="16" spans="1:20" x14ac:dyDescent="0.2">
      <c r="A16" s="4" t="s">
        <v>5</v>
      </c>
      <c r="B16" s="9">
        <v>478383.74</v>
      </c>
      <c r="C16" s="9">
        <v>629054.59</v>
      </c>
      <c r="D16" s="4">
        <v>28206</v>
      </c>
      <c r="E16" s="9">
        <v>2.8206000000000002</v>
      </c>
      <c r="F16" s="9">
        <f t="shared" si="0"/>
        <v>169603.53825427213</v>
      </c>
      <c r="G16" s="9">
        <f>LN(Table26[[#This Row],[NSDP Constant Per Capita]])</f>
        <v>12.041218864470627</v>
      </c>
      <c r="H16" s="9">
        <v>65885.119999999995</v>
      </c>
      <c r="I16" s="9">
        <v>77155.539999999994</v>
      </c>
      <c r="J16" s="9">
        <f>Table26[[#This Row],[Revenue Receipts]]-Table26[[#This Row],[Revenue Expenditure]]</f>
        <v>-11270.419999999998</v>
      </c>
      <c r="K16" s="9">
        <f>Table26[[#This Row],[NSDP Current Prices (INR Crore) (Base Price- 20-11-12)]]/Table26[[#This Row],[NSDP Haryana INR Crore(Constant, Base Price = 2011-12)]] *100</f>
        <v>131.49581338195148</v>
      </c>
      <c r="L16" s="9">
        <f>Table26[[#This Row],[Revenue Receipts]]/Table26[[#This Row],[NSDP Deflator (Base 2011-12)]] * 100</f>
        <v>50104.348043861821</v>
      </c>
      <c r="M16" s="9">
        <f>Table26[[#This Row],[Revenue Expenditure]]/Table26[[#This Row],[NSDP Deflator (Base 2011-12)]] * 100</f>
        <v>58675.282517085841</v>
      </c>
      <c r="N16" s="9">
        <f>Table26[[#This Row],[Real Revenue Receipts]]-Table26[[#This Row],[Real Revenue Expenditure]]</f>
        <v>-8570.9344732240206</v>
      </c>
      <c r="O16" s="9">
        <f>Table26[[#This Row],[Real Revenue Expenditure]]/Table26[[#This Row],[Adjusted Population]]</f>
        <v>20802.411726967963</v>
      </c>
      <c r="P16" s="9">
        <f>Table26[[#This Row],[Real Revenue Receipts]]/Table26[[#This Row],[Adjusted Population]]</f>
        <v>17763.719791484724</v>
      </c>
      <c r="Q16" s="9">
        <f>Table26[[#This Row],[Real Revenue Receipts]]/Table26[[#This Row],[NSDP Haryana INR Crore(Constant, Base Price = 2011-12)]] * 100</f>
        <v>10.473672881076983</v>
      </c>
      <c r="R16" s="9">
        <f>Table26[[#This Row],[Real Revenue Expenditure Per Capita (Constant Prices, INR Crores, Receipts)]]/Table26[[#This Row],[NSDP Haryana INR Crore(Constant, Base Price = 2011-12)]] * 100</f>
        <v>4.3484780078369649</v>
      </c>
      <c r="S16" s="9">
        <f>LN(Table26[[#This Row],[Real Revenue Receipts Per Capita (Constant Prices, INR Crores, Receipts)2]])</f>
        <v>9.7849134423337851</v>
      </c>
      <c r="T16" s="9">
        <f>LN(Table26[[#This Row],[Real Revenue Expenditure Per Capita (Constant Prices, INR Crores, Receipts)]])</f>
        <v>9.9428242073798323</v>
      </c>
    </row>
    <row r="17" spans="1:20" x14ac:dyDescent="0.2">
      <c r="A17" s="4" t="s">
        <v>4</v>
      </c>
      <c r="B17" s="9">
        <v>488489.63</v>
      </c>
      <c r="C17" s="9">
        <v>665176.72</v>
      </c>
      <c r="D17" s="4">
        <v>28206</v>
      </c>
      <c r="E17" s="9">
        <v>2.8206000000000002</v>
      </c>
      <c r="F17" s="9">
        <f t="shared" si="0"/>
        <v>173186.42487414024</v>
      </c>
      <c r="G17" s="9">
        <f>LN(Table26[[#This Row],[NSDP Constant Per Capita]])</f>
        <v>12.062123893713904</v>
      </c>
      <c r="H17" s="9">
        <v>67858.13</v>
      </c>
      <c r="I17" s="9">
        <v>84848.21</v>
      </c>
      <c r="J17" s="9">
        <f>Table26[[#This Row],[Revenue Receipts]]-Table26[[#This Row],[Revenue Expenditure]]</f>
        <v>-16990.080000000002</v>
      </c>
      <c r="K17" s="9">
        <f>Table26[[#This Row],[NSDP Current Prices (INR Crore) (Base Price- 20-11-12)]]/Table26[[#This Row],[NSDP Haryana INR Crore(Constant, Base Price = 2011-12)]] *100</f>
        <v>136.17008000763497</v>
      </c>
      <c r="L17" s="9">
        <f>Table26[[#This Row],[Revenue Receipts]]/Table26[[#This Row],[NSDP Deflator (Base 2011-12)]] * 100</f>
        <v>49833.362803484619</v>
      </c>
      <c r="M17" s="9">
        <f>Table26[[#This Row],[Revenue Expenditure]]/Table26[[#This Row],[NSDP Deflator (Base 2011-12)]] * 100</f>
        <v>62310.464967959648</v>
      </c>
      <c r="N17" s="9">
        <f>Table26[[#This Row],[Real Revenue Receipts]]-Table26[[#This Row],[Real Revenue Expenditure]]</f>
        <v>-12477.102164475029</v>
      </c>
      <c r="O17" s="9">
        <f>Table26[[#This Row],[Real Revenue Expenditure]]/Table26[[#This Row],[Adjusted Population]]</f>
        <v>22091.209305807148</v>
      </c>
      <c r="P17" s="9">
        <f>Table26[[#This Row],[Real Revenue Receipts]]/Table26[[#This Row],[Adjusted Population]]</f>
        <v>17667.6461758082</v>
      </c>
      <c r="Q17" s="9">
        <f>Table26[[#This Row],[Real Revenue Receipts]]/Table26[[#This Row],[NSDP Haryana INR Crore(Constant, Base Price = 2011-12)]] * 100</f>
        <v>10.201519079020084</v>
      </c>
      <c r="R17" s="9">
        <f>Table26[[#This Row],[Real Revenue Expenditure Per Capita (Constant Prices, INR Crores, Receipts)]]/Table26[[#This Row],[NSDP Haryana INR Crore(Constant, Base Price = 2011-12)]] * 100</f>
        <v>4.5223496977422322</v>
      </c>
      <c r="S17" s="9">
        <f>LN(Table26[[#This Row],[Real Revenue Receipts Per Capita (Constant Prices, INR Crores, Receipts)2]])</f>
        <v>9.7794903462428646</v>
      </c>
      <c r="T17" s="9">
        <f>LN(Table26[[#This Row],[Real Revenue Expenditure Per Capita (Constant Prices, INR Crores, Receipts)]])</f>
        <v>10.002935039406781</v>
      </c>
    </row>
    <row r="18" spans="1:20" x14ac:dyDescent="0.2">
      <c r="A18" s="4" t="s">
        <v>3</v>
      </c>
      <c r="B18" s="9">
        <v>437351.26</v>
      </c>
      <c r="C18" s="9">
        <v>651548.66</v>
      </c>
      <c r="D18" s="4">
        <v>29011</v>
      </c>
      <c r="E18" s="9">
        <v>2.9011</v>
      </c>
      <c r="F18" s="9">
        <f t="shared" si="0"/>
        <v>150753.59691151633</v>
      </c>
      <c r="G18" s="9">
        <f>LN(Table26[[#This Row],[NSDP Constant Per Capita]])</f>
        <v>11.923401974414345</v>
      </c>
      <c r="H18" s="9">
        <v>71913.009999999995</v>
      </c>
      <c r="I18" s="9">
        <v>89946.6</v>
      </c>
      <c r="J18" s="9">
        <f>Table26[[#This Row],[Revenue Receipts]]-Table26[[#This Row],[Revenue Expenditure]]</f>
        <v>-18033.590000000011</v>
      </c>
      <c r="K18" s="9">
        <f>Table26[[#This Row],[NSDP Current Prices (INR Crore) (Base Price- 20-11-12)]]/Table26[[#This Row],[NSDP Haryana INR Crore(Constant, Base Price = 2011-12)]] *100</f>
        <v>148.97605645402737</v>
      </c>
      <c r="L18" s="9">
        <f>Table26[[#This Row],[Revenue Receipts]]/Table26[[#This Row],[NSDP Deflator (Base 2011-12)]] * 100</f>
        <v>48271.522089988794</v>
      </c>
      <c r="M18" s="9">
        <f>Table26[[#This Row],[Revenue Expenditure]]/Table26[[#This Row],[NSDP Deflator (Base 2011-12)]] * 100</f>
        <v>60376.547843281573</v>
      </c>
      <c r="N18" s="9">
        <f>Table26[[#This Row],[Real Revenue Receipts]]-Table26[[#This Row],[Real Revenue Expenditure]]</f>
        <v>-12105.025753292779</v>
      </c>
      <c r="O18" s="9">
        <f>Table26[[#This Row],[Real Revenue Expenditure]]/Table26[[#This Row],[Adjusted Population]]</f>
        <v>20811.605199159483</v>
      </c>
      <c r="P18" s="9">
        <f>Table26[[#This Row],[Real Revenue Receipts]]/Table26[[#This Row],[Adjusted Population]]</f>
        <v>16639.041084412394</v>
      </c>
      <c r="Q18" s="9">
        <f>Table26[[#This Row],[Real Revenue Receipts]]/Table26[[#This Row],[NSDP Haryana INR Crore(Constant, Base Price = 2011-12)]] * 100</f>
        <v>11.037243173825265</v>
      </c>
      <c r="R18" s="9">
        <f>Table26[[#This Row],[Real Revenue Expenditure Per Capita (Constant Prices, INR Crores, Receipts)]]/Table26[[#This Row],[NSDP Haryana INR Crore(Constant, Base Price = 2011-12)]] * 100</f>
        <v>4.758556131554184</v>
      </c>
      <c r="S18" s="9">
        <f>LN(Table26[[#This Row],[Real Revenue Receipts Per Capita (Constant Prices, INR Crores, Receipts)2]])</f>
        <v>9.7195070855760139</v>
      </c>
      <c r="T18" s="9">
        <f>LN(Table26[[#This Row],[Real Revenue Expenditure Per Capita (Constant Prices, INR Crores, Receipts)]])</f>
        <v>9.9432660523647769</v>
      </c>
    </row>
    <row r="19" spans="1:20" x14ac:dyDescent="0.2">
      <c r="A19" s="4" t="s">
        <v>2</v>
      </c>
      <c r="B19" s="9">
        <v>480417.14</v>
      </c>
      <c r="C19" s="9">
        <v>778884.62</v>
      </c>
      <c r="D19" s="4">
        <v>29422</v>
      </c>
      <c r="E19" s="9">
        <v>2.9422000000000001</v>
      </c>
      <c r="F19" s="9">
        <f t="shared" si="0"/>
        <v>163285.00441846237</v>
      </c>
      <c r="G19" s="9">
        <f>LN(Table26[[#This Row],[NSDP Constant Per Capita]])</f>
        <v>12.00325244631869</v>
      </c>
      <c r="H19" s="9">
        <v>85485.48</v>
      </c>
      <c r="I19" s="9">
        <v>98425.04</v>
      </c>
      <c r="J19" s="9">
        <f>Table26[[#This Row],[Revenue Receipts]]-Table26[[#This Row],[Revenue Expenditure]]</f>
        <v>-12939.559999999998</v>
      </c>
      <c r="K19" s="9">
        <f>Table26[[#This Row],[NSDP Current Prices (INR Crore) (Base Price- 20-11-12)]]/Table26[[#This Row],[NSDP Haryana INR Crore(Constant, Base Price = 2011-12)]] *100</f>
        <v>162.12673427929735</v>
      </c>
      <c r="L19" s="9">
        <f>Table26[[#This Row],[Revenue Receipts]]/Table26[[#This Row],[NSDP Deflator (Base 2011-12)]] * 100</f>
        <v>52727.565493753369</v>
      </c>
      <c r="M19" s="9">
        <f>Table26[[#This Row],[Revenue Expenditure]]/Table26[[#This Row],[NSDP Deflator (Base 2011-12)]] * 100</f>
        <v>60708.704482039459</v>
      </c>
      <c r="N19" s="9">
        <f>Table26[[#This Row],[Real Revenue Receipts]]-Table26[[#This Row],[Real Revenue Expenditure]]</f>
        <v>-7981.1389882860894</v>
      </c>
      <c r="O19" s="9">
        <f>Table26[[#This Row],[Real Revenue Expenditure]]/Table26[[#This Row],[Adjusted Population]]</f>
        <v>20633.778968812268</v>
      </c>
      <c r="P19" s="9">
        <f>Table26[[#This Row],[Real Revenue Receipts]]/Table26[[#This Row],[Adjusted Population]]</f>
        <v>17921.135712648142</v>
      </c>
      <c r="Q19" s="9">
        <f>Table26[[#This Row],[Real Revenue Receipts]]/Table26[[#This Row],[NSDP Haryana INR Crore(Constant, Base Price = 2011-12)]] * 100</f>
        <v>10.975371422791737</v>
      </c>
      <c r="R19" s="9">
        <f>Table26[[#This Row],[Real Revenue Expenditure Per Capita (Constant Prices, INR Crores, Receipts)]]/Table26[[#This Row],[NSDP Haryana INR Crore(Constant, Base Price = 2011-12)]] * 100</f>
        <v>4.2949714426950436</v>
      </c>
      <c r="S19" s="9">
        <f>LN(Table26[[#This Row],[Real Revenue Receipts Per Capita (Constant Prices, INR Crores, Receipts)2]])</f>
        <v>9.7937360613425781</v>
      </c>
      <c r="T19" s="9">
        <f>LN(Table26[[#This Row],[Real Revenue Expenditure Per Capita (Constant Prices, INR Crores, Receipts)]])</f>
        <v>9.9346847676136232</v>
      </c>
    </row>
    <row r="20" spans="1:20" x14ac:dyDescent="0.2">
      <c r="A20" s="4" t="s">
        <v>1</v>
      </c>
      <c r="B20" s="9">
        <v>519134.97</v>
      </c>
      <c r="C20" s="9">
        <v>885029.37</v>
      </c>
      <c r="D20" s="4">
        <v>29840</v>
      </c>
      <c r="E20" s="9">
        <v>2.984</v>
      </c>
      <c r="F20" s="9">
        <f t="shared" si="0"/>
        <v>173972.84517426274</v>
      </c>
      <c r="G20" s="9">
        <f>LN(Table26[[#This Row],[NSDP Constant Per Capita]])</f>
        <v>12.066654503800811</v>
      </c>
      <c r="H20" s="9">
        <v>97002.48</v>
      </c>
      <c r="I20" s="9">
        <v>115007.54</v>
      </c>
      <c r="J20" s="9">
        <f>Table26[[#This Row],[Revenue Receipts]]-Table26[[#This Row],[Revenue Expenditure]]</f>
        <v>-18005.059999999998</v>
      </c>
      <c r="K20" s="9">
        <f>Table26[[#This Row],[NSDP Current Prices (INR Crore) (Base Price- 20-11-12)]]/Table26[[#This Row],[NSDP Haryana INR Crore(Constant, Base Price = 2011-12)]] *100</f>
        <v>170.48155511465546</v>
      </c>
      <c r="L20" s="9">
        <f>Table26[[#This Row],[Revenue Receipts]]/Table26[[#This Row],[NSDP Deflator (Base 2011-12)]] * 100</f>
        <v>56899.10555705693</v>
      </c>
      <c r="M20" s="9">
        <f>Table26[[#This Row],[Revenue Expenditure]]/Table26[[#This Row],[NSDP Deflator (Base 2011-12)]] * 100</f>
        <v>67460.400582721661</v>
      </c>
      <c r="N20" s="9">
        <f>Table26[[#This Row],[Real Revenue Receipts]]-Table26[[#This Row],[Real Revenue Expenditure]]</f>
        <v>-10561.295025664731</v>
      </c>
      <c r="O20" s="9">
        <f>Table26[[#This Row],[Real Revenue Expenditure]]/Table26[[#This Row],[Adjusted Population]]</f>
        <v>22607.372849437554</v>
      </c>
      <c r="P20" s="9">
        <f>Table26[[#This Row],[Real Revenue Receipts]]/Table26[[#This Row],[Adjusted Population]]</f>
        <v>19068.064864965458</v>
      </c>
      <c r="Q20" s="9">
        <f>Table26[[#This Row],[Real Revenue Receipts]]/Table26[[#This Row],[NSDP Haryana INR Crore(Constant, Base Price = 2011-12)]] * 100</f>
        <v>10.960368467771865</v>
      </c>
      <c r="R20" s="9">
        <f>Table26[[#This Row],[Real Revenue Expenditure Per Capita (Constant Prices, INR Crores, Receipts)]]/Table26[[#This Row],[NSDP Haryana INR Crore(Constant, Base Price = 2011-12)]] * 100</f>
        <v>4.3548160220139964</v>
      </c>
      <c r="S20" s="9">
        <f>LN(Table26[[#This Row],[Real Revenue Receipts Per Capita (Constant Prices, INR Crores, Receipts)2]])</f>
        <v>9.855770218089722</v>
      </c>
      <c r="T20" s="9">
        <f>LN(Table26[[#This Row],[Real Revenue Expenditure Per Capita (Constant Prices, INR Crores, Receipts)]])</f>
        <v>10.026031364334196</v>
      </c>
    </row>
    <row r="26" spans="1:20" x14ac:dyDescent="0.2">
      <c r="I26" s="1" t="s">
        <v>61</v>
      </c>
    </row>
    <row r="27" spans="1:20" x14ac:dyDescent="0.2">
      <c r="I27" s="1"/>
    </row>
    <row r="28" spans="1:20" x14ac:dyDescent="0.2">
      <c r="I28" t="s">
        <v>72</v>
      </c>
    </row>
  </sheetData>
  <hyperlinks>
    <hyperlink ref="I26" r:id="rId1" xr:uid="{63362AC7-4B66-E649-811D-4DF66E4E4E84}"/>
  </hyperlinks>
  <pageMargins left="0.7" right="0.7" top="0.75" bottom="0.75" header="0.3" footer="0.3"/>
  <ignoredErrors>
    <ignoredError sqref="K3:K6" calculatedColumn="1"/>
  </ignoredErrors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CE94-40CA-5D4E-9A1C-6250F2A93AD8}">
  <dimension ref="A1:M198"/>
  <sheetViews>
    <sheetView topLeftCell="B158" zoomScale="85" workbookViewId="0">
      <selection activeCell="E201" sqref="E201"/>
    </sheetView>
  </sheetViews>
  <sheetFormatPr baseColWidth="10" defaultRowHeight="16" x14ac:dyDescent="0.2"/>
  <cols>
    <col min="2" max="2" width="87.1640625" bestFit="1" customWidth="1"/>
    <col min="3" max="3" width="63" bestFit="1" customWidth="1"/>
    <col min="4" max="4" width="60.33203125" bestFit="1" customWidth="1"/>
    <col min="5" max="5" width="56.6640625" bestFit="1" customWidth="1"/>
    <col min="6" max="6" width="22.5" bestFit="1" customWidth="1"/>
    <col min="7" max="7" width="25.5" bestFit="1" customWidth="1"/>
    <col min="8" max="8" width="52" bestFit="1" customWidth="1"/>
    <col min="9" max="9" width="54.5" bestFit="1" customWidth="1"/>
    <col min="10" max="10" width="30.6640625" bestFit="1" customWidth="1"/>
    <col min="11" max="11" width="34.1640625" bestFit="1" customWidth="1"/>
    <col min="12" max="12" width="68.1640625" bestFit="1" customWidth="1"/>
    <col min="13" max="13" width="66.1640625" bestFit="1" customWidth="1"/>
  </cols>
  <sheetData>
    <row r="1" spans="1:13" x14ac:dyDescent="0.2">
      <c r="A1" s="17" t="s">
        <v>0</v>
      </c>
      <c r="B1" s="3" t="s">
        <v>132</v>
      </c>
      <c r="C1" s="3" t="s">
        <v>130</v>
      </c>
      <c r="D1" s="3" t="s">
        <v>134</v>
      </c>
      <c r="E1" s="3" t="s">
        <v>135</v>
      </c>
      <c r="F1" s="3" t="s">
        <v>124</v>
      </c>
      <c r="G1" s="21" t="s">
        <v>125</v>
      </c>
      <c r="H1" s="3" t="s">
        <v>126</v>
      </c>
      <c r="I1" s="3" t="s">
        <v>127</v>
      </c>
      <c r="J1" s="3" t="s">
        <v>90</v>
      </c>
      <c r="K1" s="3" t="s">
        <v>91</v>
      </c>
      <c r="L1" s="3" t="s">
        <v>89</v>
      </c>
      <c r="M1" s="3" t="s">
        <v>88</v>
      </c>
    </row>
    <row r="2" spans="1:13" x14ac:dyDescent="0.2">
      <c r="A2" s="18" t="s">
        <v>19</v>
      </c>
      <c r="B2" s="12">
        <f>Table1[[#This Row],[Revenue Receipts (INR Crore)]]/Table1[[#This Row],[NDP Deflator (2011-12 base)]]*100</f>
        <v>548424.36802299484</v>
      </c>
      <c r="C2" s="12">
        <f>Table1[[#This Row],[Revenue Expenditure (INR Crore)]]/Table1[[#This Row],[NDP Deflator (2011-12 base)]]*100</f>
        <v>688818.6262479244</v>
      </c>
      <c r="D2" s="12">
        <f>Table1[[#This Row],[Revenue Receipts (INR Crore) (Base Price- 2011)]]/Table1[[#This Row],[Adjusted Population]]</f>
        <v>48277.1329395801</v>
      </c>
      <c r="E2" s="12">
        <f>Table1[[#This Row],[Revenue Expenditure (INR Crore) (Base Price- 2011-12]]/Table1[[#This Row],[Adjusted Population]]</f>
        <v>60635.869464567033</v>
      </c>
      <c r="F2" s="12">
        <f>Table1[[#This Row],[Revenue Receipts (INR Crore) (Base Price- 2011)]]/Table1[[#This Row],[All-India NDP (Constant Prices) (INR Crore) (Base 2011-2012)]]*100</f>
        <v>12.013023531933726</v>
      </c>
      <c r="G2" s="22">
        <f>Table1[[#This Row],[Revenue Expenditure (INR Crore) (Base Price- 2011-12]]/Table1[[#This Row],[All-India NDP (Constant Prices) (INR Crore) (Base 2011-2012)]]*100</f>
        <v>15.088305423371748</v>
      </c>
      <c r="H2" s="12">
        <f>Table26[[#This Row],[Revenue Receipts]]/Table26[[#This Row],[NSDP Deflator (Base 2011-12)]] * 100</f>
        <v>19064.89259585796</v>
      </c>
      <c r="I2" s="12">
        <f>Table26[[#This Row],[Revenue Expenditure]]/Table26[[#This Row],[NSDP Deflator (Base 2011-12)]] * 100</f>
        <v>19506.140995762096</v>
      </c>
      <c r="J2" s="12">
        <f>Table26[[#This Row],[Real Revenue Receipts]]/Table26[[#This Row],[NSDP Haryana INR Crore(Constant, Base Price = 2011-12)]] * 100</f>
        <v>13.275772235211978</v>
      </c>
      <c r="K2" s="12">
        <f>Table26[[#This Row],[Real Revenue Expenditure Per Capita (Constant Prices, INR Crores, Receipts)]]/Table26[[#This Row],[NSDP Haryana INR Crore(Constant, Base Price = 2011-12)]] * 100</f>
        <v>5.9818708051854825</v>
      </c>
      <c r="L2" s="12">
        <f>Table26[[#This Row],[Real Revenue Expenditure]]/Table26[[#This Row],[Adjusted Population]]</f>
        <v>8590.3646433972317</v>
      </c>
      <c r="M2" s="12">
        <f>Table26[[#This Row],[Real Revenue Receipts]]/Table26[[#This Row],[Adjusted Population]]</f>
        <v>8396.0420116518962</v>
      </c>
    </row>
    <row r="3" spans="1:13" x14ac:dyDescent="0.2">
      <c r="A3" s="19" t="s">
        <v>18</v>
      </c>
      <c r="B3" s="14">
        <f>Table1[[#This Row],[Revenue Receipts (INR Crore)]]/Table1[[#This Row],[NDP Deflator (2011-12 base)]]*100</f>
        <v>595922.51015128149</v>
      </c>
      <c r="C3" s="14">
        <f>Table1[[#This Row],[Revenue Expenditure (INR Crore)]]/Table1[[#This Row],[NDP Deflator (2011-12 base)]]*100</f>
        <v>754221.98394828127</v>
      </c>
      <c r="D3" s="14">
        <f>Table1[[#This Row],[Revenue Receipts (INR Crore) (Base Price- 2011)]]/Table1[[#This Row],[Adjusted Population]]</f>
        <v>51609.499994048674</v>
      </c>
      <c r="E3" s="14">
        <f>Table1[[#This Row],[Revenue Expenditure (INR Crore) (Base Price- 2011-12]]/Table1[[#This Row],[Adjusted Population]]</f>
        <v>65318.927902570176</v>
      </c>
      <c r="F3" s="14">
        <f>Table1[[#This Row],[Revenue Receipts (INR Crore) (Base Price- 2011)]]/Table1[[#This Row],[All-India NDP (Constant Prices) (INR Crore) (Base 2011-2012)]]*100</f>
        <v>11.949293045593953</v>
      </c>
      <c r="G3" s="23">
        <f>Table1[[#This Row],[Revenue Expenditure (INR Crore) (Base Price- 2011-12]]/Table1[[#This Row],[All-India NDP (Constant Prices) (INR Crore) (Base 2011-2012)]]*100</f>
        <v>15.123475542716736</v>
      </c>
      <c r="H3" s="14">
        <f>Table26[[#This Row],[Revenue Receipts]]/Table26[[#This Row],[NSDP Deflator (Base 2011-12)]] * 100</f>
        <v>23689.160105549588</v>
      </c>
      <c r="I3" s="14">
        <f>Table26[[#This Row],[Revenue Expenditure]]/Table26[[#This Row],[NSDP Deflator (Base 2011-12)]] * 100</f>
        <v>21614.211905063497</v>
      </c>
      <c r="J3" s="14">
        <f>Table26[[#This Row],[Real Revenue Receipts]]/Table26[[#This Row],[NSDP Haryana INR Crore(Constant, Base Price = 2011-12)]] * 100</f>
        <v>14.52773274480171</v>
      </c>
      <c r="K3" s="14">
        <f>Table26[[#This Row],[Real Revenue Expenditure Per Capita (Constant Prices, INR Crores, Receipts)]]/Table26[[#This Row],[NSDP Haryana INR Crore(Constant, Base Price = 2011-12)]] * 100</f>
        <v>5.7282798785757549</v>
      </c>
      <c r="L3" s="14">
        <f>Table26[[#This Row],[Real Revenue Expenditure]]/Table26[[#This Row],[Adjusted Population]]</f>
        <v>9340.6274438476648</v>
      </c>
      <c r="M3" s="14">
        <f>Table26[[#This Row],[Real Revenue Receipts]]/Table26[[#This Row],[Adjusted Population]]</f>
        <v>10237.320702484696</v>
      </c>
    </row>
    <row r="4" spans="1:13" x14ac:dyDescent="0.2">
      <c r="A4" s="18" t="s">
        <v>17</v>
      </c>
      <c r="B4" s="12">
        <f>Table1[[#This Row],[Revenue Receipts (INR Crore)]]/Table1[[#This Row],[NDP Deflator (2011-12 base)]]*100</f>
        <v>696621.91948158364</v>
      </c>
      <c r="C4" s="12">
        <f>Table1[[#This Row],[Revenue Expenditure (INR Crore)]]/Table1[[#This Row],[NDP Deflator (2011-12 base)]]*100</f>
        <v>825273.10753429157</v>
      </c>
      <c r="D4" s="12">
        <f>Table1[[#This Row],[Revenue Receipts (INR Crore) (Base Price- 2011)]]/Table1[[#This Row],[Adjusted Population]]</f>
        <v>59394.18469267364</v>
      </c>
      <c r="E4" s="12">
        <f>Table1[[#This Row],[Revenue Expenditure (INR Crore) (Base Price- 2011-12]]/Table1[[#This Row],[Adjusted Population]]</f>
        <v>70363.021891797151</v>
      </c>
      <c r="F4" s="12">
        <f>Table1[[#This Row],[Revenue Receipts (INR Crore) (Base Price- 2011)]]/Table1[[#This Row],[All-India NDP (Constant Prices) (INR Crore) (Base 2011-2012)]]*100</f>
        <v>12.792608171337713</v>
      </c>
      <c r="G4" s="22">
        <f>Table1[[#This Row],[Revenue Expenditure (INR Crore) (Base Price- 2011-12]]/Table1[[#This Row],[All-India NDP (Constant Prices) (INR Crore) (Base 2011-2012)]]*100</f>
        <v>15.155129638879455</v>
      </c>
      <c r="H4" s="12">
        <f>Table26[[#This Row],[Revenue Receipts]]/Table26[[#This Row],[NSDP Deflator (Base 2011-12)]] * 100</f>
        <v>30698.654749607351</v>
      </c>
      <c r="I4" s="12">
        <f>Table26[[#This Row],[Revenue Expenditure]]/Table26[[#This Row],[NSDP Deflator (Base 2011-12)]] * 100</f>
        <v>27979.275998362777</v>
      </c>
      <c r="J4" s="12">
        <f>Table26[[#This Row],[Real Revenue Receipts]]/Table26[[#This Row],[NSDP Haryana INR Crore(Constant, Base Price = 2011-12)]] * 100</f>
        <v>15.875184671728732</v>
      </c>
      <c r="K4" s="12">
        <f>Table26[[#This Row],[Real Revenue Expenditure Per Capita (Constant Prices, INR Crores, Receipts)]]/Table26[[#This Row],[NSDP Haryana INR Crore(Constant, Base Price = 2011-12)]] * 100</f>
        <v>6.1389593458772396</v>
      </c>
      <c r="L4" s="12">
        <f>Table26[[#This Row],[Real Revenue Expenditure]]/Table26[[#This Row],[Adjusted Population]]</f>
        <v>11871.218973381467</v>
      </c>
      <c r="M4" s="12">
        <f>Table26[[#This Row],[Real Revenue Receipts]]/Table26[[#This Row],[Adjusted Population]]</f>
        <v>13025.013683061374</v>
      </c>
    </row>
    <row r="5" spans="1:13" x14ac:dyDescent="0.2">
      <c r="A5" s="19" t="s">
        <v>16</v>
      </c>
      <c r="B5" s="14">
        <f>Table1[[#This Row],[Revenue Receipts (INR Crore)]]/Table1[[#This Row],[NDP Deflator (2011-12 base)]]*100</f>
        <v>822198.18250957946</v>
      </c>
      <c r="C5" s="14">
        <f>Table1[[#This Row],[Revenue Expenditure (INR Crore)]]/Table1[[#This Row],[NDP Deflator (2011-12 base)]]*100</f>
        <v>901963.83635693986</v>
      </c>
      <c r="D5" s="14">
        <f>Table1[[#This Row],[Revenue Receipts (INR Crore) (Base Price- 2011)]]/Table1[[#This Row],[Adjusted Population]]</f>
        <v>69053.057465639635</v>
      </c>
      <c r="E5" s="14">
        <f>Table1[[#This Row],[Revenue Expenditure (INR Crore) (Base Price- 2011-12]]/Table1[[#This Row],[Adjusted Population]]</f>
        <v>75752.247996679187</v>
      </c>
      <c r="F5" s="14">
        <f>Table1[[#This Row],[Revenue Receipts (INR Crore) (Base Price- 2011)]]/Table1[[#This Row],[All-India NDP (Constant Prices) (INR Crore) (Base 2011-2012)]]*100</f>
        <v>13.76572327220077</v>
      </c>
      <c r="G5" s="23">
        <f>Table1[[#This Row],[Revenue Expenditure (INR Crore) (Base Price- 2011-12]]/Table1[[#This Row],[All-India NDP (Constant Prices) (INR Crore) (Base 2011-2012)]]*100</f>
        <v>15.101206542350331</v>
      </c>
      <c r="H5" s="14">
        <f>Table26[[#This Row],[Revenue Receipts]]/Table26[[#This Row],[NSDP Deflator (Base 2011-12)]] * 100</f>
        <v>33773.765407274805</v>
      </c>
      <c r="I5" s="14">
        <f>Table26[[#This Row],[Revenue Expenditure]]/Table26[[#This Row],[NSDP Deflator (Base 2011-12)]] * 100</f>
        <v>29970.947706455678</v>
      </c>
      <c r="J5" s="14">
        <f>Table26[[#This Row],[Real Revenue Receipts]]/Table26[[#This Row],[NSDP Haryana INR Crore(Constant, Base Price = 2011-12)]] * 100</f>
        <v>14.846525965215982</v>
      </c>
      <c r="K5" s="14">
        <f>Table26[[#This Row],[Real Revenue Expenditure Per Capita (Constant Prices, INR Crores, Receipts)]]/Table26[[#This Row],[NSDP Haryana INR Crore(Constant, Base Price = 2011-12)]] * 100</f>
        <v>5.490209085238102</v>
      </c>
      <c r="L5" s="14">
        <f>Table26[[#This Row],[Real Revenue Expenditure]]/Table26[[#This Row],[Adjusted Population]]</f>
        <v>12489.456059697328</v>
      </c>
      <c r="M5" s="14">
        <f>Table26[[#This Row],[Real Revenue Receipts]]/Table26[[#This Row],[Adjusted Population]]</f>
        <v>14074.16152322157</v>
      </c>
    </row>
    <row r="6" spans="1:13" x14ac:dyDescent="0.2">
      <c r="A6" s="18" t="s">
        <v>15</v>
      </c>
      <c r="B6" s="12">
        <f>Table1[[#This Row],[Revenue Receipts (INR Crore)]]/Table1[[#This Row],[NDP Deflator (2011-12 base)]]*100</f>
        <v>731884.09892577666</v>
      </c>
      <c r="C6" s="12">
        <f>Table1[[#This Row],[Revenue Expenditure (INR Crore)]]/Table1[[#This Row],[NDP Deflator (2011-12 base)]]*100</f>
        <v>1075351.1444679007</v>
      </c>
      <c r="D6" s="12">
        <f>Table1[[#This Row],[Revenue Receipts (INR Crore) (Base Price- 2011)]]/Table1[[#This Row],[Adjusted Population]]</f>
        <v>60589.892876809739</v>
      </c>
      <c r="E6" s="12">
        <f>Table1[[#This Row],[Revenue Expenditure (INR Crore) (Base Price- 2011-12]]/Table1[[#This Row],[Adjusted Population]]</f>
        <v>89024.219468487921</v>
      </c>
      <c r="F6" s="12">
        <f>Table1[[#This Row],[Revenue Receipts (INR Crore) (Base Price- 2011)]]/Table1[[#This Row],[All-India NDP (Constant Prices) (INR Crore) (Base 2011-2012)]]*100</f>
        <v>11.868317921974487</v>
      </c>
      <c r="G6" s="22">
        <f>Table1[[#This Row],[Revenue Expenditure (INR Crore) (Base Price- 2011-12]]/Table1[[#This Row],[All-India NDP (Constant Prices) (INR Crore) (Base 2011-2012)]]*100</f>
        <v>17.438019597688339</v>
      </c>
      <c r="H6" s="12">
        <f>Table26[[#This Row],[Revenue Receipts]]/Table26[[#This Row],[NSDP Deflator (Base 2011-12)]] * 100</f>
        <v>31553.450099769863</v>
      </c>
      <c r="I6" s="12">
        <f>Table26[[#This Row],[Revenue Expenditure]]/Table26[[#This Row],[NSDP Deflator (Base 2011-12)]] * 100</f>
        <v>35114.388299743885</v>
      </c>
      <c r="J6" s="12">
        <f>Table26[[#This Row],[Real Revenue Receipts]]/Table26[[#This Row],[NSDP Haryana INR Crore(Constant, Base Price = 2011-12)]] * 100</f>
        <v>11.507107968641424</v>
      </c>
      <c r="K6" s="12">
        <f>Table26[[#This Row],[Real Revenue Expenditure Per Capita (Constant Prices, INR Crores, Receipts)]]/Table26[[#This Row],[NSDP Haryana INR Crore(Constant, Base Price = 2011-12)]] * 100</f>
        <v>5.2428794295607561</v>
      </c>
      <c r="L6" s="12">
        <f>Table26[[#This Row],[Real Revenue Expenditure]]/Table26[[#This Row],[Adjusted Population]]</f>
        <v>14376.412814634139</v>
      </c>
      <c r="M6" s="12">
        <f>Table26[[#This Row],[Real Revenue Receipts]]/Table26[[#This Row],[Adjusted Population]]</f>
        <v>12918.50567032543</v>
      </c>
    </row>
    <row r="7" spans="1:13" x14ac:dyDescent="0.2">
      <c r="A7" s="19" t="s">
        <v>14</v>
      </c>
      <c r="B7" s="14">
        <f>Table1[[#This Row],[Revenue Receipts (INR Crore)]]/Table1[[#This Row],[NDP Deflator (2011-12 base)]]*100</f>
        <v>730999.20924725721</v>
      </c>
      <c r="C7" s="14">
        <f>Table1[[#This Row],[Revenue Expenditure (INR Crore)]]/Table1[[#This Row],[NDP Deflator (2011-12 base)]]*100</f>
        <v>1161587.4529845756</v>
      </c>
      <c r="D7" s="14">
        <f>Table1[[#This Row],[Revenue Receipts (INR Crore) (Base Price- 2011)]]/Table1[[#This Row],[Adjusted Population]]</f>
        <v>59647.841475878275</v>
      </c>
      <c r="E7" s="14">
        <f>Table1[[#This Row],[Revenue Expenditure (INR Crore) (Base Price- 2011-12]]/Table1[[#This Row],[Adjusted Population]]</f>
        <v>94782.844330762382</v>
      </c>
      <c r="F7" s="14">
        <f>Table1[[#This Row],[Revenue Receipts (INR Crore) (Base Price- 2011)]]/Table1[[#This Row],[All-India NDP (Constant Prices) (INR Crore) (Base 2011-2012)]]*100</f>
        <v>10.961243159158562</v>
      </c>
      <c r="G7" s="23">
        <f>Table1[[#This Row],[Revenue Expenditure (INR Crore) (Base Price- 2011-12]]/Table1[[#This Row],[All-India NDP (Constant Prices) (INR Crore) (Base 2011-2012)]]*100</f>
        <v>17.417860870058625</v>
      </c>
      <c r="H7" s="14">
        <f>Table26[[#This Row],[Revenue Receipts]]/Table26[[#This Row],[NSDP Deflator (Base 2011-12)]] * 100</f>
        <v>35897.448600951546</v>
      </c>
      <c r="I7" s="14">
        <f>Table26[[#This Row],[Revenue Expenditure]]/Table26[[#This Row],[NSDP Deflator (Base 2011-12)]] * 100</f>
        <v>43190.119801144865</v>
      </c>
      <c r="J7" s="14">
        <f>Table26[[#This Row],[Real Revenue Receipts]]/Table26[[#This Row],[NSDP Haryana INR Crore(Constant, Base Price = 2011-12)]] * 100</f>
        <v>10.572734282191492</v>
      </c>
      <c r="K7" s="14">
        <f>Table26[[#This Row],[Real Revenue Expenditure Per Capita (Constant Prices, INR Crores, Receipts)]]/Table26[[#This Row],[NSDP Haryana INR Crore(Constant, Base Price = 2011-12)]] * 100</f>
        <v>5.1191661775415236</v>
      </c>
      <c r="L7" s="14">
        <f>Table26[[#This Row],[Real Revenue Expenditure]]/Table26[[#This Row],[Adjusted Population]]</f>
        <v>17381.029337657397</v>
      </c>
      <c r="M7" s="14">
        <f>Table26[[#This Row],[Real Revenue Receipts]]/Table26[[#This Row],[Adjusted Population]]</f>
        <v>14446.234697956274</v>
      </c>
    </row>
    <row r="8" spans="1:13" x14ac:dyDescent="0.2">
      <c r="A8" s="18" t="s">
        <v>13</v>
      </c>
      <c r="B8" s="12">
        <f>Table1[[#This Row],[Revenue Receipts (INR Crore)]]/Table1[[#This Row],[NDP Deflator (2011-12 base)]]*100</f>
        <v>931103.75070092664</v>
      </c>
      <c r="C8" s="12">
        <f>Table1[[#This Row],[Revenue Expenditure (INR Crore)]]/Table1[[#This Row],[NDP Deflator (2011-12 base)]]*100</f>
        <v>1228987.6086003424</v>
      </c>
      <c r="D8" s="12">
        <f>Table1[[#This Row],[Revenue Receipts (INR Crore) (Base Price- 2011)]]/Table1[[#This Row],[Adjusted Population]]</f>
        <v>74878.747798595126</v>
      </c>
      <c r="E8" s="12">
        <f>Table1[[#This Row],[Revenue Expenditure (INR Crore) (Base Price- 2011-12]]/Table1[[#This Row],[Adjusted Population]]</f>
        <v>98834.370630241727</v>
      </c>
      <c r="F8" s="12">
        <f>Table1[[#This Row],[Revenue Receipts (INR Crore) (Base Price- 2011)]]/Table1[[#This Row],[All-India NDP (Constant Prices) (INR Crore) (Base 2011-2012)]]*100</f>
        <v>12.648761901964148</v>
      </c>
      <c r="G8" s="22">
        <f>Table1[[#This Row],[Revenue Expenditure (INR Crore) (Base Price- 2011-12]]/Table1[[#This Row],[All-India NDP (Constant Prices) (INR Crore) (Base 2011-2012)]]*100</f>
        <v>16.695423716151687</v>
      </c>
      <c r="H8" s="12">
        <f>Table26[[#This Row],[Revenue Receipts]]/Table26[[#This Row],[NSDP Deflator (Base 2011-12)]] * 100</f>
        <v>43713.892799013942</v>
      </c>
      <c r="I8" s="12">
        <f>Table26[[#This Row],[Revenue Expenditure]]/Table26[[#This Row],[NSDP Deflator (Base 2011-12)]] * 100</f>
        <v>48410.424898908001</v>
      </c>
      <c r="J8" s="12">
        <f>Table26[[#This Row],[Real Revenue Receipts]]/Table26[[#This Row],[NSDP Haryana INR Crore(Constant, Base Price = 2011-12)]] * 100</f>
        <v>10.956176771707419</v>
      </c>
      <c r="K8" s="12">
        <f>Table26[[#This Row],[Real Revenue Expenditure Per Capita (Constant Prices, INR Crores, Receipts)]]/Table26[[#This Row],[NSDP Haryana INR Crore(Constant, Base Price = 2011-12)]] * 100</f>
        <v>4.8014587306442875</v>
      </c>
      <c r="L8" s="12">
        <f>Table26[[#This Row],[Real Revenue Expenditure]]/Table26[[#This Row],[Adjusted Population]]</f>
        <v>19157.271428139295</v>
      </c>
      <c r="M8" s="12">
        <f>Table26[[#This Row],[Real Revenue Receipts]]/Table26[[#This Row],[Adjusted Population]]</f>
        <v>17298.73082667746</v>
      </c>
    </row>
    <row r="9" spans="1:13" x14ac:dyDescent="0.2">
      <c r="A9" s="19" t="s">
        <v>12</v>
      </c>
      <c r="B9" s="14">
        <f>Table1[[#This Row],[Revenue Receipts (INR Crore)]]/Table1[[#This Row],[NDP Deflator (2011-12 base)]]*100</f>
        <v>751437</v>
      </c>
      <c r="C9" s="14">
        <f>Table1[[#This Row],[Revenue Expenditure (INR Crore)]]/Table1[[#This Row],[NDP Deflator (2011-12 base)]]*100</f>
        <v>1145785</v>
      </c>
      <c r="D9" s="14">
        <f>Table1[[#This Row],[Revenue Receipts (INR Crore) (Base Price- 2011)]]/Table1[[#This Row],[Adjusted Population]]</f>
        <v>59579.932208765291</v>
      </c>
      <c r="E9" s="14">
        <f>Table1[[#This Row],[Revenue Expenditure (INR Crore) (Base Price- 2011-12]]/Table1[[#This Row],[Adjusted Population]]</f>
        <v>90846.993993934477</v>
      </c>
      <c r="F9" s="14">
        <f>Table1[[#This Row],[Revenue Receipts (INR Crore) (Base Price- 2011)]]/Table1[[#This Row],[All-India NDP (Constant Prices) (INR Crore) (Base 2011-2012)]]*100</f>
        <v>9.610208470123494</v>
      </c>
      <c r="G9" s="23">
        <f>Table1[[#This Row],[Revenue Expenditure (INR Crore) (Base Price- 2011-12]]/Table1[[#This Row],[All-India NDP (Constant Prices) (INR Crore) (Base 2011-2012)]]*100</f>
        <v>14.653567380818949</v>
      </c>
      <c r="H9" s="14">
        <f>Table26[[#This Row],[Revenue Receipts]]/Table26[[#This Row],[NSDP Deflator (Base 2011-12)]] * 100</f>
        <v>30557.59</v>
      </c>
      <c r="I9" s="14">
        <f>Table26[[#This Row],[Revenue Expenditure]]/Table26[[#This Row],[NSDP Deflator (Base 2011-12)]] * 100</f>
        <v>32014.889999999996</v>
      </c>
      <c r="J9" s="14">
        <f>Table26[[#This Row],[Real Revenue Receipts]]/Table26[[#This Row],[NSDP Haryana INR Crore(Constant, Base Price = 2011-12)]] * 100</f>
        <v>11.269522594814548</v>
      </c>
      <c r="K9" s="14">
        <f>Table26[[#This Row],[Real Revenue Expenditure Per Capita (Constant Prices, INR Crores, Receipts)]]/Table26[[#This Row],[NSDP Haryana INR Crore(Constant, Base Price = 2011-12)]] * 100</f>
        <v>4.6193150525282531</v>
      </c>
      <c r="L9" s="14">
        <f>Table26[[#This Row],[Real Revenue Expenditure]]/Table26[[#This Row],[Adjusted Population]]</f>
        <v>12525.38732394366</v>
      </c>
      <c r="M9" s="14">
        <f>Table26[[#This Row],[Real Revenue Receipts]]/Table26[[#This Row],[Adjusted Population]]</f>
        <v>11955.238654147104</v>
      </c>
    </row>
    <row r="10" spans="1:13" x14ac:dyDescent="0.2">
      <c r="A10" s="18" t="s">
        <v>11</v>
      </c>
      <c r="B10" s="12">
        <f>Table1[[#This Row],[Revenue Receipts (INR Crore)]]/Table1[[#This Row],[NDP Deflator (2011-12 base)]]*100</f>
        <v>811852.54874667758</v>
      </c>
      <c r="C10" s="12">
        <f>Table1[[#This Row],[Revenue Expenditure (INR Crore)]]/Table1[[#This Row],[NDP Deflator (2011-12 base)]]*100</f>
        <v>1148218.0019632769</v>
      </c>
      <c r="D10" s="12">
        <f>Table1[[#This Row],[Revenue Receipts (INR Crore) (Base Price- 2011)]]/Table1[[#This Row],[Adjusted Population]]</f>
        <v>63491.704205265421</v>
      </c>
      <c r="E10" s="12">
        <f>Table1[[#This Row],[Revenue Expenditure (INR Crore) (Base Price- 2011-12]]/Table1[[#This Row],[Adjusted Population]]</f>
        <v>89797.485832074366</v>
      </c>
      <c r="F10" s="12">
        <f>Table1[[#This Row],[Revenue Receipts (INR Crore) (Base Price- 2011)]]/Table1[[#This Row],[All-India NDP (Constant Prices) (INR Crore) (Base 2011-2012)]]*100</f>
        <v>9.8977970322999589</v>
      </c>
      <c r="G10" s="22">
        <f>Table1[[#This Row],[Revenue Expenditure (INR Crore) (Base Price- 2011-12]]/Table1[[#This Row],[All-India NDP (Constant Prices) (INR Crore) (Base 2011-2012)]]*100</f>
        <v>13.998636513256397</v>
      </c>
      <c r="H10" s="12">
        <f>Table26[[#This Row],[Revenue Receipts]]/Table26[[#This Row],[NSDP Deflator (Base 2011-12)]] * 100</f>
        <v>31001.847916258601</v>
      </c>
      <c r="I10" s="12">
        <f>Table26[[#This Row],[Revenue Expenditure]]/Table26[[#This Row],[NSDP Deflator (Base 2011-12)]] * 100</f>
        <v>35092.768239027566</v>
      </c>
      <c r="J10" s="12">
        <f>Table26[[#This Row],[Real Revenue Receipts]]/Table26[[#This Row],[NSDP Haryana INR Crore(Constant, Base Price = 2011-12)]] * 100</f>
        <v>10.699286426451382</v>
      </c>
      <c r="K10" s="12">
        <f>Table26[[#This Row],[Real Revenue Expenditure Per Capita (Constant Prices, INR Crores, Receipts)]]/Table26[[#This Row],[NSDP Haryana INR Crore(Constant, Base Price = 2011-12)]] * 100</f>
        <v>4.672145450275754</v>
      </c>
      <c r="L10" s="12">
        <f>Table26[[#This Row],[Real Revenue Expenditure]]/Table26[[#This Row],[Adjusted Population]]</f>
        <v>13537.832049621004</v>
      </c>
      <c r="M10" s="12">
        <f>Table26[[#This Row],[Real Revenue Receipts]]/Table26[[#This Row],[Adjusted Population]]</f>
        <v>11959.666660079702</v>
      </c>
    </row>
    <row r="11" spans="1:13" x14ac:dyDescent="0.2">
      <c r="A11" s="19" t="s">
        <v>10</v>
      </c>
      <c r="B11" s="14">
        <f>Table1[[#This Row],[Revenue Receipts (INR Crore)]]/Table1[[#This Row],[NDP Deflator (2011-12 base)]]*100</f>
        <v>879584.42338949931</v>
      </c>
      <c r="C11" s="14">
        <f>Table1[[#This Row],[Revenue Expenditure (INR Crore)]]/Table1[[#This Row],[NDP Deflator (2011-12 base)]]*100</f>
        <v>1189081.2512977521</v>
      </c>
      <c r="D11" s="14">
        <f>Table1[[#This Row],[Revenue Receipts (INR Crore) (Base Price- 2011)]]/Table1[[#This Row],[Adjusted Population]]</f>
        <v>67878.124612853964</v>
      </c>
      <c r="E11" s="14">
        <f>Table1[[#This Row],[Revenue Expenditure (INR Crore) (Base Price- 2011-12]]/Table1[[#This Row],[Adjusted Population]]</f>
        <v>91762.204063788682</v>
      </c>
      <c r="F11" s="14">
        <f>Table1[[#This Row],[Revenue Receipts (INR Crore) (Base Price- 2011)]]/Table1[[#This Row],[All-India NDP (Constant Prices) (INR Crore) (Base 2011-2012)]]*100</f>
        <v>10.109282676335162</v>
      </c>
      <c r="G11" s="23">
        <f>Table1[[#This Row],[Revenue Expenditure (INR Crore) (Base Price- 2011-12]]/Table1[[#This Row],[All-India NDP (Constant Prices) (INR Crore) (Base 2011-2012)]]*100</f>
        <v>13.666406742603543</v>
      </c>
      <c r="H11" s="14">
        <f>Table26[[#This Row],[Revenue Receipts]]/Table26[[#This Row],[NSDP Deflator (Base 2011-12)]] * 100</f>
        <v>33051.65274524947</v>
      </c>
      <c r="I11" s="14">
        <f>Table26[[#This Row],[Revenue Expenditure]]/Table26[[#This Row],[NSDP Deflator (Base 2011-12)]] * 100</f>
        <v>36420.997843462894</v>
      </c>
      <c r="J11" s="14">
        <f>Table26[[#This Row],[Real Revenue Receipts]]/Table26[[#This Row],[NSDP Haryana INR Crore(Constant, Base Price = 2011-12)]] * 100</f>
        <v>10.494880388240183</v>
      </c>
      <c r="K11" s="14">
        <f>Table26[[#This Row],[Real Revenue Expenditure Per Capita (Constant Prices, INR Crores, Receipts)]]/Table26[[#This Row],[NSDP Haryana INR Crore(Constant, Base Price = 2011-12)]] * 100</f>
        <v>4.3989149582726847</v>
      </c>
      <c r="L11" s="14">
        <f>Table26[[#This Row],[Real Revenue Expenditure]]/Table26[[#This Row],[Adjusted Population]]</f>
        <v>13853.555665067666</v>
      </c>
      <c r="M11" s="14">
        <f>Table26[[#This Row],[Real Revenue Receipts]]/Table26[[#This Row],[Adjusted Population]]</f>
        <v>12571.948552776519</v>
      </c>
    </row>
    <row r="12" spans="1:13" x14ac:dyDescent="0.2">
      <c r="A12" s="18" t="s">
        <v>9</v>
      </c>
      <c r="B12" s="12">
        <f>Table1[[#This Row],[Revenue Receipts (INR Crore)]]/Table1[[#This Row],[NDP Deflator (2011-12 base)]]*100</f>
        <v>925579.80974158144</v>
      </c>
      <c r="C12" s="12">
        <f>Table1[[#This Row],[Revenue Expenditure (INR Crore)]]/Table1[[#This Row],[NDP Deflator (2011-12 base)]]*100</f>
        <v>1232730.5426306087</v>
      </c>
      <c r="D12" s="12">
        <f>Table1[[#This Row],[Revenue Receipts (INR Crore) (Base Price- 2011)]]/Table1[[#This Row],[Adjusted Population]]</f>
        <v>70532.350238675339</v>
      </c>
      <c r="E12" s="12">
        <f>Table1[[#This Row],[Revenue Expenditure (INR Crore) (Base Price- 2011-12]]/Table1[[#This Row],[Adjusted Population]]</f>
        <v>93938.287619961993</v>
      </c>
      <c r="F12" s="12">
        <f>Table1[[#This Row],[Revenue Receipts (INR Crore) (Base Price- 2011)]]/Table1[[#This Row],[All-India NDP (Constant Prices) (INR Crore) (Base 2011-2012)]]*100</f>
        <v>9.9002774485091596</v>
      </c>
      <c r="G12" s="22">
        <f>Table1[[#This Row],[Revenue Expenditure (INR Crore) (Base Price- 2011-12]]/Table1[[#This Row],[All-India NDP (Constant Prices) (INR Crore) (Base 2011-2012)]]*100</f>
        <v>13.185653212013875</v>
      </c>
      <c r="H12" s="12">
        <f>Table26[[#This Row],[Revenue Receipts]]/Table26[[#This Row],[NSDP Deflator (Base 2011-12)]] * 100</f>
        <v>34611.538675181713</v>
      </c>
      <c r="I12" s="12">
        <f>Table26[[#This Row],[Revenue Expenditure]]/Table26[[#This Row],[NSDP Deflator (Base 2011-12)]] * 100</f>
        <v>41669.08865279465</v>
      </c>
      <c r="J12" s="12">
        <f>Table26[[#This Row],[Real Revenue Receipts]]/Table26[[#This Row],[NSDP Haryana INR Crore(Constant, Base Price = 2011-12)]] * 100</f>
        <v>10.38265435117871</v>
      </c>
      <c r="K12" s="12">
        <f>Table26[[#This Row],[Real Revenue Expenditure Per Capita (Constant Prices, INR Crores, Receipts)]]/Table26[[#This Row],[NSDP Haryana INR Crore(Constant, Base Price = 2011-12)]] * 100</f>
        <v>4.6882284674470664</v>
      </c>
      <c r="L12" s="12">
        <f>Table26[[#This Row],[Real Revenue Expenditure]]/Table26[[#This Row],[Adjusted Population]]</f>
        <v>15628.643257368034</v>
      </c>
      <c r="M12" s="12">
        <f>Table26[[#This Row],[Real Revenue Receipts]]/Table26[[#This Row],[Adjusted Population]]</f>
        <v>12981.598782980165</v>
      </c>
    </row>
    <row r="13" spans="1:13" x14ac:dyDescent="0.2">
      <c r="A13" s="19" t="s">
        <v>8</v>
      </c>
      <c r="B13" s="14">
        <f>Table1[[#This Row],[Revenue Receipts (INR Crore)]]/Table1[[#This Row],[NDP Deflator (2011-12 base)]]*100</f>
        <v>980044.36563028849</v>
      </c>
      <c r="C13" s="14">
        <f>Table1[[#This Row],[Revenue Expenditure (INR Crore)]]/Table1[[#This Row],[NDP Deflator (2011-12 base)]]*100</f>
        <v>1261123.4105863879</v>
      </c>
      <c r="D13" s="14">
        <f>Table1[[#This Row],[Revenue Receipts (INR Crore) (Base Price- 2011)]]/Table1[[#This Row],[Adjusted Population]]</f>
        <v>73797.187824187553</v>
      </c>
      <c r="E13" s="14">
        <f>Table1[[#This Row],[Revenue Expenditure (INR Crore) (Base Price- 2011-12]]/Table1[[#This Row],[Adjusted Population]]</f>
        <v>94962.396055070392</v>
      </c>
      <c r="F13" s="14">
        <f>Table1[[#This Row],[Revenue Receipts (INR Crore) (Base Price- 2011)]]/Table1[[#This Row],[All-India NDP (Constant Prices) (INR Crore) (Base 2011-2012)]]*100</f>
        <v>9.7047518912297921</v>
      </c>
      <c r="G13" s="23">
        <f>Table1[[#This Row],[Revenue Expenditure (INR Crore) (Base Price- 2011-12]]/Table1[[#This Row],[All-India NDP (Constant Prices) (INR Crore) (Base 2011-2012)]]*100</f>
        <v>12.488097715955245</v>
      </c>
      <c r="H13" s="14">
        <f>Table26[[#This Row],[Revenue Receipts]]/Table26[[#This Row],[NSDP Deflator (Base 2011-12)]] * 100</f>
        <v>39735.410067792152</v>
      </c>
      <c r="I13" s="14">
        <f>Table26[[#This Row],[Revenue Expenditure]]/Table26[[#This Row],[NSDP Deflator (Base 2011-12)]] * 100</f>
        <v>49493.809583595008</v>
      </c>
      <c r="J13" s="14">
        <f>Table26[[#This Row],[Real Revenue Receipts]]/Table26[[#This Row],[NSDP Haryana INR Crore(Constant, Base Price = 2011-12)]] * 100</f>
        <v>10.661492732508806</v>
      </c>
      <c r="K13" s="14">
        <f>Table26[[#This Row],[Real Revenue Expenditure Per Capita (Constant Prices, INR Crores, Receipts)]]/Table26[[#This Row],[NSDP Haryana INR Crore(Constant, Base Price = 2011-12)]] * 100</f>
        <v>4.9111648469707534</v>
      </c>
      <c r="L13" s="14">
        <f>Table26[[#This Row],[Real Revenue Expenditure]]/Table26[[#This Row],[Adjusted Population]]</f>
        <v>18303.923662572117</v>
      </c>
      <c r="M13" s="14">
        <f>Table26[[#This Row],[Real Revenue Receipts]]/Table26[[#This Row],[Adjusted Population]]</f>
        <v>14695.048101994138</v>
      </c>
    </row>
    <row r="14" spans="1:13" x14ac:dyDescent="0.2">
      <c r="A14" s="18" t="s">
        <v>7</v>
      </c>
      <c r="B14" s="12">
        <f>Table1[[#This Row],[Revenue Receipts (INR Crore)]]/Table1[[#This Row],[NDP Deflator (2011-12 base)]]*100</f>
        <v>1098505.5857761076</v>
      </c>
      <c r="C14" s="12">
        <f>Table1[[#This Row],[Revenue Expenditure (INR Crore)]]/Table1[[#This Row],[NDP Deflator (2011-12 base)]]*100</f>
        <v>1351413.1225326355</v>
      </c>
      <c r="D14" s="12">
        <f>Table1[[#This Row],[Revenue Receipts (INR Crore) (Base Price- 2011)]]/Table1[[#This Row],[Adjusted Population]]</f>
        <v>81737.45228790096</v>
      </c>
      <c r="E14" s="12">
        <f>Table1[[#This Row],[Revenue Expenditure (INR Crore) (Base Price- 2011-12]]/Table1[[#This Row],[Adjusted Population]]</f>
        <v>100555.76144040492</v>
      </c>
      <c r="F14" s="12">
        <f>Table1[[#This Row],[Revenue Receipts (INR Crore) (Base Price- 2011)]]/Table1[[#This Row],[All-India NDP (Constant Prices) (INR Crore) (Base 2011-2012)]]*100</f>
        <v>10.053437024996805</v>
      </c>
      <c r="G14" s="22">
        <f>Table1[[#This Row],[Revenue Expenditure (INR Crore) (Base Price- 2011-12]]/Table1[[#This Row],[All-India NDP (Constant Prices) (INR Crore) (Base 2011-2012)]]*100</f>
        <v>12.368026979614511</v>
      </c>
      <c r="H14" s="12">
        <f>Table26[[#This Row],[Revenue Receipts]]/Table26[[#This Row],[NSDP Deflator (Base 2011-12)]] * 100</f>
        <v>42642.567004792953</v>
      </c>
      <c r="I14" s="12">
        <f>Table26[[#This Row],[Revenue Expenditure]]/Table26[[#This Row],[NSDP Deflator (Base 2011-12)]] * 100</f>
        <v>55563.324542946873</v>
      </c>
      <c r="J14" s="12">
        <f>Table26[[#This Row],[Real Revenue Receipts]]/Table26[[#This Row],[NSDP Haryana INR Crore(Constant, Base Price = 2011-12)]] * 100</f>
        <v>10.348765657522042</v>
      </c>
      <c r="K14" s="12">
        <f>Table26[[#This Row],[Real Revenue Expenditure Per Capita (Constant Prices, INR Crores, Receipts)]]/Table26[[#This Row],[NSDP Haryana INR Crore(Constant, Base Price = 2011-12)]] * 100</f>
        <v>4.9172067785384606</v>
      </c>
      <c r="L14" s="12">
        <f>Table26[[#This Row],[Real Revenue Expenditure]]/Table26[[#This Row],[Adjusted Population]]</f>
        <v>20261.577705920896</v>
      </c>
      <c r="M14" s="12">
        <f>Table26[[#This Row],[Real Revenue Receipts]]/Table26[[#This Row],[Adjusted Population]]</f>
        <v>15549.927799581719</v>
      </c>
    </row>
    <row r="15" spans="1:13" x14ac:dyDescent="0.2">
      <c r="A15" s="19" t="s">
        <v>6</v>
      </c>
      <c r="B15" s="14">
        <f>Table1[[#This Row],[Revenue Receipts (INR Crore)]]/Table1[[#This Row],[NDP Deflator (2011-12 base)]]*100</f>
        <v>1008433.0968355134</v>
      </c>
      <c r="C15" s="14">
        <f>Table1[[#This Row],[Revenue Expenditure (INR Crore)]]/Table1[[#This Row],[NDP Deflator (2011-12 base)]]*100</f>
        <v>1320118.3226882035</v>
      </c>
      <c r="D15" s="14">
        <f>Table1[[#This Row],[Revenue Receipts (INR Crore) (Base Price- 2011)]]/Table1[[#This Row],[Adjusted Population]]</f>
        <v>74168.198070212806</v>
      </c>
      <c r="E15" s="14">
        <f>Table1[[#This Row],[Revenue Expenditure (INR Crore) (Base Price- 2011-12]]/Table1[[#This Row],[Adjusted Population]]</f>
        <v>97092.01090335309</v>
      </c>
      <c r="F15" s="14">
        <f>Table1[[#This Row],[Revenue Receipts (INR Crore) (Base Price- 2011)]]/Table1[[#This Row],[All-India NDP (Constant Prices) (INR Crore) (Base 2011-2012)]]*100</f>
        <v>8.6526162951930861</v>
      </c>
      <c r="G15" s="23">
        <f>Table1[[#This Row],[Revenue Expenditure (INR Crore) (Base Price- 2011-12]]/Table1[[#This Row],[All-India NDP (Constant Prices) (INR Crore) (Base 2011-2012)]]*100</f>
        <v>11.326955993728205</v>
      </c>
      <c r="H15" s="14">
        <f>Table26[[#This Row],[Revenue Receipts]]/Table26[[#This Row],[NSDP Deflator (Base 2011-12)]] * 100</f>
        <v>46982.607183063774</v>
      </c>
      <c r="I15" s="14">
        <f>Table26[[#This Row],[Revenue Expenditure]]/Table26[[#This Row],[NSDP Deflator (Base 2011-12)]] * 100</f>
        <v>54897.973284292901</v>
      </c>
      <c r="J15" s="14">
        <f>Table26[[#This Row],[Real Revenue Receipts]]/Table26[[#This Row],[NSDP Haryana INR Crore(Constant, Base Price = 2011-12)]] * 100</f>
        <v>10.815336055846894</v>
      </c>
      <c r="K15" s="14">
        <f>Table26[[#This Row],[Real Revenue Expenditure Per Capita (Constant Prices, INR Crores, Receipts)]]/Table26[[#This Row],[NSDP Haryana INR Crore(Constant, Base Price = 2011-12)]] * 100</f>
        <v>4.5440448757894103</v>
      </c>
      <c r="L15" s="14">
        <f>Table26[[#This Row],[Real Revenue Expenditure]]/Table26[[#This Row],[Adjusted Population]]</f>
        <v>19739.661746896156</v>
      </c>
      <c r="M15" s="14">
        <f>Table26[[#This Row],[Real Revenue Receipts]]/Table26[[#This Row],[Adjusted Population]]</f>
        <v>16893.533919335434</v>
      </c>
    </row>
    <row r="16" spans="1:13" x14ac:dyDescent="0.2">
      <c r="A16" s="18" t="s">
        <v>5</v>
      </c>
      <c r="B16" s="12">
        <f>Table1[[#This Row],[Revenue Receipts (INR Crore)]]/Table1[[#This Row],[NDP Deflator (2011-12 base)]]*100</f>
        <v>1136404.2255776962</v>
      </c>
      <c r="C16" s="12">
        <f>Table1[[#This Row],[Revenue Expenditure (INR Crore)]]/Table1[[#This Row],[NDP Deflator (2011-12 base)]]*100</f>
        <v>1468989.1185488731</v>
      </c>
      <c r="D16" s="12">
        <f>Table1[[#This Row],[Revenue Receipts (INR Crore) (Base Price- 2011)]]/Table1[[#This Row],[Adjusted Population]]</f>
        <v>82668.081726282398</v>
      </c>
      <c r="E16" s="12">
        <f>Table1[[#This Row],[Revenue Expenditure (INR Crore) (Base Price- 2011-12]]/Table1[[#This Row],[Adjusted Population]]</f>
        <v>106862.07405246487</v>
      </c>
      <c r="F16" s="12">
        <f>Table1[[#This Row],[Revenue Receipts (INR Crore) (Base Price- 2011)]]/Table1[[#This Row],[All-India NDP (Constant Prices) (INR Crore) (Base 2011-2012)]]*100</f>
        <v>9.1804983607224155</v>
      </c>
      <c r="G16" s="22">
        <f>Table1[[#This Row],[Revenue Expenditure (INR Crore) (Base Price- 2011-12]]/Table1[[#This Row],[All-India NDP (Constant Prices) (INR Crore) (Base 2011-2012)]]*100</f>
        <v>11.867302049058555</v>
      </c>
      <c r="H16" s="12">
        <f>Table26[[#This Row],[Revenue Receipts]]/Table26[[#This Row],[NSDP Deflator (Base 2011-12)]] * 100</f>
        <v>50104.348043861821</v>
      </c>
      <c r="I16" s="12">
        <f>Table26[[#This Row],[Revenue Expenditure]]/Table26[[#This Row],[NSDP Deflator (Base 2011-12)]] * 100</f>
        <v>58675.282517085841</v>
      </c>
      <c r="J16" s="12">
        <f>Table26[[#This Row],[Real Revenue Receipts]]/Table26[[#This Row],[NSDP Haryana INR Crore(Constant, Base Price = 2011-12)]] * 100</f>
        <v>10.473672881076983</v>
      </c>
      <c r="K16" s="12">
        <f>Table26[[#This Row],[Real Revenue Expenditure Per Capita (Constant Prices, INR Crores, Receipts)]]/Table26[[#This Row],[NSDP Haryana INR Crore(Constant, Base Price = 2011-12)]] * 100</f>
        <v>4.3484780078369649</v>
      </c>
      <c r="L16" s="12">
        <f>Table26[[#This Row],[Real Revenue Expenditure]]/Table26[[#This Row],[Adjusted Population]]</f>
        <v>20802.411726967963</v>
      </c>
      <c r="M16" s="12">
        <f>Table26[[#This Row],[Real Revenue Receipts]]/Table26[[#This Row],[Adjusted Population]]</f>
        <v>17763.719791484724</v>
      </c>
    </row>
    <row r="17" spans="1:13" x14ac:dyDescent="0.2">
      <c r="A17" s="19" t="s">
        <v>4</v>
      </c>
      <c r="B17" s="14">
        <f>Table1[[#This Row],[Revenue Receipts (INR Crore)]]/Table1[[#This Row],[NDP Deflator (2011-12 base)]]*100</f>
        <v>1201884.450734566</v>
      </c>
      <c r="C17" s="14">
        <f>Table1[[#This Row],[Revenue Expenditure (INR Crore)]]/Table1[[#This Row],[NDP Deflator (2011-12 base)]]*100</f>
        <v>1677586.3538239894</v>
      </c>
      <c r="D17" s="14">
        <f>Table1[[#This Row],[Revenue Receipts (INR Crore) (Base Price- 2011)]]/Table1[[#This Row],[Adjusted Population]]</f>
        <v>86526.88932093374</v>
      </c>
      <c r="E17" s="14">
        <f>Table1[[#This Row],[Revenue Expenditure (INR Crore) (Base Price- 2011-12]]/Table1[[#This Row],[Adjusted Population]]</f>
        <v>120773.94684232806</v>
      </c>
      <c r="F17" s="14">
        <f>Table1[[#This Row],[Revenue Receipts (INR Crore) (Base Price- 2011)]]/Table1[[#This Row],[All-India NDP (Constant Prices) (INR Crore) (Base 2011-2012)]]*100</f>
        <v>9.3871833316220723</v>
      </c>
      <c r="G17" s="23">
        <f>Table1[[#This Row],[Revenue Expenditure (INR Crore) (Base Price- 2011-12]]/Table1[[#This Row],[All-India NDP (Constant Prices) (INR Crore) (Base 2011-2012)]]*100</f>
        <v>13.102599545529086</v>
      </c>
      <c r="H17" s="14">
        <f>Table26[[#This Row],[Revenue Receipts]]/Table26[[#This Row],[NSDP Deflator (Base 2011-12)]] * 100</f>
        <v>49833.362803484619</v>
      </c>
      <c r="I17" s="14">
        <f>Table26[[#This Row],[Revenue Expenditure]]/Table26[[#This Row],[NSDP Deflator (Base 2011-12)]] * 100</f>
        <v>62310.464967959648</v>
      </c>
      <c r="J17" s="14">
        <f>Table26[[#This Row],[Real Revenue Receipts]]/Table26[[#This Row],[NSDP Haryana INR Crore(Constant, Base Price = 2011-12)]] * 100</f>
        <v>10.201519079020084</v>
      </c>
      <c r="K17" s="14">
        <f>Table26[[#This Row],[Real Revenue Expenditure Per Capita (Constant Prices, INR Crores, Receipts)]]/Table26[[#This Row],[NSDP Haryana INR Crore(Constant, Base Price = 2011-12)]] * 100</f>
        <v>4.5223496977422322</v>
      </c>
      <c r="L17" s="14">
        <f>Table26[[#This Row],[Real Revenue Expenditure]]/Table26[[#This Row],[Adjusted Population]]</f>
        <v>22091.209305807148</v>
      </c>
      <c r="M17" s="14">
        <f>Table26[[#This Row],[Real Revenue Receipts]]/Table26[[#This Row],[Adjusted Population]]</f>
        <v>17667.6461758082</v>
      </c>
    </row>
    <row r="18" spans="1:13" x14ac:dyDescent="0.2">
      <c r="A18" s="18" t="s">
        <v>3</v>
      </c>
      <c r="B18" s="12">
        <f>Table1[[#This Row],[Revenue Receipts (INR Crore)]]/Table1[[#This Row],[NDP Deflator (2011-12 base)]]*100</f>
        <v>1106673.6409705218</v>
      </c>
      <c r="C18" s="12">
        <f>Table1[[#This Row],[Revenue Expenditure (INR Crore)]]/Table1[[#This Row],[NDP Deflator (2011-12 base)]]*100</f>
        <v>2088504.454766318</v>
      </c>
      <c r="D18" s="12">
        <f>Table1[[#This Row],[Revenue Receipts (INR Crore) (Base Price- 2011)]]/Table1[[#This Row],[Adjusted Population]]</f>
        <v>78900.573140407563</v>
      </c>
      <c r="E18" s="12">
        <f>Table1[[#This Row],[Revenue Expenditure (INR Crore) (Base Price- 2011-12]]/Table1[[#This Row],[Adjusted Population]]</f>
        <v>148900.44579253354</v>
      </c>
      <c r="F18" s="12">
        <f>Table1[[#This Row],[Revenue Receipts (INR Crore) (Base Price- 2011)]]/Table1[[#This Row],[All-India NDP (Constant Prices) (INR Crore) (Base 2011-2012)]]*100</f>
        <v>9.3294838858392133</v>
      </c>
      <c r="G18" s="22">
        <f>Table1[[#This Row],[Revenue Expenditure (INR Crore) (Base Price- 2011-12]]/Table1[[#This Row],[All-India NDP (Constant Prices) (INR Crore) (Base 2011-2012)]]*100</f>
        <v>17.606517346124072</v>
      </c>
      <c r="H18" s="12">
        <f>Table26[[#This Row],[Revenue Receipts]]/Table26[[#This Row],[NSDP Deflator (Base 2011-12)]] * 100</f>
        <v>48271.522089988794</v>
      </c>
      <c r="I18" s="12">
        <f>Table26[[#This Row],[Revenue Expenditure]]/Table26[[#This Row],[NSDP Deflator (Base 2011-12)]] * 100</f>
        <v>60376.547843281573</v>
      </c>
      <c r="J18" s="12">
        <f>Table26[[#This Row],[Real Revenue Receipts]]/Table26[[#This Row],[NSDP Haryana INR Crore(Constant, Base Price = 2011-12)]] * 100</f>
        <v>11.037243173825265</v>
      </c>
      <c r="K18" s="12">
        <f>Table26[[#This Row],[Real Revenue Expenditure Per Capita (Constant Prices, INR Crores, Receipts)]]/Table26[[#This Row],[NSDP Haryana INR Crore(Constant, Base Price = 2011-12)]] * 100</f>
        <v>4.758556131554184</v>
      </c>
      <c r="L18" s="12">
        <f>Table26[[#This Row],[Real Revenue Expenditure]]/Table26[[#This Row],[Adjusted Population]]</f>
        <v>20811.605199159483</v>
      </c>
      <c r="M18" s="12">
        <f>Table26[[#This Row],[Real Revenue Receipts]]/Table26[[#This Row],[Adjusted Population]]</f>
        <v>16639.041084412394</v>
      </c>
    </row>
    <row r="19" spans="1:13" x14ac:dyDescent="0.2">
      <c r="A19" s="19" t="s">
        <v>2</v>
      </c>
      <c r="B19" s="14">
        <f>Table1[[#This Row],[Revenue Receipts (INR Crore)]]/Table1[[#This Row],[NDP Deflator (2011-12 base)]]*100</f>
        <v>1354577.0956100388</v>
      </c>
      <c r="C19" s="14">
        <f>Table1[[#This Row],[Revenue Expenditure (INR Crore)]]/Table1[[#This Row],[NDP Deflator (2011-12 base)]]*100</f>
        <v>1998198.5590810007</v>
      </c>
      <c r="D19" s="14">
        <f>Table1[[#This Row],[Revenue Receipts (INR Crore) (Base Price- 2011)]]/Table1[[#This Row],[Adjusted Population]]</f>
        <v>95783.712647541572</v>
      </c>
      <c r="E19" s="14">
        <f>Table1[[#This Row],[Revenue Expenditure (INR Crore) (Base Price- 2011-12]]/Table1[[#This Row],[Adjusted Population]]</f>
        <v>141294.9305108033</v>
      </c>
      <c r="F19" s="14">
        <f>Table1[[#This Row],[Revenue Receipts (INR Crore) (Base Price- 2011)]]/Table1[[#This Row],[All-India NDP (Constant Prices) (INR Crore) (Base 2011-2012)]]*100</f>
        <v>10.367144364505645</v>
      </c>
      <c r="G19" s="23">
        <f>Table1[[#This Row],[Revenue Expenditure (INR Crore) (Base Price- 2011-12]]/Table1[[#This Row],[All-India NDP (Constant Prices) (INR Crore) (Base 2011-2012)]]*100</f>
        <v>15.293048286491617</v>
      </c>
      <c r="H19" s="14">
        <f>Table26[[#This Row],[Revenue Receipts]]/Table26[[#This Row],[NSDP Deflator (Base 2011-12)]] * 100</f>
        <v>52727.565493753369</v>
      </c>
      <c r="I19" s="14">
        <f>Table26[[#This Row],[Revenue Expenditure]]/Table26[[#This Row],[NSDP Deflator (Base 2011-12)]] * 100</f>
        <v>60708.704482039459</v>
      </c>
      <c r="J19" s="14">
        <f>Table26[[#This Row],[Real Revenue Receipts]]/Table26[[#This Row],[NSDP Haryana INR Crore(Constant, Base Price = 2011-12)]] * 100</f>
        <v>10.975371422791737</v>
      </c>
      <c r="K19" s="14">
        <f>Table26[[#This Row],[Real Revenue Expenditure Per Capita (Constant Prices, INR Crores, Receipts)]]/Table26[[#This Row],[NSDP Haryana INR Crore(Constant, Base Price = 2011-12)]] * 100</f>
        <v>4.2949714426950436</v>
      </c>
      <c r="L19" s="14">
        <f>Table26[[#This Row],[Real Revenue Expenditure]]/Table26[[#This Row],[Adjusted Population]]</f>
        <v>20633.778968812268</v>
      </c>
      <c r="M19" s="14">
        <f>Table26[[#This Row],[Real Revenue Receipts]]/Table26[[#This Row],[Adjusted Population]]</f>
        <v>17921.135712648142</v>
      </c>
    </row>
    <row r="20" spans="1:13" x14ac:dyDescent="0.2">
      <c r="A20" s="18" t="s">
        <v>1</v>
      </c>
      <c r="B20" s="12">
        <f>Table1[[#This Row],[Revenue Receipts (INR Crore)]]/Table1[[#This Row],[NDP Deflator (2011-12 base)]]*100</f>
        <v>1399990.4960937847</v>
      </c>
      <c r="C20" s="12">
        <f>Table1[[#This Row],[Revenue Expenditure (INR Crore)]]/Table1[[#This Row],[NDP Deflator (2011-12 base)]]*100</f>
        <v>2463228.0837783748</v>
      </c>
      <c r="D20" s="12">
        <f>Table1[[#This Row],[Revenue Receipts (INR Crore) (Base Price- 2011)]]/Table1[[#This Row],[Adjusted Population]]</f>
        <v>98215.792511681429</v>
      </c>
      <c r="E20" s="12">
        <f>Table1[[#This Row],[Revenue Expenditure (INR Crore) (Base Price- 2011-12]]/Table1[[#This Row],[Adjusted Population]]</f>
        <v>172806.81480363198</v>
      </c>
      <c r="F20" s="12">
        <f>Table1[[#This Row],[Revenue Receipts (INR Crore) (Base Price- 2011)]]/Table1[[#This Row],[All-India NDP (Constant Prices) (INR Crore) (Base 2011-2012)]]*100</f>
        <v>10.009370951763117</v>
      </c>
      <c r="G20" s="22">
        <f>Table1[[#This Row],[Revenue Expenditure (INR Crore) (Base Price- 2011-12]]/Table1[[#This Row],[All-India NDP (Constant Prices) (INR Crore) (Base 2011-2012)]]*100</f>
        <v>17.611093573942902</v>
      </c>
      <c r="H20" s="12">
        <f>Table26[[#This Row],[Revenue Receipts]]/Table26[[#This Row],[NSDP Deflator (Base 2011-12)]] * 100</f>
        <v>56899.10555705693</v>
      </c>
      <c r="I20" s="12">
        <f>Table26[[#This Row],[Revenue Expenditure]]/Table26[[#This Row],[NSDP Deflator (Base 2011-12)]] * 100</f>
        <v>67460.400582721661</v>
      </c>
      <c r="J20" s="12">
        <f>Table26[[#This Row],[Real Revenue Receipts]]/Table26[[#This Row],[NSDP Haryana INR Crore(Constant, Base Price = 2011-12)]] * 100</f>
        <v>10.960368467771865</v>
      </c>
      <c r="K20" s="12">
        <f>Table26[[#This Row],[Real Revenue Expenditure Per Capita (Constant Prices, INR Crores, Receipts)]]/Table26[[#This Row],[NSDP Haryana INR Crore(Constant, Base Price = 2011-12)]] * 100</f>
        <v>4.3548160220139964</v>
      </c>
      <c r="L20" s="12">
        <f>Table26[[#This Row],[Real Revenue Expenditure]]/Table26[[#This Row],[Adjusted Population]]</f>
        <v>22607.372849437554</v>
      </c>
      <c r="M20" s="12">
        <f>Table26[[#This Row],[Real Revenue Receipts]]/Table26[[#This Row],[Adjusted Population]]</f>
        <v>19068.064864965458</v>
      </c>
    </row>
    <row r="25" spans="1:13" x14ac:dyDescent="0.2">
      <c r="A25" s="3" t="s">
        <v>0</v>
      </c>
      <c r="B25" s="4" t="s">
        <v>128</v>
      </c>
      <c r="C25" s="4" t="s">
        <v>133</v>
      </c>
    </row>
    <row r="26" spans="1:13" x14ac:dyDescent="0.2">
      <c r="A26" s="5" t="s">
        <v>19</v>
      </c>
      <c r="B26" s="4">
        <v>9.855603838698979</v>
      </c>
      <c r="C26" s="4">
        <v>13.214804660444216</v>
      </c>
    </row>
    <row r="27" spans="1:13" x14ac:dyDescent="0.2">
      <c r="A27" s="7" t="s">
        <v>18</v>
      </c>
      <c r="B27" s="4">
        <v>10.072772842980633</v>
      </c>
      <c r="C27" s="4">
        <v>13.29786592106991</v>
      </c>
    </row>
    <row r="28" spans="1:13" x14ac:dyDescent="0.2">
      <c r="A28" s="5" t="s">
        <v>17</v>
      </c>
      <c r="B28" s="4">
        <v>10.331974113384167</v>
      </c>
      <c r="C28" s="4">
        <v>13.453998102800814</v>
      </c>
    </row>
    <row r="29" spans="1:13" x14ac:dyDescent="0.2">
      <c r="A29" s="7" t="s">
        <v>16</v>
      </c>
      <c r="B29" s="4">
        <v>10.427439608711744</v>
      </c>
      <c r="C29" s="4">
        <v>13.619736742922406</v>
      </c>
    </row>
    <row r="30" spans="1:13" x14ac:dyDescent="0.2">
      <c r="A30" s="5" t="s">
        <v>15</v>
      </c>
      <c r="B30" s="4">
        <v>10.359438215390707</v>
      </c>
      <c r="C30" s="4">
        <v>13.503377445606318</v>
      </c>
    </row>
    <row r="31" spans="1:13" x14ac:dyDescent="0.2">
      <c r="A31" s="7" t="s">
        <v>14</v>
      </c>
      <c r="B31" s="4">
        <v>10.488421502339428</v>
      </c>
      <c r="C31" s="4">
        <v>13.502167656990233</v>
      </c>
    </row>
    <row r="32" spans="1:13" x14ac:dyDescent="0.2">
      <c r="A32" s="5" t="s">
        <v>13</v>
      </c>
      <c r="B32" s="4">
        <v>10.68542124358096</v>
      </c>
      <c r="C32" s="4">
        <v>13.744125990115663</v>
      </c>
    </row>
    <row r="33" spans="1:3" x14ac:dyDescent="0.2">
      <c r="A33" s="7" t="s">
        <v>12</v>
      </c>
      <c r="B33" s="4">
        <v>10.327368378914199</v>
      </c>
      <c r="C33" s="4">
        <v>13.52974265232571</v>
      </c>
    </row>
    <row r="34" spans="1:3" x14ac:dyDescent="0.2">
      <c r="A34" s="5" t="s">
        <v>11</v>
      </c>
      <c r="B34" s="4">
        <v>10.341802091892555</v>
      </c>
      <c r="C34" s="4">
        <v>13.607074012440865</v>
      </c>
    </row>
    <row r="35" spans="1:3" x14ac:dyDescent="0.2">
      <c r="A35" s="7" t="s">
        <v>10</v>
      </c>
      <c r="B35" s="4">
        <v>10.405826851450062</v>
      </c>
      <c r="C35" s="4">
        <v>13.687204828762763</v>
      </c>
    </row>
    <row r="36" spans="1:3" x14ac:dyDescent="0.2">
      <c r="A36" s="5" t="s">
        <v>9</v>
      </c>
      <c r="B36" s="4">
        <v>10.451942393173161</v>
      </c>
      <c r="C36" s="4">
        <v>13.73817564146637</v>
      </c>
    </row>
    <row r="37" spans="1:3" x14ac:dyDescent="0.2">
      <c r="A37" s="7" t="s">
        <v>8</v>
      </c>
      <c r="B37" s="4">
        <v>10.589998010386264</v>
      </c>
      <c r="C37" s="4">
        <v>13.795353120673367</v>
      </c>
    </row>
    <row r="38" spans="1:3" x14ac:dyDescent="0.2">
      <c r="A38" s="5" t="s">
        <v>7</v>
      </c>
      <c r="B38" s="4">
        <v>10.660608258828631</v>
      </c>
      <c r="C38" s="4">
        <v>13.909461255706125</v>
      </c>
    </row>
    <row r="39" spans="1:3" x14ac:dyDescent="0.2">
      <c r="A39" s="7" t="s">
        <v>6</v>
      </c>
      <c r="B39" s="4">
        <v>10.757532752268308</v>
      </c>
      <c r="C39" s="4">
        <v>13.823908294895254</v>
      </c>
    </row>
    <row r="40" spans="1:3" x14ac:dyDescent="0.2">
      <c r="A40" s="5" t="s">
        <v>5</v>
      </c>
      <c r="B40" s="4">
        <v>10.821863070609787</v>
      </c>
      <c r="C40" s="4">
        <v>13.94337964734464</v>
      </c>
    </row>
    <row r="41" spans="1:3" x14ac:dyDescent="0.2">
      <c r="A41" s="7" t="s">
        <v>4</v>
      </c>
      <c r="B41" s="4">
        <v>10.816439974518866</v>
      </c>
      <c r="C41" s="4">
        <v>13.999401258619958</v>
      </c>
    </row>
    <row r="42" spans="1:3" x14ac:dyDescent="0.2">
      <c r="A42" s="5" t="s">
        <v>3</v>
      </c>
      <c r="B42" s="4">
        <v>10.784597060993287</v>
      </c>
      <c r="C42" s="4">
        <v>13.916869354286501</v>
      </c>
    </row>
    <row r="43" spans="1:3" x14ac:dyDescent="0.2">
      <c r="A43" s="7" t="s">
        <v>2</v>
      </c>
      <c r="B43" s="4">
        <v>10.872893662176553</v>
      </c>
      <c r="C43" s="4">
        <v>14.118999857019693</v>
      </c>
    </row>
    <row r="44" spans="1:3" x14ac:dyDescent="0.2">
      <c r="A44" s="5" t="s">
        <v>1</v>
      </c>
      <c r="B44" s="4">
        <v>10.949034900431236</v>
      </c>
      <c r="C44" s="4">
        <v>14.151976006058005</v>
      </c>
    </row>
    <row r="48" spans="1:3" x14ac:dyDescent="0.2">
      <c r="A48" s="17" t="s">
        <v>0</v>
      </c>
      <c r="B48" s="3" t="s">
        <v>129</v>
      </c>
      <c r="C48" s="21" t="s">
        <v>131</v>
      </c>
    </row>
    <row r="49" spans="1:3" x14ac:dyDescent="0.2">
      <c r="A49" s="18" t="s">
        <v>19</v>
      </c>
      <c r="B49" s="5">
        <v>9.878484617833637</v>
      </c>
      <c r="C49" s="24">
        <v>13.442733273321105</v>
      </c>
    </row>
    <row r="50" spans="1:3" x14ac:dyDescent="0.2">
      <c r="A50" s="19" t="s">
        <v>18</v>
      </c>
      <c r="B50" s="7">
        <v>9.9811063358801704</v>
      </c>
      <c r="C50" s="25">
        <v>13.533442012079909</v>
      </c>
    </row>
    <row r="51" spans="1:3" x14ac:dyDescent="0.2">
      <c r="A51" s="18" t="s">
        <v>17</v>
      </c>
      <c r="B51" s="5">
        <v>10.239219372200729</v>
      </c>
      <c r="C51" s="24">
        <v>13.623469649970859</v>
      </c>
    </row>
    <row r="52" spans="1:3" x14ac:dyDescent="0.2">
      <c r="A52" s="19" t="s">
        <v>16</v>
      </c>
      <c r="B52" s="7">
        <v>10.307983781647776</v>
      </c>
      <c r="C52" s="25">
        <v>13.71232970551036</v>
      </c>
    </row>
    <row r="53" spans="1:3" x14ac:dyDescent="0.2">
      <c r="A53" s="18" t="s">
        <v>15</v>
      </c>
      <c r="B53" s="5">
        <v>10.466366248528075</v>
      </c>
      <c r="C53" s="24">
        <v>13.888157812223357</v>
      </c>
    </row>
    <row r="54" spans="1:3" x14ac:dyDescent="0.2">
      <c r="A54" s="19" t="s">
        <v>14</v>
      </c>
      <c r="B54" s="7">
        <v>10.673367039767637</v>
      </c>
      <c r="C54" s="25">
        <v>13.965298121500338</v>
      </c>
    </row>
    <row r="55" spans="1:3" x14ac:dyDescent="0.2">
      <c r="A55" s="18" t="s">
        <v>13</v>
      </c>
      <c r="B55" s="5">
        <v>10.787470459984831</v>
      </c>
      <c r="C55" s="24">
        <v>14.021701305991519</v>
      </c>
    </row>
    <row r="56" spans="1:3" x14ac:dyDescent="0.2">
      <c r="A56" s="19" t="s">
        <v>12</v>
      </c>
      <c r="B56" s="7">
        <v>10.373956386057573</v>
      </c>
      <c r="C56" s="25">
        <v>13.951600549580995</v>
      </c>
    </row>
    <row r="57" spans="1:3" x14ac:dyDescent="0.2">
      <c r="A57" s="18" t="s">
        <v>11</v>
      </c>
      <c r="B57" s="5">
        <v>10.465750355150089</v>
      </c>
      <c r="C57" s="24">
        <v>13.953721735014016</v>
      </c>
    </row>
    <row r="58" spans="1:3" x14ac:dyDescent="0.2">
      <c r="A58" s="19" t="s">
        <v>10</v>
      </c>
      <c r="B58" s="7">
        <v>10.50290075113425</v>
      </c>
      <c r="C58" s="25">
        <v>13.988691509164669</v>
      </c>
    </row>
    <row r="59" spans="1:3" x14ac:dyDescent="0.2">
      <c r="A59" s="18" t="s">
        <v>9</v>
      </c>
      <c r="B59" s="5">
        <v>10.637514853594054</v>
      </c>
      <c r="C59" s="24">
        <v>14.024742220251088</v>
      </c>
    </row>
    <row r="60" spans="1:3" x14ac:dyDescent="0.2">
      <c r="A60" s="19" t="s">
        <v>8</v>
      </c>
      <c r="B60" s="7">
        <v>10.809602881818991</v>
      </c>
      <c r="C60" s="25">
        <v>14.047513477395793</v>
      </c>
    </row>
    <row r="61" spans="1:3" x14ac:dyDescent="0.2">
      <c r="A61" s="18" t="s">
        <v>7</v>
      </c>
      <c r="B61" s="5">
        <v>10.925278632064204</v>
      </c>
      <c r="C61" s="24">
        <v>14.116661360377645</v>
      </c>
    </row>
    <row r="62" spans="1:3" x14ac:dyDescent="0.2">
      <c r="A62" s="19" t="s">
        <v>6</v>
      </c>
      <c r="B62" s="7">
        <v>10.913231710318794</v>
      </c>
      <c r="C62" s="25">
        <v>14.093231928945427</v>
      </c>
    </row>
    <row r="63" spans="1:3" x14ac:dyDescent="0.2">
      <c r="A63" s="18" t="s">
        <v>5</v>
      </c>
      <c r="B63" s="5">
        <v>10.979773835655836</v>
      </c>
      <c r="C63" s="24">
        <v>14.200085047741835</v>
      </c>
    </row>
    <row r="64" spans="1:3" x14ac:dyDescent="0.2">
      <c r="A64" s="19" t="s">
        <v>4</v>
      </c>
      <c r="B64" s="7">
        <v>11.039884667682784</v>
      </c>
      <c r="C64" s="25">
        <v>14.332866624192455</v>
      </c>
    </row>
    <row r="65" spans="1:3" x14ac:dyDescent="0.2">
      <c r="A65" s="18" t="s">
        <v>3</v>
      </c>
      <c r="B65" s="5">
        <v>11.00835602778205</v>
      </c>
      <c r="C65" s="24">
        <v>14.551958795915089</v>
      </c>
    </row>
    <row r="66" spans="1:3" x14ac:dyDescent="0.2">
      <c r="A66" s="19" t="s">
        <v>2</v>
      </c>
      <c r="B66" s="7">
        <v>11.013842368447596</v>
      </c>
      <c r="C66" s="25">
        <v>14.507756612172297</v>
      </c>
    </row>
    <row r="67" spans="1:3" x14ac:dyDescent="0.2">
      <c r="A67" s="18" t="s">
        <v>1</v>
      </c>
      <c r="B67" s="5">
        <v>11.119296046675711</v>
      </c>
      <c r="C67" s="24">
        <v>14.716983276866493</v>
      </c>
    </row>
    <row r="69" spans="1:3" x14ac:dyDescent="0.2">
      <c r="A69" s="17" t="s">
        <v>0</v>
      </c>
      <c r="B69" s="3" t="s">
        <v>90</v>
      </c>
      <c r="C69" s="3" t="s">
        <v>124</v>
      </c>
    </row>
    <row r="70" spans="1:3" x14ac:dyDescent="0.2">
      <c r="A70" s="18" t="s">
        <v>19</v>
      </c>
      <c r="B70" s="12">
        <v>13.275772235211978</v>
      </c>
      <c r="C70" s="12">
        <v>12.013023531933726</v>
      </c>
    </row>
    <row r="71" spans="1:3" x14ac:dyDescent="0.2">
      <c r="A71" s="19" t="s">
        <v>18</v>
      </c>
      <c r="B71" s="14">
        <v>14.52773274480171</v>
      </c>
      <c r="C71" s="14">
        <v>11.949293045593953</v>
      </c>
    </row>
    <row r="72" spans="1:3" x14ac:dyDescent="0.2">
      <c r="A72" s="18" t="s">
        <v>17</v>
      </c>
      <c r="B72" s="12">
        <v>15.875184671728732</v>
      </c>
      <c r="C72" s="12">
        <v>12.792608171337713</v>
      </c>
    </row>
    <row r="73" spans="1:3" x14ac:dyDescent="0.2">
      <c r="A73" s="19" t="s">
        <v>16</v>
      </c>
      <c r="B73" s="14">
        <v>14.846525965215982</v>
      </c>
      <c r="C73" s="14">
        <v>13.76572327220077</v>
      </c>
    </row>
    <row r="74" spans="1:3" x14ac:dyDescent="0.2">
      <c r="A74" s="18" t="s">
        <v>15</v>
      </c>
      <c r="B74" s="12">
        <v>11.507107968641424</v>
      </c>
      <c r="C74" s="12">
        <v>11.868317921974487</v>
      </c>
    </row>
    <row r="75" spans="1:3" x14ac:dyDescent="0.2">
      <c r="A75" s="19" t="s">
        <v>14</v>
      </c>
      <c r="B75" s="14">
        <v>10.572734282191492</v>
      </c>
      <c r="C75" s="14">
        <v>10.961243159158562</v>
      </c>
    </row>
    <row r="76" spans="1:3" x14ac:dyDescent="0.2">
      <c r="A76" s="18" t="s">
        <v>13</v>
      </c>
      <c r="B76" s="12">
        <v>10.956176771707419</v>
      </c>
      <c r="C76" s="12">
        <v>12.648761901964148</v>
      </c>
    </row>
    <row r="77" spans="1:3" x14ac:dyDescent="0.2">
      <c r="A77" s="19" t="s">
        <v>12</v>
      </c>
      <c r="B77" s="14">
        <v>11.269522594814548</v>
      </c>
      <c r="C77" s="14">
        <v>9.610208470123494</v>
      </c>
    </row>
    <row r="78" spans="1:3" x14ac:dyDescent="0.2">
      <c r="A78" s="18" t="s">
        <v>11</v>
      </c>
      <c r="B78" s="12">
        <v>10.699286426451382</v>
      </c>
      <c r="C78" s="12">
        <v>9.8977970322999589</v>
      </c>
    </row>
    <row r="79" spans="1:3" x14ac:dyDescent="0.2">
      <c r="A79" s="19" t="s">
        <v>10</v>
      </c>
      <c r="B79" s="14">
        <v>10.494880388240183</v>
      </c>
      <c r="C79" s="14">
        <v>10.109282676335162</v>
      </c>
    </row>
    <row r="80" spans="1:3" x14ac:dyDescent="0.2">
      <c r="A80" s="18" t="s">
        <v>9</v>
      </c>
      <c r="B80" s="12">
        <v>10.38265435117871</v>
      </c>
      <c r="C80" s="12">
        <v>9.9002774485091596</v>
      </c>
    </row>
    <row r="81" spans="1:3" x14ac:dyDescent="0.2">
      <c r="A81" s="19" t="s">
        <v>8</v>
      </c>
      <c r="B81" s="14">
        <v>10.661492732508806</v>
      </c>
      <c r="C81" s="14">
        <v>9.7047518912297921</v>
      </c>
    </row>
    <row r="82" spans="1:3" x14ac:dyDescent="0.2">
      <c r="A82" s="18" t="s">
        <v>7</v>
      </c>
      <c r="B82" s="12">
        <v>10.348765657522042</v>
      </c>
      <c r="C82" s="12">
        <v>10.053437024996805</v>
      </c>
    </row>
    <row r="83" spans="1:3" x14ac:dyDescent="0.2">
      <c r="A83" s="19" t="s">
        <v>6</v>
      </c>
      <c r="B83" s="14">
        <v>10.815336055846894</v>
      </c>
      <c r="C83" s="14">
        <v>8.6526162951930861</v>
      </c>
    </row>
    <row r="84" spans="1:3" x14ac:dyDescent="0.2">
      <c r="A84" s="18" t="s">
        <v>5</v>
      </c>
      <c r="B84" s="12">
        <v>10.473672881076983</v>
      </c>
      <c r="C84" s="12">
        <v>9.1804983607224155</v>
      </c>
    </row>
    <row r="85" spans="1:3" x14ac:dyDescent="0.2">
      <c r="A85" s="19" t="s">
        <v>4</v>
      </c>
      <c r="B85" s="14">
        <v>10.201519079020084</v>
      </c>
      <c r="C85" s="14">
        <v>9.3871833316220723</v>
      </c>
    </row>
    <row r="86" spans="1:3" x14ac:dyDescent="0.2">
      <c r="A86" s="18" t="s">
        <v>3</v>
      </c>
      <c r="B86" s="12">
        <v>11.037243173825265</v>
      </c>
      <c r="C86" s="12">
        <v>9.3294838858392133</v>
      </c>
    </row>
    <row r="87" spans="1:3" x14ac:dyDescent="0.2">
      <c r="A87" s="19" t="s">
        <v>2</v>
      </c>
      <c r="B87" s="14">
        <v>10.975371422791737</v>
      </c>
      <c r="C87" s="14">
        <v>10.367144364505645</v>
      </c>
    </row>
    <row r="88" spans="1:3" x14ac:dyDescent="0.2">
      <c r="A88" s="18" t="s">
        <v>1</v>
      </c>
      <c r="B88" s="12">
        <v>10.960368467771865</v>
      </c>
      <c r="C88" s="12">
        <v>10.009370951763117</v>
      </c>
    </row>
    <row r="92" spans="1:3" x14ac:dyDescent="0.2">
      <c r="A92" s="17" t="s">
        <v>0</v>
      </c>
      <c r="B92" s="3" t="s">
        <v>136</v>
      </c>
      <c r="C92" s="21" t="s">
        <v>125</v>
      </c>
    </row>
    <row r="93" spans="1:3" x14ac:dyDescent="0.2">
      <c r="A93" s="18" t="s">
        <v>19</v>
      </c>
      <c r="B93" s="12">
        <v>5.9818708051854825</v>
      </c>
      <c r="C93" s="22">
        <v>15.088305423371748</v>
      </c>
    </row>
    <row r="94" spans="1:3" x14ac:dyDescent="0.2">
      <c r="A94" s="19" t="s">
        <v>18</v>
      </c>
      <c r="B94" s="14">
        <v>5.7282798785757549</v>
      </c>
      <c r="C94" s="23">
        <v>15.123475542716736</v>
      </c>
    </row>
    <row r="95" spans="1:3" x14ac:dyDescent="0.2">
      <c r="A95" s="18" t="s">
        <v>17</v>
      </c>
      <c r="B95" s="12">
        <v>6.1389593458772396</v>
      </c>
      <c r="C95" s="22">
        <v>15.155129638879455</v>
      </c>
    </row>
    <row r="96" spans="1:3" x14ac:dyDescent="0.2">
      <c r="A96" s="19" t="s">
        <v>16</v>
      </c>
      <c r="B96" s="14">
        <v>5.490209085238102</v>
      </c>
      <c r="C96" s="23">
        <v>15.101206542350331</v>
      </c>
    </row>
    <row r="97" spans="1:3" x14ac:dyDescent="0.2">
      <c r="A97" s="18" t="s">
        <v>15</v>
      </c>
      <c r="B97" s="12">
        <v>5.2428794295607561</v>
      </c>
      <c r="C97" s="22">
        <v>17.438019597688339</v>
      </c>
    </row>
    <row r="98" spans="1:3" x14ac:dyDescent="0.2">
      <c r="A98" s="19" t="s">
        <v>14</v>
      </c>
      <c r="B98" s="14">
        <v>5.1191661775415236</v>
      </c>
      <c r="C98" s="23">
        <v>17.417860870058625</v>
      </c>
    </row>
    <row r="99" spans="1:3" x14ac:dyDescent="0.2">
      <c r="A99" s="18" t="s">
        <v>13</v>
      </c>
      <c r="B99" s="12">
        <v>4.8014587306442875</v>
      </c>
      <c r="C99" s="22">
        <v>16.695423716151687</v>
      </c>
    </row>
    <row r="100" spans="1:3" x14ac:dyDescent="0.2">
      <c r="A100" s="19" t="s">
        <v>12</v>
      </c>
      <c r="B100" s="14">
        <v>4.6193150525282531</v>
      </c>
      <c r="C100" s="23">
        <v>14.653567380818949</v>
      </c>
    </row>
    <row r="101" spans="1:3" x14ac:dyDescent="0.2">
      <c r="A101" s="18" t="s">
        <v>11</v>
      </c>
      <c r="B101" s="12">
        <v>4.672145450275754</v>
      </c>
      <c r="C101" s="22">
        <v>13.998636513256397</v>
      </c>
    </row>
    <row r="102" spans="1:3" x14ac:dyDescent="0.2">
      <c r="A102" s="19" t="s">
        <v>10</v>
      </c>
      <c r="B102" s="14">
        <v>4.3989149582726847</v>
      </c>
      <c r="C102" s="23">
        <v>13.666406742603543</v>
      </c>
    </row>
    <row r="103" spans="1:3" x14ac:dyDescent="0.2">
      <c r="A103" s="18" t="s">
        <v>9</v>
      </c>
      <c r="B103" s="12">
        <v>4.6882284674470664</v>
      </c>
      <c r="C103" s="22">
        <v>13.185653212013875</v>
      </c>
    </row>
    <row r="104" spans="1:3" x14ac:dyDescent="0.2">
      <c r="A104" s="19" t="s">
        <v>8</v>
      </c>
      <c r="B104" s="14">
        <v>4.9111648469707534</v>
      </c>
      <c r="C104" s="23">
        <v>12.488097715955245</v>
      </c>
    </row>
    <row r="105" spans="1:3" x14ac:dyDescent="0.2">
      <c r="A105" s="18" t="s">
        <v>7</v>
      </c>
      <c r="B105" s="12">
        <v>4.9172067785384606</v>
      </c>
      <c r="C105" s="22">
        <v>12.368026979614511</v>
      </c>
    </row>
    <row r="106" spans="1:3" x14ac:dyDescent="0.2">
      <c r="A106" s="19" t="s">
        <v>6</v>
      </c>
      <c r="B106" s="14">
        <v>4.5440448757894103</v>
      </c>
      <c r="C106" s="23">
        <v>11.326955993728205</v>
      </c>
    </row>
    <row r="107" spans="1:3" x14ac:dyDescent="0.2">
      <c r="A107" s="18" t="s">
        <v>5</v>
      </c>
      <c r="B107" s="12">
        <v>4.3484780078369649</v>
      </c>
      <c r="C107" s="22">
        <v>11.867302049058555</v>
      </c>
    </row>
    <row r="108" spans="1:3" x14ac:dyDescent="0.2">
      <c r="A108" s="19" t="s">
        <v>4</v>
      </c>
      <c r="B108" s="14">
        <v>4.5223496977422322</v>
      </c>
      <c r="C108" s="23">
        <v>13.102599545529086</v>
      </c>
    </row>
    <row r="109" spans="1:3" x14ac:dyDescent="0.2">
      <c r="A109" s="18" t="s">
        <v>3</v>
      </c>
      <c r="B109" s="12">
        <v>4.758556131554184</v>
      </c>
      <c r="C109" s="22">
        <v>17.606517346124072</v>
      </c>
    </row>
    <row r="110" spans="1:3" x14ac:dyDescent="0.2">
      <c r="A110" s="19" t="s">
        <v>2</v>
      </c>
      <c r="B110" s="14">
        <v>4.2949714426950436</v>
      </c>
      <c r="C110" s="23">
        <v>15.293048286491617</v>
      </c>
    </row>
    <row r="111" spans="1:3" x14ac:dyDescent="0.2">
      <c r="A111" s="18" t="s">
        <v>1</v>
      </c>
      <c r="B111" s="12">
        <v>4.3548160220139964</v>
      </c>
      <c r="C111" s="22">
        <v>17.611093573942902</v>
      </c>
    </row>
    <row r="115" spans="1:3" x14ac:dyDescent="0.2">
      <c r="A115" s="17" t="s">
        <v>0</v>
      </c>
      <c r="B115" s="3" t="s">
        <v>138</v>
      </c>
      <c r="C115" s="3" t="s">
        <v>137</v>
      </c>
    </row>
    <row r="116" spans="1:3" x14ac:dyDescent="0.2">
      <c r="A116" s="18" t="s">
        <v>19</v>
      </c>
      <c r="B116" s="12">
        <v>8396.0420116518962</v>
      </c>
      <c r="C116" s="12">
        <v>48277.1329395801</v>
      </c>
    </row>
    <row r="117" spans="1:3" x14ac:dyDescent="0.2">
      <c r="A117" s="19" t="s">
        <v>18</v>
      </c>
      <c r="B117" s="14">
        <v>10237.320702484696</v>
      </c>
      <c r="C117" s="14">
        <v>51609.499994048674</v>
      </c>
    </row>
    <row r="118" spans="1:3" x14ac:dyDescent="0.2">
      <c r="A118" s="18" t="s">
        <v>17</v>
      </c>
      <c r="B118" s="12">
        <v>13025.013683061374</v>
      </c>
      <c r="C118" s="12">
        <v>59394.18469267364</v>
      </c>
    </row>
    <row r="119" spans="1:3" x14ac:dyDescent="0.2">
      <c r="A119" s="19" t="s">
        <v>16</v>
      </c>
      <c r="B119" s="14">
        <v>14074.16152322157</v>
      </c>
      <c r="C119" s="14">
        <v>69053.057465639635</v>
      </c>
    </row>
    <row r="120" spans="1:3" x14ac:dyDescent="0.2">
      <c r="A120" s="18" t="s">
        <v>15</v>
      </c>
      <c r="B120" s="12">
        <v>12918.50567032543</v>
      </c>
      <c r="C120" s="12">
        <v>60589.892876809739</v>
      </c>
    </row>
    <row r="121" spans="1:3" x14ac:dyDescent="0.2">
      <c r="A121" s="19" t="s">
        <v>14</v>
      </c>
      <c r="B121" s="14">
        <v>14446.234697956274</v>
      </c>
      <c r="C121" s="14">
        <v>59647.841475878275</v>
      </c>
    </row>
    <row r="122" spans="1:3" x14ac:dyDescent="0.2">
      <c r="A122" s="18" t="s">
        <v>13</v>
      </c>
      <c r="B122" s="12">
        <v>17298.73082667746</v>
      </c>
      <c r="C122" s="12">
        <v>74878.747798595126</v>
      </c>
    </row>
    <row r="123" spans="1:3" x14ac:dyDescent="0.2">
      <c r="A123" s="19" t="s">
        <v>12</v>
      </c>
      <c r="B123" s="14">
        <v>11955.238654147104</v>
      </c>
      <c r="C123" s="14">
        <v>59579.932208765291</v>
      </c>
    </row>
    <row r="124" spans="1:3" x14ac:dyDescent="0.2">
      <c r="A124" s="18" t="s">
        <v>11</v>
      </c>
      <c r="B124" s="12">
        <v>11959.666660079702</v>
      </c>
      <c r="C124" s="12">
        <v>63491.704205265421</v>
      </c>
    </row>
    <row r="125" spans="1:3" x14ac:dyDescent="0.2">
      <c r="A125" s="19" t="s">
        <v>10</v>
      </c>
      <c r="B125" s="14">
        <v>12571.948552776519</v>
      </c>
      <c r="C125" s="14">
        <v>67878.124612853964</v>
      </c>
    </row>
    <row r="126" spans="1:3" x14ac:dyDescent="0.2">
      <c r="A126" s="18" t="s">
        <v>9</v>
      </c>
      <c r="B126" s="12">
        <v>12981.598782980165</v>
      </c>
      <c r="C126" s="12">
        <v>70532.350238675339</v>
      </c>
    </row>
    <row r="127" spans="1:3" x14ac:dyDescent="0.2">
      <c r="A127" s="19" t="s">
        <v>8</v>
      </c>
      <c r="B127" s="14">
        <v>14695.048101994138</v>
      </c>
      <c r="C127" s="14">
        <v>73797.187824187553</v>
      </c>
    </row>
    <row r="128" spans="1:3" x14ac:dyDescent="0.2">
      <c r="A128" s="18" t="s">
        <v>7</v>
      </c>
      <c r="B128" s="12">
        <v>15549.927799581719</v>
      </c>
      <c r="C128" s="12">
        <v>81737.45228790096</v>
      </c>
    </row>
    <row r="129" spans="1:3" x14ac:dyDescent="0.2">
      <c r="A129" s="19" t="s">
        <v>6</v>
      </c>
      <c r="B129" s="14">
        <v>16893.533919335434</v>
      </c>
      <c r="C129" s="14">
        <v>74168.198070212806</v>
      </c>
    </row>
    <row r="130" spans="1:3" x14ac:dyDescent="0.2">
      <c r="A130" s="18" t="s">
        <v>5</v>
      </c>
      <c r="B130" s="12">
        <v>17763.719791484724</v>
      </c>
      <c r="C130" s="12">
        <v>82668.081726282398</v>
      </c>
    </row>
    <row r="131" spans="1:3" x14ac:dyDescent="0.2">
      <c r="A131" s="19" t="s">
        <v>4</v>
      </c>
      <c r="B131" s="14">
        <v>17667.6461758082</v>
      </c>
      <c r="C131" s="14">
        <v>86526.88932093374</v>
      </c>
    </row>
    <row r="132" spans="1:3" x14ac:dyDescent="0.2">
      <c r="A132" s="18" t="s">
        <v>3</v>
      </c>
      <c r="B132" s="12">
        <v>16639.041084412394</v>
      </c>
      <c r="C132" s="12">
        <v>78900.573140407563</v>
      </c>
    </row>
    <row r="133" spans="1:3" x14ac:dyDescent="0.2">
      <c r="A133" s="19" t="s">
        <v>2</v>
      </c>
      <c r="B133" s="14">
        <v>17921.135712648142</v>
      </c>
      <c r="C133" s="14">
        <v>95783.712647541572</v>
      </c>
    </row>
    <row r="134" spans="1:3" x14ac:dyDescent="0.2">
      <c r="A134" s="18" t="s">
        <v>1</v>
      </c>
      <c r="B134" s="12">
        <v>19068.064864965458</v>
      </c>
      <c r="C134" s="12">
        <v>98215.792511681429</v>
      </c>
    </row>
    <row r="137" spans="1:3" x14ac:dyDescent="0.2">
      <c r="A137" s="17" t="s">
        <v>0</v>
      </c>
      <c r="B137" s="3" t="s">
        <v>139</v>
      </c>
      <c r="C137" s="3" t="s">
        <v>140</v>
      </c>
    </row>
    <row r="138" spans="1:3" x14ac:dyDescent="0.2">
      <c r="A138" s="18" t="s">
        <v>19</v>
      </c>
      <c r="B138" s="12">
        <v>8590.3646433972317</v>
      </c>
      <c r="C138" s="12">
        <v>60635.869464567033</v>
      </c>
    </row>
    <row r="139" spans="1:3" x14ac:dyDescent="0.2">
      <c r="A139" s="19" t="s">
        <v>18</v>
      </c>
      <c r="B139" s="14">
        <v>9340.6274438476648</v>
      </c>
      <c r="C139" s="14">
        <v>65318.927902570176</v>
      </c>
    </row>
    <row r="140" spans="1:3" x14ac:dyDescent="0.2">
      <c r="A140" s="18" t="s">
        <v>17</v>
      </c>
      <c r="B140" s="12">
        <v>11871.218973381467</v>
      </c>
      <c r="C140" s="12">
        <v>70363.021891797151</v>
      </c>
    </row>
    <row r="141" spans="1:3" x14ac:dyDescent="0.2">
      <c r="A141" s="19" t="s">
        <v>16</v>
      </c>
      <c r="B141" s="14">
        <v>12489.456059697328</v>
      </c>
      <c r="C141" s="14">
        <v>75752.247996679187</v>
      </c>
    </row>
    <row r="142" spans="1:3" x14ac:dyDescent="0.2">
      <c r="A142" s="18" t="s">
        <v>15</v>
      </c>
      <c r="B142" s="12">
        <v>14376.412814634139</v>
      </c>
      <c r="C142" s="12">
        <v>89024.219468487921</v>
      </c>
    </row>
    <row r="143" spans="1:3" x14ac:dyDescent="0.2">
      <c r="A143" s="19" t="s">
        <v>14</v>
      </c>
      <c r="B143" s="14">
        <v>17381.029337657397</v>
      </c>
      <c r="C143" s="14">
        <v>94782.844330762382</v>
      </c>
    </row>
    <row r="144" spans="1:3" x14ac:dyDescent="0.2">
      <c r="A144" s="18" t="s">
        <v>13</v>
      </c>
      <c r="B144" s="12">
        <v>19157.271428139295</v>
      </c>
      <c r="C144" s="12">
        <v>98834.370630241727</v>
      </c>
    </row>
    <row r="145" spans="1:3" x14ac:dyDescent="0.2">
      <c r="A145" s="19" t="s">
        <v>12</v>
      </c>
      <c r="B145" s="14">
        <v>12525.38732394366</v>
      </c>
      <c r="C145" s="14">
        <v>90846.993993934477</v>
      </c>
    </row>
    <row r="146" spans="1:3" x14ac:dyDescent="0.2">
      <c r="A146" s="18" t="s">
        <v>11</v>
      </c>
      <c r="B146" s="12">
        <v>13537.832049621004</v>
      </c>
      <c r="C146" s="12">
        <v>89797.485832074366</v>
      </c>
    </row>
    <row r="147" spans="1:3" x14ac:dyDescent="0.2">
      <c r="A147" s="19" t="s">
        <v>10</v>
      </c>
      <c r="B147" s="14">
        <v>13853.555665067666</v>
      </c>
      <c r="C147" s="14">
        <v>91762.204063788682</v>
      </c>
    </row>
    <row r="148" spans="1:3" x14ac:dyDescent="0.2">
      <c r="A148" s="18" t="s">
        <v>9</v>
      </c>
      <c r="B148" s="12">
        <v>15628.643257368034</v>
      </c>
      <c r="C148" s="12">
        <v>93938.287619961993</v>
      </c>
    </row>
    <row r="149" spans="1:3" x14ac:dyDescent="0.2">
      <c r="A149" s="19" t="s">
        <v>8</v>
      </c>
      <c r="B149" s="14">
        <v>18303.923662572117</v>
      </c>
      <c r="C149" s="14">
        <v>94962.396055070392</v>
      </c>
    </row>
    <row r="150" spans="1:3" x14ac:dyDescent="0.2">
      <c r="A150" s="18" t="s">
        <v>7</v>
      </c>
      <c r="B150" s="12">
        <v>20261.577705920896</v>
      </c>
      <c r="C150" s="12">
        <v>100555.76144040492</v>
      </c>
    </row>
    <row r="151" spans="1:3" x14ac:dyDescent="0.2">
      <c r="A151" s="19" t="s">
        <v>6</v>
      </c>
      <c r="B151" s="14">
        <v>19739.661746896156</v>
      </c>
      <c r="C151" s="14">
        <v>97092.01090335309</v>
      </c>
    </row>
    <row r="152" spans="1:3" x14ac:dyDescent="0.2">
      <c r="A152" s="18" t="s">
        <v>5</v>
      </c>
      <c r="B152" s="12">
        <v>20802.411726967963</v>
      </c>
      <c r="C152" s="12">
        <v>106862.07405246487</v>
      </c>
    </row>
    <row r="153" spans="1:3" x14ac:dyDescent="0.2">
      <c r="A153" s="19" t="s">
        <v>4</v>
      </c>
      <c r="B153" s="14">
        <v>22091.209305807148</v>
      </c>
      <c r="C153" s="14">
        <v>120773.94684232806</v>
      </c>
    </row>
    <row r="154" spans="1:3" x14ac:dyDescent="0.2">
      <c r="A154" s="18" t="s">
        <v>3</v>
      </c>
      <c r="B154" s="12">
        <v>20811.605199159483</v>
      </c>
      <c r="C154" s="12">
        <v>148900.44579253354</v>
      </c>
    </row>
    <row r="155" spans="1:3" x14ac:dyDescent="0.2">
      <c r="A155" s="19" t="s">
        <v>2</v>
      </c>
      <c r="B155" s="14">
        <v>20633.778968812268</v>
      </c>
      <c r="C155" s="14">
        <v>141294.9305108033</v>
      </c>
    </row>
    <row r="156" spans="1:3" x14ac:dyDescent="0.2">
      <c r="A156" s="18" t="s">
        <v>1</v>
      </c>
      <c r="B156" s="12">
        <v>22607.372849437554</v>
      </c>
      <c r="C156" s="12">
        <v>172806.81480363198</v>
      </c>
    </row>
    <row r="158" spans="1:3" x14ac:dyDescent="0.2">
      <c r="A158" s="3" t="s">
        <v>0</v>
      </c>
      <c r="B158" s="4" t="s">
        <v>254</v>
      </c>
      <c r="C158" s="4" t="s">
        <v>255</v>
      </c>
    </row>
    <row r="159" spans="1:3" x14ac:dyDescent="0.2">
      <c r="A159" s="5" t="s">
        <v>19</v>
      </c>
      <c r="B159" s="4">
        <f t="shared" ref="B159:B177" si="0">LN(B138)</f>
        <v>9.0583964638325423</v>
      </c>
      <c r="C159" s="4">
        <f t="shared" ref="C159:C177" si="1">LN(C138)</f>
        <v>11.012641902306417</v>
      </c>
    </row>
    <row r="160" spans="1:3" x14ac:dyDescent="0.2">
      <c r="A160" s="7" t="s">
        <v>18</v>
      </c>
      <c r="B160" s="4">
        <f t="shared" si="0"/>
        <v>9.1421287071086859</v>
      </c>
      <c r="C160" s="4">
        <f t="shared" si="1"/>
        <v>11.087037133945575</v>
      </c>
    </row>
    <row r="161" spans="1:3" x14ac:dyDescent="0.2">
      <c r="A161" s="5" t="s">
        <v>17</v>
      </c>
      <c r="B161" s="4">
        <f t="shared" si="0"/>
        <v>9.3818721759605257</v>
      </c>
      <c r="C161" s="4">
        <f t="shared" si="1"/>
        <v>11.161423146931446</v>
      </c>
    </row>
    <row r="162" spans="1:3" x14ac:dyDescent="0.2">
      <c r="A162" s="7" t="s">
        <v>16</v>
      </c>
      <c r="B162" s="4">
        <f t="shared" si="0"/>
        <v>9.4326400521070273</v>
      </c>
      <c r="C162" s="4">
        <f t="shared" si="1"/>
        <v>11.235223399455094</v>
      </c>
    </row>
    <row r="163" spans="1:3" x14ac:dyDescent="0.2">
      <c r="A163" s="5" t="s">
        <v>15</v>
      </c>
      <c r="B163" s="4">
        <f t="shared" si="0"/>
        <v>9.5733441435932747</v>
      </c>
      <c r="C163" s="4">
        <f t="shared" si="1"/>
        <v>11.39666374055335</v>
      </c>
    </row>
    <row r="164" spans="1:3" x14ac:dyDescent="0.2">
      <c r="A164" s="7" t="s">
        <v>14</v>
      </c>
      <c r="B164" s="4">
        <f t="shared" si="0"/>
        <v>9.7631346224774465</v>
      </c>
      <c r="C164" s="4">
        <f t="shared" si="1"/>
        <v>11.459343704891534</v>
      </c>
    </row>
    <row r="165" spans="1:3" x14ac:dyDescent="0.2">
      <c r="A165" s="5" t="s">
        <v>13</v>
      </c>
      <c r="B165" s="4">
        <f t="shared" si="0"/>
        <v>9.8604376315787743</v>
      </c>
      <c r="C165" s="4">
        <f t="shared" si="1"/>
        <v>11.50120070411233</v>
      </c>
    </row>
    <row r="166" spans="1:3" x14ac:dyDescent="0.2">
      <c r="A166" s="7" t="s">
        <v>12</v>
      </c>
      <c r="B166" s="4">
        <f t="shared" si="0"/>
        <v>9.4355128495422846</v>
      </c>
      <c r="C166" s="4">
        <f t="shared" si="1"/>
        <v>11.416931985703268</v>
      </c>
    </row>
    <row r="167" spans="1:3" x14ac:dyDescent="0.2">
      <c r="A167" s="5" t="s">
        <v>11</v>
      </c>
      <c r="B167" s="4">
        <f t="shared" si="0"/>
        <v>9.5132434191429525</v>
      </c>
      <c r="C167" s="4">
        <f t="shared" si="1"/>
        <v>11.405312256482704</v>
      </c>
    </row>
    <row r="168" spans="1:3" x14ac:dyDescent="0.2">
      <c r="A168" s="7" t="s">
        <v>10</v>
      </c>
      <c r="B168" s="4">
        <f t="shared" si="0"/>
        <v>9.5362972053865072</v>
      </c>
      <c r="C168" s="4">
        <f t="shared" si="1"/>
        <v>11.42695577139042</v>
      </c>
    </row>
    <row r="169" spans="1:3" x14ac:dyDescent="0.2">
      <c r="A169" s="5" t="s">
        <v>9</v>
      </c>
      <c r="B169" s="4">
        <f t="shared" si="0"/>
        <v>9.6568606158966137</v>
      </c>
      <c r="C169" s="4">
        <f t="shared" si="1"/>
        <v>11.450393330970753</v>
      </c>
    </row>
    <row r="170" spans="1:3" x14ac:dyDescent="0.2">
      <c r="A170" s="7" t="s">
        <v>8</v>
      </c>
      <c r="B170" s="4">
        <f t="shared" si="0"/>
        <v>9.8148707236382737</v>
      </c>
      <c r="C170" s="4">
        <f t="shared" si="1"/>
        <v>11.46123626122165</v>
      </c>
    </row>
    <row r="171" spans="1:3" x14ac:dyDescent="0.2">
      <c r="A171" s="5" t="s">
        <v>7</v>
      </c>
      <c r="B171" s="4">
        <f t="shared" si="0"/>
        <v>9.9164816477184576</v>
      </c>
      <c r="C171" s="4">
        <f t="shared" si="1"/>
        <v>11.518467692817389</v>
      </c>
    </row>
    <row r="172" spans="1:3" x14ac:dyDescent="0.2">
      <c r="A172" s="7" t="s">
        <v>6</v>
      </c>
      <c r="B172" s="4">
        <f t="shared" si="0"/>
        <v>9.8903851774250651</v>
      </c>
      <c r="C172" s="4">
        <f t="shared" si="1"/>
        <v>11.483414373895025</v>
      </c>
    </row>
    <row r="173" spans="1:3" x14ac:dyDescent="0.2">
      <c r="A173" s="5" t="s">
        <v>5</v>
      </c>
      <c r="B173" s="4">
        <f t="shared" si="0"/>
        <v>9.9428242073798323</v>
      </c>
      <c r="C173" s="4">
        <f t="shared" si="1"/>
        <v>11.57929425438634</v>
      </c>
    </row>
    <row r="174" spans="1:3" x14ac:dyDescent="0.2">
      <c r="A174" s="7" t="s">
        <v>4</v>
      </c>
      <c r="B174" s="4">
        <f t="shared" si="0"/>
        <v>10.002935039406781</v>
      </c>
      <c r="C174" s="4">
        <f t="shared" si="1"/>
        <v>11.701675869387305</v>
      </c>
    </row>
    <row r="175" spans="1:3" x14ac:dyDescent="0.2">
      <c r="A175" s="5" t="s">
        <v>3</v>
      </c>
      <c r="B175" s="4">
        <f t="shared" si="0"/>
        <v>9.9432660523647769</v>
      </c>
      <c r="C175" s="4">
        <f t="shared" si="1"/>
        <v>11.91103321257315</v>
      </c>
    </row>
    <row r="176" spans="1:3" x14ac:dyDescent="0.2">
      <c r="A176" s="7" t="s">
        <v>2</v>
      </c>
      <c r="B176" s="4">
        <f t="shared" si="0"/>
        <v>9.9346847676136232</v>
      </c>
      <c r="C176" s="4">
        <f t="shared" si="1"/>
        <v>11.85860469054</v>
      </c>
    </row>
    <row r="177" spans="1:3" x14ac:dyDescent="0.2">
      <c r="A177" s="5" t="s">
        <v>1</v>
      </c>
      <c r="B177" s="4">
        <f t="shared" si="0"/>
        <v>10.026031364334196</v>
      </c>
      <c r="C177" s="4">
        <f t="shared" si="1"/>
        <v>12.059929572095472</v>
      </c>
    </row>
    <row r="179" spans="1:3" x14ac:dyDescent="0.2">
      <c r="A179" s="3" t="s">
        <v>0</v>
      </c>
      <c r="B179" s="4" t="s">
        <v>256</v>
      </c>
      <c r="C179" s="4" t="s">
        <v>257</v>
      </c>
    </row>
    <row r="180" spans="1:3" x14ac:dyDescent="0.2">
      <c r="A180" s="5" t="s">
        <v>19</v>
      </c>
      <c r="B180" s="4">
        <f t="shared" ref="B180:B198" si="2">LN(B116)</f>
        <v>9.0355156846978826</v>
      </c>
      <c r="C180" s="4">
        <f t="shared" ref="C180:C198" si="3">LN(C116)</f>
        <v>10.784713289429527</v>
      </c>
    </row>
    <row r="181" spans="1:3" x14ac:dyDescent="0.2">
      <c r="A181" s="7" t="s">
        <v>18</v>
      </c>
      <c r="B181" s="4">
        <f t="shared" si="2"/>
        <v>9.2337952142091471</v>
      </c>
      <c r="C181" s="4">
        <f t="shared" si="3"/>
        <v>10.851461042935576</v>
      </c>
    </row>
    <row r="182" spans="1:3" x14ac:dyDescent="0.2">
      <c r="A182" s="5" t="s">
        <v>17</v>
      </c>
      <c r="B182" s="4">
        <f t="shared" si="2"/>
        <v>9.4746269171439614</v>
      </c>
      <c r="C182" s="4">
        <f t="shared" si="3"/>
        <v>10.9919515997614</v>
      </c>
    </row>
    <row r="183" spans="1:3" x14ac:dyDescent="0.2">
      <c r="A183" s="7" t="s">
        <v>16</v>
      </c>
      <c r="B183" s="4">
        <f t="shared" si="2"/>
        <v>9.5520958791709951</v>
      </c>
      <c r="C183" s="4">
        <f t="shared" si="3"/>
        <v>11.142630436867138</v>
      </c>
    </row>
    <row r="184" spans="1:3" x14ac:dyDescent="0.2">
      <c r="A184" s="5" t="s">
        <v>15</v>
      </c>
      <c r="B184" s="4">
        <f t="shared" si="2"/>
        <v>9.4664161104559064</v>
      </c>
      <c r="C184" s="4">
        <f t="shared" si="3"/>
        <v>11.011883373936312</v>
      </c>
    </row>
    <row r="185" spans="1:3" x14ac:dyDescent="0.2">
      <c r="A185" s="7" t="s">
        <v>14</v>
      </c>
      <c r="B185" s="4">
        <f t="shared" si="2"/>
        <v>9.5781890850492371</v>
      </c>
      <c r="C185" s="4">
        <f t="shared" si="3"/>
        <v>10.996213240381429</v>
      </c>
    </row>
    <row r="186" spans="1:3" x14ac:dyDescent="0.2">
      <c r="A186" s="5" t="s">
        <v>13</v>
      </c>
      <c r="B186" s="4">
        <f t="shared" si="2"/>
        <v>9.7583884151749025</v>
      </c>
      <c r="C186" s="4">
        <f t="shared" si="3"/>
        <v>11.223625388236474</v>
      </c>
    </row>
    <row r="187" spans="1:3" x14ac:dyDescent="0.2">
      <c r="A187" s="7" t="s">
        <v>12</v>
      </c>
      <c r="B187" s="4">
        <f t="shared" si="2"/>
        <v>9.3889248423989109</v>
      </c>
      <c r="C187" s="4">
        <f t="shared" si="3"/>
        <v>10.995074088447984</v>
      </c>
    </row>
    <row r="188" spans="1:3" x14ac:dyDescent="0.2">
      <c r="A188" s="5" t="s">
        <v>11</v>
      </c>
      <c r="B188" s="4">
        <f t="shared" si="2"/>
        <v>9.389295155885419</v>
      </c>
      <c r="C188" s="4">
        <f t="shared" si="3"/>
        <v>11.058664533909552</v>
      </c>
    </row>
    <row r="189" spans="1:3" x14ac:dyDescent="0.2">
      <c r="A189" s="7" t="s">
        <v>10</v>
      </c>
      <c r="B189" s="4">
        <f t="shared" si="2"/>
        <v>9.4392233057023169</v>
      </c>
      <c r="C189" s="4">
        <f t="shared" si="3"/>
        <v>11.125469090988512</v>
      </c>
    </row>
    <row r="190" spans="1:3" x14ac:dyDescent="0.2">
      <c r="A190" s="5" t="s">
        <v>9</v>
      </c>
      <c r="B190" s="4">
        <f t="shared" si="2"/>
        <v>9.4712881554757207</v>
      </c>
      <c r="C190" s="4">
        <f t="shared" si="3"/>
        <v>11.163826752186036</v>
      </c>
    </row>
    <row r="191" spans="1:3" x14ac:dyDescent="0.2">
      <c r="A191" s="7" t="s">
        <v>8</v>
      </c>
      <c r="B191" s="4">
        <f t="shared" si="2"/>
        <v>9.5952658522055465</v>
      </c>
      <c r="C191" s="4">
        <f t="shared" si="3"/>
        <v>11.209075904499224</v>
      </c>
    </row>
    <row r="192" spans="1:3" x14ac:dyDescent="0.2">
      <c r="A192" s="5" t="s">
        <v>7</v>
      </c>
      <c r="B192" s="4">
        <f t="shared" si="2"/>
        <v>9.6518112744828848</v>
      </c>
      <c r="C192" s="4">
        <f t="shared" si="3"/>
        <v>11.311267588145867</v>
      </c>
    </row>
    <row r="193" spans="1:3" x14ac:dyDescent="0.2">
      <c r="A193" s="7" t="s">
        <v>6</v>
      </c>
      <c r="B193" s="4">
        <f t="shared" si="2"/>
        <v>9.7346862193745771</v>
      </c>
      <c r="C193" s="4">
        <f t="shared" si="3"/>
        <v>11.214090739844853</v>
      </c>
    </row>
    <row r="194" spans="1:3" x14ac:dyDescent="0.2">
      <c r="A194" s="5" t="s">
        <v>5</v>
      </c>
      <c r="B194" s="4">
        <f t="shared" si="2"/>
        <v>9.7849134423337851</v>
      </c>
      <c r="C194" s="4">
        <f t="shared" si="3"/>
        <v>11.322588853989146</v>
      </c>
    </row>
    <row r="195" spans="1:3" x14ac:dyDescent="0.2">
      <c r="A195" s="7" t="s">
        <v>4</v>
      </c>
      <c r="B195" s="4">
        <f t="shared" si="2"/>
        <v>9.7794903462428646</v>
      </c>
      <c r="C195" s="4">
        <f t="shared" si="3"/>
        <v>11.368210503814806</v>
      </c>
    </row>
    <row r="196" spans="1:3" x14ac:dyDescent="0.2">
      <c r="A196" s="5" t="s">
        <v>3</v>
      </c>
      <c r="B196" s="4">
        <f t="shared" si="2"/>
        <v>9.7195070855760139</v>
      </c>
      <c r="C196" s="4">
        <f t="shared" si="3"/>
        <v>11.27594377094456</v>
      </c>
    </row>
    <row r="197" spans="1:3" x14ac:dyDescent="0.2">
      <c r="A197" s="7" t="s">
        <v>2</v>
      </c>
      <c r="B197" s="4">
        <f t="shared" si="2"/>
        <v>9.7937360613425781</v>
      </c>
      <c r="C197" s="4">
        <f t="shared" si="3"/>
        <v>11.469847935387394</v>
      </c>
    </row>
    <row r="198" spans="1:3" x14ac:dyDescent="0.2">
      <c r="A198" s="5" t="s">
        <v>1</v>
      </c>
      <c r="B198" s="4">
        <f t="shared" si="2"/>
        <v>9.855770218089722</v>
      </c>
      <c r="C198" s="4">
        <f t="shared" si="3"/>
        <v>11.494922301286984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F612-4ED9-084C-9058-167EBE587B53}">
  <dimension ref="A1:O318"/>
  <sheetViews>
    <sheetView topLeftCell="A296" zoomScale="63" workbookViewId="0">
      <selection activeCell="H280" sqref="H280"/>
    </sheetView>
  </sheetViews>
  <sheetFormatPr baseColWidth="10" defaultRowHeight="16" x14ac:dyDescent="0.2"/>
  <cols>
    <col min="1" max="1" width="12" bestFit="1" customWidth="1"/>
    <col min="2" max="2" width="61.33203125" bestFit="1" customWidth="1"/>
    <col min="3" max="3" width="54" bestFit="1" customWidth="1"/>
    <col min="4" max="4" width="36.5" bestFit="1" customWidth="1"/>
    <col min="5" max="5" width="97.5" bestFit="1" customWidth="1"/>
    <col min="6" max="6" width="65.83203125" bestFit="1" customWidth="1"/>
    <col min="7" max="7" width="65.5" bestFit="1" customWidth="1"/>
    <col min="8" max="8" width="46.6640625" bestFit="1" customWidth="1"/>
    <col min="9" max="9" width="53" bestFit="1" customWidth="1"/>
    <col min="10" max="10" width="47.83203125" bestFit="1" customWidth="1"/>
    <col min="11" max="11" width="61.33203125" bestFit="1" customWidth="1"/>
    <col min="12" max="12" width="50" bestFit="1" customWidth="1"/>
    <col min="13" max="13" width="66.83203125" bestFit="1" customWidth="1"/>
    <col min="14" max="14" width="35.1640625" bestFit="1" customWidth="1"/>
    <col min="15" max="15" width="16.6640625" bestFit="1" customWidth="1"/>
  </cols>
  <sheetData>
    <row r="1" spans="1:6" x14ac:dyDescent="0.2">
      <c r="A1" s="17" t="s">
        <v>0</v>
      </c>
      <c r="B1" s="3" t="s">
        <v>63</v>
      </c>
      <c r="C1" s="3" t="s">
        <v>60</v>
      </c>
      <c r="D1" s="3" t="s">
        <v>73</v>
      </c>
      <c r="E1" s="3" t="s">
        <v>66</v>
      </c>
      <c r="F1" s="3" t="s">
        <v>70</v>
      </c>
    </row>
    <row r="2" spans="1:6" x14ac:dyDescent="0.2">
      <c r="A2" s="18" t="s">
        <v>19</v>
      </c>
      <c r="B2" s="12">
        <v>11149.06</v>
      </c>
      <c r="C2" s="12">
        <v>11407.1</v>
      </c>
      <c r="D2" s="12">
        <f xml:space="preserve"> 83980.50072/143606.6562 * 100</f>
        <v>58.479532176447954</v>
      </c>
      <c r="E2" s="12">
        <f>Table26[[#This Row],[Revenue Receipts]]/Table26[[#This Row],[NSDP Deflator (Base 2011-12)]] * 100</f>
        <v>19064.89259585796</v>
      </c>
      <c r="F2" s="12">
        <f>Table26[[#This Row],[Revenue Expenditure]]/Table26[[#This Row],[NSDP Deflator (Base 2011-12)]] * 100</f>
        <v>19506.140995762096</v>
      </c>
    </row>
    <row r="3" spans="1:6" x14ac:dyDescent="0.2">
      <c r="A3" s="19" t="s">
        <v>18</v>
      </c>
      <c r="B3" s="14">
        <v>13853.31</v>
      </c>
      <c r="C3" s="14">
        <v>12639.89</v>
      </c>
      <c r="D3" s="14">
        <f>95357.68758/163061.6458 * 100</f>
        <v>58.479532150042857</v>
      </c>
      <c r="E3" s="14">
        <f>Table26[[#This Row],[Revenue Receipts]]/Table26[[#This Row],[NSDP Deflator (Base 2011-12)]] * 100</f>
        <v>23689.160105549588</v>
      </c>
      <c r="F3" s="14">
        <f>Table26[[#This Row],[Revenue Expenditure]]/Table26[[#This Row],[NSDP Deflator (Base 2011-12)]] * 100</f>
        <v>21614.211905063497</v>
      </c>
    </row>
    <row r="4" spans="1:6" x14ac:dyDescent="0.2">
      <c r="A4" s="18" t="s">
        <v>17</v>
      </c>
      <c r="B4" s="12">
        <v>17952.43</v>
      </c>
      <c r="C4" s="12">
        <v>16362.15</v>
      </c>
      <c r="D4" s="12">
        <f>113084.8577/193375.1032 * 100</f>
        <v>58.479533212215493</v>
      </c>
      <c r="E4" s="12">
        <f>Table26[[#This Row],[Revenue Receipts]]/Table26[[#This Row],[NSDP Deflator (Base 2011-12)]] * 100</f>
        <v>30698.654749607351</v>
      </c>
      <c r="F4" s="12">
        <f>Table26[[#This Row],[Revenue Expenditure]]/Table26[[#This Row],[NSDP Deflator (Base 2011-12)]] * 100</f>
        <v>27979.275998362777</v>
      </c>
    </row>
    <row r="5" spans="1:6" x14ac:dyDescent="0.2">
      <c r="A5" s="19" t="s">
        <v>16</v>
      </c>
      <c r="B5" s="14">
        <v>19750.740000000002</v>
      </c>
      <c r="C5" s="14">
        <v>17526.87</v>
      </c>
      <c r="D5" s="14">
        <f>133032.7381/227485.9822 * 100</f>
        <v>58.479532151146316</v>
      </c>
      <c r="E5" s="14">
        <f>Table26[[#This Row],[Revenue Receipts]]/Table26[[#This Row],[NSDP Deflator (Base 2011-12)]] * 100</f>
        <v>33773.765407274805</v>
      </c>
      <c r="F5" s="14">
        <f>Table26[[#This Row],[Revenue Expenditure]]/Table26[[#This Row],[NSDP Deflator (Base 2011-12)]] * 100</f>
        <v>29970.947706455678</v>
      </c>
    </row>
    <row r="6" spans="1:6" x14ac:dyDescent="0.2">
      <c r="A6" s="18" t="s">
        <v>15</v>
      </c>
      <c r="B6" s="12">
        <v>18452.310000000001</v>
      </c>
      <c r="C6" s="12">
        <v>20534.73</v>
      </c>
      <c r="D6" s="12">
        <f>160355.7562/274208.3431 * 100</f>
        <v>58.479532164169221</v>
      </c>
      <c r="E6" s="12">
        <f>Table26[[#This Row],[Revenue Receipts]]/Table26[[#This Row],[NSDP Deflator (Base 2011-12)]] * 100</f>
        <v>31553.450099769863</v>
      </c>
      <c r="F6" s="12">
        <f>Table26[[#This Row],[Revenue Expenditure]]/Table26[[#This Row],[NSDP Deflator (Base 2011-12)]] * 100</f>
        <v>35114.388299743885</v>
      </c>
    </row>
    <row r="7" spans="1:6" x14ac:dyDescent="0.2">
      <c r="A7" s="19" t="s">
        <v>14</v>
      </c>
      <c r="B7" s="14">
        <v>20992.66</v>
      </c>
      <c r="C7" s="14">
        <v>25257.38</v>
      </c>
      <c r="D7" s="14">
        <f>198554.6921/339528.5235 * 100</f>
        <v>58.479532162192548</v>
      </c>
      <c r="E7" s="14">
        <f>Table26[[#This Row],[Revenue Receipts]]/Table26[[#This Row],[NSDP Deflator (Base 2011-12)]] * 100</f>
        <v>35897.448600951546</v>
      </c>
      <c r="F7" s="14">
        <f>Table26[[#This Row],[Revenue Expenditure]]/Table26[[#This Row],[NSDP Deflator (Base 2011-12)]] * 100</f>
        <v>43190.119801144865</v>
      </c>
    </row>
    <row r="8" spans="1:6" x14ac:dyDescent="0.2">
      <c r="A8" s="18" t="s">
        <v>13</v>
      </c>
      <c r="B8" s="12">
        <v>25563.68</v>
      </c>
      <c r="C8" s="12">
        <v>28310.19</v>
      </c>
      <c r="D8" s="12">
        <f>(233326.6479/398988.5679) * 100</f>
        <v>58.479532165061812</v>
      </c>
      <c r="E8" s="12">
        <f>Table26[[#This Row],[Revenue Receipts]]/Table26[[#This Row],[NSDP Deflator (Base 2011-12)]] * 100</f>
        <v>43713.892799013942</v>
      </c>
      <c r="F8" s="12">
        <f>Table26[[#This Row],[Revenue Expenditure]]/Table26[[#This Row],[NSDP Deflator (Base 2011-12)]] * 100</f>
        <v>48410.424898908001</v>
      </c>
    </row>
    <row r="9" spans="1:6" x14ac:dyDescent="0.2">
      <c r="A9" s="19" t="s">
        <v>12</v>
      </c>
      <c r="B9" s="14">
        <v>30557.59</v>
      </c>
      <c r="C9" s="14">
        <v>32014.89</v>
      </c>
      <c r="D9" s="14">
        <v>100</v>
      </c>
      <c r="E9" s="14">
        <f>Table26[[#This Row],[Revenue Receipts]]/Table26[[#This Row],[NSDP Deflator (Base 2011-12)]] * 100</f>
        <v>30557.59</v>
      </c>
      <c r="F9" s="14">
        <f>Table26[[#This Row],[Revenue Expenditure]]/Table26[[#This Row],[NSDP Deflator (Base 2011-12)]] * 100</f>
        <v>32014.889999999996</v>
      </c>
    </row>
    <row r="10" spans="1:6" x14ac:dyDescent="0.2">
      <c r="A10" s="18" t="s">
        <v>11</v>
      </c>
      <c r="B10" s="12">
        <v>33633.53</v>
      </c>
      <c r="C10" s="12">
        <v>38071.72</v>
      </c>
      <c r="D10" s="12">
        <f>Table26[[#This Row],[NSDP Current Prices (INR Crore) (Base Price- 20-11-12)]]/Table26[[#This Row],[NSDP Haryana INR Crore(Constant, Base Price = 2011-12)]] *100</f>
        <v>108.48879102578024</v>
      </c>
      <c r="E10" s="12">
        <f>Table26[[#This Row],[Revenue Receipts]]/Table26[[#This Row],[NSDP Deflator (Base 2011-12)]] * 100</f>
        <v>31001.847916258601</v>
      </c>
      <c r="F10" s="12">
        <f>Table26[[#This Row],[Revenue Expenditure]]/Table26[[#This Row],[NSDP Deflator (Base 2011-12)]] * 100</f>
        <v>35092.768239027566</v>
      </c>
    </row>
    <row r="11" spans="1:6" x14ac:dyDescent="0.2">
      <c r="A11" s="19" t="s">
        <v>10</v>
      </c>
      <c r="B11" s="14">
        <v>38012.080000000002</v>
      </c>
      <c r="C11" s="14">
        <v>41887.1</v>
      </c>
      <c r="D11" s="14">
        <f>Table26[[#This Row],[NSDP Current Prices (INR Crore) (Base Price- 20-11-12)]]/Table26[[#This Row],[NSDP Haryana INR Crore(Constant, Base Price = 2011-12)]] *100</f>
        <v>115.00810653247437</v>
      </c>
      <c r="E11" s="14">
        <f>Table26[[#This Row],[Revenue Receipts]]/Table26[[#This Row],[NSDP Deflator (Base 2011-12)]] * 100</f>
        <v>33051.65274524947</v>
      </c>
      <c r="F11" s="14">
        <f>Table26[[#This Row],[Revenue Expenditure]]/Table26[[#This Row],[NSDP Deflator (Base 2011-12)]] * 100</f>
        <v>36420.997843462894</v>
      </c>
    </row>
    <row r="12" spans="1:6" x14ac:dyDescent="0.2">
      <c r="A12" s="18" t="s">
        <v>9</v>
      </c>
      <c r="B12" s="12">
        <v>40798.660000000003</v>
      </c>
      <c r="C12" s="12">
        <v>49117.81</v>
      </c>
      <c r="D12" s="12">
        <f>Table26[[#This Row],[NSDP Current Prices (INR Crore) (Base Price- 20-11-12)]]/Table26[[#This Row],[NSDP Haryana INR Crore(Constant, Base Price = 2011-12)]] *100</f>
        <v>117.87589214938538</v>
      </c>
      <c r="E12" s="12">
        <f>Table26[[#This Row],[Revenue Receipts]]/Table26[[#This Row],[NSDP Deflator (Base 2011-12)]] * 100</f>
        <v>34611.538675181713</v>
      </c>
      <c r="F12" s="12">
        <f>Table26[[#This Row],[Revenue Expenditure]]/Table26[[#This Row],[NSDP Deflator (Base 2011-12)]] * 100</f>
        <v>41669.08865279465</v>
      </c>
    </row>
    <row r="13" spans="1:6" x14ac:dyDescent="0.2">
      <c r="A13" s="19" t="s">
        <v>8</v>
      </c>
      <c r="B13" s="14">
        <v>47556.55</v>
      </c>
      <c r="C13" s="14">
        <v>59235.7</v>
      </c>
      <c r="D13" s="14">
        <f>Table26[[#This Row],[NSDP Current Prices (INR Crore) (Base Price- 20-11-12)]]/Table26[[#This Row],[NSDP Haryana INR Crore(Constant, Base Price = 2011-12)]] *100</f>
        <v>119.68304824050963</v>
      </c>
      <c r="E13" s="14">
        <f>Table26[[#This Row],[Revenue Receipts]]/Table26[[#This Row],[NSDP Deflator (Base 2011-12)]] * 100</f>
        <v>39735.410067792152</v>
      </c>
      <c r="F13" s="14">
        <f>Table26[[#This Row],[Revenue Expenditure]]/Table26[[#This Row],[NSDP Deflator (Base 2011-12)]] * 100</f>
        <v>49493.809583595008</v>
      </c>
    </row>
    <row r="14" spans="1:6" x14ac:dyDescent="0.2">
      <c r="A14" s="18" t="s">
        <v>7</v>
      </c>
      <c r="B14" s="12">
        <v>52496.82</v>
      </c>
      <c r="C14" s="12">
        <v>68403.429999999993</v>
      </c>
      <c r="D14" s="12">
        <f>Table26[[#This Row],[NSDP Current Prices (INR Crore) (Base Price- 20-11-12)]]/Table26[[#This Row],[NSDP Haryana INR Crore(Constant, Base Price = 2011-12)]] *100</f>
        <v>123.10895822500424</v>
      </c>
      <c r="E14" s="12">
        <f>Table26[[#This Row],[Revenue Receipts]]/Table26[[#This Row],[NSDP Deflator (Base 2011-12)]] * 100</f>
        <v>42642.567004792953</v>
      </c>
      <c r="F14" s="12">
        <f>Table26[[#This Row],[Revenue Expenditure]]/Table26[[#This Row],[NSDP Deflator (Base 2011-12)]] * 100</f>
        <v>55563.324542946873</v>
      </c>
    </row>
    <row r="15" spans="1:6" x14ac:dyDescent="0.2">
      <c r="A15" s="19" t="s">
        <v>6</v>
      </c>
      <c r="B15" s="14">
        <v>62694.87</v>
      </c>
      <c r="C15" s="14">
        <v>73257.350000000006</v>
      </c>
      <c r="D15" s="14">
        <f>Table26[[#This Row],[NSDP Current Prices (INR Crore) (Base Price- 20-11-12)]]/Table26[[#This Row],[NSDP Haryana INR Crore(Constant, Base Price = 2011-12)]] *100</f>
        <v>133.44272223062191</v>
      </c>
      <c r="E15" s="14">
        <f>Table26[[#This Row],[Revenue Receipts]]/Table26[[#This Row],[NSDP Deflator (Base 2011-12)]] * 100</f>
        <v>46982.607183063774</v>
      </c>
      <c r="F15" s="14">
        <f>Table26[[#This Row],[Revenue Expenditure]]/Table26[[#This Row],[NSDP Deflator (Base 2011-12)]] * 100</f>
        <v>54897.973284292901</v>
      </c>
    </row>
    <row r="16" spans="1:6" x14ac:dyDescent="0.2">
      <c r="A16" s="18" t="s">
        <v>5</v>
      </c>
      <c r="B16" s="12">
        <v>65885.119999999995</v>
      </c>
      <c r="C16" s="12">
        <v>77155.539999999994</v>
      </c>
      <c r="D16" s="12">
        <f>Table26[[#This Row],[NSDP Current Prices (INR Crore) (Base Price- 20-11-12)]]/Table26[[#This Row],[NSDP Haryana INR Crore(Constant, Base Price = 2011-12)]] *100</f>
        <v>131.49581338195148</v>
      </c>
      <c r="E16" s="12">
        <f>Table26[[#This Row],[Revenue Receipts]]/Table26[[#This Row],[NSDP Deflator (Base 2011-12)]] * 100</f>
        <v>50104.348043861821</v>
      </c>
      <c r="F16" s="12">
        <f>Table26[[#This Row],[Revenue Expenditure]]/Table26[[#This Row],[NSDP Deflator (Base 2011-12)]] * 100</f>
        <v>58675.282517085841</v>
      </c>
    </row>
    <row r="17" spans="1:11" x14ac:dyDescent="0.2">
      <c r="A17" s="19" t="s">
        <v>4</v>
      </c>
      <c r="B17" s="14">
        <v>67858.13</v>
      </c>
      <c r="C17" s="14">
        <v>84848.21</v>
      </c>
      <c r="D17" s="14">
        <f>Table26[[#This Row],[NSDP Current Prices (INR Crore) (Base Price- 20-11-12)]]/Table26[[#This Row],[NSDP Haryana INR Crore(Constant, Base Price = 2011-12)]] *100</f>
        <v>136.17008000763497</v>
      </c>
      <c r="E17" s="14">
        <f>Table26[[#This Row],[Revenue Receipts]]/Table26[[#This Row],[NSDP Deflator (Base 2011-12)]] * 100</f>
        <v>49833.362803484619</v>
      </c>
      <c r="F17" s="14">
        <f>Table26[[#This Row],[Revenue Expenditure]]/Table26[[#This Row],[NSDP Deflator (Base 2011-12)]] * 100</f>
        <v>62310.464967959648</v>
      </c>
    </row>
    <row r="18" spans="1:11" x14ac:dyDescent="0.2">
      <c r="A18" s="18" t="s">
        <v>3</v>
      </c>
      <c r="B18" s="12">
        <v>71913.009999999995</v>
      </c>
      <c r="C18" s="12">
        <v>89946.6</v>
      </c>
      <c r="D18" s="12">
        <f>Table26[[#This Row],[NSDP Current Prices (INR Crore) (Base Price- 20-11-12)]]/Table26[[#This Row],[NSDP Haryana INR Crore(Constant, Base Price = 2011-12)]] *100</f>
        <v>148.97605645402737</v>
      </c>
      <c r="E18" s="12">
        <f>Table26[[#This Row],[Revenue Receipts]]/Table26[[#This Row],[NSDP Deflator (Base 2011-12)]] * 100</f>
        <v>48271.522089988794</v>
      </c>
      <c r="F18" s="12">
        <f>Table26[[#This Row],[Revenue Expenditure]]/Table26[[#This Row],[NSDP Deflator (Base 2011-12)]] * 100</f>
        <v>60376.547843281573</v>
      </c>
    </row>
    <row r="19" spans="1:11" x14ac:dyDescent="0.2">
      <c r="A19" s="19" t="s">
        <v>2</v>
      </c>
      <c r="B19" s="14">
        <v>85485.48</v>
      </c>
      <c r="C19" s="14">
        <v>98425.04</v>
      </c>
      <c r="D19" s="14">
        <f>Table26[[#This Row],[NSDP Current Prices (INR Crore) (Base Price- 20-11-12)]]/Table26[[#This Row],[NSDP Haryana INR Crore(Constant, Base Price = 2011-12)]] *100</f>
        <v>162.12673427929735</v>
      </c>
      <c r="E19" s="14">
        <f>Table26[[#This Row],[Revenue Receipts]]/Table26[[#This Row],[NSDP Deflator (Base 2011-12)]] * 100</f>
        <v>52727.565493753369</v>
      </c>
      <c r="F19" s="14">
        <f>Table26[[#This Row],[Revenue Expenditure]]/Table26[[#This Row],[NSDP Deflator (Base 2011-12)]] * 100</f>
        <v>60708.704482039459</v>
      </c>
    </row>
    <row r="20" spans="1:11" x14ac:dyDescent="0.2">
      <c r="A20" s="18" t="s">
        <v>1</v>
      </c>
      <c r="B20" s="12">
        <v>97002.48</v>
      </c>
      <c r="C20" s="12">
        <v>115007.54</v>
      </c>
      <c r="D20" s="12">
        <f>Table26[[#This Row],[NSDP Current Prices (INR Crore) (Base Price- 20-11-12)]]/Table26[[#This Row],[NSDP Haryana INR Crore(Constant, Base Price = 2011-12)]] *100</f>
        <v>170.48155511465546</v>
      </c>
      <c r="E20" s="12">
        <f>Table26[[#This Row],[Revenue Receipts]]/Table26[[#This Row],[NSDP Deflator (Base 2011-12)]] * 100</f>
        <v>56899.10555705693</v>
      </c>
      <c r="F20" s="12">
        <f>Table26[[#This Row],[Revenue Expenditure]]/Table26[[#This Row],[NSDP Deflator (Base 2011-12)]] * 100</f>
        <v>67460.400582721661</v>
      </c>
    </row>
    <row r="23" spans="1:11" ht="29" x14ac:dyDescent="0.35">
      <c r="B23" s="20" t="s">
        <v>93</v>
      </c>
    </row>
    <row r="25" spans="1:11" x14ac:dyDescent="0.2">
      <c r="A25" s="3" t="s">
        <v>0</v>
      </c>
      <c r="B25" s="4" t="s">
        <v>94</v>
      </c>
      <c r="C25" s="4" t="s">
        <v>95</v>
      </c>
      <c r="D25" s="4" t="s">
        <v>96</v>
      </c>
      <c r="E25" s="4" t="s">
        <v>97</v>
      </c>
      <c r="F25" s="3" t="s">
        <v>73</v>
      </c>
      <c r="G25" s="4" t="s">
        <v>98</v>
      </c>
      <c r="H25" s="4" t="s">
        <v>99</v>
      </c>
      <c r="I25" s="4" t="s">
        <v>100</v>
      </c>
      <c r="J25" s="4" t="s">
        <v>101</v>
      </c>
      <c r="K25" s="4" t="s">
        <v>102</v>
      </c>
    </row>
    <row r="26" spans="1:11" x14ac:dyDescent="0.2">
      <c r="A26" s="5" t="s">
        <v>19</v>
      </c>
      <c r="B26" s="4">
        <v>7440.27</v>
      </c>
      <c r="C26" s="4">
        <v>619.26</v>
      </c>
      <c r="D26" s="4">
        <v>2544.37</v>
      </c>
      <c r="E26" s="4">
        <v>545.16</v>
      </c>
      <c r="F26" s="12">
        <f xml:space="preserve"> 83980.50072/143606.6562 * 100</f>
        <v>58.479532176447954</v>
      </c>
      <c r="G26" s="9">
        <f>Table6[[#This Row],[State''s Own Tax Revenue]]/Table6[[#This Row],[NSDP Deflator (Base 2011-12)]]*100</f>
        <v>12722.86169723583</v>
      </c>
      <c r="H26" s="9">
        <f>Table6[[#This Row],[Share in Central Taxes]]/Table6[[#This Row],[NSDP Deflator (Base 2011-12)]]*100</f>
        <v>1058.9345997699359</v>
      </c>
      <c r="I26" s="9">
        <f>Table6[[#This Row],[State''s Own Non-Tax Revenue]]/Table6[[#This Row],[NSDP Deflator (Base 2011-12)]]*100</f>
        <v>4350.8726990547293</v>
      </c>
      <c r="J26" s="9">
        <f>Table6[[#This Row],[Grants from the Centre]]/Table6[[#This Row],[NSDP Deflator (Base 2011-12)]]*100</f>
        <v>932.223599797465</v>
      </c>
      <c r="K26" s="9">
        <f>SUM(Table6[[#This Row],[Adj. State''s Own Tax Revenue (Base Price- 2011-12)]:[Adj. Grants from the Centre (Base Price- 2011-12)]])</f>
        <v>19064.89259585796</v>
      </c>
    </row>
    <row r="27" spans="1:11" x14ac:dyDescent="0.2">
      <c r="A27" s="7" t="s">
        <v>18</v>
      </c>
      <c r="B27" s="4">
        <v>9078.65</v>
      </c>
      <c r="C27" s="4">
        <v>1200.97</v>
      </c>
      <c r="D27" s="4">
        <v>2458.56</v>
      </c>
      <c r="E27" s="4">
        <v>1115.1300000000001</v>
      </c>
      <c r="F27" s="14">
        <f>95357.68758/163061.6458 * 100</f>
        <v>58.479532150042857</v>
      </c>
      <c r="G27" s="9">
        <f>Table6[[#This Row],[State''s Own Tax Revenue]]/Table6[[#This Row],[NSDP Deflator (Base 2011-12)]]*100</f>
        <v>15524.491503636878</v>
      </c>
      <c r="H27" s="9">
        <f>Table6[[#This Row],[Share in Central Taxes]]/Table6[[#This Row],[NSDP Deflator (Base 2011-12)]]*100</f>
        <v>2053.6587004811045</v>
      </c>
      <c r="I27" s="9">
        <f>Table6[[#This Row],[State''s Own Non-Tax Revenue]]/Table6[[#This Row],[NSDP Deflator (Base 2011-12)]]*100</f>
        <v>4204.1376009848909</v>
      </c>
      <c r="J27" s="9">
        <f>Table6[[#This Row],[Grants from the Centre]]/Table6[[#This Row],[NSDP Deflator (Base 2011-12)]]*100</f>
        <v>1906.8723004467176</v>
      </c>
      <c r="K27" s="9">
        <f>SUM(Table6[[#This Row],[Adj. State''s Own Tax Revenue (Base Price- 2011-12)]:[Adj. Grants from the Centre (Base Price- 2011-12)]])</f>
        <v>23689.160105549592</v>
      </c>
    </row>
    <row r="28" spans="1:11" x14ac:dyDescent="0.2">
      <c r="A28" s="5" t="s">
        <v>17</v>
      </c>
      <c r="B28" s="4">
        <v>10927.76</v>
      </c>
      <c r="C28" s="4">
        <v>1295.6400000000001</v>
      </c>
      <c r="D28" s="4">
        <v>4590.76</v>
      </c>
      <c r="E28" s="4">
        <v>1138.27</v>
      </c>
      <c r="F28" s="12">
        <f>113084.8577/193375.1032 * 100</f>
        <v>58.479533212215493</v>
      </c>
      <c r="G28" s="9">
        <f>Table6[[#This Row],[State''s Own Tax Revenue]]/Table6[[#This Row],[NSDP Deflator (Base 2011-12)]]*100</f>
        <v>18686.469264972442</v>
      </c>
      <c r="H28" s="9">
        <f>Table6[[#This Row],[Share in Central Taxes]]/Table6[[#This Row],[NSDP Deflator (Base 2011-12)]]*100</f>
        <v>2215.54436027776</v>
      </c>
      <c r="I28" s="9">
        <f>Table6[[#This Row],[State''s Own Non-Tax Revenue]]/Table6[[#This Row],[NSDP Deflator (Base 2011-12)]]*100</f>
        <v>7850.199459254678</v>
      </c>
      <c r="J28" s="9">
        <f>Table6[[#This Row],[Grants from the Centre]]/Table6[[#This Row],[NSDP Deflator (Base 2011-12)]]*100</f>
        <v>1946.4416651024712</v>
      </c>
      <c r="K28" s="9">
        <f>SUM(Table6[[#This Row],[Adj. State''s Own Tax Revenue (Base Price- 2011-12)]:[Adj. Grants from the Centre (Base Price- 2011-12)]])</f>
        <v>30698.654749607354</v>
      </c>
    </row>
    <row r="29" spans="1:11" x14ac:dyDescent="0.2">
      <c r="A29" s="7" t="s">
        <v>16</v>
      </c>
      <c r="B29" s="4">
        <v>11617.82</v>
      </c>
      <c r="C29" s="4">
        <v>1634.36</v>
      </c>
      <c r="D29" s="4">
        <v>5097.08</v>
      </c>
      <c r="E29" s="4">
        <v>1401.48</v>
      </c>
      <c r="F29" s="14">
        <f>133032.7381/227485.9822 * 100</f>
        <v>58.479532151146316</v>
      </c>
      <c r="G29" s="9">
        <f>Table6[[#This Row],[State''s Own Tax Revenue]]/Table6[[#This Row],[NSDP Deflator (Base 2011-12)]]*100</f>
        <v>19866.472204279198</v>
      </c>
      <c r="H29" s="9">
        <f>Table6[[#This Row],[Share in Central Taxes]]/Table6[[#This Row],[NSDP Deflator (Base 2011-12)]]*100</f>
        <v>2794.7556006019845</v>
      </c>
      <c r="I29" s="9">
        <f>Table6[[#This Row],[State''s Own Non-Tax Revenue]]/Table6[[#This Row],[NSDP Deflator (Base 2011-12)]]*100</f>
        <v>8716.0068018774091</v>
      </c>
      <c r="J29" s="9">
        <f>Table6[[#This Row],[Grants from the Centre]]/Table6[[#This Row],[NSDP Deflator (Base 2011-12)]]*100</f>
        <v>2396.5308005162078</v>
      </c>
      <c r="K29" s="9">
        <f>SUM(Table6[[#This Row],[Adj. State''s Own Tax Revenue (Base Price- 2011-12)]:[Adj. Grants from the Centre (Base Price- 2011-12)]])</f>
        <v>33773.765407274797</v>
      </c>
    </row>
    <row r="30" spans="1:11" x14ac:dyDescent="0.2">
      <c r="A30" s="5" t="s">
        <v>15</v>
      </c>
      <c r="B30" s="4">
        <v>11655.28</v>
      </c>
      <c r="C30" s="4">
        <v>1724.62</v>
      </c>
      <c r="D30" s="4">
        <v>3238.45</v>
      </c>
      <c r="E30" s="4">
        <v>1833.96</v>
      </c>
      <c r="F30" s="12">
        <f>160355.7562/274208.3431 * 100</f>
        <v>58.479532164169221</v>
      </c>
      <c r="G30" s="9">
        <f>Table6[[#This Row],[State''s Own Tax Revenue]]/Table6[[#This Row],[NSDP Deflator (Base 2011-12)]]*100</f>
        <v>19930.528799854634</v>
      </c>
      <c r="H30" s="9">
        <f>Table6[[#This Row],[Share in Central Taxes]]/Table6[[#This Row],[NSDP Deflator (Base 2011-12)]]*100</f>
        <v>2949.1001999784899</v>
      </c>
      <c r="I30" s="9">
        <f>Table6[[#This Row],[State''s Own Non-Tax Revenue]]/Table6[[#This Row],[NSDP Deflator (Base 2011-12)]]*100</f>
        <v>5537.7494999596092</v>
      </c>
      <c r="J30" s="9">
        <f>Table6[[#This Row],[Grants from the Centre]]/Table6[[#This Row],[NSDP Deflator (Base 2011-12)]]*100</f>
        <v>3136.0715999771264</v>
      </c>
      <c r="K30" s="9">
        <f>SUM(Table6[[#This Row],[Adj. State''s Own Tax Revenue (Base Price- 2011-12)]:[Adj. Grants from the Centre (Base Price- 2011-12)]])</f>
        <v>31553.45009976986</v>
      </c>
    </row>
    <row r="31" spans="1:11" x14ac:dyDescent="0.2">
      <c r="A31" s="7" t="s">
        <v>14</v>
      </c>
      <c r="B31" s="4">
        <v>13219.5</v>
      </c>
      <c r="C31" s="4">
        <v>1774.47</v>
      </c>
      <c r="D31" s="4">
        <v>2741.4</v>
      </c>
      <c r="E31" s="4">
        <v>3257.29</v>
      </c>
      <c r="F31" s="14">
        <f>198554.6921/339528.5235 * 100</f>
        <v>58.479532162192548</v>
      </c>
      <c r="G31" s="9">
        <f>Table6[[#This Row],[State''s Own Tax Revenue]]/Table6[[#This Row],[NSDP Deflator (Base 2011-12)]]*100</f>
        <v>22605.345000599209</v>
      </c>
      <c r="H31" s="9">
        <f>Table6[[#This Row],[Share in Central Taxes]]/Table6[[#This Row],[NSDP Deflator (Base 2011-12)]]*100</f>
        <v>3034.3437000804324</v>
      </c>
      <c r="I31" s="9">
        <f>Table6[[#This Row],[State''s Own Non-Tax Revenue]]/Table6[[#This Row],[NSDP Deflator (Base 2011-12)]]*100</f>
        <v>4687.7940001242614</v>
      </c>
      <c r="J31" s="9">
        <f>Table6[[#This Row],[Grants from the Centre]]/Table6[[#This Row],[NSDP Deflator (Base 2011-12)]]*100</f>
        <v>5569.9659001476457</v>
      </c>
      <c r="K31" s="9">
        <f>SUM(Table6[[#This Row],[Adj. State''s Own Tax Revenue (Base Price- 2011-12)]:[Adj. Grants from the Centre (Base Price- 2011-12)]])</f>
        <v>35897.448600951546</v>
      </c>
    </row>
    <row r="32" spans="1:11" x14ac:dyDescent="0.2">
      <c r="A32" s="5" t="s">
        <v>13</v>
      </c>
      <c r="B32" s="4">
        <v>16790.37</v>
      </c>
      <c r="C32" s="4">
        <v>2301.75</v>
      </c>
      <c r="D32" s="4">
        <v>3420.94</v>
      </c>
      <c r="E32" s="4">
        <v>3050.62</v>
      </c>
      <c r="F32" s="12">
        <f>(233326.6479/398988.5679) * 100</f>
        <v>58.479532165061812</v>
      </c>
      <c r="G32" s="9">
        <f>Table6[[#This Row],[State''s Own Tax Revenue]]/Table6[[#This Row],[NSDP Deflator (Base 2011-12)]]*100</f>
        <v>28711.532699352352</v>
      </c>
      <c r="H32" s="9">
        <f>Table6[[#This Row],[Share in Central Taxes]]/Table6[[#This Row],[NSDP Deflator (Base 2011-12)]]*100</f>
        <v>3935.9924999112159</v>
      </c>
      <c r="I32" s="9">
        <f>Table6[[#This Row],[State''s Own Non-Tax Revenue]]/Table6[[#This Row],[NSDP Deflator (Base 2011-12)]]*100</f>
        <v>5849.8073998680456</v>
      </c>
      <c r="J32" s="9">
        <f>Table6[[#This Row],[Grants from the Centre]]/Table6[[#This Row],[NSDP Deflator (Base 2011-12)]]*100</f>
        <v>5216.5601998823295</v>
      </c>
      <c r="K32" s="9">
        <f>SUM(Table6[[#This Row],[Adj. State''s Own Tax Revenue (Base Price- 2011-12)]:[Adj. Grants from the Centre (Base Price- 2011-12)]])</f>
        <v>43713.892799013949</v>
      </c>
    </row>
    <row r="33" spans="1:11" x14ac:dyDescent="0.2">
      <c r="A33" s="7" t="s">
        <v>12</v>
      </c>
      <c r="B33" s="4">
        <v>20399.46</v>
      </c>
      <c r="C33" s="4">
        <v>2681.55</v>
      </c>
      <c r="D33" s="4">
        <v>4721.6499999999996</v>
      </c>
      <c r="E33" s="4">
        <v>2754.93</v>
      </c>
      <c r="F33" s="14">
        <v>100</v>
      </c>
      <c r="G33" s="9">
        <f>Table6[[#This Row],[State''s Own Tax Revenue]]/Table6[[#This Row],[NSDP Deflator (Base 2011-12)]]*100</f>
        <v>20399.46</v>
      </c>
      <c r="H33" s="9">
        <f>Table6[[#This Row],[Share in Central Taxes]]/Table6[[#This Row],[NSDP Deflator (Base 2011-12)]]*100</f>
        <v>2681.55</v>
      </c>
      <c r="I33" s="9">
        <f>Table6[[#This Row],[State''s Own Non-Tax Revenue]]/Table6[[#This Row],[NSDP Deflator (Base 2011-12)]]*100</f>
        <v>4721.6499999999996</v>
      </c>
      <c r="J33" s="9">
        <f>Table6[[#This Row],[Grants from the Centre]]/Table6[[#This Row],[NSDP Deflator (Base 2011-12)]]*100</f>
        <v>2754.93</v>
      </c>
      <c r="K33" s="9">
        <f>SUM(Table6[[#This Row],[Adj. State''s Own Tax Revenue (Base Price- 2011-12)]:[Adj. Grants from the Centre (Base Price- 2011-12)]])</f>
        <v>30557.589999999997</v>
      </c>
    </row>
    <row r="34" spans="1:11" x14ac:dyDescent="0.2">
      <c r="A34" s="5" t="s">
        <v>11</v>
      </c>
      <c r="B34" s="4">
        <v>28232.15</v>
      </c>
      <c r="C34" s="4">
        <v>3062.13</v>
      </c>
      <c r="D34" s="4">
        <v>4673.1499999999996</v>
      </c>
      <c r="E34" s="4">
        <v>2339.25</v>
      </c>
      <c r="F34" s="12">
        <v>108.49</v>
      </c>
      <c r="G34" s="9">
        <f>Table6[[#This Row],[State''s Own Tax Revenue]]/Table6[[#This Row],[NSDP Deflator (Base 2011-12)]]*100</f>
        <v>26022.813162503455</v>
      </c>
      <c r="H34" s="9">
        <f>Table6[[#This Row],[Share in Central Taxes]]/Table6[[#This Row],[NSDP Deflator (Base 2011-12)]]*100</f>
        <v>2822.499769564015</v>
      </c>
      <c r="I34" s="9">
        <f>Table6[[#This Row],[State''s Own Non-Tax Revenue]]/Table6[[#This Row],[NSDP Deflator (Base 2011-12)]]*100</f>
        <v>4307.4476910314306</v>
      </c>
      <c r="J34" s="9">
        <f>Table6[[#This Row],[Grants from the Centre]]/Table6[[#This Row],[NSDP Deflator (Base 2011-12)]]*100</f>
        <v>2156.1895105539684</v>
      </c>
      <c r="K34" s="9">
        <f>SUM(Table6[[#This Row],[Adj. State''s Own Tax Revenue (Base Price- 2011-12)]:[Adj. Grants from the Centre (Base Price- 2011-12)]])</f>
        <v>35308.95013365287</v>
      </c>
    </row>
    <row r="35" spans="1:11" x14ac:dyDescent="0.2">
      <c r="A35" s="7" t="s">
        <v>10</v>
      </c>
      <c r="B35" s="4">
        <v>30541.66</v>
      </c>
      <c r="C35" s="4">
        <v>3343.24</v>
      </c>
      <c r="D35" s="4">
        <v>4957.0600000000004</v>
      </c>
      <c r="E35" s="4">
        <v>4127.18</v>
      </c>
      <c r="F35" s="14">
        <v>115.01</v>
      </c>
      <c r="G35" s="9">
        <f>Table6[[#This Row],[State''s Own Tax Revenue]]/Table6[[#This Row],[NSDP Deflator (Base 2011-12)]]*100</f>
        <v>26555.656029910442</v>
      </c>
      <c r="H35" s="9">
        <f>Table6[[#This Row],[Share in Central Taxes]]/Table6[[#This Row],[NSDP Deflator (Base 2011-12)]]*100</f>
        <v>2906.9124423963131</v>
      </c>
      <c r="I35" s="9">
        <f>Table6[[#This Row],[State''s Own Non-Tax Revenue]]/Table6[[#This Row],[NSDP Deflator (Base 2011-12)]]*100</f>
        <v>4310.1121641596383</v>
      </c>
      <c r="J35" s="9">
        <f>Table6[[#This Row],[Grants from the Centre]]/Table6[[#This Row],[NSDP Deflator (Base 2011-12)]]*100</f>
        <v>3588.5401269454833</v>
      </c>
      <c r="K35" s="9">
        <f>SUM(Table6[[#This Row],[Adj. State''s Own Tax Revenue (Base Price- 2011-12)]:[Adj. Grants from the Centre (Base Price- 2011-12)]])</f>
        <v>37361.220763411875</v>
      </c>
    </row>
    <row r="36" spans="1:11" x14ac:dyDescent="0.2">
      <c r="A36" s="5" t="s">
        <v>9</v>
      </c>
      <c r="B36" s="4">
        <v>27634.57</v>
      </c>
      <c r="C36" s="4">
        <v>3548.09</v>
      </c>
      <c r="D36" s="4">
        <v>4613.12</v>
      </c>
      <c r="E36" s="4">
        <v>5002.88</v>
      </c>
      <c r="F36" s="12">
        <v>117.88</v>
      </c>
      <c r="G36" s="9">
        <f>Table6[[#This Row],[State''s Own Tax Revenue]]/Table6[[#This Row],[NSDP Deflator (Base 2011-12)]]*100</f>
        <v>23442.967424499493</v>
      </c>
      <c r="H36" s="9">
        <f>Table6[[#This Row],[Share in Central Taxes]]/Table6[[#This Row],[NSDP Deflator (Base 2011-12)]]*100</f>
        <v>3009.9168646080761</v>
      </c>
      <c r="I36" s="9">
        <f>Table6[[#This Row],[State''s Own Non-Tax Revenue]]/Table6[[#This Row],[NSDP Deflator (Base 2011-12)]]*100</f>
        <v>3913.4034611469287</v>
      </c>
      <c r="J36" s="9">
        <f>Table6[[#This Row],[Grants from the Centre]]/Table6[[#This Row],[NSDP Deflator (Base 2011-12)]]*100</f>
        <v>4244.0447913132002</v>
      </c>
      <c r="K36" s="9">
        <f>SUM(Table6[[#This Row],[Adj. State''s Own Tax Revenue (Base Price- 2011-12)]:[Adj. Grants from the Centre (Base Price- 2011-12)]])</f>
        <v>34610.332541567695</v>
      </c>
    </row>
    <row r="37" spans="1:11" x14ac:dyDescent="0.2">
      <c r="A37" s="7" t="s">
        <v>8</v>
      </c>
      <c r="B37" s="4">
        <v>30929.09</v>
      </c>
      <c r="C37" s="4">
        <v>5496.22</v>
      </c>
      <c r="D37" s="4">
        <v>4752.49</v>
      </c>
      <c r="E37" s="4">
        <v>6378.75</v>
      </c>
      <c r="F37" s="14">
        <v>119.68</v>
      </c>
      <c r="G37" s="9">
        <f>Table6[[#This Row],[State''s Own Tax Revenue]]/Table6[[#This Row],[NSDP Deflator (Base 2011-12)]]*100</f>
        <v>25843.156751336897</v>
      </c>
      <c r="H37" s="9">
        <f>Table6[[#This Row],[Share in Central Taxes]]/Table6[[#This Row],[NSDP Deflator (Base 2011-12)]]*100</f>
        <v>4592.4298128342243</v>
      </c>
      <c r="I37" s="9">
        <f>Table6[[#This Row],[State''s Own Non-Tax Revenue]]/Table6[[#This Row],[NSDP Deflator (Base 2011-12)]]*100</f>
        <v>3970.9976604278067</v>
      </c>
      <c r="J37" s="9">
        <f>Table6[[#This Row],[Grants from the Centre]]/Table6[[#This Row],[NSDP Deflator (Base 2011-12)]]*100</f>
        <v>5329.8379010695189</v>
      </c>
      <c r="K37" s="9">
        <f>SUM(Table6[[#This Row],[Adj. State''s Own Tax Revenue (Base Price- 2011-12)]:[Adj. Grants from the Centre (Base Price- 2011-12)]])</f>
        <v>39736.422125668447</v>
      </c>
    </row>
    <row r="38" spans="1:11" x14ac:dyDescent="0.2">
      <c r="A38" s="5" t="s">
        <v>7</v>
      </c>
      <c r="B38" s="4">
        <v>34025.71</v>
      </c>
      <c r="C38" s="4">
        <v>6597.45</v>
      </c>
      <c r="D38" s="4">
        <v>6196.09</v>
      </c>
      <c r="E38" s="4">
        <v>5677.57</v>
      </c>
      <c r="F38" s="12">
        <v>123.11</v>
      </c>
      <c r="G38" s="9">
        <f>Table6[[#This Row],[State''s Own Tax Revenue]]/Table6[[#This Row],[NSDP Deflator (Base 2011-12)]]*100</f>
        <v>27638.461538461535</v>
      </c>
      <c r="H38" s="9">
        <f>Table6[[#This Row],[Share in Central Taxes]]/Table6[[#This Row],[NSDP Deflator (Base 2011-12)]]*100</f>
        <v>5358.9878970026803</v>
      </c>
      <c r="I38" s="9">
        <f>Table6[[#This Row],[State''s Own Non-Tax Revenue]]/Table6[[#This Row],[NSDP Deflator (Base 2011-12)]]*100</f>
        <v>5032.9705141743152</v>
      </c>
      <c r="J38" s="9">
        <f>Table6[[#This Row],[Grants from the Centre]]/Table6[[#This Row],[NSDP Deflator (Base 2011-12)]]*100</f>
        <v>4611.7862074567456</v>
      </c>
      <c r="K38" s="9">
        <f>SUM(Table6[[#This Row],[Adj. State''s Own Tax Revenue (Base Price- 2011-12)]:[Adj. Grants from the Centre (Base Price- 2011-12)]])</f>
        <v>42642.206157095279</v>
      </c>
    </row>
    <row r="39" spans="1:11" x14ac:dyDescent="0.2">
      <c r="A39" s="7" t="s">
        <v>6</v>
      </c>
      <c r="B39" s="4">
        <v>41099.379999999997</v>
      </c>
      <c r="C39" s="4">
        <v>7295.52</v>
      </c>
      <c r="D39" s="4">
        <v>9112.85</v>
      </c>
      <c r="E39" s="4">
        <v>5185.12</v>
      </c>
      <c r="F39" s="14">
        <v>133.44</v>
      </c>
      <c r="G39" s="9">
        <f>Table6[[#This Row],[State''s Own Tax Revenue]]/Table6[[#This Row],[NSDP Deflator (Base 2011-12)]]*100</f>
        <v>30799.895083932854</v>
      </c>
      <c r="H39" s="9">
        <f>Table6[[#This Row],[Share in Central Taxes]]/Table6[[#This Row],[NSDP Deflator (Base 2011-12)]]*100</f>
        <v>5467.2661870503607</v>
      </c>
      <c r="I39" s="9">
        <f>Table6[[#This Row],[State''s Own Non-Tax Revenue]]/Table6[[#This Row],[NSDP Deflator (Base 2011-12)]]*100</f>
        <v>6829.1741606714641</v>
      </c>
      <c r="J39" s="9">
        <f>Table6[[#This Row],[Grants from the Centre]]/Table6[[#This Row],[NSDP Deflator (Base 2011-12)]]*100</f>
        <v>3885.7314148681057</v>
      </c>
      <c r="K39" s="9">
        <f>SUM(Table6[[#This Row],[Adj. State''s Own Tax Revenue (Base Price- 2011-12)]:[Adj. Grants from the Centre (Base Price- 2011-12)]])</f>
        <v>46982.066846522779</v>
      </c>
    </row>
    <row r="40" spans="1:11" x14ac:dyDescent="0.2">
      <c r="A40" s="5" t="s">
        <v>5</v>
      </c>
      <c r="B40" s="4">
        <v>42581.34</v>
      </c>
      <c r="C40" s="4">
        <v>8254.6</v>
      </c>
      <c r="D40" s="4">
        <v>7975.64</v>
      </c>
      <c r="E40" s="4">
        <v>7073.54</v>
      </c>
      <c r="F40" s="12">
        <v>131.5</v>
      </c>
      <c r="G40" s="9">
        <f>Table6[[#This Row],[State''s Own Tax Revenue]]/Table6[[#This Row],[NSDP Deflator (Base 2011-12)]]*100</f>
        <v>32381.24714828897</v>
      </c>
      <c r="H40" s="9">
        <f>Table6[[#This Row],[Share in Central Taxes]]/Table6[[#This Row],[NSDP Deflator (Base 2011-12)]]*100</f>
        <v>6277.2623574144491</v>
      </c>
      <c r="I40" s="9">
        <f>Table6[[#This Row],[State''s Own Non-Tax Revenue]]/Table6[[#This Row],[NSDP Deflator (Base 2011-12)]]*100</f>
        <v>6065.125475285171</v>
      </c>
      <c r="J40" s="9">
        <f>Table6[[#This Row],[Grants from the Centre]]/Table6[[#This Row],[NSDP Deflator (Base 2011-12)]]*100</f>
        <v>5379.1178707224335</v>
      </c>
      <c r="K40" s="9">
        <f>SUM(Table6[[#This Row],[Adj. State''s Own Tax Revenue (Base Price- 2011-12)]:[Adj. Grants from the Centre (Base Price- 2011-12)]])</f>
        <v>50102.752851711019</v>
      </c>
    </row>
    <row r="41" spans="1:11" x14ac:dyDescent="0.2">
      <c r="A41" s="7" t="s">
        <v>4</v>
      </c>
      <c r="B41" s="4">
        <v>42824.95</v>
      </c>
      <c r="C41" s="4">
        <v>7111.53</v>
      </c>
      <c r="D41" s="4">
        <v>7399.74</v>
      </c>
      <c r="E41" s="4">
        <v>10521.91</v>
      </c>
      <c r="F41" s="14">
        <v>136.16999999999999</v>
      </c>
      <c r="G41" s="9">
        <f>Table6[[#This Row],[State''s Own Tax Revenue]]/Table6[[#This Row],[NSDP Deflator (Base 2011-12)]]*100</f>
        <v>31449.621796284053</v>
      </c>
      <c r="H41" s="9">
        <f>Table6[[#This Row],[Share in Central Taxes]]/Table6[[#This Row],[NSDP Deflator (Base 2011-12)]]*100</f>
        <v>5222.5380039656311</v>
      </c>
      <c r="I41" s="9">
        <f>Table6[[#This Row],[State''s Own Non-Tax Revenue]]/Table6[[#This Row],[NSDP Deflator (Base 2011-12)]]*100</f>
        <v>5434.1925534258653</v>
      </c>
      <c r="J41" s="9">
        <f>Table6[[#This Row],[Grants from the Centre]]/Table6[[#This Row],[NSDP Deflator (Base 2011-12)]]*100</f>
        <v>7727.0397297495774</v>
      </c>
      <c r="K41" s="9">
        <f>SUM(Table6[[#This Row],[Adj. State''s Own Tax Revenue (Base Price- 2011-12)]:[Adj. Grants from the Centre (Base Price- 2011-12)]])</f>
        <v>49833.392083425126</v>
      </c>
    </row>
    <row r="42" spans="1:11" x14ac:dyDescent="0.2">
      <c r="A42" s="5" t="s">
        <v>3</v>
      </c>
      <c r="B42" s="4">
        <v>46265.8</v>
      </c>
      <c r="C42" s="4">
        <v>6437.59</v>
      </c>
      <c r="D42" s="4">
        <v>6961.49</v>
      </c>
      <c r="E42" s="4">
        <v>12248.13</v>
      </c>
      <c r="F42" s="12">
        <v>148.97999999999999</v>
      </c>
      <c r="G42" s="9">
        <f>Table6[[#This Row],[State''s Own Tax Revenue]]/Table6[[#This Row],[NSDP Deflator (Base 2011-12)]]*100</f>
        <v>31055.040945093304</v>
      </c>
      <c r="H42" s="9">
        <f>Table6[[#This Row],[Share in Central Taxes]]/Table6[[#This Row],[NSDP Deflator (Base 2011-12)]]*100</f>
        <v>4321.1102161363942</v>
      </c>
      <c r="I42" s="9">
        <f>Table6[[#This Row],[State''s Own Non-Tax Revenue]]/Table6[[#This Row],[NSDP Deflator (Base 2011-12)]]*100</f>
        <v>4672.7681567995705</v>
      </c>
      <c r="J42" s="9">
        <f>Table6[[#This Row],[Grants from the Centre]]/Table6[[#This Row],[NSDP Deflator (Base 2011-12)]]*100</f>
        <v>8221.3250100684654</v>
      </c>
      <c r="K42" s="9">
        <f>SUM(Table6[[#This Row],[Adj. State''s Own Tax Revenue (Base Price- 2011-12)]:[Adj. Grants from the Centre (Base Price- 2011-12)]])</f>
        <v>48270.244328097731</v>
      </c>
    </row>
    <row r="43" spans="1:11" x14ac:dyDescent="0.2">
      <c r="A43" s="7" t="s">
        <v>2</v>
      </c>
      <c r="B43" s="4">
        <v>53377.16</v>
      </c>
      <c r="C43" s="4">
        <v>9722.16</v>
      </c>
      <c r="D43" s="4">
        <v>7394.12</v>
      </c>
      <c r="E43" s="4">
        <v>7598.24</v>
      </c>
      <c r="F43" s="12">
        <v>162.13</v>
      </c>
      <c r="G43" s="9">
        <f>Table6[[#This Row],[State''s Own Tax Revenue]]/Table6[[#This Row],[NSDP Deflator (Base 2011-12)]]*100</f>
        <v>32922.444951582067</v>
      </c>
      <c r="H43" s="9">
        <f>Table6[[#This Row],[Share in Central Taxes]]/Table6[[#This Row],[NSDP Deflator (Base 2011-12)]]*100</f>
        <v>5996.5213100598285</v>
      </c>
      <c r="I43" s="9">
        <f>Table6[[#This Row],[State''s Own Non-Tax Revenue]]/Table6[[#This Row],[NSDP Deflator (Base 2011-12)]]*100</f>
        <v>4560.6118546845128</v>
      </c>
      <c r="J43" s="9">
        <f>Table6[[#This Row],[Grants from the Centre]]/Table6[[#This Row],[NSDP Deflator (Base 2011-12)]]*100</f>
        <v>4686.510824646889</v>
      </c>
      <c r="K43" s="9">
        <f>SUM(Table6[[#This Row],[Adj. State''s Own Tax Revenue (Base Price- 2011-12)]:[Adj. Grants from the Centre (Base Price- 2011-12)]])</f>
        <v>48166.088940973292</v>
      </c>
    </row>
    <row r="44" spans="1:11" x14ac:dyDescent="0.2">
      <c r="A44" s="5" t="s">
        <v>1</v>
      </c>
      <c r="B44" s="4">
        <v>65336.3</v>
      </c>
      <c r="C44" s="4">
        <v>10378</v>
      </c>
      <c r="D44" s="4">
        <v>10954.29</v>
      </c>
      <c r="E44" s="4">
        <v>10333.879999999999</v>
      </c>
      <c r="F44" s="12">
        <v>170.48</v>
      </c>
      <c r="G44" s="9">
        <f>Table6[[#This Row],[State''s Own Tax Revenue]]/Table6[[#This Row],[NSDP Deflator (Base 2011-12)]]*100</f>
        <v>38324.906147348665</v>
      </c>
      <c r="H44" s="9">
        <f>Table6[[#This Row],[Share in Central Taxes]]/Table6[[#This Row],[NSDP Deflator (Base 2011-12)]]*100</f>
        <v>6087.5175973721261</v>
      </c>
      <c r="I44" s="9">
        <f>Table6[[#This Row],[State''s Own Non-Tax Revenue]]/Table6[[#This Row],[NSDP Deflator (Base 2011-12)]]*100</f>
        <v>6425.5572501173165</v>
      </c>
      <c r="J44" s="9">
        <f>Table6[[#This Row],[Grants from the Centre]]/Table6[[#This Row],[NSDP Deflator (Base 2011-12)]]*100</f>
        <v>6061.637728765837</v>
      </c>
      <c r="K44" s="9">
        <f>SUM(Table6[[#This Row],[Adj. State''s Own Tax Revenue (Base Price- 2011-12)]:[Adj. Grants from the Centre (Base Price- 2011-12)]])</f>
        <v>56899.618723603948</v>
      </c>
    </row>
    <row r="47" spans="1:11" x14ac:dyDescent="0.2">
      <c r="A47" s="3" t="s">
        <v>0</v>
      </c>
      <c r="B47" t="s">
        <v>103</v>
      </c>
      <c r="C47" t="s">
        <v>104</v>
      </c>
      <c r="D47" t="s">
        <v>105</v>
      </c>
      <c r="E47" t="s">
        <v>106</v>
      </c>
      <c r="F47" t="s">
        <v>102</v>
      </c>
    </row>
    <row r="48" spans="1:11" x14ac:dyDescent="0.2">
      <c r="A48" s="5" t="s">
        <v>19</v>
      </c>
      <c r="B48" s="4">
        <f>G26/K26*100</f>
        <v>66.734504971719588</v>
      </c>
      <c r="C48" s="4">
        <f t="shared" ref="C48:C66" si="0">H26/K26*100</f>
        <v>5.5543696060475058</v>
      </c>
      <c r="D48" s="4">
        <f t="shared" ref="D48:D66" si="1">I26/K26*100</f>
        <v>22.821385838806144</v>
      </c>
      <c r="E48" s="4">
        <f t="shared" ref="E48:E66" si="2">J26/K26*100</f>
        <v>4.8897395834267634</v>
      </c>
      <c r="F48" s="4">
        <f>SUM(Table7[[#This Row],[State''s own Tax Revenue as %]:[Grants from the Centre as %]])</f>
        <v>99.999999999999986</v>
      </c>
    </row>
    <row r="49" spans="1:6" x14ac:dyDescent="0.2">
      <c r="A49" s="7" t="s">
        <v>18</v>
      </c>
      <c r="B49" s="4">
        <f t="shared" ref="B49:B66" si="3">G27/K27*100</f>
        <v>65.534157540688824</v>
      </c>
      <c r="C49" s="4">
        <f t="shared" si="0"/>
        <v>8.6691916949811993</v>
      </c>
      <c r="D49" s="4">
        <f t="shared" si="1"/>
        <v>17.747094376722959</v>
      </c>
      <c r="E49" s="4">
        <f t="shared" si="2"/>
        <v>8.0495563876070051</v>
      </c>
      <c r="F49" s="4">
        <f>SUM(Table7[[#This Row],[State''s own Tax Revenue as %]:[Grants from the Centre as %]])</f>
        <v>99.999999999999972</v>
      </c>
    </row>
    <row r="50" spans="1:6" x14ac:dyDescent="0.2">
      <c r="A50" s="5" t="s">
        <v>17</v>
      </c>
      <c r="B50" s="4">
        <f t="shared" si="3"/>
        <v>60.870645366671802</v>
      </c>
      <c r="C50" s="4">
        <f t="shared" si="0"/>
        <v>7.2170731204633558</v>
      </c>
      <c r="D50" s="4">
        <f t="shared" si="1"/>
        <v>25.571802814437934</v>
      </c>
      <c r="E50" s="4">
        <f t="shared" si="2"/>
        <v>6.3404786984268977</v>
      </c>
      <c r="F50" s="4">
        <f>SUM(Table7[[#This Row],[State''s own Tax Revenue as %]:[Grants from the Centre as %]])</f>
        <v>99.999999999999986</v>
      </c>
    </row>
    <row r="51" spans="1:6" x14ac:dyDescent="0.2">
      <c r="A51" s="7" t="s">
        <v>16</v>
      </c>
      <c r="B51" s="4">
        <f t="shared" si="3"/>
        <v>58.822201092212246</v>
      </c>
      <c r="C51" s="4">
        <f t="shared" si="0"/>
        <v>8.2749304583018155</v>
      </c>
      <c r="D51" s="4">
        <f t="shared" si="1"/>
        <v>25.807033052938777</v>
      </c>
      <c r="E51" s="4">
        <f t="shared" si="2"/>
        <v>7.0958353965471677</v>
      </c>
      <c r="F51" s="4">
        <f>SUM(Table7[[#This Row],[State''s own Tax Revenue as %]:[Grants from the Centre as %]])</f>
        <v>100.00000000000001</v>
      </c>
    </row>
    <row r="52" spans="1:6" x14ac:dyDescent="0.2">
      <c r="A52" s="5" t="s">
        <v>15</v>
      </c>
      <c r="B52" s="4">
        <f t="shared" si="3"/>
        <v>63.164340941594844</v>
      </c>
      <c r="C52" s="4">
        <f t="shared" si="0"/>
        <v>9.3463636802113115</v>
      </c>
      <c r="D52" s="4">
        <f t="shared" si="1"/>
        <v>17.550377161450246</v>
      </c>
      <c r="E52" s="4">
        <f t="shared" si="2"/>
        <v>9.9389182167435948</v>
      </c>
      <c r="F52" s="4">
        <f>SUM(Table7[[#This Row],[State''s own Tax Revenue as %]:[Grants from the Centre as %]])</f>
        <v>100</v>
      </c>
    </row>
    <row r="53" spans="1:6" x14ac:dyDescent="0.2">
      <c r="A53" s="7" t="s">
        <v>14</v>
      </c>
      <c r="B53" s="4">
        <f t="shared" si="3"/>
        <v>62.972010216904387</v>
      </c>
      <c r="C53" s="4">
        <f t="shared" si="0"/>
        <v>8.4528116017693797</v>
      </c>
      <c r="D53" s="4">
        <f t="shared" si="1"/>
        <v>13.058850093318334</v>
      </c>
      <c r="E53" s="4">
        <f t="shared" si="2"/>
        <v>15.516328088007905</v>
      </c>
      <c r="F53" s="4">
        <f>SUM(Table7[[#This Row],[State''s own Tax Revenue as %]:[Grants from the Centre as %]])</f>
        <v>100.00000000000001</v>
      </c>
    </row>
    <row r="54" spans="1:6" x14ac:dyDescent="0.2">
      <c r="A54" s="5" t="s">
        <v>13</v>
      </c>
      <c r="B54" s="4">
        <f t="shared" si="3"/>
        <v>65.680567117097382</v>
      </c>
      <c r="C54" s="4">
        <f t="shared" si="0"/>
        <v>9.0039853417035403</v>
      </c>
      <c r="D54" s="4">
        <f t="shared" si="1"/>
        <v>13.382032633799202</v>
      </c>
      <c r="E54" s="4">
        <f t="shared" si="2"/>
        <v>11.933414907399872</v>
      </c>
      <c r="F54" s="4">
        <f>SUM(Table7[[#This Row],[State''s own Tax Revenue as %]:[Grants from the Centre as %]])</f>
        <v>100</v>
      </c>
    </row>
    <row r="55" spans="1:6" x14ac:dyDescent="0.2">
      <c r="A55" s="7" t="s">
        <v>12</v>
      </c>
      <c r="B55" s="4">
        <f t="shared" si="3"/>
        <v>66.757424260224724</v>
      </c>
      <c r="C55" s="4">
        <f t="shared" si="0"/>
        <v>8.7753975362585876</v>
      </c>
      <c r="D55" s="4">
        <f t="shared" si="1"/>
        <v>15.451643928726055</v>
      </c>
      <c r="E55" s="4">
        <f t="shared" si="2"/>
        <v>9.0155342747906495</v>
      </c>
      <c r="F55" s="4">
        <f>SUM(Table7[[#This Row],[State''s own Tax Revenue as %]:[Grants from the Centre as %]])</f>
        <v>100.00000000000003</v>
      </c>
    </row>
    <row r="56" spans="1:6" x14ac:dyDescent="0.2">
      <c r="A56" s="5" t="s">
        <v>11</v>
      </c>
      <c r="B56" s="4">
        <f t="shared" si="3"/>
        <v>73.700331117183737</v>
      </c>
      <c r="C56" s="4">
        <f t="shared" si="0"/>
        <v>7.9937232879487343</v>
      </c>
      <c r="D56" s="4">
        <f t="shared" si="1"/>
        <v>12.199308319071241</v>
      </c>
      <c r="E56" s="4">
        <f t="shared" si="2"/>
        <v>6.1066372757962855</v>
      </c>
      <c r="F56" s="4">
        <f>SUM(Table7[[#This Row],[State''s own Tax Revenue as %]:[Grants from the Centre as %]])</f>
        <v>100</v>
      </c>
    </row>
    <row r="57" spans="1:6" x14ac:dyDescent="0.2">
      <c r="A57" s="7" t="s">
        <v>10</v>
      </c>
      <c r="B57" s="4">
        <f t="shared" si="3"/>
        <v>71.078127232707004</v>
      </c>
      <c r="C57" s="4">
        <f t="shared" si="0"/>
        <v>7.780560653529486</v>
      </c>
      <c r="D57" s="4">
        <f t="shared" si="1"/>
        <v>11.536325837566217</v>
      </c>
      <c r="E57" s="4">
        <f t="shared" si="2"/>
        <v>9.6049862761972911</v>
      </c>
      <c r="F57" s="4">
        <f>SUM(Table7[[#This Row],[State''s own Tax Revenue as %]:[Grants from the Centre as %]])</f>
        <v>100.00000000000001</v>
      </c>
    </row>
    <row r="58" spans="1:6" x14ac:dyDescent="0.2">
      <c r="A58" s="5" t="s">
        <v>9</v>
      </c>
      <c r="B58" s="4">
        <f t="shared" si="3"/>
        <v>67.734013813198786</v>
      </c>
      <c r="C58" s="4">
        <f t="shared" si="0"/>
        <v>8.6965846427309135</v>
      </c>
      <c r="D58" s="4">
        <f t="shared" si="1"/>
        <v>11.307038025268476</v>
      </c>
      <c r="E58" s="4">
        <f t="shared" si="2"/>
        <v>12.262363518801845</v>
      </c>
      <c r="F58" s="4">
        <f>SUM(Table7[[#This Row],[State''s own Tax Revenue as %]:[Grants from the Centre as %]])</f>
        <v>100.00000000000001</v>
      </c>
    </row>
    <row r="59" spans="1:6" x14ac:dyDescent="0.2">
      <c r="A59" s="7" t="s">
        <v>8</v>
      </c>
      <c r="B59" s="4">
        <f t="shared" si="3"/>
        <v>65.036446083662497</v>
      </c>
      <c r="C59" s="4">
        <f t="shared" si="0"/>
        <v>11.557230286890029</v>
      </c>
      <c r="D59" s="4">
        <f t="shared" si="1"/>
        <v>9.993344765337266</v>
      </c>
      <c r="E59" s="4">
        <f t="shared" si="2"/>
        <v>13.412978864110203</v>
      </c>
      <c r="F59" s="4">
        <f>SUM(Table7[[#This Row],[State''s own Tax Revenue as %]:[Grants from the Centre as %]])</f>
        <v>100</v>
      </c>
    </row>
    <row r="60" spans="1:6" x14ac:dyDescent="0.2">
      <c r="A60" s="5" t="s">
        <v>7</v>
      </c>
      <c r="B60" s="4">
        <f t="shared" si="3"/>
        <v>64.814802115632915</v>
      </c>
      <c r="C60" s="4">
        <f t="shared" si="0"/>
        <v>12.567332649863364</v>
      </c>
      <c r="D60" s="4">
        <f t="shared" si="1"/>
        <v>11.802791102394391</v>
      </c>
      <c r="E60" s="4">
        <f t="shared" si="2"/>
        <v>10.815074132109336</v>
      </c>
      <c r="F60" s="4">
        <f>SUM(Table7[[#This Row],[State''s own Tax Revenue as %]:[Grants from the Centre as %]])</f>
        <v>100</v>
      </c>
    </row>
    <row r="61" spans="1:6" x14ac:dyDescent="0.2">
      <c r="A61" s="7" t="s">
        <v>6</v>
      </c>
      <c r="B61" s="4">
        <f t="shared" si="3"/>
        <v>65.556705252128353</v>
      </c>
      <c r="C61" s="4">
        <f t="shared" si="0"/>
        <v>11.636921391539424</v>
      </c>
      <c r="D61" s="4">
        <f t="shared" si="1"/>
        <v>14.53570398037289</v>
      </c>
      <c r="E61" s="4">
        <f t="shared" si="2"/>
        <v>8.2706693759593399</v>
      </c>
      <c r="F61" s="4">
        <f>SUM(Table7[[#This Row],[State''s own Tax Revenue as %]:[Grants from the Centre as %]])</f>
        <v>100.00000000000001</v>
      </c>
    </row>
    <row r="62" spans="1:6" x14ac:dyDescent="0.2">
      <c r="A62" s="5" t="s">
        <v>5</v>
      </c>
      <c r="B62" s="4">
        <f t="shared" si="3"/>
        <v>64.629676625010319</v>
      </c>
      <c r="C62" s="4">
        <f t="shared" si="0"/>
        <v>12.528777362779337</v>
      </c>
      <c r="D62" s="4">
        <f t="shared" si="1"/>
        <v>12.105373717161024</v>
      </c>
      <c r="E62" s="4">
        <f t="shared" si="2"/>
        <v>10.736172295049325</v>
      </c>
      <c r="F62" s="4">
        <f>SUM(Table7[[#This Row],[State''s own Tax Revenue as %]:[Grants from the Centre as %]])</f>
        <v>100.00000000000001</v>
      </c>
    </row>
    <row r="63" spans="1:6" x14ac:dyDescent="0.2">
      <c r="A63" s="7" t="s">
        <v>4</v>
      </c>
      <c r="B63" s="4">
        <f t="shared" si="3"/>
        <v>63.109534553928903</v>
      </c>
      <c r="C63" s="4">
        <f t="shared" si="0"/>
        <v>10.479997017306548</v>
      </c>
      <c r="D63" s="4">
        <f t="shared" si="1"/>
        <v>10.904721365000777</v>
      </c>
      <c r="E63" s="4">
        <f t="shared" si="2"/>
        <v>15.505747063763767</v>
      </c>
      <c r="F63" s="4">
        <f>SUM(Table7[[#This Row],[State''s own Tax Revenue as %]:[Grants from the Centre as %]])</f>
        <v>100</v>
      </c>
    </row>
    <row r="64" spans="1:6" x14ac:dyDescent="0.2">
      <c r="A64" s="5" t="s">
        <v>3</v>
      </c>
      <c r="B64" s="4">
        <f t="shared" si="3"/>
        <v>64.335785694410518</v>
      </c>
      <c r="C64" s="4">
        <f t="shared" si="0"/>
        <v>8.951912873623284</v>
      </c>
      <c r="D64" s="4">
        <f t="shared" si="1"/>
        <v>9.6804319552192286</v>
      </c>
      <c r="E64" s="4">
        <f t="shared" si="2"/>
        <v>17.031869476746976</v>
      </c>
      <c r="F64" s="4">
        <f>SUM(Table7[[#This Row],[State''s own Tax Revenue as %]:[Grants from the Centre as %]])</f>
        <v>100.00000000000001</v>
      </c>
    </row>
    <row r="65" spans="1:6" x14ac:dyDescent="0.2">
      <c r="A65" s="7" t="s">
        <v>2</v>
      </c>
      <c r="B65" s="4">
        <f t="shared" si="3"/>
        <v>68.351916619030362</v>
      </c>
      <c r="C65" s="4">
        <f t="shared" si="0"/>
        <v>12.449674536391072</v>
      </c>
      <c r="D65" s="4">
        <f t="shared" si="1"/>
        <v>9.4685118824438153</v>
      </c>
      <c r="E65" s="4">
        <f t="shared" si="2"/>
        <v>9.7298969621347631</v>
      </c>
      <c r="F65" s="4">
        <f>SUM(Table7[[#This Row],[State''s own Tax Revenue as %]:[Grants from the Centre as %]])</f>
        <v>100.00000000000001</v>
      </c>
    </row>
    <row r="66" spans="1:6" x14ac:dyDescent="0.2">
      <c r="A66" s="5" t="s">
        <v>1</v>
      </c>
      <c r="B66" s="4">
        <f t="shared" si="3"/>
        <v>67.355295179596979</v>
      </c>
      <c r="C66" s="4">
        <f t="shared" si="0"/>
        <v>10.698696641436037</v>
      </c>
      <c r="D66" s="4">
        <f t="shared" si="1"/>
        <v>11.292794915428441</v>
      </c>
      <c r="E66" s="4">
        <f t="shared" si="2"/>
        <v>10.653213263538545</v>
      </c>
      <c r="F66" s="4">
        <f>SUM(Table7[[#This Row],[State''s own Tax Revenue as %]:[Grants from the Centre as %]])</f>
        <v>100</v>
      </c>
    </row>
    <row r="69" spans="1:6" x14ac:dyDescent="0.2">
      <c r="A69" s="17" t="s">
        <v>0</v>
      </c>
      <c r="B69" s="3" t="s">
        <v>98</v>
      </c>
    </row>
    <row r="70" spans="1:6" x14ac:dyDescent="0.2">
      <c r="A70" s="18" t="s">
        <v>19</v>
      </c>
      <c r="B70" s="12">
        <v>12722.86169723583</v>
      </c>
    </row>
    <row r="71" spans="1:6" x14ac:dyDescent="0.2">
      <c r="A71" s="19" t="s">
        <v>18</v>
      </c>
      <c r="B71" s="14">
        <v>15524.491503636878</v>
      </c>
    </row>
    <row r="72" spans="1:6" x14ac:dyDescent="0.2">
      <c r="A72" s="18" t="s">
        <v>17</v>
      </c>
      <c r="B72" s="12">
        <v>18686.469264972442</v>
      </c>
    </row>
    <row r="73" spans="1:6" x14ac:dyDescent="0.2">
      <c r="A73" s="19" t="s">
        <v>16</v>
      </c>
      <c r="B73" s="14">
        <v>19866.472204279198</v>
      </c>
    </row>
    <row r="74" spans="1:6" x14ac:dyDescent="0.2">
      <c r="A74" s="18" t="s">
        <v>15</v>
      </c>
      <c r="B74" s="12">
        <v>19930.528799854634</v>
      </c>
    </row>
    <row r="75" spans="1:6" x14ac:dyDescent="0.2">
      <c r="A75" s="19" t="s">
        <v>14</v>
      </c>
      <c r="B75" s="14">
        <v>22605.345000599209</v>
      </c>
    </row>
    <row r="76" spans="1:6" x14ac:dyDescent="0.2">
      <c r="A76" s="18" t="s">
        <v>13</v>
      </c>
      <c r="B76" s="12">
        <v>28711.532699352352</v>
      </c>
    </row>
    <row r="77" spans="1:6" x14ac:dyDescent="0.2">
      <c r="A77" s="19" t="s">
        <v>12</v>
      </c>
      <c r="B77" s="14">
        <v>20399.46</v>
      </c>
    </row>
    <row r="78" spans="1:6" x14ac:dyDescent="0.2">
      <c r="A78" s="18" t="s">
        <v>11</v>
      </c>
      <c r="B78" s="12">
        <v>26022.813162503455</v>
      </c>
    </row>
    <row r="79" spans="1:6" x14ac:dyDescent="0.2">
      <c r="A79" s="19" t="s">
        <v>10</v>
      </c>
      <c r="B79" s="14">
        <v>26555.656029910442</v>
      </c>
    </row>
    <row r="80" spans="1:6" x14ac:dyDescent="0.2">
      <c r="A80" s="18" t="s">
        <v>9</v>
      </c>
      <c r="B80" s="12">
        <v>23442.967424499493</v>
      </c>
    </row>
    <row r="81" spans="1:9" x14ac:dyDescent="0.2">
      <c r="A81" s="19" t="s">
        <v>8</v>
      </c>
      <c r="B81" s="14">
        <v>25843.156751336897</v>
      </c>
    </row>
    <row r="82" spans="1:9" x14ac:dyDescent="0.2">
      <c r="A82" s="18" t="s">
        <v>7</v>
      </c>
      <c r="B82" s="12">
        <v>27638.461538461535</v>
      </c>
    </row>
    <row r="83" spans="1:9" x14ac:dyDescent="0.2">
      <c r="A83" s="19" t="s">
        <v>6</v>
      </c>
      <c r="B83" s="14">
        <v>30799.895083932854</v>
      </c>
    </row>
    <row r="84" spans="1:9" x14ac:dyDescent="0.2">
      <c r="A84" s="18" t="s">
        <v>5</v>
      </c>
      <c r="B84" s="12">
        <v>32381.24714828897</v>
      </c>
    </row>
    <row r="85" spans="1:9" x14ac:dyDescent="0.2">
      <c r="A85" s="19" t="s">
        <v>4</v>
      </c>
      <c r="B85" s="14">
        <v>31449.621796284053</v>
      </c>
    </row>
    <row r="86" spans="1:9" x14ac:dyDescent="0.2">
      <c r="A86" s="18" t="s">
        <v>3</v>
      </c>
      <c r="B86" s="12">
        <v>31055.040945093304</v>
      </c>
    </row>
    <row r="87" spans="1:9" x14ac:dyDescent="0.2">
      <c r="A87" s="19" t="s">
        <v>2</v>
      </c>
      <c r="B87" s="14">
        <v>32922.444951582067</v>
      </c>
    </row>
    <row r="88" spans="1:9" x14ac:dyDescent="0.2">
      <c r="A88" s="18" t="s">
        <v>1</v>
      </c>
      <c r="B88" s="12">
        <v>38324.906147348665</v>
      </c>
    </row>
    <row r="94" spans="1:9" ht="29" x14ac:dyDescent="0.35">
      <c r="B94" s="20" t="s">
        <v>107</v>
      </c>
    </row>
    <row r="96" spans="1:9" x14ac:dyDescent="0.2">
      <c r="A96" s="3" t="s">
        <v>0</v>
      </c>
      <c r="B96" s="4" t="s">
        <v>110</v>
      </c>
      <c r="C96" s="4" t="s">
        <v>108</v>
      </c>
      <c r="D96" s="4" t="s">
        <v>109</v>
      </c>
      <c r="E96" s="3" t="s">
        <v>73</v>
      </c>
      <c r="F96" s="4" t="s">
        <v>111</v>
      </c>
      <c r="G96" s="4" t="s">
        <v>112</v>
      </c>
      <c r="H96" s="4" t="s">
        <v>113</v>
      </c>
      <c r="I96" s="4" t="s">
        <v>102</v>
      </c>
    </row>
    <row r="97" spans="1:9" x14ac:dyDescent="0.2">
      <c r="A97" s="5" t="s">
        <v>19</v>
      </c>
      <c r="B97" s="4">
        <v>6417.29</v>
      </c>
      <c r="C97" s="4">
        <v>4989.8100000000004</v>
      </c>
      <c r="D97" s="4">
        <v>0</v>
      </c>
      <c r="E97" s="12">
        <f xml:space="preserve"> 83980.50072/143606.6562 * 100</f>
        <v>58.479532176447954</v>
      </c>
      <c r="F97" s="9">
        <f>Table8[[#This Row],[Developmental Expenditure (INR Crore)]]/Table8[[#This Row],[NSDP Deflator (Base 2011-12)]]*100</f>
        <v>10973.565897615883</v>
      </c>
      <c r="G97" s="9">
        <f>Table8[[#This Row],[Non-Developmental Expenditure (INR Crore)]]/Table8[[#This Row],[NSDP Deflator (Base 2011-12)]]*100</f>
        <v>8532.5750981462133</v>
      </c>
      <c r="H97" s="9">
        <f>Table8[[#This Row],[Others (INR Crore)]]/Table8[[#This Row],[NSDP Deflator (Base 2011-12)]]*100</f>
        <v>0</v>
      </c>
      <c r="I97" s="9">
        <f>SUM(Table8[[#This Row],[Adj. Developmental Expenditure (INR Crore) (Base Price- 2011-12)]:[Adj. Other Expenses (INR Crores) (Base Price- 2011-12)]])</f>
        <v>19506.140995762096</v>
      </c>
    </row>
    <row r="98" spans="1:9" x14ac:dyDescent="0.2">
      <c r="A98" s="7" t="s">
        <v>18</v>
      </c>
      <c r="B98" s="4">
        <v>7810.37</v>
      </c>
      <c r="C98" s="4">
        <v>4829.53</v>
      </c>
      <c r="D98" s="4">
        <v>0</v>
      </c>
      <c r="E98" s="14">
        <f>95357.68758/163061.6458 * 100</f>
        <v>58.479532150042857</v>
      </c>
      <c r="F98" s="9">
        <f>Table8[[#This Row],[Developmental Expenditure (INR Crore)]]/Table8[[#This Row],[NSDP Deflator (Base 2011-12)]]*100</f>
        <v>13355.732703128808</v>
      </c>
      <c r="G98" s="9">
        <f>Table8[[#This Row],[Non-Developmental Expenditure (INR Crore)]]/Table8[[#This Row],[NSDP Deflator (Base 2011-12)]]*100</f>
        <v>8258.4963019346942</v>
      </c>
      <c r="H98" s="9">
        <f>Table8[[#This Row],[Others (INR Crore)]]/Table8[[#This Row],[NSDP Deflator (Base 2011-12)]]*100</f>
        <v>0</v>
      </c>
      <c r="I98" s="9">
        <f>SUM(Table8[[#This Row],[Adj. Developmental Expenditure (INR Crore) (Base Price- 2011-12)]:[Adj. Other Expenses (INR Crores) (Base Price- 2011-12)]])</f>
        <v>21614.229005063502</v>
      </c>
    </row>
    <row r="99" spans="1:9" x14ac:dyDescent="0.2">
      <c r="A99" s="5" t="s">
        <v>17</v>
      </c>
      <c r="B99" s="4">
        <v>11242.29</v>
      </c>
      <c r="C99" s="4">
        <v>4845.05</v>
      </c>
      <c r="D99" s="4">
        <v>274.81</v>
      </c>
      <c r="E99" s="12">
        <f>113084.8577/193375.1032 * 100</f>
        <v>58.479533212215493</v>
      </c>
      <c r="F99" s="9">
        <f>Table8[[#This Row],[Developmental Expenditure (INR Crore)]]/Table8[[#This Row],[NSDP Deflator (Base 2011-12)]]*100</f>
        <v>19224.31555532946</v>
      </c>
      <c r="G99" s="9">
        <f>Table8[[#This Row],[Non-Developmental Expenditure (INR Crore)]]/Table8[[#This Row],[NSDP Deflator (Base 2011-12)]]*100</f>
        <v>8285.0353514585549</v>
      </c>
      <c r="H99" s="9">
        <f>Table8[[#This Row],[Others (INR Crore)]]/Table8[[#This Row],[NSDP Deflator (Base 2011-12)]]*100</f>
        <v>469.92509157476707</v>
      </c>
      <c r="I99" s="9">
        <f>SUM(Table8[[#This Row],[Adj. Developmental Expenditure (INR Crore) (Base Price- 2011-12)]:[Adj. Other Expenses (INR Crores) (Base Price- 2011-12)]])</f>
        <v>27979.275998362784</v>
      </c>
    </row>
    <row r="100" spans="1:9" x14ac:dyDescent="0.2">
      <c r="A100" s="7" t="s">
        <v>16</v>
      </c>
      <c r="B100" s="4">
        <v>11960.55</v>
      </c>
      <c r="C100" s="4">
        <v>5229.67</v>
      </c>
      <c r="D100" s="4">
        <v>336.65</v>
      </c>
      <c r="E100" s="14">
        <f>133032.7381/227485.9822 * 100</f>
        <v>58.479532151146316</v>
      </c>
      <c r="F100" s="9">
        <f>Table8[[#This Row],[Developmental Expenditure (INR Crore)]]/Table8[[#This Row],[NSDP Deflator (Base 2011-12)]]*100</f>
        <v>20452.540504405435</v>
      </c>
      <c r="G100" s="9">
        <f>Table8[[#This Row],[Non-Developmental Expenditure (INR Crore)]]/Table8[[#This Row],[NSDP Deflator (Base 2011-12)]]*100</f>
        <v>8942.7357019262472</v>
      </c>
      <c r="H100" s="9">
        <f>Table8[[#This Row],[Others (INR Crore)]]/Table8[[#This Row],[NSDP Deflator (Base 2011-12)]]*100</f>
        <v>575.6715001239985</v>
      </c>
      <c r="I100" s="9">
        <f>SUM(Table8[[#This Row],[Adj. Developmental Expenditure (INR Crore) (Base Price- 2011-12)]:[Adj. Other Expenses (INR Crores) (Base Price- 2011-12)]])</f>
        <v>29970.947706455681</v>
      </c>
    </row>
    <row r="101" spans="1:9" x14ac:dyDescent="0.2">
      <c r="A101" s="5" t="s">
        <v>15</v>
      </c>
      <c r="B101" s="4">
        <v>14294.48</v>
      </c>
      <c r="C101" s="4">
        <v>6024.47</v>
      </c>
      <c r="D101" s="4">
        <v>215.78</v>
      </c>
      <c r="E101" s="12">
        <f>160355.7562/274208.3431 * 100</f>
        <v>58.479532164169221</v>
      </c>
      <c r="F101" s="9">
        <f>Table8[[#This Row],[Developmental Expenditure (INR Crore)]]/Table8[[#This Row],[NSDP Deflator (Base 2011-12)]]*100</f>
        <v>24443.560799821717</v>
      </c>
      <c r="G101" s="9">
        <f>Table8[[#This Row],[Non-Developmental Expenditure (INR Crore)]]/Table8[[#This Row],[NSDP Deflator (Base 2011-12)]]*100</f>
        <v>10301.843699924862</v>
      </c>
      <c r="H101" s="9">
        <f>Table8[[#This Row],[Others (INR Crore)]]/Table8[[#This Row],[NSDP Deflator (Base 2011-12)]]*100</f>
        <v>368.98379999730878</v>
      </c>
      <c r="I101" s="9">
        <f>SUM(Table8[[#This Row],[Adj. Developmental Expenditure (INR Crore) (Base Price- 2011-12)]:[Adj. Other Expenses (INR Crores) (Base Price- 2011-12)]])</f>
        <v>35114.388299743892</v>
      </c>
    </row>
    <row r="102" spans="1:9" x14ac:dyDescent="0.2">
      <c r="A102" s="7" t="s">
        <v>14</v>
      </c>
      <c r="B102" s="4">
        <v>17432.13</v>
      </c>
      <c r="C102" s="4">
        <v>7755.34</v>
      </c>
      <c r="D102" s="4">
        <v>69.91</v>
      </c>
      <c r="E102" s="14">
        <f>198554.6921/339528.5235 * 100</f>
        <v>58.479532162192548</v>
      </c>
      <c r="F102" s="9">
        <f>Table8[[#This Row],[Developmental Expenditure (INR Crore)]]/Table8[[#This Row],[NSDP Deflator (Base 2011-12)]]*100</f>
        <v>29808.942300790157</v>
      </c>
      <c r="G102" s="9">
        <f>Table8[[#This Row],[Non-Developmental Expenditure (INR Crore)]]/Table8[[#This Row],[NSDP Deflator (Base 2011-12)]]*100</f>
        <v>13261.631400351533</v>
      </c>
      <c r="H102" s="9">
        <f>Table8[[#This Row],[Others (INR Crore)]]/Table8[[#This Row],[NSDP Deflator (Base 2011-12)]]*100</f>
        <v>119.54610000316886</v>
      </c>
      <c r="I102" s="9">
        <f>SUM(Table8[[#This Row],[Adj. Developmental Expenditure (INR Crore) (Base Price- 2011-12)]:[Adj. Other Expenses (INR Crores) (Base Price- 2011-12)]])</f>
        <v>43190.119801144865</v>
      </c>
    </row>
    <row r="103" spans="1:9" x14ac:dyDescent="0.2">
      <c r="A103" s="5" t="s">
        <v>13</v>
      </c>
      <c r="B103" s="4">
        <v>18900.810000000001</v>
      </c>
      <c r="C103" s="4">
        <v>9328.14</v>
      </c>
      <c r="D103" s="4">
        <v>81.239999999999995</v>
      </c>
      <c r="E103" s="12">
        <f>(233326.6479/398988.5679) * 100</f>
        <v>58.479532165061812</v>
      </c>
      <c r="F103" s="9">
        <f>Table8[[#This Row],[Developmental Expenditure (INR Crore)]]/Table8[[#This Row],[NSDP Deflator (Base 2011-12)]]*100</f>
        <v>32320.385099270952</v>
      </c>
      <c r="G103" s="9">
        <f>Table8[[#This Row],[Non-Developmental Expenditure (INR Crore)]]/Table8[[#This Row],[NSDP Deflator (Base 2011-12)]]*100</f>
        <v>15951.119399640189</v>
      </c>
      <c r="H103" s="9">
        <f>Table8[[#This Row],[Others (INR Crore)]]/Table8[[#This Row],[NSDP Deflator (Base 2011-12)]]*100</f>
        <v>138.92039999686637</v>
      </c>
      <c r="I103" s="9">
        <f>SUM(Table8[[#This Row],[Adj. Developmental Expenditure (INR Crore) (Base Price- 2011-12)]:[Adj. Other Expenses (INR Crores) (Base Price- 2011-12)]])</f>
        <v>48410.424898908008</v>
      </c>
    </row>
    <row r="104" spans="1:9" x14ac:dyDescent="0.2">
      <c r="A104" s="7" t="s">
        <v>12</v>
      </c>
      <c r="B104" s="4">
        <v>21695.64</v>
      </c>
      <c r="C104" s="4">
        <v>10219.83</v>
      </c>
      <c r="D104" s="4">
        <v>99.24</v>
      </c>
      <c r="E104" s="14">
        <v>100</v>
      </c>
      <c r="F104" s="9">
        <f>Table8[[#This Row],[Developmental Expenditure (INR Crore)]]/Table8[[#This Row],[NSDP Deflator (Base 2011-12)]]*100</f>
        <v>21695.64</v>
      </c>
      <c r="G104" s="9">
        <f>Table8[[#This Row],[Non-Developmental Expenditure (INR Crore)]]/Table8[[#This Row],[NSDP Deflator (Base 2011-12)]]*100</f>
        <v>10219.83</v>
      </c>
      <c r="H104" s="9">
        <f>Table8[[#This Row],[Others (INR Crore)]]/Table8[[#This Row],[NSDP Deflator (Base 2011-12)]]*100</f>
        <v>99.24</v>
      </c>
      <c r="I104" s="9">
        <f>SUM(Table8[[#This Row],[Adj. Developmental Expenditure (INR Crore) (Base Price- 2011-12)]:[Adj. Other Expenses (INR Crores) (Base Price- 2011-12)]])</f>
        <v>32014.710000000003</v>
      </c>
    </row>
    <row r="105" spans="1:9" x14ac:dyDescent="0.2">
      <c r="A105" s="5" t="s">
        <v>11</v>
      </c>
      <c r="B105" s="4">
        <v>26073.08</v>
      </c>
      <c r="C105" s="4">
        <v>11896.75</v>
      </c>
      <c r="D105" s="4">
        <v>101.89</v>
      </c>
      <c r="E105" s="12">
        <v>108.49</v>
      </c>
      <c r="F105" s="9">
        <f>Table8[[#This Row],[Developmental Expenditure (INR Crore)]]/Table8[[#This Row],[NSDP Deflator (Base 2011-12)]]*100</f>
        <v>24032.703474974656</v>
      </c>
      <c r="G105" s="9">
        <f>Table8[[#This Row],[Non-Developmental Expenditure (INR Crore)]]/Table8[[#This Row],[NSDP Deflator (Base 2011-12)]]*100</f>
        <v>10965.757212646327</v>
      </c>
      <c r="H105" s="9">
        <f>Table8[[#This Row],[Others (INR Crore)]]/Table8[[#This Row],[NSDP Deflator (Base 2011-12)]]*100</f>
        <v>93.916489999078252</v>
      </c>
      <c r="I105" s="9">
        <f>SUM(Table8[[#This Row],[Adj. Developmental Expenditure (INR Crore) (Base Price- 2011-12)]:[Adj. Other Expenses (INR Crores) (Base Price- 2011-12)]])</f>
        <v>35092.377177620067</v>
      </c>
    </row>
    <row r="106" spans="1:9" x14ac:dyDescent="0.2">
      <c r="A106" s="7" t="s">
        <v>10</v>
      </c>
      <c r="B106" s="4">
        <v>28153.61</v>
      </c>
      <c r="C106" s="4">
        <v>13597.31</v>
      </c>
      <c r="D106" s="4">
        <v>136.18</v>
      </c>
      <c r="E106" s="14">
        <v>115.01</v>
      </c>
      <c r="F106" s="9">
        <f>Table8[[#This Row],[Developmental Expenditure (INR Crore)]]/Table8[[#This Row],[NSDP Deflator (Base 2011-12)]]*100</f>
        <v>24479.271367707155</v>
      </c>
      <c r="G106" s="9">
        <f>Table8[[#This Row],[Non-Developmental Expenditure (INR Crore)]]/Table8[[#This Row],[NSDP Deflator (Base 2011-12)]]*100</f>
        <v>11822.719763498826</v>
      </c>
      <c r="H106" s="9">
        <f>Table8[[#This Row],[Others (INR Crore)]]/Table8[[#This Row],[NSDP Deflator (Base 2011-12)]]*100</f>
        <v>118.40709503521434</v>
      </c>
      <c r="I106" s="9">
        <f>SUM(Table8[[#This Row],[Adj. Developmental Expenditure (INR Crore) (Base Price- 2011-12)]:[Adj. Other Expenses (INR Crores) (Base Price- 2011-12)]])</f>
        <v>36420.398226241203</v>
      </c>
    </row>
    <row r="107" spans="1:9" x14ac:dyDescent="0.2">
      <c r="A107" s="5" t="s">
        <v>9</v>
      </c>
      <c r="B107" s="4">
        <v>32208.560000000001</v>
      </c>
      <c r="C107" s="4">
        <v>16764.73</v>
      </c>
      <c r="D107" s="4">
        <v>144.58000000000001</v>
      </c>
      <c r="E107" s="12">
        <v>117.88</v>
      </c>
      <c r="F107" s="9">
        <f>Table8[[#This Row],[Developmental Expenditure (INR Crore)]]/Table8[[#This Row],[NSDP Deflator (Base 2011-12)]]*100</f>
        <v>27323.176111299632</v>
      </c>
      <c r="G107" s="9">
        <f>Table8[[#This Row],[Non-Developmental Expenditure (INR Crore)]]/Table8[[#This Row],[NSDP Deflator (Base 2011-12)]]*100</f>
        <v>14221.861214794706</v>
      </c>
      <c r="H107" s="9">
        <f>Table8[[#This Row],[Others (INR Crore)]]/Table8[[#This Row],[NSDP Deflator (Base 2011-12)]]*100</f>
        <v>122.65015269765864</v>
      </c>
      <c r="I107" s="9">
        <f>SUM(Table8[[#This Row],[Adj. Developmental Expenditure (INR Crore) (Base Price- 2011-12)]:[Adj. Other Expenses (INR Crores) (Base Price- 2011-12)]])</f>
        <v>41667.687478791995</v>
      </c>
    </row>
    <row r="108" spans="1:9" x14ac:dyDescent="0.2">
      <c r="A108" s="7" t="s">
        <v>8</v>
      </c>
      <c r="B108" s="4">
        <v>40229.230000000003</v>
      </c>
      <c r="C108" s="4">
        <v>18713.32</v>
      </c>
      <c r="D108" s="4">
        <v>293.14999999999998</v>
      </c>
      <c r="E108" s="14">
        <v>119.68</v>
      </c>
      <c r="F108" s="9">
        <f>Table8[[#This Row],[Developmental Expenditure (INR Crore)]]/Table8[[#This Row],[NSDP Deflator (Base 2011-12)]]*100</f>
        <v>33613.995655080216</v>
      </c>
      <c r="G108" s="9">
        <f>Table8[[#This Row],[Non-Developmental Expenditure (INR Crore)]]/Table8[[#This Row],[NSDP Deflator (Base 2011-12)]]*100</f>
        <v>15636.129679144384</v>
      </c>
      <c r="H108" s="9">
        <f>Table8[[#This Row],[Others (INR Crore)]]/Table8[[#This Row],[NSDP Deflator (Base 2011-12)]]*100</f>
        <v>244.94485294117646</v>
      </c>
      <c r="I108" s="9">
        <f>SUM(Table8[[#This Row],[Adj. Developmental Expenditure (INR Crore) (Base Price- 2011-12)]:[Adj. Other Expenses (INR Crores) (Base Price- 2011-12)]])</f>
        <v>49495.070187165773</v>
      </c>
    </row>
    <row r="109" spans="1:9" x14ac:dyDescent="0.2">
      <c r="A109" s="5" t="s">
        <v>7</v>
      </c>
      <c r="B109" s="4">
        <v>46348.7</v>
      </c>
      <c r="C109" s="4">
        <v>21630.78</v>
      </c>
      <c r="D109" s="4">
        <v>423.95</v>
      </c>
      <c r="E109" s="12">
        <v>123.11</v>
      </c>
      <c r="F109" s="9">
        <f>Table8[[#This Row],[Developmental Expenditure (INR Crore)]]/Table8[[#This Row],[NSDP Deflator (Base 2011-12)]]*100</f>
        <v>37648.200796036064</v>
      </c>
      <c r="G109" s="9">
        <f>Table8[[#This Row],[Non-Developmental Expenditure (INR Crore)]]/Table8[[#This Row],[NSDP Deflator (Base 2011-12)]]*100</f>
        <v>17570.286735439851</v>
      </c>
      <c r="H109" s="9">
        <f>Table8[[#This Row],[Others (INR Crore)]]/Table8[[#This Row],[NSDP Deflator (Base 2011-12)]]*100</f>
        <v>344.36682641540085</v>
      </c>
      <c r="I109" s="9">
        <f>SUM(Table8[[#This Row],[Adj. Developmental Expenditure (INR Crore) (Base Price- 2011-12)]:[Adj. Other Expenses (INR Crores) (Base Price- 2011-12)]])</f>
        <v>55562.854357891316</v>
      </c>
    </row>
    <row r="110" spans="1:9" x14ac:dyDescent="0.2">
      <c r="A110" s="7" t="s">
        <v>6</v>
      </c>
      <c r="B110" s="4">
        <v>46168.160000000003</v>
      </c>
      <c r="C110" s="4">
        <v>26698.67</v>
      </c>
      <c r="D110" s="4">
        <v>390.52</v>
      </c>
      <c r="E110" s="14">
        <v>133.44</v>
      </c>
      <c r="F110" s="9">
        <f>Table8[[#This Row],[Developmental Expenditure (INR Crore)]]/Table8[[#This Row],[NSDP Deflator (Base 2011-12)]]*100</f>
        <v>34598.441247002404</v>
      </c>
      <c r="G110" s="9">
        <f>Table8[[#This Row],[Non-Developmental Expenditure (INR Crore)]]/Table8[[#This Row],[NSDP Deflator (Base 2011-12)]]*100</f>
        <v>20007.996103117504</v>
      </c>
      <c r="H110" s="9">
        <f>Table8[[#This Row],[Others (INR Crore)]]/Table8[[#This Row],[NSDP Deflator (Base 2011-12)]]*100</f>
        <v>292.65587529976023</v>
      </c>
      <c r="I110" s="9">
        <f>SUM(Table8[[#This Row],[Adj. Developmental Expenditure (INR Crore) (Base Price- 2011-12)]:[Adj. Other Expenses (INR Crores) (Base Price- 2011-12)]])</f>
        <v>54899.093225419667</v>
      </c>
    </row>
    <row r="111" spans="1:9" x14ac:dyDescent="0.2">
      <c r="A111" s="5" t="s">
        <v>5</v>
      </c>
      <c r="B111" s="4">
        <v>48764.77</v>
      </c>
      <c r="C111" s="4">
        <v>28186.97</v>
      </c>
      <c r="D111" s="4">
        <v>221.8</v>
      </c>
      <c r="E111" s="12">
        <v>131.5</v>
      </c>
      <c r="F111" s="9">
        <f>Table8[[#This Row],[Developmental Expenditure (INR Crore)]]/Table8[[#This Row],[NSDP Deflator (Base 2011-12)]]*100</f>
        <v>37083.475285171102</v>
      </c>
      <c r="G111" s="9">
        <f>Table8[[#This Row],[Non-Developmental Expenditure (INR Crore)]]/Table8[[#This Row],[NSDP Deflator (Base 2011-12)]]*100</f>
        <v>21434.958174904943</v>
      </c>
      <c r="H111" s="9">
        <f>Table8[[#This Row],[Others (INR Crore)]]/Table8[[#This Row],[NSDP Deflator (Base 2011-12)]]*100</f>
        <v>168.66920152091257</v>
      </c>
      <c r="I111" s="9">
        <f>SUM(Table8[[#This Row],[Adj. Developmental Expenditure (INR Crore) (Base Price- 2011-12)]:[Adj. Other Expenses (INR Crores) (Base Price- 2011-12)]])</f>
        <v>58687.10266159696</v>
      </c>
    </row>
    <row r="112" spans="1:9" x14ac:dyDescent="0.2">
      <c r="A112" s="7" t="s">
        <v>4</v>
      </c>
      <c r="B112" s="4">
        <v>52964.26</v>
      </c>
      <c r="C112" s="4">
        <v>31883.95</v>
      </c>
      <c r="D112" s="4">
        <v>0</v>
      </c>
      <c r="E112" s="14">
        <v>136.16999999999999</v>
      </c>
      <c r="F112" s="9">
        <f>Table8[[#This Row],[Developmental Expenditure (INR Crore)]]/Table8[[#This Row],[NSDP Deflator (Base 2011-12)]]*100</f>
        <v>38895.689212014404</v>
      </c>
      <c r="G112" s="9">
        <f>Table8[[#This Row],[Non-Developmental Expenditure (INR Crore)]]/Table8[[#This Row],[NSDP Deflator (Base 2011-12)]]*100</f>
        <v>23414.812366894326</v>
      </c>
      <c r="H112" s="9">
        <f>Table8[[#This Row],[Others (INR Crore)]]/Table8[[#This Row],[NSDP Deflator (Base 2011-12)]]*100</f>
        <v>0</v>
      </c>
      <c r="I112" s="9">
        <f>SUM(Table8[[#This Row],[Adj. Developmental Expenditure (INR Crore) (Base Price- 2011-12)]:[Adj. Other Expenses (INR Crores) (Base Price- 2011-12)]])</f>
        <v>62310.501578908734</v>
      </c>
    </row>
    <row r="113" spans="1:9" x14ac:dyDescent="0.2">
      <c r="A113" s="5" t="s">
        <v>3</v>
      </c>
      <c r="B113" s="4">
        <v>55212.43</v>
      </c>
      <c r="C113" s="4">
        <v>34734.17</v>
      </c>
      <c r="D113" s="4">
        <v>0</v>
      </c>
      <c r="E113" s="12">
        <v>148.97999999999999</v>
      </c>
      <c r="F113" s="9">
        <f>Table8[[#This Row],[Developmental Expenditure (INR Crore)]]/Table8[[#This Row],[NSDP Deflator (Base 2011-12)]]*100</f>
        <v>37060.296684118672</v>
      </c>
      <c r="G113" s="9">
        <f>Table8[[#This Row],[Non-Developmental Expenditure (INR Crore)]]/Table8[[#This Row],[NSDP Deflator (Base 2011-12)]]*100</f>
        <v>23314.652973553497</v>
      </c>
      <c r="H113" s="9">
        <f>Table8[[#This Row],[Others (INR Crore)]]/Table8[[#This Row],[NSDP Deflator (Base 2011-12)]]*100</f>
        <v>0</v>
      </c>
      <c r="I113" s="9">
        <f>SUM(Table8[[#This Row],[Adj. Developmental Expenditure (INR Crore) (Base Price- 2011-12)]:[Adj. Other Expenses (INR Crores) (Base Price- 2011-12)]])</f>
        <v>60374.949657672172</v>
      </c>
    </row>
    <row r="114" spans="1:9" x14ac:dyDescent="0.2">
      <c r="A114" s="7" t="s">
        <v>2</v>
      </c>
      <c r="B114" s="4">
        <v>60477.13</v>
      </c>
      <c r="C114" s="4">
        <v>37947.89</v>
      </c>
      <c r="D114" s="4">
        <v>0</v>
      </c>
      <c r="E114" s="12">
        <v>162.13</v>
      </c>
      <c r="F114" s="9">
        <f>Table8[[#This Row],[Developmental Expenditure (INR Crore)]]/Table8[[#This Row],[NSDP Deflator (Base 2011-12)]]*100</f>
        <v>37301.628322950717</v>
      </c>
      <c r="G114" s="9">
        <f>Table8[[#This Row],[Non-Developmental Expenditure (INR Crore)]]/Table8[[#This Row],[NSDP Deflator (Base 2011-12)]]*100</f>
        <v>23405.840991796704</v>
      </c>
      <c r="H114" s="9">
        <f>Table8[[#This Row],[Others (INR Crore)]]/Table8[[#This Row],[NSDP Deflator (Base 2011-12)]]*100</f>
        <v>0</v>
      </c>
      <c r="I114" s="9">
        <f>SUM(Table8[[#This Row],[Adj. Developmental Expenditure (INR Crore) (Base Price- 2011-12)]:[Adj. Other Expenses (INR Crores) (Base Price- 2011-12)]])</f>
        <v>60707.469314747417</v>
      </c>
    </row>
    <row r="115" spans="1:9" x14ac:dyDescent="0.2">
      <c r="A115" s="5" t="s">
        <v>1</v>
      </c>
      <c r="B115" s="4">
        <v>70591.259999999995</v>
      </c>
      <c r="C115" s="4">
        <v>44416.26</v>
      </c>
      <c r="D115" s="4">
        <v>0</v>
      </c>
      <c r="E115" s="12">
        <v>170.48</v>
      </c>
      <c r="F115" s="9">
        <f>Table8[[#This Row],[Developmental Expenditure (INR Crore)]]/Table8[[#This Row],[NSDP Deflator (Base 2011-12)]]*100</f>
        <v>41407.355701548571</v>
      </c>
      <c r="G115" s="9">
        <f>Table8[[#This Row],[Non-Developmental Expenditure (INR Crore)]]/Table8[[#This Row],[NSDP Deflator (Base 2011-12)]]*100</f>
        <v>26053.648521820742</v>
      </c>
      <c r="H115" s="9">
        <f>Table8[[#This Row],[Others (INR Crore)]]/Table8[[#This Row],[NSDP Deflator (Base 2011-12)]]*100</f>
        <v>0</v>
      </c>
      <c r="I115" s="9">
        <f>SUM(Table8[[#This Row],[Adj. Developmental Expenditure (INR Crore) (Base Price- 2011-12)]:[Adj. Other Expenses (INR Crores) (Base Price- 2011-12)]])</f>
        <v>67461.004223369309</v>
      </c>
    </row>
    <row r="118" spans="1:9" x14ac:dyDescent="0.2">
      <c r="A118" s="3" t="s">
        <v>0</v>
      </c>
      <c r="B118" s="4" t="s">
        <v>114</v>
      </c>
      <c r="C118" s="4" t="s">
        <v>115</v>
      </c>
      <c r="D118" s="4" t="s">
        <v>116</v>
      </c>
      <c r="E118" s="4" t="s">
        <v>102</v>
      </c>
    </row>
    <row r="119" spans="1:9" x14ac:dyDescent="0.2">
      <c r="A119" s="5" t="s">
        <v>19</v>
      </c>
      <c r="B119" s="9">
        <f t="shared" ref="B119:B137" si="4">F97/I97*100</f>
        <v>56.256980301741898</v>
      </c>
      <c r="C119" s="9">
        <f t="shared" ref="C119:C137" si="5">G97/I97*100</f>
        <v>43.743019698258109</v>
      </c>
      <c r="D119" s="9">
        <f>H97/I97*100</f>
        <v>0</v>
      </c>
      <c r="E119" s="9">
        <f>SUM(Table9[[#This Row],[Developmental Expenditure as %]:[Other Expenses as %]])</f>
        <v>100</v>
      </c>
    </row>
    <row r="120" spans="1:9" x14ac:dyDescent="0.2">
      <c r="A120" s="7" t="s">
        <v>18</v>
      </c>
      <c r="B120" s="9">
        <f t="shared" si="4"/>
        <v>61.791390754673692</v>
      </c>
      <c r="C120" s="9">
        <f t="shared" si="5"/>
        <v>38.208609245326308</v>
      </c>
      <c r="D120" s="9">
        <f t="shared" ref="D120:D137" si="6">H98/I98*100</f>
        <v>0</v>
      </c>
      <c r="E120" s="9">
        <f>SUM(Table9[[#This Row],[Developmental Expenditure as %]:[Other Expenses as %]])</f>
        <v>100</v>
      </c>
    </row>
    <row r="121" spans="1:9" x14ac:dyDescent="0.2">
      <c r="A121" s="5" t="s">
        <v>17</v>
      </c>
      <c r="B121" s="9">
        <f t="shared" si="4"/>
        <v>68.709124412134102</v>
      </c>
      <c r="C121" s="9">
        <f t="shared" si="5"/>
        <v>29.611328584568653</v>
      </c>
      <c r="D121" s="9">
        <f t="shared" si="6"/>
        <v>1.6795470032972437</v>
      </c>
      <c r="E121" s="9">
        <f>SUM(Table9[[#This Row],[Developmental Expenditure as %]:[Other Expenses as %]])</f>
        <v>100</v>
      </c>
    </row>
    <row r="122" spans="1:9" x14ac:dyDescent="0.2">
      <c r="A122" s="7" t="s">
        <v>16</v>
      </c>
      <c r="B122" s="9">
        <f t="shared" si="4"/>
        <v>68.241220480325353</v>
      </c>
      <c r="C122" s="9">
        <f t="shared" si="5"/>
        <v>29.838014431555663</v>
      </c>
      <c r="D122" s="9">
        <f t="shared" si="6"/>
        <v>1.9207650881189853</v>
      </c>
      <c r="E122" s="9">
        <f>SUM(Table9[[#This Row],[Developmental Expenditure as %]:[Other Expenses as %]])</f>
        <v>100</v>
      </c>
    </row>
    <row r="123" spans="1:9" x14ac:dyDescent="0.2">
      <c r="A123" s="5" t="s">
        <v>15</v>
      </c>
      <c r="B123" s="9">
        <f t="shared" si="4"/>
        <v>69.611239105651734</v>
      </c>
      <c r="C123" s="9">
        <f t="shared" si="5"/>
        <v>29.337955746191934</v>
      </c>
      <c r="D123" s="9">
        <f t="shared" si="6"/>
        <v>1.0508051481563185</v>
      </c>
      <c r="E123" s="9">
        <f>SUM(Table9[[#This Row],[Developmental Expenditure as %]:[Other Expenses as %]])</f>
        <v>99.999999999999986</v>
      </c>
    </row>
    <row r="124" spans="1:9" x14ac:dyDescent="0.2">
      <c r="A124" s="7" t="s">
        <v>14</v>
      </c>
      <c r="B124" s="9">
        <f t="shared" si="4"/>
        <v>69.017966234027426</v>
      </c>
      <c r="C124" s="9">
        <f t="shared" si="5"/>
        <v>30.705243378370994</v>
      </c>
      <c r="D124" s="9">
        <f t="shared" si="6"/>
        <v>0.27679038760156432</v>
      </c>
      <c r="E124" s="9">
        <f>SUM(Table9[[#This Row],[Developmental Expenditure as %]:[Other Expenses as %]])</f>
        <v>99.999999999999986</v>
      </c>
    </row>
    <row r="125" spans="1:9" x14ac:dyDescent="0.2">
      <c r="A125" s="5" t="s">
        <v>13</v>
      </c>
      <c r="B125" s="9">
        <f t="shared" si="4"/>
        <v>66.763274990383323</v>
      </c>
      <c r="C125" s="9">
        <f t="shared" si="5"/>
        <v>32.949761199059409</v>
      </c>
      <c r="D125" s="9">
        <f t="shared" si="6"/>
        <v>0.28696381055725872</v>
      </c>
      <c r="E125" s="9">
        <f>SUM(Table9[[#This Row],[Developmental Expenditure as %]:[Other Expenses as %]])</f>
        <v>99.999999999999986</v>
      </c>
    </row>
    <row r="126" spans="1:9" x14ac:dyDescent="0.2">
      <c r="A126" s="7" t="s">
        <v>12</v>
      </c>
      <c r="B126" s="9">
        <f t="shared" si="4"/>
        <v>67.767723024822018</v>
      </c>
      <c r="C126" s="9">
        <f t="shared" si="5"/>
        <v>31.922294470260699</v>
      </c>
      <c r="D126" s="9">
        <f t="shared" si="6"/>
        <v>0.30998250491727081</v>
      </c>
      <c r="E126" s="9">
        <f>SUM(Table9[[#This Row],[Developmental Expenditure as %]:[Other Expenses as %]])</f>
        <v>99.999999999999986</v>
      </c>
    </row>
    <row r="127" spans="1:9" x14ac:dyDescent="0.2">
      <c r="A127" s="5" t="s">
        <v>11</v>
      </c>
      <c r="B127" s="9">
        <f t="shared" si="4"/>
        <v>68.484113667572672</v>
      </c>
      <c r="C127" s="9">
        <f t="shared" si="5"/>
        <v>31.248259863226558</v>
      </c>
      <c r="D127" s="9">
        <f t="shared" si="6"/>
        <v>0.267626469200761</v>
      </c>
      <c r="E127" s="9">
        <f>SUM(Table9[[#This Row],[Developmental Expenditure as %]:[Other Expenses as %]])</f>
        <v>100</v>
      </c>
    </row>
    <row r="128" spans="1:9" x14ac:dyDescent="0.2">
      <c r="A128" s="7" t="s">
        <v>10</v>
      </c>
      <c r="B128" s="9">
        <f t="shared" si="4"/>
        <v>67.213079921980736</v>
      </c>
      <c r="C128" s="9">
        <f t="shared" si="5"/>
        <v>32.461808050688632</v>
      </c>
      <c r="D128" s="9">
        <f t="shared" si="6"/>
        <v>0.32511202733061012</v>
      </c>
      <c r="E128" s="9">
        <f>SUM(Table9[[#This Row],[Developmental Expenditure as %]:[Other Expenses as %]])</f>
        <v>99.999999999999972</v>
      </c>
    </row>
    <row r="129" spans="1:15" x14ac:dyDescent="0.2">
      <c r="A129" s="5" t="s">
        <v>9</v>
      </c>
      <c r="B129" s="9">
        <f t="shared" si="4"/>
        <v>65.574016137100415</v>
      </c>
      <c r="C129" s="9">
        <f t="shared" si="5"/>
        <v>34.131630707927677</v>
      </c>
      <c r="D129" s="9">
        <f t="shared" si="6"/>
        <v>0.29435315497190739</v>
      </c>
      <c r="E129" s="9">
        <f>SUM(Table9[[#This Row],[Developmental Expenditure as %]:[Other Expenses as %]])</f>
        <v>100</v>
      </c>
    </row>
    <row r="130" spans="1:15" x14ac:dyDescent="0.2">
      <c r="A130" s="7" t="s">
        <v>8</v>
      </c>
      <c r="B130" s="9">
        <f t="shared" si="4"/>
        <v>67.91382561529619</v>
      </c>
      <c r="C130" s="9">
        <f t="shared" si="5"/>
        <v>31.591287011042326</v>
      </c>
      <c r="D130" s="9">
        <f t="shared" si="6"/>
        <v>0.49488737366149133</v>
      </c>
      <c r="E130" s="9">
        <f>SUM(Table9[[#This Row],[Developmental Expenditure as %]:[Other Expenses as %]])</f>
        <v>100</v>
      </c>
    </row>
    <row r="131" spans="1:15" x14ac:dyDescent="0.2">
      <c r="A131" s="5" t="s">
        <v>7</v>
      </c>
      <c r="B131" s="9">
        <f t="shared" si="4"/>
        <v>67.75785951084616</v>
      </c>
      <c r="C131" s="9">
        <f t="shared" si="5"/>
        <v>31.622361627187413</v>
      </c>
      <c r="D131" s="9">
        <f t="shared" si="6"/>
        <v>0.61977886196642484</v>
      </c>
      <c r="E131" s="9">
        <f>SUM(Table9[[#This Row],[Developmental Expenditure as %]:[Other Expenses as %]])</f>
        <v>100</v>
      </c>
    </row>
    <row r="132" spans="1:15" x14ac:dyDescent="0.2">
      <c r="A132" s="7" t="s">
        <v>6</v>
      </c>
      <c r="B132" s="9">
        <f t="shared" si="4"/>
        <v>63.021881080874486</v>
      </c>
      <c r="C132" s="9">
        <f t="shared" si="5"/>
        <v>36.445039303223496</v>
      </c>
      <c r="D132" s="9">
        <f t="shared" si="6"/>
        <v>0.53307961590202224</v>
      </c>
      <c r="E132" s="9">
        <f>SUM(Table9[[#This Row],[Developmental Expenditure as %]:[Other Expenses as %]])</f>
        <v>100.00000000000001</v>
      </c>
    </row>
    <row r="133" spans="1:15" x14ac:dyDescent="0.2">
      <c r="A133" s="5" t="s">
        <v>5</v>
      </c>
      <c r="B133" s="9">
        <f t="shared" si="4"/>
        <v>63.188458116603172</v>
      </c>
      <c r="C133" s="9">
        <f t="shared" si="5"/>
        <v>36.524137677240155</v>
      </c>
      <c r="D133" s="9">
        <f t="shared" si="6"/>
        <v>0.28740420615666978</v>
      </c>
      <c r="E133" s="9">
        <f>SUM(Table9[[#This Row],[Developmental Expenditure as %]:[Other Expenses as %]])</f>
        <v>99.999999999999986</v>
      </c>
    </row>
    <row r="134" spans="1:15" x14ac:dyDescent="0.2">
      <c r="A134" s="7" t="s">
        <v>4</v>
      </c>
      <c r="B134" s="9">
        <f t="shared" si="4"/>
        <v>62.422365775306275</v>
      </c>
      <c r="C134" s="9">
        <f t="shared" si="5"/>
        <v>37.577634224693718</v>
      </c>
      <c r="D134" s="9">
        <f t="shared" si="6"/>
        <v>0</v>
      </c>
      <c r="E134" s="9">
        <f>SUM(Table9[[#This Row],[Developmental Expenditure as %]:[Other Expenses as %]])</f>
        <v>100</v>
      </c>
    </row>
    <row r="135" spans="1:15" x14ac:dyDescent="0.2">
      <c r="A135" s="5" t="s">
        <v>3</v>
      </c>
      <c r="B135" s="9">
        <f t="shared" si="4"/>
        <v>61.383565359891314</v>
      </c>
      <c r="C135" s="9">
        <f t="shared" si="5"/>
        <v>38.616434640108686</v>
      </c>
      <c r="D135" s="9">
        <f t="shared" si="6"/>
        <v>0</v>
      </c>
      <c r="E135" s="9">
        <f>SUM(Table9[[#This Row],[Developmental Expenditure as %]:[Other Expenses as %]])</f>
        <v>100</v>
      </c>
    </row>
    <row r="136" spans="1:15" x14ac:dyDescent="0.2">
      <c r="A136" s="7" t="s">
        <v>2</v>
      </c>
      <c r="B136" s="9">
        <f t="shared" si="4"/>
        <v>61.444874484150482</v>
      </c>
      <c r="C136" s="9">
        <f t="shared" si="5"/>
        <v>38.555125515849525</v>
      </c>
      <c r="D136" s="9">
        <f t="shared" si="6"/>
        <v>0</v>
      </c>
      <c r="E136" s="9">
        <f>SUM(Table9[[#This Row],[Developmental Expenditure as %]:[Other Expenses as %]])</f>
        <v>100</v>
      </c>
    </row>
    <row r="137" spans="1:15" x14ac:dyDescent="0.2">
      <c r="A137" s="5" t="s">
        <v>1</v>
      </c>
      <c r="B137" s="9">
        <f t="shared" si="4"/>
        <v>61.379690649794036</v>
      </c>
      <c r="C137" s="9">
        <f t="shared" si="5"/>
        <v>38.620309350205972</v>
      </c>
      <c r="D137" s="9">
        <f t="shared" si="6"/>
        <v>0</v>
      </c>
      <c r="E137" s="9">
        <f>SUM(Table9[[#This Row],[Developmental Expenditure as %]:[Other Expenses as %]])</f>
        <v>100</v>
      </c>
    </row>
    <row r="141" spans="1:15" ht="29" x14ac:dyDescent="0.35">
      <c r="A141" s="20" t="s">
        <v>141</v>
      </c>
    </row>
    <row r="142" spans="1:15" ht="29" x14ac:dyDescent="0.35">
      <c r="A142" s="20"/>
      <c r="B142" t="s">
        <v>148</v>
      </c>
    </row>
    <row r="143" spans="1:15" x14ac:dyDescent="0.2">
      <c r="A143" s="3" t="s">
        <v>0</v>
      </c>
      <c r="B143" s="4" t="s">
        <v>142</v>
      </c>
      <c r="C143" s="4" t="s">
        <v>143</v>
      </c>
      <c r="D143" s="4" t="s">
        <v>144</v>
      </c>
      <c r="E143" s="4" t="s">
        <v>145</v>
      </c>
      <c r="F143" s="4" t="s">
        <v>146</v>
      </c>
      <c r="G143" s="4" t="s">
        <v>147</v>
      </c>
      <c r="H143" s="3" t="s">
        <v>73</v>
      </c>
      <c r="I143" s="4" t="s">
        <v>149</v>
      </c>
      <c r="J143" s="4" t="s">
        <v>150</v>
      </c>
      <c r="K143" s="4" t="s">
        <v>151</v>
      </c>
      <c r="L143" s="4" t="s">
        <v>152</v>
      </c>
      <c r="M143" s="4" t="s">
        <v>153</v>
      </c>
      <c r="N143" s="4" t="s">
        <v>154</v>
      </c>
      <c r="O143" s="4" t="s">
        <v>102</v>
      </c>
    </row>
    <row r="144" spans="1:15" x14ac:dyDescent="0.2">
      <c r="A144" s="5" t="s">
        <v>19</v>
      </c>
      <c r="B144" s="4">
        <v>102.89</v>
      </c>
      <c r="C144" s="4">
        <v>103.64</v>
      </c>
      <c r="D144" s="4">
        <v>2286.37</v>
      </c>
      <c r="E144" s="4">
        <v>800.73</v>
      </c>
      <c r="F144" s="4">
        <v>1604.47</v>
      </c>
      <c r="G144" s="4">
        <v>91.71</v>
      </c>
      <c r="H144" s="12">
        <v>58.479532176447954</v>
      </c>
      <c r="I144" s="9">
        <f>Table13[[#This Row],[Organs of State]]/Table13[[#This Row],[NSDP Deflator (Base 2011-12)]]*100</f>
        <v>175.94189996177488</v>
      </c>
      <c r="J144" s="9">
        <f>Table13[[#This Row],[Fiscal Services]]/Table13[[#This Row],[NSDP Deflator (Base 2011-12)]]*100</f>
        <v>177.2243999614962</v>
      </c>
      <c r="K144" s="9">
        <f>Table13[[#This Row],[Interest Payment &amp; Servicing of Debt]]/Table13[[#This Row],[NSDP Deflator (Base 2011-12)]]*100</f>
        <v>3909.6926991505798</v>
      </c>
      <c r="L144" s="9">
        <f>Table13[[#This Row],[Administrative Services]]/Table13[[#This Row],[NSDP Deflator (Base 2011-12)]]*100</f>
        <v>1369.2482997025172</v>
      </c>
      <c r="M144" s="9">
        <f>Table13[[#This Row],[Pensions &amp; Miscsellaneous General Services ]]/Table13[[#This Row],[NSDP Deflator (Base 2011-12)]]*100</f>
        <v>2743.6436994039159</v>
      </c>
      <c r="N144" s="9">
        <f>Table13[[#This Row],[Others]]/Table13[[#This Row],[NSDP Deflator (Base 2011-12)]]*100</f>
        <v>156.82409996592838</v>
      </c>
      <c r="O144" s="9">
        <f>SUM(Table13[[#This Row],[Adj. Organs of State (Base Price- 2011,12)]:[Adj. Others (Base Price- 2011-12)]])</f>
        <v>8532.5750981462115</v>
      </c>
    </row>
    <row r="145" spans="1:15" x14ac:dyDescent="0.2">
      <c r="A145" s="7" t="s">
        <v>18</v>
      </c>
      <c r="B145" s="4">
        <v>127.82</v>
      </c>
      <c r="C145" s="4">
        <v>113.44</v>
      </c>
      <c r="D145" s="4">
        <v>2141.73</v>
      </c>
      <c r="E145" s="4">
        <v>948.62</v>
      </c>
      <c r="F145" s="4">
        <v>1248.06</v>
      </c>
      <c r="G145" s="4">
        <v>249.86</v>
      </c>
      <c r="H145" s="14">
        <v>58.479532150042857</v>
      </c>
      <c r="I145" s="9">
        <f>Table13[[#This Row],[Organs of State]]/Table13[[#This Row],[NSDP Deflator (Base 2011-12)]]*100</f>
        <v>218.57220005120425</v>
      </c>
      <c r="J145" s="9">
        <f>Table13[[#This Row],[Fiscal Services]]/Table13[[#This Row],[NSDP Deflator (Base 2011-12)]]*100</f>
        <v>193.98240004544368</v>
      </c>
      <c r="K145" s="9">
        <f>Table13[[#This Row],[Interest Payment &amp; Servicing of Debt]]/Table13[[#This Row],[NSDP Deflator (Base 2011-12)]]*100</f>
        <v>3662.3583008579699</v>
      </c>
      <c r="L145" s="9">
        <f>Table13[[#This Row],[Administrative Services]]/Table13[[#This Row],[NSDP Deflator (Base 2011-12)]]*100</f>
        <v>1622.140200380014</v>
      </c>
      <c r="M145" s="9">
        <f>Table13[[#This Row],[Pensions &amp; Miscsellaneous General Services ]]/Table13[[#This Row],[NSDP Deflator (Base 2011-12)]]*100</f>
        <v>2134.1826004999689</v>
      </c>
      <c r="N145" s="9">
        <f>Table13[[#This Row],[Others]]/Table13[[#This Row],[NSDP Deflator (Base 2011-12)]]*100</f>
        <v>427.26060010009314</v>
      </c>
      <c r="O145" s="9">
        <f>SUM(Table13[[#This Row],[Adj. Organs of State (Base Price- 2011,12)]:[Adj. Others (Base Price- 2011-12)]])</f>
        <v>8258.4963019346942</v>
      </c>
    </row>
    <row r="146" spans="1:15" x14ac:dyDescent="0.2">
      <c r="A146" s="5" t="s">
        <v>17</v>
      </c>
      <c r="B146" s="4">
        <v>136.94999999999999</v>
      </c>
      <c r="C146" s="4">
        <v>133.81</v>
      </c>
      <c r="D146" s="4">
        <v>2316.06</v>
      </c>
      <c r="E146" s="4">
        <v>1076.5899999999999</v>
      </c>
      <c r="F146" s="4">
        <v>1181.6400000000001</v>
      </c>
      <c r="G146" s="4">
        <v>0</v>
      </c>
      <c r="H146" s="12">
        <v>58.479533212215493</v>
      </c>
      <c r="I146" s="9">
        <f>Table13[[#This Row],[Organs of State]]/Table13[[#This Row],[NSDP Deflator (Base 2011-12)]]*100</f>
        <v>234.1844958013331</v>
      </c>
      <c r="J146" s="9">
        <f>Table13[[#This Row],[Fiscal Services]]/Table13[[#This Row],[NSDP Deflator (Base 2011-12)]]*100</f>
        <v>228.81509589760049</v>
      </c>
      <c r="K146" s="9">
        <f>Table13[[#This Row],[Interest Payment &amp; Servicing of Debt]]/Table13[[#This Row],[NSDP Deflator (Base 2011-12)]]*100</f>
        <v>3960.4625289933233</v>
      </c>
      <c r="L146" s="9">
        <f>Table13[[#This Row],[Administrative Services]]/Table13[[#This Row],[NSDP Deflator (Base 2011-12)]]*100</f>
        <v>1840.9688669934808</v>
      </c>
      <c r="M146" s="9">
        <f>Table13[[#This Row],[Pensions &amp; Miscsellaneous General Services ]]/Table13[[#This Row],[NSDP Deflator (Base 2011-12)]]*100</f>
        <v>2020.6043637728171</v>
      </c>
      <c r="N146" s="9">
        <f>Table13[[#This Row],[Others]]/Table13[[#This Row],[NSDP Deflator (Base 2011-12)]]*100</f>
        <v>0</v>
      </c>
      <c r="O146" s="9">
        <f>SUM(Table13[[#This Row],[Adj. Organs of State (Base Price- 2011,12)]:[Adj. Others (Base Price- 2011-12)]])</f>
        <v>8285.0353514585549</v>
      </c>
    </row>
    <row r="147" spans="1:15" x14ac:dyDescent="0.2">
      <c r="A147" s="7" t="s">
        <v>16</v>
      </c>
      <c r="B147" s="4">
        <v>163.38</v>
      </c>
      <c r="C147" s="4">
        <v>145.01</v>
      </c>
      <c r="D147" s="4">
        <v>2395.7399999999998</v>
      </c>
      <c r="E147" s="4">
        <v>1226.46</v>
      </c>
      <c r="F147" s="4">
        <v>1299.08</v>
      </c>
      <c r="G147" s="4">
        <v>336.65</v>
      </c>
      <c r="H147" s="14">
        <v>58.479532151146316</v>
      </c>
      <c r="I147" s="9">
        <f>Table13[[#This Row],[Organs of State]]/Table13[[#This Row],[NSDP Deflator (Base 2011-12)]]*100</f>
        <v>279.37980006017784</v>
      </c>
      <c r="J147" s="9">
        <f>Table13[[#This Row],[Fiscal Services]]/Table13[[#This Row],[NSDP Deflator (Base 2011-12)]]*100</f>
        <v>247.9671000534116</v>
      </c>
      <c r="K147" s="9">
        <f>Table13[[#This Row],[Interest Payment &amp; Servicing of Debt]]/Table13[[#This Row],[NSDP Deflator (Base 2011-12)]]*100</f>
        <v>4096.7154008824236</v>
      </c>
      <c r="L147" s="9">
        <f>Table13[[#This Row],[Administrative Services]]/Table13[[#This Row],[NSDP Deflator (Base 2011-12)]]*100</f>
        <v>2097.2466004517428</v>
      </c>
      <c r="M147" s="9">
        <f>Table13[[#This Row],[Pensions &amp; Miscsellaneous General Services ]]/Table13[[#This Row],[NSDP Deflator (Base 2011-12)]]*100</f>
        <v>2221.4268004784908</v>
      </c>
      <c r="N147" s="9">
        <f>Table13[[#This Row],[Others]]/Table13[[#This Row],[NSDP Deflator (Base 2011-12)]]*100</f>
        <v>575.6715001239985</v>
      </c>
      <c r="O147" s="9">
        <f>SUM(Table13[[#This Row],[Adj. Organs of State (Base Price- 2011,12)]:[Adj. Others (Base Price- 2011-12)]])</f>
        <v>9518.4072020502445</v>
      </c>
    </row>
    <row r="148" spans="1:15" x14ac:dyDescent="0.2">
      <c r="A148" s="5" t="s">
        <v>15</v>
      </c>
      <c r="B148" s="4">
        <v>233.07</v>
      </c>
      <c r="C148" s="4">
        <v>190.3</v>
      </c>
      <c r="D148" s="4">
        <v>2386.34</v>
      </c>
      <c r="E148" s="4">
        <v>1599.62</v>
      </c>
      <c r="F148" s="4">
        <v>1615.14</v>
      </c>
      <c r="G148" s="4">
        <v>215.78</v>
      </c>
      <c r="H148" s="12">
        <v>58.479532164169221</v>
      </c>
      <c r="I148" s="9">
        <f>Table13[[#This Row],[Organs of State]]/Table13[[#This Row],[NSDP Deflator (Base 2011-12)]]*100</f>
        <v>398.54969999709311</v>
      </c>
      <c r="J148" s="9">
        <f>Table13[[#This Row],[Fiscal Services]]/Table13[[#This Row],[NSDP Deflator (Base 2011-12)]]*100</f>
        <v>325.41299999762657</v>
      </c>
      <c r="K148" s="9">
        <f>Table13[[#This Row],[Interest Payment &amp; Servicing of Debt]]/Table13[[#This Row],[NSDP Deflator (Base 2011-12)]]*100</f>
        <v>4080.6413999702372</v>
      </c>
      <c r="L148" s="9">
        <f>Table13[[#This Row],[Administrative Services]]/Table13[[#This Row],[NSDP Deflator (Base 2011-12)]]*100</f>
        <v>2735.3501999800487</v>
      </c>
      <c r="M148" s="9">
        <f>Table13[[#This Row],[Pensions &amp; Miscsellaneous General Services ]]/Table13[[#This Row],[NSDP Deflator (Base 2011-12)]]*100</f>
        <v>2761.8893999798556</v>
      </c>
      <c r="N148" s="9">
        <f>Table13[[#This Row],[Others]]/Table13[[#This Row],[NSDP Deflator (Base 2011-12)]]*100</f>
        <v>368.98379999730878</v>
      </c>
      <c r="O148" s="9">
        <f>SUM(Table13[[#This Row],[Adj. Organs of State (Base Price- 2011,12)]:[Adj. Others (Base Price- 2011-12)]])</f>
        <v>10670.827499922172</v>
      </c>
    </row>
    <row r="149" spans="1:15" x14ac:dyDescent="0.2">
      <c r="A149" s="7" t="s">
        <v>14</v>
      </c>
      <c r="B149" s="4">
        <v>296.76</v>
      </c>
      <c r="C149" s="4">
        <v>231.58</v>
      </c>
      <c r="D149" s="4">
        <v>2809.01</v>
      </c>
      <c r="E149" s="4">
        <v>2026.85</v>
      </c>
      <c r="F149" s="4">
        <v>2391.14</v>
      </c>
      <c r="G149" s="4">
        <v>69.91</v>
      </c>
      <c r="H149" s="14">
        <v>58.479532162192548</v>
      </c>
      <c r="I149" s="9">
        <f>Table13[[#This Row],[Organs of State]]/Table13[[#This Row],[NSDP Deflator (Base 2011-12)]]*100</f>
        <v>507.45960001345145</v>
      </c>
      <c r="J149" s="9">
        <f>Table13[[#This Row],[Fiscal Services]]/Table13[[#This Row],[NSDP Deflator (Base 2011-12)]]*100</f>
        <v>396.00180001049699</v>
      </c>
      <c r="K149" s="9">
        <f>Table13[[#This Row],[Interest Payment &amp; Servicing of Debt]]/Table13[[#This Row],[NSDP Deflator (Base 2011-12)]]*100</f>
        <v>4803.407100127326</v>
      </c>
      <c r="L149" s="9">
        <f>Table13[[#This Row],[Administrative Services]]/Table13[[#This Row],[NSDP Deflator (Base 2011-12)]]*100</f>
        <v>3465.9135000918723</v>
      </c>
      <c r="M149" s="9">
        <f>Table13[[#This Row],[Pensions &amp; Miscsellaneous General Services ]]/Table13[[#This Row],[NSDP Deflator (Base 2011-12)]]*100</f>
        <v>4088.849400108385</v>
      </c>
      <c r="N149" s="9">
        <f>Table13[[#This Row],[Others]]/Table13[[#This Row],[NSDP Deflator (Base 2011-12)]]*100</f>
        <v>119.54610000316886</v>
      </c>
      <c r="O149" s="9">
        <f>SUM(Table13[[#This Row],[Adj. Organs of State (Base Price- 2011,12)]:[Adj. Others (Base Price- 2011-12)]])</f>
        <v>13381.177500354701</v>
      </c>
    </row>
    <row r="150" spans="1:15" x14ac:dyDescent="0.2">
      <c r="A150" s="5" t="s">
        <v>13</v>
      </c>
      <c r="B150" s="4">
        <v>367.63</v>
      </c>
      <c r="C150" s="4">
        <v>249.82</v>
      </c>
      <c r="D150" s="4">
        <v>3424.24</v>
      </c>
      <c r="E150" s="4">
        <v>2191.1799999999998</v>
      </c>
      <c r="F150" s="4">
        <v>3095.27</v>
      </c>
      <c r="G150" s="4">
        <v>81.239999999999995</v>
      </c>
      <c r="H150" s="12">
        <v>58.479532165061812</v>
      </c>
      <c r="I150" s="9">
        <f>Table13[[#This Row],[Organs of State]]/Table13[[#This Row],[NSDP Deflator (Base 2011-12)]]*100</f>
        <v>628.64729998581959</v>
      </c>
      <c r="J150" s="9">
        <f>Table13[[#This Row],[Fiscal Services]]/Table13[[#This Row],[NSDP Deflator (Base 2011-12)]]*100</f>
        <v>427.1921999903638</v>
      </c>
      <c r="K150" s="9">
        <f>Table13[[#This Row],[Interest Payment &amp; Servicing of Debt]]/Table13[[#This Row],[NSDP Deflator (Base 2011-12)]]*100</f>
        <v>5855.4503998679183</v>
      </c>
      <c r="L150" s="9">
        <f>Table13[[#This Row],[Administrative Services]]/Table13[[#This Row],[NSDP Deflator (Base 2011-12)]]*100</f>
        <v>3746.9177999154808</v>
      </c>
      <c r="M150" s="9">
        <f>Table13[[#This Row],[Pensions &amp; Miscsellaneous General Services ]]/Table13[[#This Row],[NSDP Deflator (Base 2011-12)]]*100</f>
        <v>5292.9116998806076</v>
      </c>
      <c r="N150" s="9">
        <f>Table13[[#This Row],[Others]]/Table13[[#This Row],[NSDP Deflator (Base 2011-12)]]*100</f>
        <v>138.92039999686637</v>
      </c>
      <c r="O150" s="9">
        <f>SUM(Table13[[#This Row],[Adj. Organs of State (Base Price- 2011,12)]:[Adj. Others (Base Price- 2011-12)]])</f>
        <v>16090.039799637058</v>
      </c>
    </row>
    <row r="151" spans="1:15" x14ac:dyDescent="0.2">
      <c r="A151" s="7" t="s">
        <v>12</v>
      </c>
      <c r="B151" s="4">
        <v>442.12</v>
      </c>
      <c r="C151" s="4">
        <v>243.9</v>
      </c>
      <c r="D151" s="4">
        <v>4151.7</v>
      </c>
      <c r="E151" s="4">
        <v>2176.5700000000002</v>
      </c>
      <c r="F151" s="4">
        <v>3205.54</v>
      </c>
      <c r="G151" s="4">
        <v>0</v>
      </c>
      <c r="H151" s="14">
        <v>100</v>
      </c>
      <c r="I151" s="9">
        <f>Table13[[#This Row],[Organs of State]]/Table13[[#This Row],[NSDP Deflator (Base 2011-12)]]*100</f>
        <v>442.12</v>
      </c>
      <c r="J151" s="9">
        <f>Table13[[#This Row],[Fiscal Services]]/Table13[[#This Row],[NSDP Deflator (Base 2011-12)]]*100</f>
        <v>243.9</v>
      </c>
      <c r="K151" s="9">
        <f>Table13[[#This Row],[Interest Payment &amp; Servicing of Debt]]/Table13[[#This Row],[NSDP Deflator (Base 2011-12)]]*100</f>
        <v>4151.7</v>
      </c>
      <c r="L151" s="9">
        <f>Table13[[#This Row],[Administrative Services]]/Table13[[#This Row],[NSDP Deflator (Base 2011-12)]]*100</f>
        <v>2176.5700000000002</v>
      </c>
      <c r="M151" s="9">
        <f>Table13[[#This Row],[Pensions &amp; Miscsellaneous General Services ]]/Table13[[#This Row],[NSDP Deflator (Base 2011-12)]]*100</f>
        <v>3205.54</v>
      </c>
      <c r="N151" s="9">
        <f>Table13[[#This Row],[Others]]/Table13[[#This Row],[NSDP Deflator (Base 2011-12)]]*100</f>
        <v>0</v>
      </c>
      <c r="O151" s="9">
        <f>SUM(Table13[[#This Row],[Adj. Organs of State (Base Price- 2011,12)]:[Adj. Others (Base Price- 2011-12)]])</f>
        <v>10219.829999999998</v>
      </c>
    </row>
    <row r="152" spans="1:15" x14ac:dyDescent="0.2">
      <c r="A152" s="5" t="s">
        <v>11</v>
      </c>
      <c r="B152" s="4">
        <v>498.48</v>
      </c>
      <c r="C152" s="4">
        <v>270.57</v>
      </c>
      <c r="D152" s="4">
        <v>4955.32</v>
      </c>
      <c r="E152" s="4">
        <v>2530.69</v>
      </c>
      <c r="F152" s="4">
        <v>3641.69</v>
      </c>
      <c r="G152" s="4">
        <v>0</v>
      </c>
      <c r="H152" s="12">
        <v>108.48879102578024</v>
      </c>
      <c r="I152" s="9">
        <f>Table13[[#This Row],[Organs of State]]/Table13[[#This Row],[NSDP Deflator (Base 2011-12)]]*100</f>
        <v>459.47603921731047</v>
      </c>
      <c r="J152" s="9">
        <f>Table13[[#This Row],[Fiscal Services]]/Table13[[#This Row],[NSDP Deflator (Base 2011-12)]]*100</f>
        <v>249.39903693433573</v>
      </c>
      <c r="K152" s="9">
        <f>Table13[[#This Row],[Interest Payment &amp; Servicing of Debt]]/Table13[[#This Row],[NSDP Deflator (Base 2011-12)]]*100</f>
        <v>4567.5870780258438</v>
      </c>
      <c r="L152" s="9">
        <f>Table13[[#This Row],[Administrative Services]]/Table13[[#This Row],[NSDP Deflator (Base 2011-12)]]*100</f>
        <v>2332.6741648348088</v>
      </c>
      <c r="M152" s="9">
        <f>Table13[[#This Row],[Pensions &amp; Miscsellaneous General Services ]]/Table13[[#This Row],[NSDP Deflator (Base 2011-12)]]*100</f>
        <v>3356.7430935188718</v>
      </c>
      <c r="N152" s="9">
        <f>Table13[[#This Row],[Others]]/Table13[[#This Row],[NSDP Deflator (Base 2011-12)]]*100</f>
        <v>0</v>
      </c>
      <c r="O152" s="9">
        <f>SUM(Table13[[#This Row],[Adj. Organs of State (Base Price- 2011,12)]:[Adj. Others (Base Price- 2011-12)]])</f>
        <v>10965.879412531171</v>
      </c>
    </row>
    <row r="153" spans="1:15" x14ac:dyDescent="0.2">
      <c r="A153" s="7" t="s">
        <v>10</v>
      </c>
      <c r="B153" s="4">
        <v>560.77</v>
      </c>
      <c r="C153" s="4">
        <v>287.06</v>
      </c>
      <c r="D153" s="4">
        <v>5849.77</v>
      </c>
      <c r="E153" s="4">
        <v>2729.45</v>
      </c>
      <c r="F153" s="4">
        <v>4170.26</v>
      </c>
      <c r="G153" s="4">
        <v>0</v>
      </c>
      <c r="H153" s="14">
        <v>115.00810653247437</v>
      </c>
      <c r="I153" s="9">
        <f>Table13[[#This Row],[Organs of State]]/Table13[[#This Row],[NSDP Deflator (Base 2011-12)]]*100</f>
        <v>487.59171584279375</v>
      </c>
      <c r="J153" s="9">
        <f>Table13[[#This Row],[Fiscal Services]]/Table13[[#This Row],[NSDP Deflator (Base 2011-12)]]*100</f>
        <v>249.59979661863576</v>
      </c>
      <c r="K153" s="9">
        <f>Table13[[#This Row],[Interest Payment &amp; Servicing of Debt]]/Table13[[#This Row],[NSDP Deflator (Base 2011-12)]]*100</f>
        <v>5086.3979734752211</v>
      </c>
      <c r="L153" s="9">
        <f>Table13[[#This Row],[Administrative Services]]/Table13[[#This Row],[NSDP Deflator (Base 2011-12)]]*100</f>
        <v>2373.2674872177781</v>
      </c>
      <c r="M153" s="9">
        <f>Table13[[#This Row],[Pensions &amp; Miscsellaneous General Services ]]/Table13[[#This Row],[NSDP Deflator (Base 2011-12)]]*100</f>
        <v>3626.0574369359438</v>
      </c>
      <c r="N153" s="9">
        <f>Table13[[#This Row],[Others]]/Table13[[#This Row],[NSDP Deflator (Base 2011-12)]]*100</f>
        <v>0</v>
      </c>
      <c r="O153" s="9">
        <f>SUM(Table13[[#This Row],[Adj. Organs of State (Base Price- 2011,12)]:[Adj. Others (Base Price- 2011-12)]])</f>
        <v>11822.914410090372</v>
      </c>
    </row>
    <row r="154" spans="1:15" x14ac:dyDescent="0.2">
      <c r="A154" s="5" t="s">
        <v>9</v>
      </c>
      <c r="B154" s="4">
        <v>747.35</v>
      </c>
      <c r="C154" s="4">
        <v>334.51</v>
      </c>
      <c r="D154" s="4">
        <v>6928.27</v>
      </c>
      <c r="E154" s="4">
        <v>3498.45</v>
      </c>
      <c r="F154" s="4">
        <v>5256.15</v>
      </c>
      <c r="G154" s="4">
        <v>0</v>
      </c>
      <c r="H154" s="12">
        <v>117.87589214938538</v>
      </c>
      <c r="I154" s="9">
        <f>Table13[[#This Row],[Organs of State]]/Table13[[#This Row],[NSDP Deflator (Base 2011-12)]]*100</f>
        <v>634.01428941286429</v>
      </c>
      <c r="J154" s="9">
        <f>Table13[[#This Row],[Fiscal Services]]/Table13[[#This Row],[NSDP Deflator (Base 2011-12)]]*100</f>
        <v>283.78152131062717</v>
      </c>
      <c r="K154" s="9">
        <f>Table13[[#This Row],[Interest Payment &amp; Servicing of Debt]]/Table13[[#This Row],[NSDP Deflator (Base 2011-12)]]*100</f>
        <v>5877.5970842449533</v>
      </c>
      <c r="L154" s="9">
        <f>Table13[[#This Row],[Administrative Services]]/Table13[[#This Row],[NSDP Deflator (Base 2011-12)]]*100</f>
        <v>2967.9096685574832</v>
      </c>
      <c r="M154" s="9">
        <f>Table13[[#This Row],[Pensions &amp; Miscsellaneous General Services ]]/Table13[[#This Row],[NSDP Deflator (Base 2011-12)]]*100</f>
        <v>4459.0542681440102</v>
      </c>
      <c r="N154" s="9">
        <f>Table13[[#This Row],[Others]]/Table13[[#This Row],[NSDP Deflator (Base 2011-12)]]*100</f>
        <v>0</v>
      </c>
      <c r="O154" s="9">
        <f>SUM(Table13[[#This Row],[Adj. Organs of State (Base Price- 2011,12)]:[Adj. Others (Base Price- 2011-12)]])</f>
        <v>14222.356831669938</v>
      </c>
    </row>
    <row r="155" spans="1:15" x14ac:dyDescent="0.2">
      <c r="A155" s="7" t="s">
        <v>8</v>
      </c>
      <c r="B155" s="4">
        <v>742.66</v>
      </c>
      <c r="C155" s="4">
        <v>361.32</v>
      </c>
      <c r="D155" s="4">
        <v>8546.5499999999993</v>
      </c>
      <c r="E155" s="4">
        <v>3620.39</v>
      </c>
      <c r="F155" s="4">
        <v>5442.4</v>
      </c>
      <c r="G155" s="4">
        <v>0</v>
      </c>
      <c r="H155" s="14">
        <v>119.68304824050963</v>
      </c>
      <c r="I155" s="9">
        <f>Table13[[#This Row],[Organs of State]]/Table13[[#This Row],[NSDP Deflator (Base 2011-12)]]*100</f>
        <v>620.52229694850689</v>
      </c>
      <c r="J155" s="9">
        <f>Table13[[#This Row],[Fiscal Services]]/Table13[[#This Row],[NSDP Deflator (Base 2011-12)]]*100</f>
        <v>301.89739091028804</v>
      </c>
      <c r="K155" s="9">
        <f>Table13[[#This Row],[Interest Payment &amp; Servicing of Debt]]/Table13[[#This Row],[NSDP Deflator (Base 2011-12)]]*100</f>
        <v>7140.9862345962638</v>
      </c>
      <c r="L155" s="9">
        <f>Table13[[#This Row],[Administrative Services]]/Table13[[#This Row],[NSDP Deflator (Base 2011-12)]]*100</f>
        <v>3024.9814432572171</v>
      </c>
      <c r="M155" s="9">
        <f>Table13[[#This Row],[Pensions &amp; Miscsellaneous General Services ]]/Table13[[#This Row],[NSDP Deflator (Base 2011-12)]]*100</f>
        <v>4547.3440725399969</v>
      </c>
      <c r="N155" s="9">
        <f>Table13[[#This Row],[Others]]/Table13[[#This Row],[NSDP Deflator (Base 2011-12)]]*100</f>
        <v>0</v>
      </c>
      <c r="O155" s="9">
        <f>SUM(Table13[[#This Row],[Adj. Organs of State (Base Price- 2011,12)]:[Adj. Others (Base Price- 2011-12)]])</f>
        <v>15635.731438252271</v>
      </c>
    </row>
    <row r="156" spans="1:15" x14ac:dyDescent="0.2">
      <c r="A156" s="5" t="s">
        <v>7</v>
      </c>
      <c r="B156" s="4">
        <v>818.43</v>
      </c>
      <c r="C156" s="4">
        <v>392.3</v>
      </c>
      <c r="D156" s="4">
        <v>10541.91</v>
      </c>
      <c r="E156" s="4">
        <v>4178.55</v>
      </c>
      <c r="F156" s="4">
        <v>5699.59</v>
      </c>
      <c r="G156" s="4">
        <v>0</v>
      </c>
      <c r="H156" s="12">
        <v>123.10895822500424</v>
      </c>
      <c r="I156" s="9">
        <f>Table13[[#This Row],[Organs of State]]/Table13[[#This Row],[NSDP Deflator (Base 2011-12)]]*100</f>
        <v>664.80133679968981</v>
      </c>
      <c r="J156" s="9">
        <f>Table13[[#This Row],[Fiscal Services]]/Table13[[#This Row],[NSDP Deflator (Base 2011-12)]]*100</f>
        <v>318.66080718756444</v>
      </c>
      <c r="K156" s="9">
        <f>Table13[[#This Row],[Interest Payment &amp; Servicing of Debt]]/Table13[[#This Row],[NSDP Deflator (Base 2011-12)]]*100</f>
        <v>8563.0730305854122</v>
      </c>
      <c r="L156" s="9">
        <f>Table13[[#This Row],[Administrative Services]]/Table13[[#This Row],[NSDP Deflator (Base 2011-12)]]*100</f>
        <v>3394.1884167055755</v>
      </c>
      <c r="M156" s="9">
        <f>Table13[[#This Row],[Pensions &amp; Miscsellaneous General Services ]]/Table13[[#This Row],[NSDP Deflator (Base 2011-12)]]*100</f>
        <v>4629.7118277801947</v>
      </c>
      <c r="N156" s="9">
        <f>Table13[[#This Row],[Others]]/Table13[[#This Row],[NSDP Deflator (Base 2011-12)]]*100</f>
        <v>0</v>
      </c>
      <c r="O156" s="9">
        <f>SUM(Table13[[#This Row],[Adj. Organs of State (Base Price- 2011,12)]:[Adj. Others (Base Price- 2011-12)]])</f>
        <v>17570.435419058434</v>
      </c>
    </row>
    <row r="157" spans="1:15" x14ac:dyDescent="0.2">
      <c r="A157" s="7" t="s">
        <v>6</v>
      </c>
      <c r="B157" s="4">
        <v>934.06</v>
      </c>
      <c r="C157" s="4">
        <v>432.87</v>
      </c>
      <c r="D157" s="4">
        <v>11961.27</v>
      </c>
      <c r="E157" s="4">
        <v>4572.76</v>
      </c>
      <c r="F157" s="4">
        <v>8797.7099999999991</v>
      </c>
      <c r="G157" s="4">
        <v>0</v>
      </c>
      <c r="H157" s="14">
        <v>133.44272223062191</v>
      </c>
      <c r="I157" s="9">
        <f>Table13[[#This Row],[Organs of State]]/Table13[[#This Row],[NSDP Deflator (Base 2011-12)]]*100</f>
        <v>699.97073230094486</v>
      </c>
      <c r="J157" s="9">
        <f>Table13[[#This Row],[Fiscal Services]]/Table13[[#This Row],[NSDP Deflator (Base 2011-12)]]*100</f>
        <v>324.38636799682035</v>
      </c>
      <c r="K157" s="9">
        <f>Table13[[#This Row],[Interest Payment &amp; Servicing of Debt]]/Table13[[#This Row],[NSDP Deflator (Base 2011-12)]]*100</f>
        <v>8963.598613739292</v>
      </c>
      <c r="L157" s="9">
        <f>Table13[[#This Row],[Administrative Services]]/Table13[[#This Row],[NSDP Deflator (Base 2011-12)]]*100</f>
        <v>3426.7586298915157</v>
      </c>
      <c r="M157" s="9">
        <f>Table13[[#This Row],[Pensions &amp; Miscsellaneous General Services ]]/Table13[[#This Row],[NSDP Deflator (Base 2011-12)]]*100</f>
        <v>6592.8735962051105</v>
      </c>
      <c r="N157" s="9">
        <f>Table13[[#This Row],[Others]]/Table13[[#This Row],[NSDP Deflator (Base 2011-12)]]*100</f>
        <v>0</v>
      </c>
      <c r="O157" s="9">
        <f>SUM(Table13[[#This Row],[Adj. Organs of State (Base Price- 2011,12)]:[Adj. Others (Base Price- 2011-12)]])</f>
        <v>20007.587940133682</v>
      </c>
    </row>
    <row r="158" spans="1:15" x14ac:dyDescent="0.2">
      <c r="A158" s="5" t="s">
        <v>5</v>
      </c>
      <c r="B158" s="4">
        <v>1030.75</v>
      </c>
      <c r="C158" s="4">
        <v>485.93</v>
      </c>
      <c r="D158" s="4">
        <v>13551.46</v>
      </c>
      <c r="E158" s="4">
        <v>4960.6400000000003</v>
      </c>
      <c r="F158" s="4">
        <v>8140.19</v>
      </c>
      <c r="G158" s="4">
        <v>0</v>
      </c>
      <c r="H158" s="12">
        <v>131.49581338195148</v>
      </c>
      <c r="I158" s="9">
        <f>Table13[[#This Row],[Organs of State]]/Table13[[#This Row],[NSDP Deflator (Base 2011-12)]]*100</f>
        <v>783.86526041404454</v>
      </c>
      <c r="J158" s="9">
        <f>Table13[[#This Row],[Fiscal Services]]/Table13[[#This Row],[NSDP Deflator (Base 2011-12)]]*100</f>
        <v>369.54028231190557</v>
      </c>
      <c r="K158" s="9">
        <f>Table13[[#This Row],[Interest Payment &amp; Servicing of Debt]]/Table13[[#This Row],[NSDP Deflator (Base 2011-12)]]*100</f>
        <v>10305.620879835564</v>
      </c>
      <c r="L158" s="9">
        <f>Table13[[#This Row],[Administrative Services]]/Table13[[#This Row],[NSDP Deflator (Base 2011-12)]]*100</f>
        <v>3772.4699155181434</v>
      </c>
      <c r="M158" s="9">
        <f>Table13[[#This Row],[Pensions &amp; Miscsellaneous General Services ]]/Table13[[#This Row],[NSDP Deflator (Base 2011-12)]]*100</f>
        <v>6190.4556431431492</v>
      </c>
      <c r="N158" s="9">
        <f>Table13[[#This Row],[Others]]/Table13[[#This Row],[NSDP Deflator (Base 2011-12)]]*100</f>
        <v>0</v>
      </c>
      <c r="O158" s="9">
        <f>SUM(Table13[[#This Row],[Adj. Organs of State (Base Price- 2011,12)]:[Adj. Others (Base Price- 2011-12)]])</f>
        <v>21421.951981222806</v>
      </c>
    </row>
    <row r="159" spans="1:15" x14ac:dyDescent="0.2">
      <c r="A159" s="7" t="s">
        <v>4</v>
      </c>
      <c r="B159" s="4">
        <v>1176.6099999999999</v>
      </c>
      <c r="C159" s="4">
        <v>530.08000000000004</v>
      </c>
      <c r="D159" s="4">
        <v>15588.01</v>
      </c>
      <c r="E159" s="4">
        <v>5606.89</v>
      </c>
      <c r="F159" s="4">
        <v>8982.36</v>
      </c>
      <c r="G159" s="4">
        <v>0</v>
      </c>
      <c r="H159" s="14">
        <v>136.17008000763497</v>
      </c>
      <c r="I159" s="9">
        <f>Table13[[#This Row],[Organs of State]]/Table13[[#This Row],[NSDP Deflator (Base 2011-12)]]*100</f>
        <v>864.07381117351781</v>
      </c>
      <c r="J159" s="9">
        <f>Table13[[#This Row],[Fiscal Services]]/Table13[[#This Row],[NSDP Deflator (Base 2011-12)]]*100</f>
        <v>389.27787952410603</v>
      </c>
      <c r="K159" s="9">
        <f>Table13[[#This Row],[Interest Payment &amp; Servicing of Debt]]/Table13[[#This Row],[NSDP Deflator (Base 2011-12)]]*100</f>
        <v>11447.456004377755</v>
      </c>
      <c r="L159" s="9">
        <f>Table13[[#This Row],[Administrative Services]]/Table13[[#This Row],[NSDP Deflator (Base 2011-12)]]*100</f>
        <v>4117.5638581438934</v>
      </c>
      <c r="M159" s="9">
        <f>Table13[[#This Row],[Pensions &amp; Miscsellaneous General Services ]]/Table13[[#This Row],[NSDP Deflator (Base 2011-12)]]*100</f>
        <v>6596.4270561465228</v>
      </c>
      <c r="N159" s="9">
        <f>Table13[[#This Row],[Others]]/Table13[[#This Row],[NSDP Deflator (Base 2011-12)]]*100</f>
        <v>0</v>
      </c>
      <c r="O159" s="9">
        <f>SUM(Table13[[#This Row],[Adj. Organs of State (Base Price- 2011,12)]:[Adj. Others (Base Price- 2011-12)]])</f>
        <v>23414.798609365796</v>
      </c>
    </row>
    <row r="160" spans="1:15" x14ac:dyDescent="0.2">
      <c r="A160" s="5" t="s">
        <v>3</v>
      </c>
      <c r="B160" s="4">
        <v>1049.8399999999999</v>
      </c>
      <c r="C160" s="4">
        <v>610.33000000000004</v>
      </c>
      <c r="D160" s="4">
        <v>17114.669999999998</v>
      </c>
      <c r="E160" s="4">
        <v>5862.75</v>
      </c>
      <c r="F160" s="4">
        <v>10096.58</v>
      </c>
      <c r="G160" s="4">
        <v>0</v>
      </c>
      <c r="H160" s="12">
        <v>148.97605645402737</v>
      </c>
      <c r="I160" s="9">
        <f>Table13[[#This Row],[Organs of State]]/Table13[[#This Row],[NSDP Deflator (Base 2011-12)]]*100</f>
        <v>704.70384636874235</v>
      </c>
      <c r="J160" s="9">
        <f>Table13[[#This Row],[Fiscal Services]]/Table13[[#This Row],[NSDP Deflator (Base 2011-12)]]*100</f>
        <v>409.68328369488171</v>
      </c>
      <c r="K160" s="9">
        <f>Table13[[#This Row],[Interest Payment &amp; Servicing of Debt]]/Table13[[#This Row],[NSDP Deflator (Base 2011-12)]]*100</f>
        <v>11488.201800590303</v>
      </c>
      <c r="L160" s="9">
        <f>Table13[[#This Row],[Administrative Services]]/Table13[[#This Row],[NSDP Deflator (Base 2011-12)]]*100</f>
        <v>3935.3639366935381</v>
      </c>
      <c r="M160" s="9">
        <f>Table13[[#This Row],[Pensions &amp; Miscsellaneous General Services ]]/Table13[[#This Row],[NSDP Deflator (Base 2011-12)]]*100</f>
        <v>6777.3172685073123</v>
      </c>
      <c r="N160" s="9">
        <f>Table13[[#This Row],[Others]]/Table13[[#This Row],[NSDP Deflator (Base 2011-12)]]*100</f>
        <v>0</v>
      </c>
      <c r="O160" s="9">
        <f>SUM(Table13[[#This Row],[Adj. Organs of State (Base Price- 2011,12)]:[Adj. Others (Base Price- 2011-12)]])</f>
        <v>23315.270135854775</v>
      </c>
    </row>
    <row r="161" spans="1:15" x14ac:dyDescent="0.2">
      <c r="A161" s="7" t="s">
        <v>2</v>
      </c>
      <c r="B161" s="4">
        <v>1194.49</v>
      </c>
      <c r="C161" s="4">
        <v>647.83000000000004</v>
      </c>
      <c r="D161" s="4">
        <v>18861.599999999999</v>
      </c>
      <c r="E161" s="4">
        <v>6624.99</v>
      </c>
      <c r="F161" s="4">
        <v>10618.98</v>
      </c>
      <c r="G161" s="4">
        <v>0</v>
      </c>
      <c r="H161" s="14">
        <v>162.12673427929735</v>
      </c>
      <c r="I161" s="9">
        <f>Table13[[#This Row],[Organs of State]]/Table13[[#This Row],[NSDP Deflator (Base 2011-12)]]*100</f>
        <v>736.76312873991537</v>
      </c>
      <c r="J161" s="9">
        <f>Table13[[#This Row],[Fiscal Services]]/Table13[[#This Row],[NSDP Deflator (Base 2011-12)]]*100</f>
        <v>399.58246422454721</v>
      </c>
      <c r="K161" s="9">
        <f>Table13[[#This Row],[Interest Payment &amp; Servicing of Debt]]/Table13[[#This Row],[NSDP Deflator (Base 2011-12)]]*100</f>
        <v>11633.861672379664</v>
      </c>
      <c r="L161" s="9">
        <f>Table13[[#This Row],[Administrative Services]]/Table13[[#This Row],[NSDP Deflator (Base 2011-12)]]*100</f>
        <v>4086.3032426145483</v>
      </c>
      <c r="M161" s="9">
        <f>Table13[[#This Row],[Pensions &amp; Miscsellaneous General Services ]]/Table13[[#This Row],[NSDP Deflator (Base 2011-12)]]*100</f>
        <v>6549.8019479665691</v>
      </c>
      <c r="N161" s="9">
        <f>Table13[[#This Row],[Others]]/Table13[[#This Row],[NSDP Deflator (Base 2011-12)]]*100</f>
        <v>0</v>
      </c>
      <c r="O161" s="9">
        <f>SUM(Table13[[#This Row],[Adj. Organs of State (Base Price- 2011,12)]:[Adj. Others (Base Price- 2011-12)]])</f>
        <v>23406.312455925246</v>
      </c>
    </row>
    <row r="162" spans="1:15" x14ac:dyDescent="0.2">
      <c r="A162" s="5" t="s">
        <v>1</v>
      </c>
      <c r="B162" s="4">
        <v>1573.02</v>
      </c>
      <c r="C162" s="4">
        <v>716.56</v>
      </c>
      <c r="D162" s="4">
        <v>21289.02</v>
      </c>
      <c r="E162" s="4">
        <v>7986.95</v>
      </c>
      <c r="F162" s="4">
        <v>12850.71</v>
      </c>
      <c r="G162" s="4">
        <v>0</v>
      </c>
      <c r="H162" s="12">
        <v>170.48155511465546</v>
      </c>
      <c r="I162" s="9">
        <f>Table13[[#This Row],[Organs of State]]/Table13[[#This Row],[NSDP Deflator (Base 2011-12)]]*100</f>
        <v>922.6921932651793</v>
      </c>
      <c r="J162" s="9">
        <f>Table13[[#This Row],[Fiscal Services]]/Table13[[#This Row],[NSDP Deflator (Base 2011-12)]]*100</f>
        <v>420.31526490832721</v>
      </c>
      <c r="K162" s="9">
        <f>Table13[[#This Row],[Interest Payment &amp; Servicing of Debt]]/Table13[[#This Row],[NSDP Deflator (Base 2011-12)]]*100</f>
        <v>12487.579659677733</v>
      </c>
      <c r="L162" s="9">
        <f>Table13[[#This Row],[Administrative Services]]/Table13[[#This Row],[NSDP Deflator (Base 2011-12)]]*100</f>
        <v>4684.9349741257729</v>
      </c>
      <c r="M162" s="9">
        <f>Table13[[#This Row],[Pensions &amp; Miscsellaneous General Services ]]/Table13[[#This Row],[NSDP Deflator (Base 2011-12)]]*100</f>
        <v>7537.8887712265396</v>
      </c>
      <c r="N162" s="9">
        <f>Table13[[#This Row],[Others]]/Table13[[#This Row],[NSDP Deflator (Base 2011-12)]]*100</f>
        <v>0</v>
      </c>
      <c r="O162" s="9">
        <f>SUM(Table13[[#This Row],[Adj. Organs of State (Base Price- 2011,12)]:[Adj. Others (Base Price- 2011-12)]])</f>
        <v>26053.41086320355</v>
      </c>
    </row>
    <row r="165" spans="1:15" x14ac:dyDescent="0.2">
      <c r="A165" s="3" t="s">
        <v>0</v>
      </c>
      <c r="B165" s="4" t="s">
        <v>155</v>
      </c>
      <c r="C165" s="4" t="s">
        <v>156</v>
      </c>
      <c r="D165" s="4" t="s">
        <v>157</v>
      </c>
      <c r="E165" s="4" t="s">
        <v>158</v>
      </c>
      <c r="F165" s="4" t="s">
        <v>159</v>
      </c>
      <c r="G165" s="4" t="s">
        <v>160</v>
      </c>
      <c r="H165" s="4" t="s">
        <v>102</v>
      </c>
    </row>
    <row r="166" spans="1:15" x14ac:dyDescent="0.2">
      <c r="A166" s="5" t="s">
        <v>19</v>
      </c>
      <c r="B166" s="4">
        <f t="shared" ref="B166:B184" si="7">I144/O144*100</f>
        <v>2.0620023608113338</v>
      </c>
      <c r="C166" s="4">
        <f t="shared" ref="C166:C184" si="8">J144/O144*100</f>
        <v>2.0770329932402234</v>
      </c>
      <c r="D166" s="4">
        <f t="shared" ref="D166:D184" si="9">K144/O144*100</f>
        <v>45.820782755255216</v>
      </c>
      <c r="E166" s="4">
        <f t="shared" ref="E166:E184" si="10">L144/O144*100</f>
        <v>16.047304406380206</v>
      </c>
      <c r="F166" s="4">
        <f t="shared" ref="F166:F184" si="11">M144/O144*100</f>
        <v>32.154931750908354</v>
      </c>
      <c r="G166" s="4">
        <f t="shared" ref="G166:G184" si="12">N144/O144*100</f>
        <v>1.8379457334046789</v>
      </c>
      <c r="H166" s="4">
        <f>SUM(Table14[[#This Row],[Organs of State as %]:[Others as %]])</f>
        <v>100.00000000000001</v>
      </c>
    </row>
    <row r="167" spans="1:15" x14ac:dyDescent="0.2">
      <c r="A167" s="7" t="s">
        <v>18</v>
      </c>
      <c r="B167" s="4">
        <f t="shared" si="7"/>
        <v>2.6466343515828656</v>
      </c>
      <c r="C167" s="4">
        <f t="shared" si="8"/>
        <v>2.3488828105426407</v>
      </c>
      <c r="D167" s="4">
        <f t="shared" si="9"/>
        <v>44.346551320728928</v>
      </c>
      <c r="E167" s="4">
        <f t="shared" si="10"/>
        <v>19.642076972293367</v>
      </c>
      <c r="F167" s="4">
        <f t="shared" si="11"/>
        <v>25.842266224663685</v>
      </c>
      <c r="G167" s="4">
        <f t="shared" si="12"/>
        <v>5.1735883201885073</v>
      </c>
      <c r="H167" s="4">
        <f>SUM(Table14[[#This Row],[Organs of State as %]:[Others as %]])</f>
        <v>100</v>
      </c>
    </row>
    <row r="168" spans="1:15" x14ac:dyDescent="0.2">
      <c r="A168" s="5" t="s">
        <v>17</v>
      </c>
      <c r="B168" s="4">
        <f t="shared" si="7"/>
        <v>2.8265962167573084</v>
      </c>
      <c r="C168" s="4">
        <f t="shared" si="8"/>
        <v>2.76178780404743</v>
      </c>
      <c r="D168" s="4">
        <f t="shared" si="9"/>
        <v>47.802602656319337</v>
      </c>
      <c r="E168" s="4">
        <f t="shared" si="10"/>
        <v>22.220410522079231</v>
      </c>
      <c r="F168" s="4">
        <f t="shared" si="11"/>
        <v>24.38860280079669</v>
      </c>
      <c r="G168" s="4">
        <f t="shared" si="12"/>
        <v>0</v>
      </c>
      <c r="H168" s="4">
        <f>SUM(Table14[[#This Row],[Organs of State as %]:[Others as %]])</f>
        <v>100</v>
      </c>
    </row>
    <row r="169" spans="1:15" x14ac:dyDescent="0.2">
      <c r="A169" s="7" t="s">
        <v>16</v>
      </c>
      <c r="B169" s="4">
        <f t="shared" si="7"/>
        <v>2.9351528478420215</v>
      </c>
      <c r="C169" s="4">
        <f t="shared" si="8"/>
        <v>2.6051322956639216</v>
      </c>
      <c r="D169" s="4">
        <f t="shared" si="9"/>
        <v>43.039925839693012</v>
      </c>
      <c r="E169" s="4">
        <f t="shared" si="10"/>
        <v>22.033587720432894</v>
      </c>
      <c r="F169" s="4">
        <f t="shared" si="11"/>
        <v>23.33821986518921</v>
      </c>
      <c r="G169" s="4">
        <f t="shared" si="12"/>
        <v>6.0479814311789486</v>
      </c>
      <c r="H169" s="4">
        <f>SUM(Table14[[#This Row],[Organs of State as %]:[Others as %]])</f>
        <v>100</v>
      </c>
    </row>
    <row r="170" spans="1:15" x14ac:dyDescent="0.2">
      <c r="A170" s="5" t="s">
        <v>15</v>
      </c>
      <c r="B170" s="4">
        <f t="shared" si="7"/>
        <v>3.7349465165658424</v>
      </c>
      <c r="C170" s="4">
        <f t="shared" si="8"/>
        <v>3.049557309402668</v>
      </c>
      <c r="D170" s="4">
        <f t="shared" si="9"/>
        <v>38.24109610993149</v>
      </c>
      <c r="E170" s="4">
        <f t="shared" si="10"/>
        <v>25.633908897880687</v>
      </c>
      <c r="F170" s="4">
        <f t="shared" si="11"/>
        <v>25.882616882336439</v>
      </c>
      <c r="G170" s="4">
        <f t="shared" si="12"/>
        <v>3.4578742838828571</v>
      </c>
      <c r="H170" s="4">
        <f>SUM(Table14[[#This Row],[Organs of State as %]:[Others as %]])</f>
        <v>99.999999999999986</v>
      </c>
    </row>
    <row r="171" spans="1:15" x14ac:dyDescent="0.2">
      <c r="A171" s="7" t="s">
        <v>14</v>
      </c>
      <c r="B171" s="4">
        <f t="shared" si="7"/>
        <v>3.7923389029104499</v>
      </c>
      <c r="C171" s="4">
        <f t="shared" si="8"/>
        <v>2.9593942685537202</v>
      </c>
      <c r="D171" s="4">
        <f t="shared" si="9"/>
        <v>35.896744512954861</v>
      </c>
      <c r="E171" s="4">
        <f t="shared" si="10"/>
        <v>25.901408900674099</v>
      </c>
      <c r="F171" s="4">
        <f t="shared" si="11"/>
        <v>30.556723427366538</v>
      </c>
      <c r="G171" s="4">
        <f t="shared" si="12"/>
        <v>0.89338998754033416</v>
      </c>
      <c r="H171" s="4">
        <f>SUM(Table14[[#This Row],[Organs of State as %]:[Others as %]])</f>
        <v>100</v>
      </c>
    </row>
    <row r="172" spans="1:15" x14ac:dyDescent="0.2">
      <c r="A172" s="5" t="s">
        <v>13</v>
      </c>
      <c r="B172" s="4">
        <f t="shared" si="7"/>
        <v>3.9070587009983648</v>
      </c>
      <c r="C172" s="4">
        <f t="shared" si="8"/>
        <v>2.6550102132127726</v>
      </c>
      <c r="D172" s="4">
        <f t="shared" si="9"/>
        <v>36.39177076491756</v>
      </c>
      <c r="E172" s="4">
        <f t="shared" si="10"/>
        <v>23.287187891231937</v>
      </c>
      <c r="F172" s="4">
        <f t="shared" si="11"/>
        <v>32.895578667244813</v>
      </c>
      <c r="G172" s="4">
        <f t="shared" si="12"/>
        <v>0.86339376239454657</v>
      </c>
      <c r="H172" s="4">
        <f>SUM(Table14[[#This Row],[Organs of State as %]:[Others as %]])</f>
        <v>100.00000000000001</v>
      </c>
    </row>
    <row r="173" spans="1:15" x14ac:dyDescent="0.2">
      <c r="A173" s="7" t="s">
        <v>12</v>
      </c>
      <c r="B173" s="4">
        <f t="shared" si="7"/>
        <v>4.3260993578171067</v>
      </c>
      <c r="C173" s="4">
        <f t="shared" si="8"/>
        <v>2.3865367623531903</v>
      </c>
      <c r="D173" s="4">
        <f t="shared" si="9"/>
        <v>40.623963412307255</v>
      </c>
      <c r="E173" s="4">
        <f t="shared" si="10"/>
        <v>21.297516690590747</v>
      </c>
      <c r="F173" s="4">
        <f t="shared" si="11"/>
        <v>31.365883776931714</v>
      </c>
      <c r="G173" s="4">
        <f t="shared" si="12"/>
        <v>0</v>
      </c>
      <c r="H173" s="4">
        <f>SUM(Table14[[#This Row],[Organs of State as %]:[Others as %]])</f>
        <v>100.00000000000001</v>
      </c>
    </row>
    <row r="174" spans="1:15" x14ac:dyDescent="0.2">
      <c r="A174" s="5" t="s">
        <v>11</v>
      </c>
      <c r="B174" s="4">
        <f t="shared" si="7"/>
        <v>4.1900519049320195</v>
      </c>
      <c r="C174" s="4">
        <f t="shared" si="8"/>
        <v>2.2743186164288565</v>
      </c>
      <c r="D174" s="4">
        <f t="shared" si="9"/>
        <v>41.652720280748937</v>
      </c>
      <c r="E174" s="4">
        <f t="shared" si="10"/>
        <v>21.272112131464478</v>
      </c>
      <c r="F174" s="4">
        <f t="shared" si="11"/>
        <v>30.610797066425704</v>
      </c>
      <c r="G174" s="4">
        <f t="shared" si="12"/>
        <v>0</v>
      </c>
      <c r="H174" s="4">
        <f>SUM(Table14[[#This Row],[Organs of State as %]:[Others as %]])</f>
        <v>100</v>
      </c>
    </row>
    <row r="175" spans="1:15" x14ac:dyDescent="0.2">
      <c r="A175" s="7" t="s">
        <v>10</v>
      </c>
      <c r="B175" s="4">
        <f t="shared" si="7"/>
        <v>4.124124551106064</v>
      </c>
      <c r="C175" s="4">
        <f t="shared" si="8"/>
        <v>2.1111528677363394</v>
      </c>
      <c r="D175" s="4">
        <f t="shared" si="9"/>
        <v>43.021524110283579</v>
      </c>
      <c r="E175" s="4">
        <f t="shared" si="10"/>
        <v>20.073455705577061</v>
      </c>
      <c r="F175" s="4">
        <f t="shared" si="11"/>
        <v>30.669742765296959</v>
      </c>
      <c r="G175" s="4">
        <f t="shared" si="12"/>
        <v>0</v>
      </c>
      <c r="H175" s="4">
        <f>SUM(Table14[[#This Row],[Organs of State as %]:[Others as %]])</f>
        <v>100</v>
      </c>
    </row>
    <row r="176" spans="1:15" x14ac:dyDescent="0.2">
      <c r="A176" s="5" t="s">
        <v>9</v>
      </c>
      <c r="B176" s="4">
        <f t="shared" si="7"/>
        <v>4.4578707799051935</v>
      </c>
      <c r="C176" s="4">
        <f t="shared" si="8"/>
        <v>1.995319936557284</v>
      </c>
      <c r="D176" s="4">
        <f t="shared" si="9"/>
        <v>41.326463354912377</v>
      </c>
      <c r="E176" s="4">
        <f t="shared" si="10"/>
        <v>20.867917347908378</v>
      </c>
      <c r="F176" s="4">
        <f t="shared" si="11"/>
        <v>31.352428580716772</v>
      </c>
      <c r="G176" s="4">
        <f t="shared" si="12"/>
        <v>0</v>
      </c>
      <c r="H176" s="4">
        <f>SUM(Table14[[#This Row],[Organs of State as %]:[Others as %]])</f>
        <v>100.00000000000001</v>
      </c>
    </row>
    <row r="177" spans="1:8" x14ac:dyDescent="0.2">
      <c r="A177" s="7" t="s">
        <v>8</v>
      </c>
      <c r="B177" s="4">
        <f t="shared" si="7"/>
        <v>3.9686170064959079</v>
      </c>
      <c r="C177" s="4">
        <f t="shared" si="8"/>
        <v>1.9308171933147087</v>
      </c>
      <c r="D177" s="4">
        <f t="shared" si="9"/>
        <v>45.670944546451409</v>
      </c>
      <c r="E177" s="4">
        <f t="shared" si="10"/>
        <v>19.346593763159078</v>
      </c>
      <c r="F177" s="4">
        <f t="shared" si="11"/>
        <v>29.08302749057891</v>
      </c>
      <c r="G177" s="4">
        <f t="shared" si="12"/>
        <v>0</v>
      </c>
      <c r="H177" s="4">
        <f>SUM(Table14[[#This Row],[Organs of State as %]:[Others as %]])</f>
        <v>100.00000000000001</v>
      </c>
    </row>
    <row r="178" spans="1:8" x14ac:dyDescent="0.2">
      <c r="A178" s="5" t="s">
        <v>7</v>
      </c>
      <c r="B178" s="4">
        <f t="shared" si="7"/>
        <v>3.7836360963404925</v>
      </c>
      <c r="C178" s="4">
        <f t="shared" si="8"/>
        <v>1.8136192962066096</v>
      </c>
      <c r="D178" s="4">
        <f t="shared" si="9"/>
        <v>48.735690529883811</v>
      </c>
      <c r="E178" s="4">
        <f t="shared" si="10"/>
        <v>19.317611292796656</v>
      </c>
      <c r="F178" s="4">
        <f t="shared" si="11"/>
        <v>26.349442784772442</v>
      </c>
      <c r="G178" s="4">
        <f t="shared" si="12"/>
        <v>0</v>
      </c>
      <c r="H178" s="4">
        <f>SUM(Table14[[#This Row],[Organs of State as %]:[Others as %]])</f>
        <v>100</v>
      </c>
    </row>
    <row r="179" spans="1:8" x14ac:dyDescent="0.2">
      <c r="A179" s="7" t="s">
        <v>6</v>
      </c>
      <c r="B179" s="4">
        <f t="shared" si="7"/>
        <v>3.4985263310869041</v>
      </c>
      <c r="C179" s="4">
        <f t="shared" si="8"/>
        <v>1.6213167172746807</v>
      </c>
      <c r="D179" s="4">
        <f t="shared" si="9"/>
        <v>44.800995705029507</v>
      </c>
      <c r="E179" s="4">
        <f t="shared" si="10"/>
        <v>17.127295104962158</v>
      </c>
      <c r="F179" s="4">
        <f t="shared" si="11"/>
        <v>32.951866141646761</v>
      </c>
      <c r="G179" s="4">
        <f t="shared" si="12"/>
        <v>0</v>
      </c>
      <c r="H179" s="4">
        <f>SUM(Table14[[#This Row],[Organs of State as %]:[Others as %]])</f>
        <v>100.00000000000001</v>
      </c>
    </row>
    <row r="180" spans="1:8" x14ac:dyDescent="0.2">
      <c r="A180" s="5" t="s">
        <v>5</v>
      </c>
      <c r="B180" s="4">
        <f t="shared" si="7"/>
        <v>3.659168226598275</v>
      </c>
      <c r="C180" s="4">
        <f t="shared" si="8"/>
        <v>1.7250541997098225</v>
      </c>
      <c r="D180" s="4">
        <f t="shared" si="9"/>
        <v>48.107758288641719</v>
      </c>
      <c r="E180" s="4">
        <f t="shared" si="10"/>
        <v>17.610299560118815</v>
      </c>
      <c r="F180" s="4">
        <f t="shared" si="11"/>
        <v>28.89771972493137</v>
      </c>
      <c r="G180" s="4">
        <f t="shared" si="12"/>
        <v>0</v>
      </c>
      <c r="H180" s="4">
        <f>SUM(Table14[[#This Row],[Organs of State as %]:[Others as %]])</f>
        <v>100</v>
      </c>
    </row>
    <row r="181" spans="1:8" x14ac:dyDescent="0.2">
      <c r="A181" s="7" t="s">
        <v>4</v>
      </c>
      <c r="B181" s="4">
        <f t="shared" si="7"/>
        <v>3.6902893148433606</v>
      </c>
      <c r="C181" s="4">
        <f t="shared" si="8"/>
        <v>1.6625292662922879</v>
      </c>
      <c r="D181" s="4">
        <f t="shared" si="9"/>
        <v>48.889833286026352</v>
      </c>
      <c r="E181" s="4">
        <f t="shared" si="10"/>
        <v>17.585305459329849</v>
      </c>
      <c r="F181" s="4">
        <f t="shared" si="11"/>
        <v>28.172042673508141</v>
      </c>
      <c r="G181" s="4">
        <f t="shared" si="12"/>
        <v>0</v>
      </c>
      <c r="H181" s="4">
        <f>SUM(Table14[[#This Row],[Organs of State as %]:[Others as %]])</f>
        <v>100</v>
      </c>
    </row>
    <row r="182" spans="1:8" x14ac:dyDescent="0.2">
      <c r="A182" s="5" t="s">
        <v>3</v>
      </c>
      <c r="B182" s="4">
        <f t="shared" si="7"/>
        <v>3.0224991701255566</v>
      </c>
      <c r="C182" s="4">
        <f t="shared" si="8"/>
        <v>1.7571457731680364</v>
      </c>
      <c r="D182" s="4">
        <f t="shared" si="9"/>
        <v>49.273294856333123</v>
      </c>
      <c r="E182" s="4">
        <f t="shared" si="10"/>
        <v>16.878912033884792</v>
      </c>
      <c r="F182" s="4">
        <f t="shared" si="11"/>
        <v>29.068148166488506</v>
      </c>
      <c r="G182" s="4">
        <f t="shared" si="12"/>
        <v>0</v>
      </c>
      <c r="H182" s="4">
        <f>SUM(Table14[[#This Row],[Organs of State as %]:[Others as %]])</f>
        <v>100</v>
      </c>
    </row>
    <row r="183" spans="1:8" x14ac:dyDescent="0.2">
      <c r="A183" s="7" t="s">
        <v>2</v>
      </c>
      <c r="B183" s="4">
        <f t="shared" si="7"/>
        <v>3.1477112429702943</v>
      </c>
      <c r="C183" s="4">
        <f t="shared" si="8"/>
        <v>1.7071568406043129</v>
      </c>
      <c r="D183" s="4">
        <f t="shared" si="9"/>
        <v>49.703949284136733</v>
      </c>
      <c r="E183" s="4">
        <f t="shared" si="10"/>
        <v>17.458124812736621</v>
      </c>
      <c r="F183" s="4">
        <f t="shared" si="11"/>
        <v>27.983057819552027</v>
      </c>
      <c r="G183" s="4">
        <f t="shared" si="12"/>
        <v>0</v>
      </c>
      <c r="H183" s="4">
        <f>SUM(Table14[[#This Row],[Organs of State as %]:[Others as %]])</f>
        <v>99.999999999999986</v>
      </c>
    </row>
    <row r="184" spans="1:8" x14ac:dyDescent="0.2">
      <c r="A184" s="5" t="s">
        <v>1</v>
      </c>
      <c r="B184" s="4">
        <f t="shared" si="7"/>
        <v>3.5415408681415323</v>
      </c>
      <c r="C184" s="4">
        <f t="shared" si="8"/>
        <v>1.6132830634546897</v>
      </c>
      <c r="D184" s="4">
        <f t="shared" si="9"/>
        <v>47.930690247220284</v>
      </c>
      <c r="E184" s="4">
        <f t="shared" si="10"/>
        <v>17.982040811180411</v>
      </c>
      <c r="F184" s="4">
        <f t="shared" si="11"/>
        <v>28.932445010003093</v>
      </c>
      <c r="G184" s="4">
        <f t="shared" si="12"/>
        <v>0</v>
      </c>
      <c r="H184" s="4">
        <f>SUM(Table14[[#This Row],[Organs of State as %]:[Others as %]])</f>
        <v>100.00000000000001</v>
      </c>
    </row>
    <row r="188" spans="1:8" x14ac:dyDescent="0.2">
      <c r="A188" s="3" t="s">
        <v>0</v>
      </c>
      <c r="B188" s="3" t="s">
        <v>111</v>
      </c>
      <c r="C188" s="3" t="s">
        <v>151</v>
      </c>
      <c r="D188" s="17" t="s">
        <v>161</v>
      </c>
      <c r="E188" s="27" t="s">
        <v>165</v>
      </c>
    </row>
    <row r="189" spans="1:8" x14ac:dyDescent="0.2">
      <c r="A189" s="5" t="s">
        <v>19</v>
      </c>
      <c r="B189" s="12">
        <v>10973.565897615883</v>
      </c>
      <c r="C189" s="12">
        <v>3909.6926991505798</v>
      </c>
      <c r="D189" s="18" t="s">
        <v>19</v>
      </c>
      <c r="E189" s="4">
        <f>C189/B189*100</f>
        <v>35.628279226901071</v>
      </c>
    </row>
    <row r="190" spans="1:8" x14ac:dyDescent="0.2">
      <c r="A190" s="7" t="s">
        <v>18</v>
      </c>
      <c r="B190" s="14">
        <v>13355.732703128808</v>
      </c>
      <c r="C190" s="14">
        <v>3662.3583008579699</v>
      </c>
      <c r="D190" s="19" t="s">
        <v>18</v>
      </c>
      <c r="E190" s="4">
        <f t="shared" ref="E190:E207" si="13">C190/B190*100</f>
        <v>27.421620230539656</v>
      </c>
    </row>
    <row r="191" spans="1:8" x14ac:dyDescent="0.2">
      <c r="A191" s="5" t="s">
        <v>17</v>
      </c>
      <c r="B191" s="12">
        <v>19224.31555532946</v>
      </c>
      <c r="C191" s="12">
        <v>3960.4625289933233</v>
      </c>
      <c r="D191" s="18" t="s">
        <v>17</v>
      </c>
      <c r="E191" s="4">
        <f t="shared" si="13"/>
        <v>20.601318770464026</v>
      </c>
    </row>
    <row r="192" spans="1:8" x14ac:dyDescent="0.2">
      <c r="A192" s="7" t="s">
        <v>16</v>
      </c>
      <c r="B192" s="14">
        <v>20452.540504405435</v>
      </c>
      <c r="C192" s="14">
        <v>4096.7154008824236</v>
      </c>
      <c r="D192" s="19" t="s">
        <v>16</v>
      </c>
      <c r="E192" s="4">
        <f t="shared" si="13"/>
        <v>20.030349774884932</v>
      </c>
    </row>
    <row r="193" spans="1:5" x14ac:dyDescent="0.2">
      <c r="A193" s="5" t="s">
        <v>15</v>
      </c>
      <c r="B193" s="12">
        <v>24443.560799821717</v>
      </c>
      <c r="C193" s="12">
        <v>4080.6413999702372</v>
      </c>
      <c r="D193" s="18" t="s">
        <v>15</v>
      </c>
      <c r="E193" s="4">
        <f t="shared" si="13"/>
        <v>16.694136477857189</v>
      </c>
    </row>
    <row r="194" spans="1:5" x14ac:dyDescent="0.2">
      <c r="A194" s="7" t="s">
        <v>14</v>
      </c>
      <c r="B194" s="14">
        <v>29808.942300790157</v>
      </c>
      <c r="C194" s="14">
        <v>4803.407100127326</v>
      </c>
      <c r="D194" s="19" t="s">
        <v>14</v>
      </c>
      <c r="E194" s="4">
        <f t="shared" si="13"/>
        <v>16.113980334015405</v>
      </c>
    </row>
    <row r="195" spans="1:5" x14ac:dyDescent="0.2">
      <c r="A195" s="5" t="s">
        <v>13</v>
      </c>
      <c r="B195" s="12">
        <v>32320.385099270952</v>
      </c>
      <c r="C195" s="12">
        <v>5855.4503998679183</v>
      </c>
      <c r="D195" s="18" t="s">
        <v>13</v>
      </c>
      <c r="E195" s="4">
        <f t="shared" si="13"/>
        <v>18.116895519292555</v>
      </c>
    </row>
    <row r="196" spans="1:5" x14ac:dyDescent="0.2">
      <c r="A196" s="7" t="s">
        <v>12</v>
      </c>
      <c r="B196" s="14">
        <v>21695.64</v>
      </c>
      <c r="C196" s="14">
        <v>4151.7</v>
      </c>
      <c r="D196" s="19" t="s">
        <v>12</v>
      </c>
      <c r="E196" s="4">
        <f t="shared" si="13"/>
        <v>19.13610292206176</v>
      </c>
    </row>
    <row r="197" spans="1:5" x14ac:dyDescent="0.2">
      <c r="A197" s="5" t="s">
        <v>11</v>
      </c>
      <c r="B197" s="12">
        <v>24032.703474974656</v>
      </c>
      <c r="C197" s="12">
        <v>4567.5870780258438</v>
      </c>
      <c r="D197" s="18" t="s">
        <v>11</v>
      </c>
      <c r="E197" s="4">
        <f t="shared" si="13"/>
        <v>19.005714786861532</v>
      </c>
    </row>
    <row r="198" spans="1:5" x14ac:dyDescent="0.2">
      <c r="A198" s="7" t="s">
        <v>10</v>
      </c>
      <c r="B198" s="14">
        <v>24479.271367707155</v>
      </c>
      <c r="C198" s="14">
        <v>5086.3979734752211</v>
      </c>
      <c r="D198" s="19" t="s">
        <v>10</v>
      </c>
      <c r="E198" s="4">
        <f t="shared" si="13"/>
        <v>20.778387955554731</v>
      </c>
    </row>
    <row r="199" spans="1:5" x14ac:dyDescent="0.2">
      <c r="A199" s="5" t="s">
        <v>9</v>
      </c>
      <c r="B199" s="12">
        <v>27323.176111299632</v>
      </c>
      <c r="C199" s="12">
        <v>5877.5970842449533</v>
      </c>
      <c r="D199" s="18" t="s">
        <v>9</v>
      </c>
      <c r="E199" s="4">
        <f t="shared" si="13"/>
        <v>21.511397724418448</v>
      </c>
    </row>
    <row r="200" spans="1:5" x14ac:dyDescent="0.2">
      <c r="A200" s="7" t="s">
        <v>8</v>
      </c>
      <c r="B200" s="14">
        <v>33613.995655080216</v>
      </c>
      <c r="C200" s="14">
        <v>7140.9862345962638</v>
      </c>
      <c r="D200" s="19" t="s">
        <v>8</v>
      </c>
      <c r="E200" s="4">
        <f t="shared" si="13"/>
        <v>21.244086266540048</v>
      </c>
    </row>
    <row r="201" spans="1:5" x14ac:dyDescent="0.2">
      <c r="A201" s="5" t="s">
        <v>7</v>
      </c>
      <c r="B201" s="12">
        <v>37648.200796036064</v>
      </c>
      <c r="C201" s="12">
        <v>8563.0730305854122</v>
      </c>
      <c r="D201" s="18" t="s">
        <v>7</v>
      </c>
      <c r="E201" s="4">
        <f t="shared" si="13"/>
        <v>22.744972799568707</v>
      </c>
    </row>
    <row r="202" spans="1:5" x14ac:dyDescent="0.2">
      <c r="A202" s="7" t="s">
        <v>6</v>
      </c>
      <c r="B202" s="14">
        <v>34598.441247002404</v>
      </c>
      <c r="C202" s="14">
        <v>8963.598613739292</v>
      </c>
      <c r="D202" s="19" t="s">
        <v>6</v>
      </c>
      <c r="E202" s="4">
        <f t="shared" si="13"/>
        <v>25.907521526033761</v>
      </c>
    </row>
    <row r="203" spans="1:5" x14ac:dyDescent="0.2">
      <c r="A203" s="5" t="s">
        <v>5</v>
      </c>
      <c r="B203" s="12">
        <v>37083.475285171102</v>
      </c>
      <c r="C203" s="12">
        <v>10305.620879835564</v>
      </c>
      <c r="D203" s="18" t="s">
        <v>5</v>
      </c>
      <c r="E203" s="4">
        <f t="shared" si="13"/>
        <v>27.790331948625546</v>
      </c>
    </row>
    <row r="204" spans="1:5" x14ac:dyDescent="0.2">
      <c r="A204" s="7" t="s">
        <v>4</v>
      </c>
      <c r="B204" s="14">
        <v>38895.689212014404</v>
      </c>
      <c r="C204" s="14">
        <v>11447.456004377755</v>
      </c>
      <c r="D204" s="19" t="s">
        <v>4</v>
      </c>
      <c r="E204" s="4">
        <f t="shared" si="13"/>
        <v>29.43116894517394</v>
      </c>
    </row>
    <row r="205" spans="1:5" x14ac:dyDescent="0.2">
      <c r="A205" s="5" t="s">
        <v>3</v>
      </c>
      <c r="B205" s="12">
        <v>37060.296684118672</v>
      </c>
      <c r="C205" s="12">
        <v>11488.201800590303</v>
      </c>
      <c r="D205" s="18" t="s">
        <v>3</v>
      </c>
      <c r="E205" s="4">
        <f t="shared" si="13"/>
        <v>30.998677367613475</v>
      </c>
    </row>
    <row r="206" spans="1:5" x14ac:dyDescent="0.2">
      <c r="A206" s="7" t="s">
        <v>2</v>
      </c>
      <c r="B206" s="14">
        <v>37301.628322950717</v>
      </c>
      <c r="C206" s="14">
        <v>11633.861672379664</v>
      </c>
      <c r="D206" s="19" t="s">
        <v>2</v>
      </c>
      <c r="E206" s="4">
        <f t="shared" si="13"/>
        <v>31.188616142050968</v>
      </c>
    </row>
    <row r="207" spans="1:5" x14ac:dyDescent="0.2">
      <c r="A207" s="5" t="s">
        <v>1</v>
      </c>
      <c r="B207" s="12">
        <v>41407.355701548571</v>
      </c>
      <c r="C207" s="12">
        <v>12487.579659677733</v>
      </c>
      <c r="D207" s="18" t="s">
        <v>1</v>
      </c>
      <c r="E207" s="4">
        <f t="shared" si="13"/>
        <v>30.15787762368684</v>
      </c>
    </row>
    <row r="208" spans="1:5" x14ac:dyDescent="0.2">
      <c r="A208" s="4"/>
      <c r="B208" s="4"/>
      <c r="C208" s="4"/>
      <c r="D208" s="4"/>
      <c r="E208" s="4"/>
    </row>
    <row r="209" spans="1:5" x14ac:dyDescent="0.2">
      <c r="A209" s="28" t="s">
        <v>0</v>
      </c>
      <c r="B209" s="28" t="s">
        <v>20</v>
      </c>
      <c r="C209" s="28" t="s">
        <v>152</v>
      </c>
      <c r="D209" s="28" t="s">
        <v>161</v>
      </c>
      <c r="E209" s="28" t="s">
        <v>164</v>
      </c>
    </row>
    <row r="210" spans="1:5" x14ac:dyDescent="0.2">
      <c r="A210" s="5" t="s">
        <v>19</v>
      </c>
      <c r="B210" s="12">
        <v>143606.6562312</v>
      </c>
      <c r="C210" s="9">
        <v>1369.2482997025172</v>
      </c>
      <c r="D210" s="5" t="s">
        <v>19</v>
      </c>
      <c r="E210" s="4">
        <f>Table16[[#This Row],[Adj. Administrative Services (Base Price- 2011-12)]]/Table16[[#This Row],[NSDP Haryana INR Crore(Constant, Base Price = 2011-12)]]*100</f>
        <v>0.95347133317977373</v>
      </c>
    </row>
    <row r="211" spans="1:5" x14ac:dyDescent="0.2">
      <c r="A211" s="7" t="s">
        <v>18</v>
      </c>
      <c r="B211" s="14">
        <v>163061.6457618</v>
      </c>
      <c r="C211" s="9">
        <v>1622.140200380014</v>
      </c>
      <c r="D211" s="7" t="s">
        <v>18</v>
      </c>
      <c r="E211" s="4">
        <f>Table16[[#This Row],[Adj. Administrative Services (Base Price- 2011-12)]]/Table16[[#This Row],[NSDP Haryana INR Crore(Constant, Base Price = 2011-12)]]*100</f>
        <v>0.99480180811472485</v>
      </c>
    </row>
    <row r="212" spans="1:5" x14ac:dyDescent="0.2">
      <c r="A212" s="5" t="s">
        <v>17</v>
      </c>
      <c r="B212" s="12">
        <v>193375.10324699999</v>
      </c>
      <c r="C212" s="9">
        <v>1840.9688669934808</v>
      </c>
      <c r="D212" s="5" t="s">
        <v>17</v>
      </c>
      <c r="E212" s="4">
        <f>Table16[[#This Row],[Adj. Administrative Services (Base Price- 2011-12)]]/Table16[[#This Row],[NSDP Haryana INR Crore(Constant, Base Price = 2011-12)]]*100</f>
        <v>0.95201959098219191</v>
      </c>
    </row>
    <row r="213" spans="1:5" x14ac:dyDescent="0.2">
      <c r="A213" s="7" t="s">
        <v>16</v>
      </c>
      <c r="B213" s="14">
        <v>227485.98215099997</v>
      </c>
      <c r="C213" s="9">
        <v>2097.2466004517428</v>
      </c>
      <c r="D213" s="7" t="s">
        <v>16</v>
      </c>
      <c r="E213" s="4">
        <f>Table16[[#This Row],[Adj. Administrative Services (Base Price- 2011-12)]]/Table16[[#This Row],[NSDP Haryana INR Crore(Constant, Base Price = 2011-12)]]*100</f>
        <v>0.92192344364306311</v>
      </c>
    </row>
    <row r="214" spans="1:5" x14ac:dyDescent="0.2">
      <c r="A214" s="5" t="s">
        <v>15</v>
      </c>
      <c r="B214" s="12">
        <v>274208.34310200001</v>
      </c>
      <c r="C214" s="9">
        <v>2735.3501999800487</v>
      </c>
      <c r="D214" s="5" t="s">
        <v>15</v>
      </c>
      <c r="E214" s="4">
        <f>Table16[[#This Row],[Adj. Administrative Services (Base Price- 2011-12)]]/Table16[[#This Row],[NSDP Haryana INR Crore(Constant, Base Price = 2011-12)]]*100</f>
        <v>0.99754448352527092</v>
      </c>
    </row>
    <row r="215" spans="1:5" x14ac:dyDescent="0.2">
      <c r="A215" s="7" t="s">
        <v>14</v>
      </c>
      <c r="B215" s="14">
        <v>339528.52349099994</v>
      </c>
      <c r="C215" s="9">
        <v>3465.9135000918723</v>
      </c>
      <c r="D215" s="7" t="s">
        <v>14</v>
      </c>
      <c r="E215" s="4">
        <f>Table16[[#This Row],[Adj. Administrative Services (Base Price- 2011-12)]]/Table16[[#This Row],[NSDP Haryana INR Crore(Constant, Base Price = 2011-12)]]*100</f>
        <v>1.0208018650261486</v>
      </c>
    </row>
    <row r="216" spans="1:5" x14ac:dyDescent="0.2">
      <c r="A216" s="5" t="s">
        <v>13</v>
      </c>
      <c r="B216" s="12">
        <v>398988.56790900003</v>
      </c>
      <c r="C216" s="9">
        <v>3746.9177999154808</v>
      </c>
      <c r="D216" s="5" t="s">
        <v>13</v>
      </c>
      <c r="E216" s="4">
        <f>Table16[[#This Row],[Adj. Administrative Services (Base Price- 2011-12)]]/Table16[[#This Row],[NSDP Haryana INR Crore(Constant, Base Price = 2011-12)]]*100</f>
        <v>0.93910404991104035</v>
      </c>
    </row>
    <row r="217" spans="1:5" x14ac:dyDescent="0.2">
      <c r="A217" s="7" t="s">
        <v>12</v>
      </c>
      <c r="B217" s="14">
        <v>271152.48</v>
      </c>
      <c r="C217" s="9">
        <v>2176.5700000000002</v>
      </c>
      <c r="D217" s="7" t="s">
        <v>12</v>
      </c>
      <c r="E217" s="4">
        <f>Table16[[#This Row],[Adj. Administrative Services (Base Price- 2011-12)]]/Table16[[#This Row],[NSDP Haryana INR Crore(Constant, Base Price = 2011-12)]]*100</f>
        <v>0.80271071096233382</v>
      </c>
    </row>
    <row r="218" spans="1:5" x14ac:dyDescent="0.2">
      <c r="A218" s="5" t="s">
        <v>11</v>
      </c>
      <c r="B218" s="12">
        <v>289756.21999999997</v>
      </c>
      <c r="C218" s="9">
        <v>2332.6741648348088</v>
      </c>
      <c r="D218" s="5" t="s">
        <v>11</v>
      </c>
      <c r="E218" s="4">
        <f>Table16[[#This Row],[Adj. Administrative Services (Base Price- 2011-12)]]/Table16[[#This Row],[NSDP Haryana INR Crore(Constant, Base Price = 2011-12)]]*100</f>
        <v>0.80504714095000585</v>
      </c>
    </row>
    <row r="219" spans="1:5" x14ac:dyDescent="0.2">
      <c r="A219" s="7" t="s">
        <v>10</v>
      </c>
      <c r="B219" s="14">
        <v>314931.20000000001</v>
      </c>
      <c r="C219" s="9">
        <v>2373.2674872177781</v>
      </c>
      <c r="D219" s="7" t="s">
        <v>10</v>
      </c>
      <c r="E219" s="4">
        <f>Table16[[#This Row],[Adj. Administrative Services (Base Price- 2011-12)]]/Table16[[#This Row],[NSDP Haryana INR Crore(Constant, Base Price = 2011-12)]]*100</f>
        <v>0.75358284197239844</v>
      </c>
    </row>
    <row r="220" spans="1:5" x14ac:dyDescent="0.2">
      <c r="A220" s="5" t="s">
        <v>9</v>
      </c>
      <c r="B220" s="12">
        <v>333359.25</v>
      </c>
      <c r="C220" s="9">
        <v>2967.9096685574832</v>
      </c>
      <c r="D220" s="5" t="s">
        <v>9</v>
      </c>
      <c r="E220" s="4">
        <f>Table16[[#This Row],[Adj. Administrative Services (Base Price- 2011-12)]]/Table16[[#This Row],[NSDP Haryana INR Crore(Constant, Base Price = 2011-12)]]*100</f>
        <v>0.89030367945616729</v>
      </c>
    </row>
    <row r="221" spans="1:5" x14ac:dyDescent="0.2">
      <c r="A221" s="7" t="s">
        <v>8</v>
      </c>
      <c r="B221" s="14">
        <v>372700.25</v>
      </c>
      <c r="C221" s="9">
        <v>3024.9814432572171</v>
      </c>
      <c r="D221" s="7" t="s">
        <v>8</v>
      </c>
      <c r="E221" s="4">
        <f>Table16[[#This Row],[Adj. Administrative Services (Base Price- 2011-12)]]/Table16[[#This Row],[NSDP Haryana INR Crore(Constant, Base Price = 2011-12)]]*100</f>
        <v>0.81163923105960278</v>
      </c>
    </row>
    <row r="222" spans="1:5" x14ac:dyDescent="0.2">
      <c r="A222" s="5" t="s">
        <v>7</v>
      </c>
      <c r="B222" s="12">
        <v>412054.62</v>
      </c>
      <c r="C222" s="9">
        <v>3394.1884167055755</v>
      </c>
      <c r="D222" s="5" t="s">
        <v>7</v>
      </c>
      <c r="E222" s="4">
        <f>Table16[[#This Row],[Adj. Administrative Services (Base Price- 2011-12)]]/Table16[[#This Row],[NSDP Haryana INR Crore(Constant, Base Price = 2011-12)]]*100</f>
        <v>0.82372293670814212</v>
      </c>
    </row>
    <row r="223" spans="1:5" x14ac:dyDescent="0.2">
      <c r="A223" s="7" t="s">
        <v>6</v>
      </c>
      <c r="B223" s="14">
        <v>434407.28</v>
      </c>
      <c r="C223" s="9">
        <v>3426.7586298915157</v>
      </c>
      <c r="D223" s="7" t="s">
        <v>6</v>
      </c>
      <c r="E223" s="4">
        <f>Table16[[#This Row],[Adj. Administrative Services (Base Price- 2011-12)]]/Table16[[#This Row],[NSDP Haryana INR Crore(Constant, Base Price = 2011-12)]]*100</f>
        <v>0.78883545181183778</v>
      </c>
    </row>
    <row r="224" spans="1:5" x14ac:dyDescent="0.2">
      <c r="A224" s="5" t="s">
        <v>5</v>
      </c>
      <c r="B224" s="12">
        <v>478383.74</v>
      </c>
      <c r="C224" s="9">
        <v>3772.4699155181434</v>
      </c>
      <c r="D224" s="5" t="s">
        <v>5</v>
      </c>
      <c r="E224" s="4">
        <f>Table16[[#This Row],[Adj. Administrative Services (Base Price- 2011-12)]]/Table16[[#This Row],[NSDP Haryana INR Crore(Constant, Base Price = 2011-12)]]*100</f>
        <v>0.7885865676617988</v>
      </c>
    </row>
    <row r="225" spans="1:5" x14ac:dyDescent="0.2">
      <c r="A225" s="7" t="s">
        <v>4</v>
      </c>
      <c r="B225" s="14">
        <v>488489.63</v>
      </c>
      <c r="C225" s="9">
        <v>4117.5638581438934</v>
      </c>
      <c r="D225" s="7" t="s">
        <v>4</v>
      </c>
      <c r="E225" s="4">
        <f>Table16[[#This Row],[Adj. Administrative Services (Base Price- 2011-12)]]/Table16[[#This Row],[NSDP Haryana INR Crore(Constant, Base Price = 2011-12)]]*100</f>
        <v>0.84291735285023217</v>
      </c>
    </row>
    <row r="226" spans="1:5" x14ac:dyDescent="0.2">
      <c r="A226" s="5" t="s">
        <v>3</v>
      </c>
      <c r="B226" s="12">
        <v>437351.26</v>
      </c>
      <c r="C226" s="9">
        <v>3935.3639366935381</v>
      </c>
      <c r="D226" s="5" t="s">
        <v>3</v>
      </c>
      <c r="E226" s="4">
        <f>Table16[[#This Row],[Adj. Administrative Services (Base Price- 2011-12)]]/Table16[[#This Row],[NSDP Haryana INR Crore(Constant, Base Price = 2011-12)]]*100</f>
        <v>0.89981767440055815</v>
      </c>
    </row>
    <row r="227" spans="1:5" x14ac:dyDescent="0.2">
      <c r="A227" s="7" t="s">
        <v>2</v>
      </c>
      <c r="B227" s="14">
        <v>480417.14</v>
      </c>
      <c r="C227" s="9">
        <v>4086.3032426145483</v>
      </c>
      <c r="D227" s="7" t="s">
        <v>2</v>
      </c>
      <c r="E227" s="4">
        <f>Table16[[#This Row],[Adj. Administrative Services (Base Price- 2011-12)]]/Table16[[#This Row],[NSDP Haryana INR Crore(Constant, Base Price = 2011-12)]]*100</f>
        <v>0.85057399130567002</v>
      </c>
    </row>
    <row r="228" spans="1:5" x14ac:dyDescent="0.2">
      <c r="A228" s="29" t="s">
        <v>1</v>
      </c>
      <c r="B228" s="30">
        <v>519134.97</v>
      </c>
      <c r="C228" s="9">
        <v>4684.9349741257729</v>
      </c>
      <c r="D228" s="29" t="s">
        <v>1</v>
      </c>
      <c r="E228" s="4">
        <f>Table16[[#This Row],[Adj. Administrative Services (Base Price- 2011-12)]]/Table16[[#This Row],[NSDP Haryana INR Crore(Constant, Base Price = 2011-12)]]*100</f>
        <v>0.902450276876122</v>
      </c>
    </row>
    <row r="230" spans="1:5" x14ac:dyDescent="0.2">
      <c r="A230" s="3" t="s">
        <v>0</v>
      </c>
      <c r="B230" s="3" t="s">
        <v>111</v>
      </c>
      <c r="C230" s="31" t="s">
        <v>152</v>
      </c>
      <c r="D230" s="3" t="s">
        <v>161</v>
      </c>
      <c r="E230" s="4" t="s">
        <v>163</v>
      </c>
    </row>
    <row r="231" spans="1:5" x14ac:dyDescent="0.2">
      <c r="A231" s="5" t="s">
        <v>19</v>
      </c>
      <c r="B231" s="12">
        <v>10973.565897615883</v>
      </c>
      <c r="C231" s="32">
        <v>1369.25</v>
      </c>
      <c r="D231" s="5" t="s">
        <v>19</v>
      </c>
      <c r="E231" s="4">
        <f>Table17[[#This Row],[Adj. Administrative Services (Base Price- 2011-12)]]/Table17[[#This Row],[Adj. Developmental Expenditure (INR Crore) (Base Price- 2011-12)]]*100</f>
        <v>12.477712466259334</v>
      </c>
    </row>
    <row r="232" spans="1:5" x14ac:dyDescent="0.2">
      <c r="A232" s="7" t="s">
        <v>18</v>
      </c>
      <c r="B232" s="14">
        <v>13355.732703128808</v>
      </c>
      <c r="C232" s="33">
        <v>1622.14</v>
      </c>
      <c r="D232" s="7" t="s">
        <v>18</v>
      </c>
      <c r="E232" s="4">
        <f>Table17[[#This Row],[Adj. Administrative Services (Base Price- 2011-12)]]/Table17[[#This Row],[Adj. Developmental Expenditure (INR Crore) (Base Price- 2011-12)]]*100</f>
        <v>12.145645888974599</v>
      </c>
    </row>
    <row r="233" spans="1:5" x14ac:dyDescent="0.2">
      <c r="A233" s="5" t="s">
        <v>17</v>
      </c>
      <c r="B233" s="12">
        <v>19224.31555532946</v>
      </c>
      <c r="C233" s="32">
        <v>1840.97</v>
      </c>
      <c r="D233" s="5" t="s">
        <v>17</v>
      </c>
      <c r="E233" s="4">
        <f>Table17[[#This Row],[Adj. Administrative Services (Base Price- 2011-12)]]/Table17[[#This Row],[Adj. Developmental Expenditure (INR Crore) (Base Price- 2011-12)]]*100</f>
        <v>9.5762577070767918</v>
      </c>
    </row>
    <row r="234" spans="1:5" x14ac:dyDescent="0.2">
      <c r="A234" s="7" t="s">
        <v>16</v>
      </c>
      <c r="B234" s="14">
        <v>20452.540504405435</v>
      </c>
      <c r="C234" s="33">
        <v>2097.25</v>
      </c>
      <c r="D234" s="7" t="s">
        <v>16</v>
      </c>
      <c r="E234" s="4">
        <f>Table17[[#This Row],[Adj. Administrative Services (Base Price- 2011-12)]]/Table17[[#This Row],[Adj. Developmental Expenditure (INR Crore) (Base Price- 2011-12)]]*100</f>
        <v>10.254227339377506</v>
      </c>
    </row>
    <row r="235" spans="1:5" x14ac:dyDescent="0.2">
      <c r="A235" s="5" t="s">
        <v>15</v>
      </c>
      <c r="B235" s="12">
        <v>24443.560799821717</v>
      </c>
      <c r="C235" s="32">
        <v>2735.35</v>
      </c>
      <c r="D235" s="5" t="s">
        <v>15</v>
      </c>
      <c r="E235" s="4">
        <f>Table17[[#This Row],[Adj. Administrative Services (Base Price- 2011-12)]]/Table17[[#This Row],[Adj. Developmental Expenditure (INR Crore) (Base Price- 2011-12)]]*100</f>
        <v>11.19047270731501</v>
      </c>
    </row>
    <row r="236" spans="1:5" x14ac:dyDescent="0.2">
      <c r="A236" s="7" t="s">
        <v>14</v>
      </c>
      <c r="B236" s="14">
        <v>29808.942300790157</v>
      </c>
      <c r="C236" s="33">
        <v>3465.91</v>
      </c>
      <c r="D236" s="7" t="s">
        <v>14</v>
      </c>
      <c r="E236" s="4">
        <f>Table17[[#This Row],[Adj. Administrative Services (Base Price- 2011-12)]]/Table17[[#This Row],[Adj. Developmental Expenditure (INR Crore) (Base Price- 2011-12)]]*100</f>
        <v>11.627081447663871</v>
      </c>
    </row>
    <row r="237" spans="1:5" x14ac:dyDescent="0.2">
      <c r="A237" s="5" t="s">
        <v>13</v>
      </c>
      <c r="B237" s="12">
        <v>32320.385099270952</v>
      </c>
      <c r="C237" s="32">
        <v>3746.92</v>
      </c>
      <c r="D237" s="5" t="s">
        <v>13</v>
      </c>
      <c r="E237" s="4">
        <f>Table17[[#This Row],[Adj. Administrative Services (Base Price- 2011-12)]]/Table17[[#This Row],[Adj. Developmental Expenditure (INR Crore) (Base Price- 2011-12)]]*100</f>
        <v>11.593054935736268</v>
      </c>
    </row>
    <row r="238" spans="1:5" x14ac:dyDescent="0.2">
      <c r="A238" s="7" t="s">
        <v>12</v>
      </c>
      <c r="B238" s="14">
        <v>21695.64</v>
      </c>
      <c r="C238" s="33">
        <v>2176.5700000000002</v>
      </c>
      <c r="D238" s="7" t="s">
        <v>12</v>
      </c>
      <c r="E238" s="4">
        <f>Table17[[#This Row],[Adj. Administrative Services (Base Price- 2011-12)]]/Table17[[#This Row],[Adj. Developmental Expenditure (INR Crore) (Base Price- 2011-12)]]*100</f>
        <v>10.032292202488611</v>
      </c>
    </row>
    <row r="239" spans="1:5" x14ac:dyDescent="0.2">
      <c r="A239" s="5" t="s">
        <v>11</v>
      </c>
      <c r="B239" s="12">
        <v>24032.703474974656</v>
      </c>
      <c r="C239" s="32">
        <v>2332.67</v>
      </c>
      <c r="D239" s="5" t="s">
        <v>11</v>
      </c>
      <c r="E239" s="4">
        <f>Table17[[#This Row],[Adj. Administrative Services (Base Price- 2011-12)]]/Table17[[#This Row],[Adj. Developmental Expenditure (INR Crore) (Base Price- 2011-12)]]*100</f>
        <v>9.7062321866077959</v>
      </c>
    </row>
    <row r="240" spans="1:5" x14ac:dyDescent="0.2">
      <c r="A240" s="7" t="s">
        <v>10</v>
      </c>
      <c r="B240" s="14">
        <v>24479.271367707155</v>
      </c>
      <c r="C240" s="33">
        <v>2373.27</v>
      </c>
      <c r="D240" s="7" t="s">
        <v>10</v>
      </c>
      <c r="E240" s="4">
        <f>Table17[[#This Row],[Adj. Administrative Services (Base Price- 2011-12)]]/Table17[[#This Row],[Adj. Developmental Expenditure (INR Crore) (Base Price- 2011-12)]]*100</f>
        <v>9.6950189584923567</v>
      </c>
    </row>
    <row r="241" spans="1:5" x14ac:dyDescent="0.2">
      <c r="A241" s="5" t="s">
        <v>9</v>
      </c>
      <c r="B241" s="12">
        <v>27323.176111299632</v>
      </c>
      <c r="C241" s="32">
        <v>2967.91</v>
      </c>
      <c r="D241" s="5" t="s">
        <v>9</v>
      </c>
      <c r="E241" s="4">
        <f>Table17[[#This Row],[Adj. Administrative Services (Base Price- 2011-12)]]/Table17[[#This Row],[Adj. Developmental Expenditure (INR Crore) (Base Price- 2011-12)]]*100</f>
        <v>10.862243788607746</v>
      </c>
    </row>
    <row r="242" spans="1:5" x14ac:dyDescent="0.2">
      <c r="A242" s="7" t="s">
        <v>8</v>
      </c>
      <c r="B242" s="14">
        <v>33613.995655080216</v>
      </c>
      <c r="C242" s="33">
        <v>3024.98</v>
      </c>
      <c r="D242" s="7" t="s">
        <v>8</v>
      </c>
      <c r="E242" s="4">
        <f>Table17[[#This Row],[Adj. Administrative Services (Base Price- 2011-12)]]/Table17[[#This Row],[Adj. Developmental Expenditure (INR Crore) (Base Price- 2011-12)]]*100</f>
        <v>8.99916817696983</v>
      </c>
    </row>
    <row r="243" spans="1:5" x14ac:dyDescent="0.2">
      <c r="A243" s="5" t="s">
        <v>7</v>
      </c>
      <c r="B243" s="12">
        <v>37648.200796036064</v>
      </c>
      <c r="C243" s="32">
        <v>3394.19</v>
      </c>
      <c r="D243" s="5" t="s">
        <v>7</v>
      </c>
      <c r="E243" s="4">
        <f>Table17[[#This Row],[Adj. Administrative Services (Base Price- 2011-12)]]/Table17[[#This Row],[Adj. Developmental Expenditure (INR Crore) (Base Price- 2011-12)]]*100</f>
        <v>9.0155437132001559</v>
      </c>
    </row>
    <row r="244" spans="1:5" x14ac:dyDescent="0.2">
      <c r="A244" s="7" t="s">
        <v>6</v>
      </c>
      <c r="B244" s="14">
        <v>34598.441247002404</v>
      </c>
      <c r="C244" s="33">
        <v>3426.76</v>
      </c>
      <c r="D244" s="7" t="s">
        <v>6</v>
      </c>
      <c r="E244" s="4">
        <f>Table17[[#This Row],[Adj. Administrative Services (Base Price- 2011-12)]]/Table17[[#This Row],[Adj. Developmental Expenditure (INR Crore) (Base Price- 2011-12)]]*100</f>
        <v>9.9043768345976968</v>
      </c>
    </row>
    <row r="245" spans="1:5" x14ac:dyDescent="0.2">
      <c r="A245" s="5" t="s">
        <v>5</v>
      </c>
      <c r="B245" s="12">
        <v>37083.475285171102</v>
      </c>
      <c r="C245" s="32">
        <v>3772.47</v>
      </c>
      <c r="D245" s="5" t="s">
        <v>5</v>
      </c>
      <c r="E245" s="4">
        <f>Table17[[#This Row],[Adj. Administrative Services (Base Price- 2011-12)]]/Table17[[#This Row],[Adj. Developmental Expenditure (INR Crore) (Base Price- 2011-12)]]*100</f>
        <v>10.17291386794196</v>
      </c>
    </row>
    <row r="246" spans="1:5" x14ac:dyDescent="0.2">
      <c r="A246" s="7" t="s">
        <v>4</v>
      </c>
      <c r="B246" s="14">
        <v>38895.689212014404</v>
      </c>
      <c r="C246" s="33">
        <v>4117.5600000000004</v>
      </c>
      <c r="D246" s="7" t="s">
        <v>4</v>
      </c>
      <c r="E246" s="4">
        <f>Table17[[#This Row],[Adj. Administrative Services (Base Price- 2011-12)]]/Table17[[#This Row],[Adj. Developmental Expenditure (INR Crore) (Base Price- 2011-12)]]*100</f>
        <v>10.586160274872148</v>
      </c>
    </row>
    <row r="247" spans="1:5" x14ac:dyDescent="0.2">
      <c r="A247" s="5" t="s">
        <v>3</v>
      </c>
      <c r="B247" s="12">
        <v>37060.296684118672</v>
      </c>
      <c r="C247" s="32">
        <v>3935.36</v>
      </c>
      <c r="D247" s="5" t="s">
        <v>3</v>
      </c>
      <c r="E247" s="4">
        <f>Table17[[#This Row],[Adj. Administrative Services (Base Price- 2011-12)]]/Table17[[#This Row],[Adj. Developmental Expenditure (INR Crore) (Base Price- 2011-12)]]*100</f>
        <v>10.618803280348285</v>
      </c>
    </row>
    <row r="248" spans="1:5" x14ac:dyDescent="0.2">
      <c r="A248" s="7" t="s">
        <v>2</v>
      </c>
      <c r="B248" s="14">
        <v>37301.628322950717</v>
      </c>
      <c r="C248" s="33">
        <v>4086.3</v>
      </c>
      <c r="D248" s="7" t="s">
        <v>2</v>
      </c>
      <c r="E248" s="4">
        <f>Table17[[#This Row],[Adj. Administrative Services (Base Price- 2011-12)]]/Table17[[#This Row],[Adj. Developmental Expenditure (INR Crore) (Base Price- 2011-12)]]*100</f>
        <v>10.954749654952211</v>
      </c>
    </row>
    <row r="249" spans="1:5" x14ac:dyDescent="0.2">
      <c r="A249" s="5" t="s">
        <v>1</v>
      </c>
      <c r="B249" s="12">
        <v>41407.355701548571</v>
      </c>
      <c r="C249" s="32">
        <v>4684.93</v>
      </c>
      <c r="D249" s="5" t="s">
        <v>1</v>
      </c>
      <c r="E249" s="4">
        <f>Table17[[#This Row],[Adj. Administrative Services (Base Price- 2011-12)]]/Table17[[#This Row],[Adj. Developmental Expenditure (INR Crore) (Base Price- 2011-12)]]*100</f>
        <v>11.314245791901151</v>
      </c>
    </row>
    <row r="251" spans="1:5" x14ac:dyDescent="0.2">
      <c r="A251" s="3" t="s">
        <v>0</v>
      </c>
      <c r="B251" s="3" t="s">
        <v>111</v>
      </c>
      <c r="C251" s="4" t="s">
        <v>153</v>
      </c>
      <c r="D251" s="3" t="s">
        <v>161</v>
      </c>
      <c r="E251" s="27" t="s">
        <v>162</v>
      </c>
    </row>
    <row r="252" spans="1:5" x14ac:dyDescent="0.2">
      <c r="A252" s="5" t="s">
        <v>19</v>
      </c>
      <c r="B252" s="12">
        <v>10973.565897615883</v>
      </c>
      <c r="C252" s="9">
        <v>2743.6436994039159</v>
      </c>
      <c r="D252" s="5" t="s">
        <v>19</v>
      </c>
      <c r="E252" s="4">
        <f>Table18[[#This Row],[Adj.Pensions &amp; Miscellaneous General Services (Base Price- 2011,12)]]/Table18[[#This Row],[Adj. Developmental Expenditure (INR Crore) (Base Price- 2011-12)]]*100</f>
        <v>25.00229847801798</v>
      </c>
    </row>
    <row r="253" spans="1:5" x14ac:dyDescent="0.2">
      <c r="A253" s="7" t="s">
        <v>18</v>
      </c>
      <c r="B253" s="14">
        <v>13355.732703128808</v>
      </c>
      <c r="C253" s="9">
        <v>2134.1826004999689</v>
      </c>
      <c r="D253" s="7" t="s">
        <v>18</v>
      </c>
      <c r="E253" s="4">
        <f>Table18[[#This Row],[Adj.Pensions &amp; Miscellaneous General Services (Base Price- 2011,12)]]/Table18[[#This Row],[Adj. Developmental Expenditure (INR Crore) (Base Price- 2011-12)]]*100</f>
        <v>15.979524657602651</v>
      </c>
    </row>
    <row r="254" spans="1:5" x14ac:dyDescent="0.2">
      <c r="A254" s="5" t="s">
        <v>17</v>
      </c>
      <c r="B254" s="12">
        <v>19224.31555532946</v>
      </c>
      <c r="C254" s="9">
        <v>2020.6043637728171</v>
      </c>
      <c r="D254" s="5" t="s">
        <v>17</v>
      </c>
      <c r="E254" s="4">
        <f>Table18[[#This Row],[Adj.Pensions &amp; Miscellaneous General Services (Base Price- 2011,12)]]/Table18[[#This Row],[Adj. Developmental Expenditure (INR Crore) (Base Price- 2011-12)]]*100</f>
        <v>10.510669979159051</v>
      </c>
    </row>
    <row r="255" spans="1:5" x14ac:dyDescent="0.2">
      <c r="A255" s="7" t="s">
        <v>16</v>
      </c>
      <c r="B255" s="14">
        <v>20452.540504405435</v>
      </c>
      <c r="C255" s="9">
        <v>2221.4268004784908</v>
      </c>
      <c r="D255" s="7" t="s">
        <v>16</v>
      </c>
      <c r="E255" s="4">
        <f>Table18[[#This Row],[Adj.Pensions &amp; Miscellaneous General Services (Base Price- 2011,12)]]/Table18[[#This Row],[Adj. Developmental Expenditure (INR Crore) (Base Price- 2011-12)]]*100</f>
        <v>10.861373431823788</v>
      </c>
    </row>
    <row r="256" spans="1:5" x14ac:dyDescent="0.2">
      <c r="A256" s="5" t="s">
        <v>15</v>
      </c>
      <c r="B256" s="12">
        <v>24443.560799821717</v>
      </c>
      <c r="C256" s="9">
        <v>2761.8893999798556</v>
      </c>
      <c r="D256" s="5" t="s">
        <v>15</v>
      </c>
      <c r="E256" s="4">
        <f>Table18[[#This Row],[Adj.Pensions &amp; Miscellaneous General Services (Base Price- 2011,12)]]/Table18[[#This Row],[Adj. Developmental Expenditure (INR Crore) (Base Price- 2011-12)]]*100</f>
        <v>11.299046904819203</v>
      </c>
    </row>
    <row r="257" spans="1:5" x14ac:dyDescent="0.2">
      <c r="A257" s="7" t="s">
        <v>14</v>
      </c>
      <c r="B257" s="14">
        <v>29808.942300790157</v>
      </c>
      <c r="C257" s="9">
        <v>4088.849400108385</v>
      </c>
      <c r="D257" s="7" t="s">
        <v>14</v>
      </c>
      <c r="E257" s="4">
        <f>Table18[[#This Row],[Adj.Pensions &amp; Miscellaneous General Services (Base Price- 2011,12)]]/Table18[[#This Row],[Adj. Developmental Expenditure (INR Crore) (Base Price- 2011-12)]]*100</f>
        <v>13.716855025748432</v>
      </c>
    </row>
    <row r="258" spans="1:5" x14ac:dyDescent="0.2">
      <c r="A258" s="5" t="s">
        <v>13</v>
      </c>
      <c r="B258" s="12">
        <v>32320.385099270952</v>
      </c>
      <c r="C258" s="9">
        <v>5292.9116998806076</v>
      </c>
      <c r="D258" s="5" t="s">
        <v>13</v>
      </c>
      <c r="E258" s="4">
        <f>Table18[[#This Row],[Adj.Pensions &amp; Miscellaneous General Services (Base Price- 2011,12)]]/Table18[[#This Row],[Adj. Developmental Expenditure (INR Crore) (Base Price- 2011-12)]]*100</f>
        <v>16.376388101885578</v>
      </c>
    </row>
    <row r="259" spans="1:5" x14ac:dyDescent="0.2">
      <c r="A259" s="7" t="s">
        <v>12</v>
      </c>
      <c r="B259" s="14">
        <v>21695.64</v>
      </c>
      <c r="C259" s="9">
        <v>3205.54</v>
      </c>
      <c r="D259" s="7" t="s">
        <v>12</v>
      </c>
      <c r="E259" s="4">
        <f>Table18[[#This Row],[Adj.Pensions &amp; Miscellaneous General Services (Base Price- 2011,12)]]/Table18[[#This Row],[Adj. Developmental Expenditure (INR Crore) (Base Price- 2011-12)]]*100</f>
        <v>14.775042358741203</v>
      </c>
    </row>
    <row r="260" spans="1:5" x14ac:dyDescent="0.2">
      <c r="A260" s="5" t="s">
        <v>11</v>
      </c>
      <c r="B260" s="12">
        <v>24032.703474974656</v>
      </c>
      <c r="C260" s="9">
        <v>3356.7430935188718</v>
      </c>
      <c r="D260" s="5" t="s">
        <v>11</v>
      </c>
      <c r="E260" s="4">
        <f>Table18[[#This Row],[Adj.Pensions &amp; Miscellaneous General Services (Base Price- 2011,12)]]/Table18[[#This Row],[Adj. Developmental Expenditure (INR Crore) (Base Price- 2011-12)]]*100</f>
        <v>13.967396955628653</v>
      </c>
    </row>
    <row r="261" spans="1:5" x14ac:dyDescent="0.2">
      <c r="A261" s="7" t="s">
        <v>10</v>
      </c>
      <c r="B261" s="14">
        <v>24479.271367707155</v>
      </c>
      <c r="C261" s="9">
        <v>3626.0574369359438</v>
      </c>
      <c r="D261" s="7" t="s">
        <v>10</v>
      </c>
      <c r="E261" s="4">
        <f>Table18[[#This Row],[Adj.Pensions &amp; Miscellaneous General Services (Base Price- 2011,12)]]/Table18[[#This Row],[Adj. Developmental Expenditure (INR Crore) (Base Price- 2011-12)]]*100</f>
        <v>14.812767024264486</v>
      </c>
    </row>
    <row r="262" spans="1:5" x14ac:dyDescent="0.2">
      <c r="A262" s="5" t="s">
        <v>9</v>
      </c>
      <c r="B262" s="12">
        <v>27323.176111299632</v>
      </c>
      <c r="C262" s="9">
        <v>4459.0542681440102</v>
      </c>
      <c r="D262" s="5" t="s">
        <v>9</v>
      </c>
      <c r="E262" s="4">
        <f>Table18[[#This Row],[Adj.Pensions &amp; Miscellaneous General Services (Base Price- 2011,12)]]/Table18[[#This Row],[Adj. Developmental Expenditure (INR Crore) (Base Price- 2011-12)]]*100</f>
        <v>16.319677661119151</v>
      </c>
    </row>
    <row r="263" spans="1:5" x14ac:dyDescent="0.2">
      <c r="A263" s="7" t="s">
        <v>8</v>
      </c>
      <c r="B263" s="14">
        <v>33613.995655080216</v>
      </c>
      <c r="C263" s="9">
        <v>4547.3440725399969</v>
      </c>
      <c r="D263" s="7" t="s">
        <v>8</v>
      </c>
      <c r="E263" s="4">
        <f>Table18[[#This Row],[Adj.Pensions &amp; Miscellaneous General Services (Base Price- 2011,12)]]/Table18[[#This Row],[Adj. Developmental Expenditure (INR Crore) (Base Price- 2011-12)]]*100</f>
        <v>13.52812715037267</v>
      </c>
    </row>
    <row r="264" spans="1:5" x14ac:dyDescent="0.2">
      <c r="A264" s="5" t="s">
        <v>7</v>
      </c>
      <c r="B264" s="12">
        <v>37648.200796036064</v>
      </c>
      <c r="C264" s="9">
        <v>4629.7118277801947</v>
      </c>
      <c r="D264" s="5" t="s">
        <v>7</v>
      </c>
      <c r="E264" s="4">
        <f>Table18[[#This Row],[Adj.Pensions &amp; Miscellaneous General Services (Base Price- 2011,12)]]/Table18[[#This Row],[Adj. Developmental Expenditure (INR Crore) (Base Price- 2011-12)]]*100</f>
        <v>12.297299020641782</v>
      </c>
    </row>
    <row r="265" spans="1:5" x14ac:dyDescent="0.2">
      <c r="A265" s="7" t="s">
        <v>6</v>
      </c>
      <c r="B265" s="14">
        <v>34598.441247002404</v>
      </c>
      <c r="C265" s="9">
        <v>6592.8735962051105</v>
      </c>
      <c r="D265" s="7" t="s">
        <v>6</v>
      </c>
      <c r="E265" s="4">
        <f>Table18[[#This Row],[Adj.Pensions &amp; Miscellaneous General Services (Base Price- 2011,12)]]/Table18[[#This Row],[Adj. Developmental Expenditure (INR Crore) (Base Price- 2011-12)]]*100</f>
        <v>19.055406424635716</v>
      </c>
    </row>
    <row r="266" spans="1:5" x14ac:dyDescent="0.2">
      <c r="A266" s="5" t="s">
        <v>5</v>
      </c>
      <c r="B266" s="12">
        <v>37083.475285171102</v>
      </c>
      <c r="C266" s="9">
        <v>6190.4556431431492</v>
      </c>
      <c r="D266" s="5" t="s">
        <v>5</v>
      </c>
      <c r="E266" s="4">
        <f>Table18[[#This Row],[Adj.Pensions &amp; Miscellaneous General Services (Base Price- 2011,12)]]/Table18[[#This Row],[Adj. Developmental Expenditure (INR Crore) (Base Price- 2011-12)]]*100</f>
        <v>16.693299631543923</v>
      </c>
    </row>
    <row r="267" spans="1:5" x14ac:dyDescent="0.2">
      <c r="A267" s="7" t="s">
        <v>4</v>
      </c>
      <c r="B267" s="14">
        <v>38895.689212014404</v>
      </c>
      <c r="C267" s="9">
        <v>6596.4270561465228</v>
      </c>
      <c r="D267" s="7" t="s">
        <v>4</v>
      </c>
      <c r="E267" s="4">
        <f>Table18[[#This Row],[Adj.Pensions &amp; Miscellaneous General Services (Base Price- 2011,12)]]/Table18[[#This Row],[Adj. Developmental Expenditure (INR Crore) (Base Price- 2011-12)]]*100</f>
        <v>16.959275410162849</v>
      </c>
    </row>
    <row r="268" spans="1:5" x14ac:dyDescent="0.2">
      <c r="A268" s="5" t="s">
        <v>3</v>
      </c>
      <c r="B268" s="12">
        <v>37060.296684118672</v>
      </c>
      <c r="C268" s="9">
        <v>6777.3172685073123</v>
      </c>
      <c r="D268" s="5" t="s">
        <v>3</v>
      </c>
      <c r="E268" s="4">
        <f>Table18[[#This Row],[Adj.Pensions &amp; Miscellaneous General Services (Base Price- 2011,12)]]/Table18[[#This Row],[Adj. Developmental Expenditure (INR Crore) (Base Price- 2011-12)]]*100</f>
        <v>18.287272026647251</v>
      </c>
    </row>
    <row r="269" spans="1:5" x14ac:dyDescent="0.2">
      <c r="A269" s="7" t="s">
        <v>2</v>
      </c>
      <c r="B269" s="14">
        <v>37301.628322950717</v>
      </c>
      <c r="C269" s="9">
        <v>6549.8019479665691</v>
      </c>
      <c r="D269" s="7" t="s">
        <v>2</v>
      </c>
      <c r="E269" s="4">
        <f>Table18[[#This Row],[Adj.Pensions &amp; Miscellaneous General Services (Base Price- 2011,12)]]/Table18[[#This Row],[Adj. Developmental Expenditure (INR Crore) (Base Price- 2011-12)]]*100</f>
        <v>17.559024210041379</v>
      </c>
    </row>
    <row r="270" spans="1:5" x14ac:dyDescent="0.2">
      <c r="A270" s="5" t="s">
        <v>1</v>
      </c>
      <c r="B270" s="12">
        <v>41407.355701548571</v>
      </c>
      <c r="C270" s="9">
        <v>7537.8887712265396</v>
      </c>
      <c r="D270" s="5" t="s">
        <v>1</v>
      </c>
      <c r="E270" s="4">
        <f>Table18[[#This Row],[Adj.Pensions &amp; Miscellaneous General Services (Base Price- 2011,12)]]/Table18[[#This Row],[Adj. Developmental Expenditure (INR Crore) (Base Price- 2011-12)]]*100</f>
        <v>18.204226383247736</v>
      </c>
    </row>
    <row r="275" spans="1:7" ht="29" x14ac:dyDescent="0.35">
      <c r="A275" s="20" t="s">
        <v>166</v>
      </c>
    </row>
    <row r="277" spans="1:7" x14ac:dyDescent="0.2">
      <c r="A277" s="3" t="s">
        <v>0</v>
      </c>
      <c r="B277" s="4" t="s">
        <v>167</v>
      </c>
      <c r="C277" s="4" t="s">
        <v>168</v>
      </c>
      <c r="D277" s="3" t="s">
        <v>73</v>
      </c>
      <c r="E277" s="4" t="s">
        <v>169</v>
      </c>
      <c r="F277" s="4" t="s">
        <v>170</v>
      </c>
      <c r="G277" s="4" t="s">
        <v>102</v>
      </c>
    </row>
    <row r="278" spans="1:7" x14ac:dyDescent="0.2">
      <c r="A278" s="5" t="s">
        <v>19</v>
      </c>
      <c r="B278" s="4">
        <v>3218.21</v>
      </c>
      <c r="C278" s="4">
        <v>3199.08</v>
      </c>
      <c r="D278" s="12">
        <v>58.479532176447954</v>
      </c>
      <c r="E278" s="9">
        <f>Table12[[#This Row],[Social Services ]]/Table12[[#This Row],[NSDP Deflator (Base 2011-12)]]*100</f>
        <v>5503.1390988043877</v>
      </c>
      <c r="F278" s="9">
        <f>Table12[[#This Row],[Economic Services]]/Table12[[#This Row],[NSDP Deflator (Base 2011-12)]]*100</f>
        <v>5470.4267988114952</v>
      </c>
      <c r="G278" s="9">
        <f>SUM(Table12[[#This Row],[Adj Expenditure on Social Service (INR Crore) (Base Price- 2011-12)]:[Adj. Expenditure on Economic Service (INR Crore) (Base Price- 2011-12)]])</f>
        <v>10973.565897615883</v>
      </c>
    </row>
    <row r="279" spans="1:7" x14ac:dyDescent="0.2">
      <c r="A279" s="7" t="s">
        <v>18</v>
      </c>
      <c r="B279" s="4">
        <v>3995.6</v>
      </c>
      <c r="C279" s="4">
        <v>3814.77</v>
      </c>
      <c r="D279" s="14">
        <v>58.479532150042857</v>
      </c>
      <c r="E279" s="9">
        <f>Table12[[#This Row],[Social Services ]]/Table12[[#This Row],[NSDP Deflator (Base 2011-12)]]*100</f>
        <v>6832.4760016006248</v>
      </c>
      <c r="F279" s="9">
        <f>Table12[[#This Row],[Economic Services]]/Table12[[#This Row],[NSDP Deflator (Base 2011-12)]]*100</f>
        <v>6523.2567015281847</v>
      </c>
      <c r="G279" s="9">
        <f>SUM(Table12[[#This Row],[Adj Expenditure on Social Service (INR Crore) (Base Price- 2011-12)]:[Adj. Expenditure on Economic Service (INR Crore) (Base Price- 2011-12)]])</f>
        <v>13355.73270312881</v>
      </c>
    </row>
    <row r="280" spans="1:7" x14ac:dyDescent="0.2">
      <c r="A280" s="5" t="s">
        <v>17</v>
      </c>
      <c r="B280" s="4">
        <v>4615.3999999999996</v>
      </c>
      <c r="C280" s="4">
        <v>6626.89</v>
      </c>
      <c r="D280" s="12">
        <v>58.479533212215493</v>
      </c>
      <c r="E280" s="9">
        <f>Table12[[#This Row],[Social Services ]]/Table12[[#This Row],[NSDP Deflator (Base 2011-12)]]*100</f>
        <v>7892.3338584992534</v>
      </c>
      <c r="F280" s="9">
        <f>Table12[[#This Row],[Economic Services]]/Table12[[#This Row],[NSDP Deflator (Base 2011-12)]]*100</f>
        <v>11331.981696830206</v>
      </c>
      <c r="G280" s="9">
        <f>SUM(Table12[[#This Row],[Adj Expenditure on Social Service (INR Crore) (Base Price- 2011-12)]:[Adj. Expenditure on Economic Service (INR Crore) (Base Price- 2011-12)]])</f>
        <v>19224.31555532946</v>
      </c>
    </row>
    <row r="281" spans="1:7" x14ac:dyDescent="0.2">
      <c r="A281" s="7" t="s">
        <v>16</v>
      </c>
      <c r="B281" s="4">
        <v>5738.67</v>
      </c>
      <c r="C281" s="4">
        <v>6221.88</v>
      </c>
      <c r="D281" s="14">
        <v>58.479532151146316</v>
      </c>
      <c r="E281" s="9">
        <f>Table12[[#This Row],[Social Services ]]/Table12[[#This Row],[NSDP Deflator (Base 2011-12)]]*100</f>
        <v>9813.125702113728</v>
      </c>
      <c r="F281" s="9">
        <f>Table12[[#This Row],[Economic Services]]/Table12[[#This Row],[NSDP Deflator (Base 2011-12)]]*100</f>
        <v>10639.414802291709</v>
      </c>
      <c r="G281" s="9">
        <f>SUM(Table12[[#This Row],[Adj Expenditure on Social Service (INR Crore) (Base Price- 2011-12)]:[Adj. Expenditure on Economic Service (INR Crore) (Base Price- 2011-12)]])</f>
        <v>20452.540504405435</v>
      </c>
    </row>
    <row r="282" spans="1:7" x14ac:dyDescent="0.2">
      <c r="A282" s="5" t="s">
        <v>15</v>
      </c>
      <c r="B282" s="4">
        <v>7258.73</v>
      </c>
      <c r="C282" s="4">
        <v>7035.75</v>
      </c>
      <c r="D282" s="12">
        <v>58.479532164169221</v>
      </c>
      <c r="E282" s="9">
        <f>Table12[[#This Row],[Social Services ]]/Table12[[#This Row],[NSDP Deflator (Base 2011-12)]]*100</f>
        <v>12412.428299909467</v>
      </c>
      <c r="F282" s="9">
        <f>Table12[[#This Row],[Economic Services]]/Table12[[#This Row],[NSDP Deflator (Base 2011-12)]]*100</f>
        <v>12031.13249991225</v>
      </c>
      <c r="G282" s="9">
        <f>SUM(Table12[[#This Row],[Adj Expenditure on Social Service (INR Crore) (Base Price- 2011-12)]:[Adj. Expenditure on Economic Service (INR Crore) (Base Price- 2011-12)]])</f>
        <v>24443.560799821717</v>
      </c>
    </row>
    <row r="283" spans="1:7" x14ac:dyDescent="0.2">
      <c r="A283" s="7" t="s">
        <v>14</v>
      </c>
      <c r="B283" s="4">
        <v>9902.2199999999993</v>
      </c>
      <c r="C283" s="4">
        <v>7529.91</v>
      </c>
      <c r="D283" s="14">
        <v>58.479532162192548</v>
      </c>
      <c r="E283" s="9">
        <f>Table12[[#This Row],[Social Services ]]/Table12[[#This Row],[NSDP Deflator (Base 2011-12)]]*100</f>
        <v>16932.796200448844</v>
      </c>
      <c r="F283" s="9">
        <f>Table12[[#This Row],[Economic Services]]/Table12[[#This Row],[NSDP Deflator (Base 2011-12)]]*100</f>
        <v>12876.146100341313</v>
      </c>
      <c r="G283" s="9">
        <f>SUM(Table12[[#This Row],[Adj Expenditure on Social Service (INR Crore) (Base Price- 2011-12)]:[Adj. Expenditure on Economic Service (INR Crore) (Base Price- 2011-12)]])</f>
        <v>29808.942300790157</v>
      </c>
    </row>
    <row r="284" spans="1:7" x14ac:dyDescent="0.2">
      <c r="A284" s="5" t="s">
        <v>13</v>
      </c>
      <c r="B284" s="4">
        <v>10904.08</v>
      </c>
      <c r="C284" s="4">
        <v>7996.73</v>
      </c>
      <c r="D284" s="12">
        <v>58.479532165061812</v>
      </c>
      <c r="E284" s="9">
        <f>Table12[[#This Row],[Social Services ]]/Table12[[#This Row],[NSDP Deflator (Base 2011-12)]]*100</f>
        <v>18645.976799579403</v>
      </c>
      <c r="F284" s="9">
        <f>Table12[[#This Row],[Economic Services]]/Table12[[#This Row],[NSDP Deflator (Base 2011-12)]]*100</f>
        <v>13674.408299691546</v>
      </c>
      <c r="G284" s="9">
        <f>SUM(Table12[[#This Row],[Adj Expenditure on Social Service (INR Crore) (Base Price- 2011-12)]:[Adj. Expenditure on Economic Service (INR Crore) (Base Price- 2011-12)]])</f>
        <v>32320.385099270949</v>
      </c>
    </row>
    <row r="285" spans="1:7" x14ac:dyDescent="0.2">
      <c r="A285" s="7" t="s">
        <v>12</v>
      </c>
      <c r="B285" s="4">
        <v>12641.67</v>
      </c>
      <c r="C285" s="4">
        <v>9053.9699999999993</v>
      </c>
      <c r="D285" s="14">
        <v>100</v>
      </c>
      <c r="E285" s="9">
        <f>Table12[[#This Row],[Social Services ]]/Table12[[#This Row],[NSDP Deflator (Base 2011-12)]]*100</f>
        <v>12641.67</v>
      </c>
      <c r="F285" s="9">
        <f>Table12[[#This Row],[Economic Services]]/Table12[[#This Row],[NSDP Deflator (Base 2011-12)]]*100</f>
        <v>9053.9699999999993</v>
      </c>
      <c r="G285" s="9">
        <f>SUM(Table12[[#This Row],[Adj Expenditure on Social Service (INR Crore) (Base Price- 2011-12)]:[Adj. Expenditure on Economic Service (INR Crore) (Base Price- 2011-12)]])</f>
        <v>21695.64</v>
      </c>
    </row>
    <row r="286" spans="1:7" x14ac:dyDescent="0.2">
      <c r="A286" s="5" t="s">
        <v>11</v>
      </c>
      <c r="B286" s="4">
        <v>14516.35</v>
      </c>
      <c r="C286" s="4">
        <v>11556.73</v>
      </c>
      <c r="D286" s="12">
        <v>108.48879102578024</v>
      </c>
      <c r="E286" s="9">
        <f>Table12[[#This Row],[Social Services ]]/Table12[[#This Row],[NSDP Deflator (Base 2011-12)]]*100</f>
        <v>13380.50674428704</v>
      </c>
      <c r="F286" s="9">
        <f>Table12[[#This Row],[Economic Services]]/Table12[[#This Row],[NSDP Deflator (Base 2011-12)]]*100</f>
        <v>10652.464545626439</v>
      </c>
      <c r="G286" s="9">
        <f>SUM(Table12[[#This Row],[Adj Expenditure on Social Service (INR Crore) (Base Price- 2011-12)]:[Adj. Expenditure on Economic Service (INR Crore) (Base Price- 2011-12)]])</f>
        <v>24032.971289913479</v>
      </c>
    </row>
    <row r="287" spans="1:7" x14ac:dyDescent="0.2">
      <c r="A287" s="7" t="s">
        <v>10</v>
      </c>
      <c r="B287" s="4">
        <v>15413.41</v>
      </c>
      <c r="C287" s="4">
        <v>12740.2</v>
      </c>
      <c r="D287" s="14">
        <v>115.00810653247437</v>
      </c>
      <c r="E287" s="9">
        <f>Table12[[#This Row],[Social Services ]]/Table12[[#This Row],[NSDP Deflator (Base 2011-12)]]*100</f>
        <v>13402.020487701688</v>
      </c>
      <c r="F287" s="9">
        <f>Table12[[#This Row],[Economic Services]]/Table12[[#This Row],[NSDP Deflator (Base 2011-12)]]*100</f>
        <v>11077.653901207914</v>
      </c>
      <c r="G287" s="9">
        <f>SUM(Table12[[#This Row],[Adj Expenditure on Social Service (INR Crore) (Base Price- 2011-12)]:[Adj. Expenditure on Economic Service (INR Crore) (Base Price- 2011-12)]])</f>
        <v>24479.674388909603</v>
      </c>
    </row>
    <row r="288" spans="1:7" x14ac:dyDescent="0.2">
      <c r="A288" s="5" t="s">
        <v>9</v>
      </c>
      <c r="B288" s="4">
        <v>19120.560000000001</v>
      </c>
      <c r="C288" s="4">
        <v>13088</v>
      </c>
      <c r="D288" s="12">
        <v>117.87589214938538</v>
      </c>
      <c r="E288" s="9">
        <f>Table12[[#This Row],[Social Services ]]/Table12[[#This Row],[NSDP Deflator (Base 2011-12)]]*100</f>
        <v>16220.924950258965</v>
      </c>
      <c r="F288" s="9">
        <f>Table12[[#This Row],[Economic Services]]/Table12[[#This Row],[NSDP Deflator (Base 2011-12)]]*100</f>
        <v>11103.203344932854</v>
      </c>
      <c r="G288" s="9">
        <f>SUM(Table12[[#This Row],[Adj Expenditure on Social Service (INR Crore) (Base Price- 2011-12)]:[Adj. Expenditure on Economic Service (INR Crore) (Base Price- 2011-12)]])</f>
        <v>27324.128295191818</v>
      </c>
    </row>
    <row r="289" spans="1:7" x14ac:dyDescent="0.2">
      <c r="A289" s="7" t="s">
        <v>8</v>
      </c>
      <c r="B289" s="4">
        <v>21538.87</v>
      </c>
      <c r="C289" s="4">
        <v>18690.36</v>
      </c>
      <c r="D289" s="14">
        <v>119.68304824050963</v>
      </c>
      <c r="E289" s="9">
        <f>Table12[[#This Row],[Social Services ]]/Table12[[#This Row],[NSDP Deflator (Base 2011-12)]]*100</f>
        <v>17996.592096080694</v>
      </c>
      <c r="F289" s="9">
        <f>Table12[[#This Row],[Economic Services]]/Table12[[#This Row],[NSDP Deflator (Base 2011-12)]]*100</f>
        <v>15616.547434888773</v>
      </c>
      <c r="G289" s="9">
        <f>SUM(Table12[[#This Row],[Adj Expenditure on Social Service (INR Crore) (Base Price- 2011-12)]:[Adj. Expenditure on Economic Service (INR Crore) (Base Price- 2011-12)]])</f>
        <v>33613.139530969464</v>
      </c>
    </row>
    <row r="290" spans="1:7" x14ac:dyDescent="0.2">
      <c r="A290" s="5" t="s">
        <v>7</v>
      </c>
      <c r="B290" s="4">
        <v>25473.49</v>
      </c>
      <c r="C290" s="4">
        <v>20875.21</v>
      </c>
      <c r="D290" s="12">
        <v>123.10895822500424</v>
      </c>
      <c r="E290" s="9">
        <f>Table12[[#This Row],[Social Services ]]/Table12[[#This Row],[NSDP Deflator (Base 2011-12)]]*100</f>
        <v>20691.824841407983</v>
      </c>
      <c r="F290" s="9">
        <f>Table12[[#This Row],[Economic Services]]/Table12[[#This Row],[NSDP Deflator (Base 2011-12)]]*100</f>
        <v>16956.694541957473</v>
      </c>
      <c r="G290" s="9">
        <f>SUM(Table12[[#This Row],[Adj Expenditure on Social Service (INR Crore) (Base Price- 2011-12)]:[Adj. Expenditure on Economic Service (INR Crore) (Base Price- 2011-12)]])</f>
        <v>37648.519383365456</v>
      </c>
    </row>
    <row r="291" spans="1:7" x14ac:dyDescent="0.2">
      <c r="A291" s="7" t="s">
        <v>6</v>
      </c>
      <c r="B291" s="4">
        <v>28061.34</v>
      </c>
      <c r="C291" s="4">
        <v>18106.82</v>
      </c>
      <c r="D291" s="14">
        <v>133.44272223062191</v>
      </c>
      <c r="E291" s="9">
        <f>Table12[[#This Row],[Social Services ]]/Table12[[#This Row],[NSDP Deflator (Base 2011-12)]]*100</f>
        <v>21028.752659514164</v>
      </c>
      <c r="F291" s="9">
        <f>Table12[[#This Row],[Economic Services]]/Table12[[#This Row],[NSDP Deflator (Base 2011-12)]]*100</f>
        <v>13568.98277952315</v>
      </c>
      <c r="G291" s="9">
        <f>SUM(Table12[[#This Row],[Adj Expenditure on Social Service (INR Crore) (Base Price- 2011-12)]:[Adj. Expenditure on Economic Service (INR Crore) (Base Price- 2011-12)]])</f>
        <v>34597.735439037315</v>
      </c>
    </row>
    <row r="292" spans="1:7" x14ac:dyDescent="0.2">
      <c r="A292" s="5" t="s">
        <v>5</v>
      </c>
      <c r="B292" s="4">
        <v>29743.19</v>
      </c>
      <c r="C292" s="4">
        <v>19021.580000000002</v>
      </c>
      <c r="D292" s="12">
        <v>131.49581338195148</v>
      </c>
      <c r="E292" s="9">
        <f>Table12[[#This Row],[Social Services ]]/Table12[[#This Row],[NSDP Deflator (Base 2011-12)]]*100</f>
        <v>22619.115571083585</v>
      </c>
      <c r="F292" s="9">
        <f>Table12[[#This Row],[Economic Services]]/Table12[[#This Row],[NSDP Deflator (Base 2011-12)]]*100</f>
        <v>14465.540393098794</v>
      </c>
      <c r="G292" s="9">
        <f>SUM(Table12[[#This Row],[Adj Expenditure on Social Service (INR Crore) (Base Price- 2011-12)]:[Adj. Expenditure on Economic Service (INR Crore) (Base Price- 2011-12)]])</f>
        <v>37084.655964182377</v>
      </c>
    </row>
    <row r="293" spans="1:7" x14ac:dyDescent="0.2">
      <c r="A293" s="7" t="s">
        <v>4</v>
      </c>
      <c r="B293" s="4">
        <v>33726.480000000003</v>
      </c>
      <c r="C293" s="4">
        <v>19237.78</v>
      </c>
      <c r="D293" s="14">
        <v>136.17008000763497</v>
      </c>
      <c r="E293" s="9">
        <f>Table12[[#This Row],[Social Services ]]/Table12[[#This Row],[NSDP Deflator (Base 2011-12)]]*100</f>
        <v>24767.907897321486</v>
      </c>
      <c r="F293" s="9">
        <f>Table12[[#This Row],[Economic Services]]/Table12[[#This Row],[NSDP Deflator (Base 2011-12)]]*100</f>
        <v>14127.758461272364</v>
      </c>
      <c r="G293" s="9">
        <f>SUM(Table12[[#This Row],[Adj Expenditure on Social Service (INR Crore) (Base Price- 2011-12)]:[Adj. Expenditure on Economic Service (INR Crore) (Base Price- 2011-12)]])</f>
        <v>38895.666358593851</v>
      </c>
    </row>
    <row r="294" spans="1:7" x14ac:dyDescent="0.2">
      <c r="A294" s="5" t="s">
        <v>3</v>
      </c>
      <c r="B294" s="4">
        <v>36163.96</v>
      </c>
      <c r="C294" s="4">
        <v>19048.47</v>
      </c>
      <c r="D294" s="12">
        <v>148.97605645402737</v>
      </c>
      <c r="E294" s="9">
        <f>Table12[[#This Row],[Social Services ]]/Table12[[#This Row],[NSDP Deflator (Base 2011-12)]]*100</f>
        <v>24275.01496601896</v>
      </c>
      <c r="F294" s="9">
        <f>Table12[[#This Row],[Economic Services]]/Table12[[#This Row],[NSDP Deflator (Base 2011-12)]]*100</f>
        <v>12786.262741407832</v>
      </c>
      <c r="G294" s="9">
        <f>SUM(Table12[[#This Row],[Adj Expenditure on Social Service (INR Crore) (Base Price- 2011-12)]:[Adj. Expenditure on Economic Service (INR Crore) (Base Price- 2011-12)]])</f>
        <v>37061.277707426794</v>
      </c>
    </row>
    <row r="295" spans="1:7" x14ac:dyDescent="0.2">
      <c r="A295" s="7" t="s">
        <v>2</v>
      </c>
      <c r="B295" s="4">
        <v>40927.67</v>
      </c>
      <c r="C295" s="4">
        <v>19549.46</v>
      </c>
      <c r="D295" s="14">
        <v>162.12673427929735</v>
      </c>
      <c r="E295" s="9">
        <f>Table12[[#This Row],[Social Services ]]/Table12[[#This Row],[NSDP Deflator (Base 2011-12)]]*100</f>
        <v>25244.244992620086</v>
      </c>
      <c r="F295" s="9">
        <f>Table12[[#This Row],[Economic Services]]/Table12[[#This Row],[NSDP Deflator (Base 2011-12)]]*100</f>
        <v>12058.134697465717</v>
      </c>
      <c r="G295" s="9">
        <f>SUM(Table12[[#This Row],[Adj Expenditure on Social Service (INR Crore) (Base Price- 2011-12)]:[Adj. Expenditure on Economic Service (INR Crore) (Base Price- 2011-12)]])</f>
        <v>37302.3796900858</v>
      </c>
    </row>
    <row r="296" spans="1:7" x14ac:dyDescent="0.2">
      <c r="A296" s="5" t="s">
        <v>1</v>
      </c>
      <c r="B296" s="4">
        <v>46696.29</v>
      </c>
      <c r="C296" s="4">
        <v>23894.97</v>
      </c>
      <c r="D296" s="12">
        <v>170.48155511465546</v>
      </c>
      <c r="E296" s="9">
        <f>Table12[[#This Row],[Social Services ]]/Table12[[#This Row],[NSDP Deflator (Base 2011-12)]]*100</f>
        <v>27390.816542349661</v>
      </c>
      <c r="F296" s="9">
        <f>Table12[[#This Row],[Economic Services]]/Table12[[#This Row],[NSDP Deflator (Base 2011-12)]]*100</f>
        <v>14016.161445694055</v>
      </c>
      <c r="G296" s="9">
        <f>SUM(Table12[[#This Row],[Adj Expenditure on Social Service (INR Crore) (Base Price- 2011-12)]:[Adj. Expenditure on Economic Service (INR Crore) (Base Price- 2011-12)]])</f>
        <v>41406.977988043713</v>
      </c>
    </row>
    <row r="299" spans="1:7" x14ac:dyDescent="0.2">
      <c r="A299" s="3" t="s">
        <v>0</v>
      </c>
      <c r="B299" s="4" t="s">
        <v>172</v>
      </c>
      <c r="C299" s="4" t="s">
        <v>171</v>
      </c>
      <c r="D299" s="4" t="s">
        <v>102</v>
      </c>
    </row>
    <row r="300" spans="1:7" x14ac:dyDescent="0.2">
      <c r="A300" s="5" t="s">
        <v>19</v>
      </c>
      <c r="B300" s="4">
        <f t="shared" ref="B300:B318" si="14">E278/G278*100</f>
        <v>50.149050455877784</v>
      </c>
      <c r="C300" s="4">
        <f t="shared" ref="C300:C318" si="15">F278/G278*100</f>
        <v>49.850949544122209</v>
      </c>
      <c r="D300" s="4">
        <f>SUM(Table19[[#This Row],[Adj. Expenditure on Social Service as % ]:[Adj. Expenditure on Economic Service as %]])</f>
        <v>100</v>
      </c>
    </row>
    <row r="301" spans="1:7" x14ac:dyDescent="0.2">
      <c r="A301" s="7" t="s">
        <v>18</v>
      </c>
      <c r="B301" s="4">
        <f t="shared" si="14"/>
        <v>51.157627615593114</v>
      </c>
      <c r="C301" s="4">
        <f t="shared" si="15"/>
        <v>48.842372384406886</v>
      </c>
      <c r="D301" s="4">
        <f>SUM(Table19[[#This Row],[Adj. Expenditure on Social Service as % ]:[Adj. Expenditure on Economic Service as %]])</f>
        <v>100</v>
      </c>
    </row>
    <row r="302" spans="1:7" x14ac:dyDescent="0.2">
      <c r="A302" s="5" t="s">
        <v>17</v>
      </c>
      <c r="B302" s="4">
        <f t="shared" si="14"/>
        <v>41.053913393089836</v>
      </c>
      <c r="C302" s="4">
        <f t="shared" si="15"/>
        <v>58.946086606910164</v>
      </c>
      <c r="D302" s="4">
        <f>SUM(Table19[[#This Row],[Adj. Expenditure on Social Service as % ]:[Adj. Expenditure on Economic Service as %]])</f>
        <v>100</v>
      </c>
    </row>
    <row r="303" spans="1:7" x14ac:dyDescent="0.2">
      <c r="A303" s="7" t="s">
        <v>16</v>
      </c>
      <c r="B303" s="4">
        <f t="shared" si="14"/>
        <v>47.979984198051099</v>
      </c>
      <c r="C303" s="4">
        <f t="shared" si="15"/>
        <v>52.020015801948915</v>
      </c>
      <c r="D303" s="4">
        <f>SUM(Table19[[#This Row],[Adj. Expenditure on Social Service as % ]:[Adj. Expenditure on Economic Service as %]])</f>
        <v>100.00000000000001</v>
      </c>
    </row>
    <row r="304" spans="1:7" x14ac:dyDescent="0.2">
      <c r="A304" s="5" t="s">
        <v>15</v>
      </c>
      <c r="B304" s="4">
        <f t="shared" si="14"/>
        <v>50.779951421807581</v>
      </c>
      <c r="C304" s="4">
        <f t="shared" si="15"/>
        <v>49.220048578192426</v>
      </c>
      <c r="D304" s="4">
        <f>SUM(Table19[[#This Row],[Adj. Expenditure on Social Service as % ]:[Adj. Expenditure on Economic Service as %]])</f>
        <v>100</v>
      </c>
    </row>
    <row r="305" spans="1:4" x14ac:dyDescent="0.2">
      <c r="A305" s="7" t="s">
        <v>14</v>
      </c>
      <c r="B305" s="4">
        <f t="shared" si="14"/>
        <v>56.804418048741034</v>
      </c>
      <c r="C305" s="4">
        <f t="shared" si="15"/>
        <v>43.195581951258973</v>
      </c>
      <c r="D305" s="4">
        <f>SUM(Table19[[#This Row],[Adj. Expenditure on Social Service as % ]:[Adj. Expenditure on Economic Service as %]])</f>
        <v>100</v>
      </c>
    </row>
    <row r="306" spans="1:4" x14ac:dyDescent="0.2">
      <c r="A306" s="5" t="s">
        <v>13</v>
      </c>
      <c r="B306" s="4">
        <f t="shared" si="14"/>
        <v>57.691072499009302</v>
      </c>
      <c r="C306" s="4">
        <f t="shared" si="15"/>
        <v>42.308927500990698</v>
      </c>
      <c r="D306" s="4">
        <f>SUM(Table19[[#This Row],[Adj. Expenditure on Social Service as % ]:[Adj. Expenditure on Economic Service as %]])</f>
        <v>100</v>
      </c>
    </row>
    <row r="307" spans="1:4" x14ac:dyDescent="0.2">
      <c r="A307" s="7" t="s">
        <v>12</v>
      </c>
      <c r="B307" s="4">
        <f t="shared" si="14"/>
        <v>58.268251132485602</v>
      </c>
      <c r="C307" s="4">
        <f t="shared" si="15"/>
        <v>41.731748867514391</v>
      </c>
      <c r="D307" s="4">
        <f>SUM(Table19[[#This Row],[Adj. Expenditure on Social Service as % ]:[Adj. Expenditure on Economic Service as %]])</f>
        <v>100</v>
      </c>
    </row>
    <row r="308" spans="1:4" x14ac:dyDescent="0.2">
      <c r="A308" s="5" t="s">
        <v>11</v>
      </c>
      <c r="B308" s="4">
        <f t="shared" si="14"/>
        <v>55.675624053621597</v>
      </c>
      <c r="C308" s="4">
        <f t="shared" si="15"/>
        <v>44.32437594637841</v>
      </c>
      <c r="D308" s="4">
        <f>SUM(Table19[[#This Row],[Adj. Expenditure on Social Service as % ]:[Adj. Expenditure on Economic Service as %]])</f>
        <v>100</v>
      </c>
    </row>
    <row r="309" spans="1:4" x14ac:dyDescent="0.2">
      <c r="A309" s="7" t="s">
        <v>10</v>
      </c>
      <c r="B309" s="4">
        <f t="shared" si="14"/>
        <v>54.747543920655282</v>
      </c>
      <c r="C309" s="4">
        <f t="shared" si="15"/>
        <v>45.252456079344711</v>
      </c>
      <c r="D309" s="4">
        <f>SUM(Table19[[#This Row],[Adj. Expenditure on Social Service as % ]:[Adj. Expenditure on Economic Service as %]])</f>
        <v>100</v>
      </c>
    </row>
    <row r="310" spans="1:4" x14ac:dyDescent="0.2">
      <c r="A310" s="5" t="s">
        <v>9</v>
      </c>
      <c r="B310" s="4">
        <f t="shared" si="14"/>
        <v>59.364839657532031</v>
      </c>
      <c r="C310" s="4">
        <f t="shared" si="15"/>
        <v>40.635160342467962</v>
      </c>
      <c r="D310" s="4">
        <f>SUM(Table19[[#This Row],[Adj. Expenditure on Social Service as % ]:[Adj. Expenditure on Economic Service as %]])</f>
        <v>100</v>
      </c>
    </row>
    <row r="311" spans="1:4" x14ac:dyDescent="0.2">
      <c r="A311" s="7" t="s">
        <v>8</v>
      </c>
      <c r="B311" s="4">
        <f t="shared" si="14"/>
        <v>53.540348646991262</v>
      </c>
      <c r="C311" s="4">
        <f t="shared" si="15"/>
        <v>46.459651353008745</v>
      </c>
      <c r="D311" s="4">
        <f>SUM(Table19[[#This Row],[Adj. Expenditure on Social Service as % ]:[Adj. Expenditure on Economic Service as %]])</f>
        <v>100</v>
      </c>
    </row>
    <row r="312" spans="1:4" x14ac:dyDescent="0.2">
      <c r="A312" s="5" t="s">
        <v>7</v>
      </c>
      <c r="B312" s="4">
        <f t="shared" si="14"/>
        <v>54.960527479735141</v>
      </c>
      <c r="C312" s="4">
        <f t="shared" si="15"/>
        <v>45.039472520264859</v>
      </c>
      <c r="D312" s="4">
        <f>SUM(Table19[[#This Row],[Adj. Expenditure on Social Service as % ]:[Adj. Expenditure on Economic Service as %]])</f>
        <v>100</v>
      </c>
    </row>
    <row r="313" spans="1:4" x14ac:dyDescent="0.2">
      <c r="A313" s="7" t="s">
        <v>6</v>
      </c>
      <c r="B313" s="4">
        <f t="shared" si="14"/>
        <v>60.780719872743475</v>
      </c>
      <c r="C313" s="4">
        <f t="shared" si="15"/>
        <v>39.219280127256525</v>
      </c>
      <c r="D313" s="4">
        <f>SUM(Table19[[#This Row],[Adj. Expenditure on Social Service as % ]:[Adj. Expenditure on Economic Service as %]])</f>
        <v>100</v>
      </c>
    </row>
    <row r="314" spans="1:4" x14ac:dyDescent="0.2">
      <c r="A314" s="5" t="s">
        <v>5</v>
      </c>
      <c r="B314" s="4">
        <f t="shared" si="14"/>
        <v>60.99319242149609</v>
      </c>
      <c r="C314" s="4">
        <f t="shared" si="15"/>
        <v>39.00680757850391</v>
      </c>
      <c r="D314" s="4">
        <f>SUM(Table19[[#This Row],[Adj. Expenditure on Social Service as % ]:[Adj. Expenditure on Economic Service as %]])</f>
        <v>100</v>
      </c>
    </row>
    <row r="315" spans="1:4" x14ac:dyDescent="0.2">
      <c r="A315" s="7" t="s">
        <v>4</v>
      </c>
      <c r="B315" s="4">
        <f t="shared" si="14"/>
        <v>63.677808393811233</v>
      </c>
      <c r="C315" s="4">
        <f t="shared" si="15"/>
        <v>36.322191606188767</v>
      </c>
      <c r="D315" s="4">
        <f>SUM(Table19[[#This Row],[Adj. Expenditure on Social Service as % ]:[Adj. Expenditure on Economic Service as %]])</f>
        <v>100</v>
      </c>
    </row>
    <row r="316" spans="1:4" x14ac:dyDescent="0.2">
      <c r="A316" s="5" t="s">
        <v>3</v>
      </c>
      <c r="B316" s="4">
        <f t="shared" si="14"/>
        <v>65.499670997998095</v>
      </c>
      <c r="C316" s="4">
        <f t="shared" si="15"/>
        <v>34.500329002001905</v>
      </c>
      <c r="D316" s="4">
        <f>SUM(Table19[[#This Row],[Adj. Expenditure on Social Service as % ]:[Adj. Expenditure on Economic Service as %]])</f>
        <v>100</v>
      </c>
    </row>
    <row r="317" spans="1:4" x14ac:dyDescent="0.2">
      <c r="A317" s="7" t="s">
        <v>2</v>
      </c>
      <c r="B317" s="4">
        <f t="shared" si="14"/>
        <v>67.674623448566422</v>
      </c>
      <c r="C317" s="4">
        <f t="shared" si="15"/>
        <v>32.325376551433585</v>
      </c>
      <c r="D317" s="4">
        <f>SUM(Table19[[#This Row],[Adj. Expenditure on Social Service as % ]:[Adj. Expenditure on Economic Service as %]])</f>
        <v>100</v>
      </c>
    </row>
    <row r="318" spans="1:4" x14ac:dyDescent="0.2">
      <c r="A318" s="5" t="s">
        <v>1</v>
      </c>
      <c r="B318" s="4">
        <f t="shared" si="14"/>
        <v>66.150242962089081</v>
      </c>
      <c r="C318" s="4">
        <f t="shared" si="15"/>
        <v>33.849757037910926</v>
      </c>
      <c r="D318" s="4">
        <f>SUM(Table19[[#This Row],[Adj. Expenditure on Social Service as % ]:[Adj. Expenditure on Economic Service as %]])</f>
        <v>100</v>
      </c>
    </row>
  </sheetData>
  <hyperlinks>
    <hyperlink ref="B23" r:id="rId1" xr:uid="{DF6B5AC2-C0EB-E740-8DDD-61997EB250C8}"/>
    <hyperlink ref="B94" r:id="rId2" display="Revenue Composition" xr:uid="{D5B42558-B0E5-3544-880A-0F4D515DBEB4}"/>
    <hyperlink ref="A141" r:id="rId3" display="Revenue Composition" xr:uid="{2CBDEB5D-F2D5-3846-95FF-8802BD24E854}"/>
    <hyperlink ref="A275" r:id="rId4" display="Revenue Composition" xr:uid="{B43142C4-2417-234B-9EDD-C828E79C3F54}"/>
  </hyperlinks>
  <pageMargins left="0.7" right="0.7" top="0.75" bottom="0.75" header="0.3" footer="0.3"/>
  <drawing r:id="rId5"/>
  <legacyDrawing r:id="rId6"/>
  <tableParts count="12"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079B-7C30-B54F-9B29-DC1DE9A9AEA5}">
  <dimension ref="A2:P204"/>
  <sheetViews>
    <sheetView tabSelected="1" topLeftCell="A35" zoomScale="50" workbookViewId="0">
      <selection activeCell="M78" sqref="M78:M96"/>
    </sheetView>
  </sheetViews>
  <sheetFormatPr baseColWidth="10" defaultRowHeight="16" x14ac:dyDescent="0.2"/>
  <cols>
    <col min="1" max="1" width="64.5" bestFit="1" customWidth="1"/>
    <col min="2" max="2" width="36.1640625" customWidth="1"/>
    <col min="3" max="3" width="39.33203125" customWidth="1"/>
    <col min="4" max="4" width="28.1640625" customWidth="1"/>
    <col min="5" max="5" width="59" customWidth="1"/>
    <col min="6" max="6" width="63" customWidth="1"/>
    <col min="7" max="7" width="45.83203125" bestFit="1" customWidth="1"/>
    <col min="8" max="8" width="54.33203125" bestFit="1" customWidth="1"/>
    <col min="9" max="9" width="27" bestFit="1" customWidth="1"/>
    <col min="10" max="10" width="42.1640625" customWidth="1"/>
    <col min="11" max="11" width="26.1640625" bestFit="1" customWidth="1"/>
    <col min="12" max="12" width="24.5" customWidth="1"/>
    <col min="13" max="13" width="26.5" customWidth="1"/>
    <col min="14" max="14" width="36.1640625" customWidth="1"/>
    <col min="15" max="15" width="14" bestFit="1" customWidth="1"/>
    <col min="16" max="16" width="36.83203125" bestFit="1" customWidth="1"/>
  </cols>
  <sheetData>
    <row r="2" spans="1:7" ht="29" x14ac:dyDescent="0.35">
      <c r="A2" s="20" t="s">
        <v>166</v>
      </c>
    </row>
    <row r="4" spans="1:7" x14ac:dyDescent="0.2">
      <c r="A4" s="3" t="s">
        <v>0</v>
      </c>
      <c r="B4" s="4" t="s">
        <v>167</v>
      </c>
      <c r="C4" s="4" t="s">
        <v>168</v>
      </c>
      <c r="D4" s="3" t="s">
        <v>73</v>
      </c>
      <c r="E4" s="4" t="s">
        <v>169</v>
      </c>
      <c r="F4" s="4" t="s">
        <v>170</v>
      </c>
      <c r="G4" s="4" t="s">
        <v>102</v>
      </c>
    </row>
    <row r="5" spans="1:7" x14ac:dyDescent="0.2">
      <c r="A5" s="5" t="s">
        <v>19</v>
      </c>
      <c r="B5" s="4">
        <v>3218.21</v>
      </c>
      <c r="C5" s="4">
        <v>3199.08</v>
      </c>
      <c r="D5" s="12">
        <v>58.479532176447954</v>
      </c>
      <c r="E5" s="9">
        <v>5503.1390988043877</v>
      </c>
      <c r="F5" s="9">
        <v>5470.4267988114952</v>
      </c>
      <c r="G5" s="9">
        <v>10973.565897615883</v>
      </c>
    </row>
    <row r="6" spans="1:7" x14ac:dyDescent="0.2">
      <c r="A6" s="7" t="s">
        <v>18</v>
      </c>
      <c r="B6" s="4">
        <v>3995.6</v>
      </c>
      <c r="C6" s="4">
        <v>3814.77</v>
      </c>
      <c r="D6" s="14">
        <v>58.479532150042857</v>
      </c>
      <c r="E6" s="9">
        <v>6832.4760016006248</v>
      </c>
      <c r="F6" s="9">
        <v>6523.2567015281847</v>
      </c>
      <c r="G6" s="9">
        <v>13355.73270312881</v>
      </c>
    </row>
    <row r="7" spans="1:7" x14ac:dyDescent="0.2">
      <c r="A7" s="5" t="s">
        <v>17</v>
      </c>
      <c r="B7" s="4">
        <v>4615.3999999999996</v>
      </c>
      <c r="C7" s="4">
        <v>6626.89</v>
      </c>
      <c r="D7" s="12">
        <v>58.479533212215493</v>
      </c>
      <c r="E7" s="9">
        <v>7892.3338584992534</v>
      </c>
      <c r="F7" s="9">
        <v>11331.981696830206</v>
      </c>
      <c r="G7" s="9">
        <v>19224.31555532946</v>
      </c>
    </row>
    <row r="8" spans="1:7" x14ac:dyDescent="0.2">
      <c r="A8" s="7" t="s">
        <v>16</v>
      </c>
      <c r="B8" s="4">
        <v>5738.67</v>
      </c>
      <c r="C8" s="4">
        <v>6221.88</v>
      </c>
      <c r="D8" s="14">
        <v>58.479532151146316</v>
      </c>
      <c r="E8" s="9">
        <v>9813.125702113728</v>
      </c>
      <c r="F8" s="9">
        <v>10639.414802291709</v>
      </c>
      <c r="G8" s="9">
        <v>20452.540504405435</v>
      </c>
    </row>
    <row r="9" spans="1:7" x14ac:dyDescent="0.2">
      <c r="A9" s="5" t="s">
        <v>15</v>
      </c>
      <c r="B9" s="4">
        <v>7258.73</v>
      </c>
      <c r="C9" s="4">
        <v>7035.75</v>
      </c>
      <c r="D9" s="12">
        <v>58.479532164169221</v>
      </c>
      <c r="E9" s="9">
        <v>12412.428299909467</v>
      </c>
      <c r="F9" s="9">
        <v>12031.13249991225</v>
      </c>
      <c r="G9" s="9">
        <v>24443.560799821717</v>
      </c>
    </row>
    <row r="10" spans="1:7" x14ac:dyDescent="0.2">
      <c r="A10" s="7" t="s">
        <v>14</v>
      </c>
      <c r="B10" s="4">
        <v>9902.2199999999993</v>
      </c>
      <c r="C10" s="4">
        <v>7529.91</v>
      </c>
      <c r="D10" s="14">
        <v>58.479532162192548</v>
      </c>
      <c r="E10" s="9">
        <v>16932.796200448844</v>
      </c>
      <c r="F10" s="9">
        <v>12876.146100341313</v>
      </c>
      <c r="G10" s="9">
        <v>29808.942300790157</v>
      </c>
    </row>
    <row r="11" spans="1:7" x14ac:dyDescent="0.2">
      <c r="A11" s="5" t="s">
        <v>13</v>
      </c>
      <c r="B11" s="4">
        <v>10904.08</v>
      </c>
      <c r="C11" s="4">
        <v>7996.73</v>
      </c>
      <c r="D11" s="12">
        <v>58.479532165061812</v>
      </c>
      <c r="E11" s="9">
        <v>18645.976799579403</v>
      </c>
      <c r="F11" s="9">
        <v>13674.408299691546</v>
      </c>
      <c r="G11" s="9">
        <v>32320.385099270949</v>
      </c>
    </row>
    <row r="12" spans="1:7" x14ac:dyDescent="0.2">
      <c r="A12" s="7" t="s">
        <v>12</v>
      </c>
      <c r="B12" s="4">
        <v>12641.67</v>
      </c>
      <c r="C12" s="4">
        <v>9053.9699999999993</v>
      </c>
      <c r="D12" s="14">
        <v>100</v>
      </c>
      <c r="E12" s="9">
        <v>12641.67</v>
      </c>
      <c r="F12" s="9">
        <v>9053.9699999999993</v>
      </c>
      <c r="G12" s="9">
        <v>21695.64</v>
      </c>
    </row>
    <row r="13" spans="1:7" x14ac:dyDescent="0.2">
      <c r="A13" s="5" t="s">
        <v>11</v>
      </c>
      <c r="B13" s="4">
        <v>14516.35</v>
      </c>
      <c r="C13" s="4">
        <v>11556.73</v>
      </c>
      <c r="D13" s="12">
        <v>108.48879102578024</v>
      </c>
      <c r="E13" s="9">
        <v>13380.50674428704</v>
      </c>
      <c r="F13" s="9">
        <v>10652.464545626439</v>
      </c>
      <c r="G13" s="9">
        <v>24032.971289913479</v>
      </c>
    </row>
    <row r="14" spans="1:7" x14ac:dyDescent="0.2">
      <c r="A14" s="7" t="s">
        <v>10</v>
      </c>
      <c r="B14" s="4">
        <v>15413.41</v>
      </c>
      <c r="C14" s="4">
        <v>12740.2</v>
      </c>
      <c r="D14" s="14">
        <v>115.00810653247437</v>
      </c>
      <c r="E14" s="9">
        <v>13402.020487701688</v>
      </c>
      <c r="F14" s="9">
        <v>11077.653901207914</v>
      </c>
      <c r="G14" s="9">
        <v>24479.674388909603</v>
      </c>
    </row>
    <row r="15" spans="1:7" x14ac:dyDescent="0.2">
      <c r="A15" s="5" t="s">
        <v>9</v>
      </c>
      <c r="B15" s="4">
        <v>19120.560000000001</v>
      </c>
      <c r="C15" s="4">
        <v>13088</v>
      </c>
      <c r="D15" s="12">
        <v>117.87589214938538</v>
      </c>
      <c r="E15" s="9">
        <v>16220.924950258965</v>
      </c>
      <c r="F15" s="9">
        <v>11103.203344932854</v>
      </c>
      <c r="G15" s="9">
        <v>27324.128295191818</v>
      </c>
    </row>
    <row r="16" spans="1:7" x14ac:dyDescent="0.2">
      <c r="A16" s="7" t="s">
        <v>8</v>
      </c>
      <c r="B16" s="4">
        <v>21538.87</v>
      </c>
      <c r="C16" s="4">
        <v>18690.36</v>
      </c>
      <c r="D16" s="14">
        <v>119.68304824050963</v>
      </c>
      <c r="E16" s="9">
        <v>17996.592096080694</v>
      </c>
      <c r="F16" s="9">
        <v>15616.547434888773</v>
      </c>
      <c r="G16" s="9">
        <v>33613.139530969464</v>
      </c>
    </row>
    <row r="17" spans="1:7" x14ac:dyDescent="0.2">
      <c r="A17" s="5" t="s">
        <v>7</v>
      </c>
      <c r="B17" s="4">
        <v>25473.49</v>
      </c>
      <c r="C17" s="4">
        <v>20875.21</v>
      </c>
      <c r="D17" s="12">
        <v>123.10895822500424</v>
      </c>
      <c r="E17" s="9">
        <v>20691.824841407983</v>
      </c>
      <c r="F17" s="9">
        <v>16956.694541957473</v>
      </c>
      <c r="G17" s="9">
        <v>37648.519383365456</v>
      </c>
    </row>
    <row r="18" spans="1:7" x14ac:dyDescent="0.2">
      <c r="A18" s="7" t="s">
        <v>6</v>
      </c>
      <c r="B18" s="4">
        <v>28061.34</v>
      </c>
      <c r="C18" s="4">
        <v>18106.82</v>
      </c>
      <c r="D18" s="14">
        <v>133.44272223062191</v>
      </c>
      <c r="E18" s="9">
        <v>21028.752659514164</v>
      </c>
      <c r="F18" s="9">
        <v>13568.98277952315</v>
      </c>
      <c r="G18" s="9">
        <v>34597.735439037315</v>
      </c>
    </row>
    <row r="19" spans="1:7" x14ac:dyDescent="0.2">
      <c r="A19" s="5" t="s">
        <v>5</v>
      </c>
      <c r="B19" s="4">
        <v>29743.19</v>
      </c>
      <c r="C19" s="4">
        <v>19021.580000000002</v>
      </c>
      <c r="D19" s="12">
        <v>131.49581338195148</v>
      </c>
      <c r="E19" s="9">
        <v>22619.115571083585</v>
      </c>
      <c r="F19" s="9">
        <v>14465.540393098794</v>
      </c>
      <c r="G19" s="9">
        <v>37084.655964182377</v>
      </c>
    </row>
    <row r="20" spans="1:7" x14ac:dyDescent="0.2">
      <c r="A20" s="7" t="s">
        <v>4</v>
      </c>
      <c r="B20" s="4">
        <v>33726.480000000003</v>
      </c>
      <c r="C20" s="4">
        <v>19237.78</v>
      </c>
      <c r="D20" s="14">
        <v>136.17008000763497</v>
      </c>
      <c r="E20" s="9">
        <v>24767.907897321486</v>
      </c>
      <c r="F20" s="9">
        <v>14127.758461272364</v>
      </c>
      <c r="G20" s="9">
        <v>38895.666358593851</v>
      </c>
    </row>
    <row r="21" spans="1:7" x14ac:dyDescent="0.2">
      <c r="A21" s="5" t="s">
        <v>3</v>
      </c>
      <c r="B21" s="4">
        <v>36163.96</v>
      </c>
      <c r="C21" s="4">
        <v>19048.47</v>
      </c>
      <c r="D21" s="12">
        <v>148.97605645402737</v>
      </c>
      <c r="E21" s="9">
        <v>24275.01496601896</v>
      </c>
      <c r="F21" s="9">
        <v>12786.262741407832</v>
      </c>
      <c r="G21" s="9">
        <v>37061.277707426794</v>
      </c>
    </row>
    <row r="22" spans="1:7" x14ac:dyDescent="0.2">
      <c r="A22" s="7" t="s">
        <v>2</v>
      </c>
      <c r="B22" s="4">
        <v>40927.67</v>
      </c>
      <c r="C22" s="4">
        <v>19549.46</v>
      </c>
      <c r="D22" s="14">
        <v>162.12673427929735</v>
      </c>
      <c r="E22" s="9">
        <v>25244.244992620086</v>
      </c>
      <c r="F22" s="9">
        <v>12058.134697465717</v>
      </c>
      <c r="G22" s="9">
        <v>37302.3796900858</v>
      </c>
    </row>
    <row r="23" spans="1:7" x14ac:dyDescent="0.2">
      <c r="A23" s="5" t="s">
        <v>1</v>
      </c>
      <c r="B23" s="4">
        <v>46696.29</v>
      </c>
      <c r="C23" s="4">
        <v>23894.97</v>
      </c>
      <c r="D23" s="12">
        <v>170.48155511465546</v>
      </c>
      <c r="E23" s="9">
        <v>27390.816542349661</v>
      </c>
      <c r="F23" s="9">
        <v>14016.161445694055</v>
      </c>
      <c r="G23" s="9">
        <v>41406.977988043713</v>
      </c>
    </row>
    <row r="26" spans="1:7" x14ac:dyDescent="0.2">
      <c r="A26" s="3" t="s">
        <v>0</v>
      </c>
      <c r="B26" s="4" t="s">
        <v>172</v>
      </c>
      <c r="C26" s="4" t="s">
        <v>171</v>
      </c>
      <c r="D26" s="4" t="s">
        <v>102</v>
      </c>
    </row>
    <row r="27" spans="1:7" x14ac:dyDescent="0.2">
      <c r="A27" s="5" t="s">
        <v>19</v>
      </c>
      <c r="B27" s="4">
        <v>50.149050455877784</v>
      </c>
      <c r="C27" s="4">
        <v>49.850949544122209</v>
      </c>
      <c r="D27" s="4">
        <v>100</v>
      </c>
    </row>
    <row r="28" spans="1:7" x14ac:dyDescent="0.2">
      <c r="A28" s="7" t="s">
        <v>18</v>
      </c>
      <c r="B28" s="4">
        <v>51.157627615593114</v>
      </c>
      <c r="C28" s="4">
        <v>48.842372384406886</v>
      </c>
      <c r="D28" s="4">
        <v>100</v>
      </c>
    </row>
    <row r="29" spans="1:7" x14ac:dyDescent="0.2">
      <c r="A29" s="5" t="s">
        <v>17</v>
      </c>
      <c r="B29" s="4">
        <v>41.053913393089836</v>
      </c>
      <c r="C29" s="4">
        <v>58.946086606910164</v>
      </c>
      <c r="D29" s="4">
        <v>100</v>
      </c>
    </row>
    <row r="30" spans="1:7" x14ac:dyDescent="0.2">
      <c r="A30" s="7" t="s">
        <v>16</v>
      </c>
      <c r="B30" s="4">
        <v>47.979984198051099</v>
      </c>
      <c r="C30" s="4">
        <v>52.020015801948915</v>
      </c>
      <c r="D30" s="4">
        <v>100.00000000000001</v>
      </c>
    </row>
    <row r="31" spans="1:7" x14ac:dyDescent="0.2">
      <c r="A31" s="5" t="s">
        <v>15</v>
      </c>
      <c r="B31" s="4">
        <v>50.779951421807581</v>
      </c>
      <c r="C31" s="4">
        <v>49.220048578192426</v>
      </c>
      <c r="D31" s="4">
        <v>100</v>
      </c>
    </row>
    <row r="32" spans="1:7" x14ac:dyDescent="0.2">
      <c r="A32" s="7" t="s">
        <v>14</v>
      </c>
      <c r="B32" s="4">
        <v>56.804418048741034</v>
      </c>
      <c r="C32" s="4">
        <v>43.195581951258973</v>
      </c>
      <c r="D32" s="4">
        <v>100</v>
      </c>
    </row>
    <row r="33" spans="1:4" x14ac:dyDescent="0.2">
      <c r="A33" s="5" t="s">
        <v>13</v>
      </c>
      <c r="B33" s="4">
        <v>57.691072499009302</v>
      </c>
      <c r="C33" s="4">
        <v>42.308927500990698</v>
      </c>
      <c r="D33" s="4">
        <v>100</v>
      </c>
    </row>
    <row r="34" spans="1:4" x14ac:dyDescent="0.2">
      <c r="A34" s="7" t="s">
        <v>12</v>
      </c>
      <c r="B34" s="4">
        <v>58.268251132485602</v>
      </c>
      <c r="C34" s="4">
        <v>41.731748867514391</v>
      </c>
      <c r="D34" s="4">
        <v>100</v>
      </c>
    </row>
    <row r="35" spans="1:4" x14ac:dyDescent="0.2">
      <c r="A35" s="5" t="s">
        <v>11</v>
      </c>
      <c r="B35" s="4">
        <v>55.675624053621597</v>
      </c>
      <c r="C35" s="4">
        <v>44.32437594637841</v>
      </c>
      <c r="D35" s="4">
        <v>100</v>
      </c>
    </row>
    <row r="36" spans="1:4" x14ac:dyDescent="0.2">
      <c r="A36" s="7" t="s">
        <v>10</v>
      </c>
      <c r="B36" s="4">
        <v>54.747543920655282</v>
      </c>
      <c r="C36" s="4">
        <v>45.252456079344711</v>
      </c>
      <c r="D36" s="4">
        <v>100</v>
      </c>
    </row>
    <row r="37" spans="1:4" x14ac:dyDescent="0.2">
      <c r="A37" s="5" t="s">
        <v>9</v>
      </c>
      <c r="B37" s="4">
        <v>59.364839657532031</v>
      </c>
      <c r="C37" s="4">
        <v>40.635160342467962</v>
      </c>
      <c r="D37" s="4">
        <v>100</v>
      </c>
    </row>
    <row r="38" spans="1:4" x14ac:dyDescent="0.2">
      <c r="A38" s="7" t="s">
        <v>8</v>
      </c>
      <c r="B38" s="4">
        <v>53.540348646991262</v>
      </c>
      <c r="C38" s="4">
        <v>46.459651353008745</v>
      </c>
      <c r="D38" s="4">
        <v>100</v>
      </c>
    </row>
    <row r="39" spans="1:4" x14ac:dyDescent="0.2">
      <c r="A39" s="5" t="s">
        <v>7</v>
      </c>
      <c r="B39" s="4">
        <v>54.960527479735141</v>
      </c>
      <c r="C39" s="4">
        <v>45.039472520264859</v>
      </c>
      <c r="D39" s="4">
        <v>100</v>
      </c>
    </row>
    <row r="40" spans="1:4" x14ac:dyDescent="0.2">
      <c r="A40" s="7" t="s">
        <v>6</v>
      </c>
      <c r="B40" s="4">
        <v>60.780719872743475</v>
      </c>
      <c r="C40" s="4">
        <v>39.219280127256525</v>
      </c>
      <c r="D40" s="4">
        <v>100</v>
      </c>
    </row>
    <row r="41" spans="1:4" x14ac:dyDescent="0.2">
      <c r="A41" s="5" t="s">
        <v>5</v>
      </c>
      <c r="B41" s="4">
        <v>60.99319242149609</v>
      </c>
      <c r="C41" s="4">
        <v>39.00680757850391</v>
      </c>
      <c r="D41" s="4">
        <v>100</v>
      </c>
    </row>
    <row r="42" spans="1:4" x14ac:dyDescent="0.2">
      <c r="A42" s="7" t="s">
        <v>4</v>
      </c>
      <c r="B42" s="4">
        <v>63.677808393811233</v>
      </c>
      <c r="C42" s="4">
        <v>36.322191606188767</v>
      </c>
      <c r="D42" s="4">
        <v>100</v>
      </c>
    </row>
    <row r="43" spans="1:4" x14ac:dyDescent="0.2">
      <c r="A43" s="5" t="s">
        <v>3</v>
      </c>
      <c r="B43" s="4">
        <v>65.499670997998095</v>
      </c>
      <c r="C43" s="4">
        <v>34.500329002001905</v>
      </c>
      <c r="D43" s="4">
        <v>100</v>
      </c>
    </row>
    <row r="44" spans="1:4" x14ac:dyDescent="0.2">
      <c r="A44" s="7" t="s">
        <v>2</v>
      </c>
      <c r="B44" s="4">
        <v>67.674623448566422</v>
      </c>
      <c r="C44" s="4">
        <v>32.325376551433585</v>
      </c>
      <c r="D44" s="4">
        <v>100</v>
      </c>
    </row>
    <row r="45" spans="1:4" x14ac:dyDescent="0.2">
      <c r="A45" s="5" t="s">
        <v>1</v>
      </c>
      <c r="B45" s="4">
        <v>66.150242962089081</v>
      </c>
      <c r="C45" s="4">
        <v>33.849757037910926</v>
      </c>
      <c r="D45" s="4">
        <v>100</v>
      </c>
    </row>
    <row r="49" spans="1:16" ht="37" x14ac:dyDescent="0.45">
      <c r="A49" s="34" t="s">
        <v>173</v>
      </c>
      <c r="D49" t="s">
        <v>191</v>
      </c>
      <c r="E49" s="1" t="s">
        <v>201</v>
      </c>
    </row>
    <row r="52" spans="1:16" x14ac:dyDescent="0.2">
      <c r="A52" s="3" t="s">
        <v>0</v>
      </c>
      <c r="B52" s="4" t="s">
        <v>174</v>
      </c>
      <c r="C52" s="4" t="s">
        <v>175</v>
      </c>
      <c r="D52" s="4" t="s">
        <v>176</v>
      </c>
      <c r="E52" s="4" t="s">
        <v>177</v>
      </c>
      <c r="F52" s="4" t="s">
        <v>178</v>
      </c>
      <c r="G52" s="4" t="s">
        <v>179</v>
      </c>
      <c r="H52" s="4" t="s">
        <v>180</v>
      </c>
      <c r="I52" s="4" t="s">
        <v>181</v>
      </c>
      <c r="J52" s="4" t="s">
        <v>182</v>
      </c>
      <c r="K52" s="4" t="s">
        <v>183</v>
      </c>
      <c r="L52" s="4" t="s">
        <v>184</v>
      </c>
      <c r="M52" s="4" t="s">
        <v>185</v>
      </c>
      <c r="N52" s="4" t="s">
        <v>186</v>
      </c>
      <c r="O52" s="4" t="s">
        <v>147</v>
      </c>
      <c r="P52" s="3" t="s">
        <v>73</v>
      </c>
    </row>
    <row r="53" spans="1:16" x14ac:dyDescent="0.2">
      <c r="A53" s="5" t="s">
        <v>19</v>
      </c>
      <c r="B53" s="4">
        <v>418.76</v>
      </c>
      <c r="C53" s="4">
        <v>418.76</v>
      </c>
      <c r="D53" s="4">
        <v>418.76</v>
      </c>
      <c r="E53" s="4">
        <v>418.76</v>
      </c>
      <c r="F53" s="4">
        <v>190.36500000000001</v>
      </c>
      <c r="G53" s="4">
        <v>190.36500000000001</v>
      </c>
      <c r="H53" s="4">
        <v>128.32339999999999</v>
      </c>
      <c r="I53" s="4">
        <v>128.32329999999999</v>
      </c>
      <c r="J53" s="4">
        <v>49.11</v>
      </c>
      <c r="K53" s="4">
        <v>128.32329999999999</v>
      </c>
      <c r="L53" s="4">
        <v>73.040000000000006</v>
      </c>
      <c r="M53" s="4">
        <v>634.32000000000005</v>
      </c>
      <c r="N53" s="4">
        <v>0</v>
      </c>
      <c r="O53" s="4">
        <v>3.52</v>
      </c>
      <c r="P53" s="12">
        <v>58.479532176447954</v>
      </c>
    </row>
    <row r="54" spans="1:16" x14ac:dyDescent="0.2">
      <c r="A54" s="7" t="s">
        <v>18</v>
      </c>
      <c r="B54" s="4">
        <v>1861.09</v>
      </c>
      <c r="C54" s="4">
        <v>73.23</v>
      </c>
      <c r="D54" s="4">
        <v>3.24</v>
      </c>
      <c r="E54" s="4">
        <v>32.22</v>
      </c>
      <c r="F54" s="4">
        <v>268.33</v>
      </c>
      <c r="G54" s="4">
        <v>268.33</v>
      </c>
      <c r="H54" s="4">
        <v>268.33999999999997</v>
      </c>
      <c r="I54" s="4">
        <v>0</v>
      </c>
      <c r="J54" s="4">
        <v>0</v>
      </c>
      <c r="K54" s="4">
        <v>12.05</v>
      </c>
      <c r="L54" s="4">
        <v>100.09</v>
      </c>
      <c r="M54" s="4">
        <v>679.9</v>
      </c>
      <c r="N54" s="4">
        <v>154.43</v>
      </c>
      <c r="O54" s="4">
        <v>273.14999999999998</v>
      </c>
      <c r="P54" s="14">
        <v>58.479532150042857</v>
      </c>
    </row>
    <row r="55" spans="1:16" x14ac:dyDescent="0.2">
      <c r="A55" s="5" t="s">
        <v>17</v>
      </c>
      <c r="B55" s="4">
        <v>2153.91</v>
      </c>
      <c r="C55" s="4">
        <v>95.51</v>
      </c>
      <c r="D55" s="4">
        <v>3.49</v>
      </c>
      <c r="E55" s="4">
        <v>39.159999999999997</v>
      </c>
      <c r="F55" s="4">
        <v>286.36</v>
      </c>
      <c r="G55" s="4">
        <v>286.36</v>
      </c>
      <c r="H55" s="4">
        <v>286.36</v>
      </c>
      <c r="I55" s="4">
        <v>0</v>
      </c>
      <c r="J55" s="4">
        <v>0</v>
      </c>
      <c r="K55" s="4">
        <v>18.39</v>
      </c>
      <c r="L55" s="4">
        <v>104.09</v>
      </c>
      <c r="M55" s="4">
        <v>753.76</v>
      </c>
      <c r="N55" s="4">
        <v>216.8</v>
      </c>
      <c r="O55" s="4">
        <v>371.21</v>
      </c>
      <c r="P55" s="12">
        <v>58.479533212215493</v>
      </c>
    </row>
    <row r="56" spans="1:16" x14ac:dyDescent="0.2">
      <c r="A56" s="7" t="s">
        <v>16</v>
      </c>
      <c r="B56" s="4">
        <v>2588.31</v>
      </c>
      <c r="C56" s="4">
        <v>112.95</v>
      </c>
      <c r="D56" s="4">
        <v>4.07</v>
      </c>
      <c r="E56" s="4">
        <v>48.12</v>
      </c>
      <c r="F56" s="4">
        <v>468.48</v>
      </c>
      <c r="G56" s="4">
        <v>60.41</v>
      </c>
      <c r="H56" s="4">
        <v>549.45000000000005</v>
      </c>
      <c r="I56" s="4">
        <v>370.89</v>
      </c>
      <c r="J56" s="4">
        <v>142.34</v>
      </c>
      <c r="K56" s="4">
        <v>14.14</v>
      </c>
      <c r="L56" s="4">
        <v>105.44</v>
      </c>
      <c r="M56" s="4">
        <v>827.61</v>
      </c>
      <c r="N56" s="4">
        <v>264.43</v>
      </c>
      <c r="O56" s="4">
        <v>182.03</v>
      </c>
      <c r="P56" s="14">
        <v>58.479532151146316</v>
      </c>
    </row>
    <row r="57" spans="1:16" x14ac:dyDescent="0.2">
      <c r="A57" s="5" t="s">
        <v>15</v>
      </c>
      <c r="B57" s="4">
        <v>3543.69</v>
      </c>
      <c r="C57" s="4">
        <v>234.66</v>
      </c>
      <c r="D57" s="4">
        <v>4.99</v>
      </c>
      <c r="E57" s="4">
        <v>70.959999999999994</v>
      </c>
      <c r="F57" s="4">
        <v>643.73</v>
      </c>
      <c r="G57" s="4">
        <v>81.069999999999993</v>
      </c>
      <c r="H57" s="4">
        <v>649.48</v>
      </c>
      <c r="I57" s="4">
        <v>500.61</v>
      </c>
      <c r="J57" s="4">
        <v>121.09</v>
      </c>
      <c r="K57" s="4">
        <v>20.55</v>
      </c>
      <c r="L57" s="4">
        <v>145.44</v>
      </c>
      <c r="M57" s="4">
        <v>949.65</v>
      </c>
      <c r="N57" s="4">
        <v>112.68</v>
      </c>
      <c r="O57" s="4">
        <v>180.13</v>
      </c>
      <c r="P57" s="12">
        <v>58.479532164169221</v>
      </c>
    </row>
    <row r="58" spans="1:16" x14ac:dyDescent="0.2">
      <c r="A58" s="7" t="s">
        <v>14</v>
      </c>
      <c r="B58" s="4">
        <v>4922.3100000000004</v>
      </c>
      <c r="C58" s="4">
        <v>206.38</v>
      </c>
      <c r="D58" s="4">
        <v>6.61</v>
      </c>
      <c r="E58" s="4">
        <v>71.239999999999995</v>
      </c>
      <c r="F58" s="4">
        <v>927.05</v>
      </c>
      <c r="G58" s="4">
        <v>94.9</v>
      </c>
      <c r="H58" s="4">
        <v>743.34</v>
      </c>
      <c r="I58" s="4">
        <v>334.02</v>
      </c>
      <c r="J58" s="4">
        <v>161.31</v>
      </c>
      <c r="K58" s="4">
        <v>16.54</v>
      </c>
      <c r="L58" s="4">
        <v>186.37</v>
      </c>
      <c r="M58" s="4">
        <v>1795.84</v>
      </c>
      <c r="N58" s="4">
        <v>209.13</v>
      </c>
      <c r="O58" s="4">
        <v>227.18</v>
      </c>
      <c r="P58" s="14">
        <v>58.479532162192548</v>
      </c>
    </row>
    <row r="59" spans="1:16" x14ac:dyDescent="0.2">
      <c r="A59" s="5" t="s">
        <v>13</v>
      </c>
      <c r="B59" s="4">
        <v>5597.09</v>
      </c>
      <c r="C59" s="4">
        <v>195.26</v>
      </c>
      <c r="D59" s="4">
        <v>8.08</v>
      </c>
      <c r="E59" s="4">
        <v>96.37</v>
      </c>
      <c r="F59" s="4">
        <v>965.44</v>
      </c>
      <c r="G59" s="4">
        <v>102.95</v>
      </c>
      <c r="H59" s="4">
        <v>866.21</v>
      </c>
      <c r="I59" s="4">
        <v>322.17</v>
      </c>
      <c r="J59" s="4">
        <v>199.73</v>
      </c>
      <c r="K59" s="4">
        <v>23.37</v>
      </c>
      <c r="L59" s="4">
        <v>214.52</v>
      </c>
      <c r="M59" s="4">
        <v>1862.56</v>
      </c>
      <c r="N59" s="4">
        <v>280.05</v>
      </c>
      <c r="O59" s="4">
        <v>170.28</v>
      </c>
      <c r="P59" s="12">
        <v>58.479532165061812</v>
      </c>
    </row>
    <row r="60" spans="1:16" x14ac:dyDescent="0.2">
      <c r="A60" s="7" t="s">
        <v>12</v>
      </c>
      <c r="B60" s="4">
        <v>5941.33</v>
      </c>
      <c r="C60" s="4">
        <v>254.32</v>
      </c>
      <c r="D60" s="4">
        <v>7.15</v>
      </c>
      <c r="E60" s="4">
        <v>85.67</v>
      </c>
      <c r="F60" s="4">
        <v>1094.3699999999999</v>
      </c>
      <c r="G60" s="4">
        <v>103.71</v>
      </c>
      <c r="H60" s="4">
        <v>1336.2</v>
      </c>
      <c r="I60" s="4">
        <v>954.19</v>
      </c>
      <c r="J60" s="4">
        <v>249.45</v>
      </c>
      <c r="K60" s="4">
        <v>22.47</v>
      </c>
      <c r="L60" s="4">
        <v>215.53</v>
      </c>
      <c r="M60" s="4">
        <v>2014.89</v>
      </c>
      <c r="N60" s="4">
        <v>154.16999999999999</v>
      </c>
      <c r="O60" s="4">
        <v>208.22</v>
      </c>
      <c r="P60" s="14">
        <v>100</v>
      </c>
    </row>
    <row r="61" spans="1:16" x14ac:dyDescent="0.2">
      <c r="A61" s="5" t="s">
        <v>11</v>
      </c>
      <c r="B61" s="4">
        <v>6603.25</v>
      </c>
      <c r="C61" s="4">
        <v>288.93</v>
      </c>
      <c r="D61" s="4">
        <v>7.7</v>
      </c>
      <c r="E61" s="4">
        <v>123.62</v>
      </c>
      <c r="F61" s="4">
        <v>1472.79</v>
      </c>
      <c r="G61" s="4">
        <v>124.06</v>
      </c>
      <c r="H61" s="4">
        <v>1097.9000000000001</v>
      </c>
      <c r="I61" s="4">
        <v>1602.29</v>
      </c>
      <c r="J61" s="4">
        <v>336.44</v>
      </c>
      <c r="K61" s="4">
        <v>28</v>
      </c>
      <c r="L61" s="4">
        <v>232.66</v>
      </c>
      <c r="M61" s="4">
        <v>2166.36</v>
      </c>
      <c r="N61" s="4">
        <v>194.49</v>
      </c>
      <c r="O61" s="4">
        <v>237.86</v>
      </c>
      <c r="P61" s="12">
        <v>108.48879102578024</v>
      </c>
    </row>
    <row r="62" spans="1:16" x14ac:dyDescent="0.2">
      <c r="A62" s="7" t="s">
        <v>10</v>
      </c>
      <c r="B62" s="4">
        <v>6947.55</v>
      </c>
      <c r="C62" s="4">
        <v>294.82</v>
      </c>
      <c r="D62" s="4">
        <v>6.73</v>
      </c>
      <c r="E62" s="4">
        <v>124.39</v>
      </c>
      <c r="F62" s="4">
        <v>1570.27</v>
      </c>
      <c r="G62" s="4">
        <v>132.37</v>
      </c>
      <c r="H62" s="4">
        <v>1229.19</v>
      </c>
      <c r="I62" s="4">
        <v>1628.23</v>
      </c>
      <c r="J62" s="4">
        <v>321.82</v>
      </c>
      <c r="K62" s="4">
        <v>22.77</v>
      </c>
      <c r="L62" s="4">
        <v>237.71</v>
      </c>
      <c r="M62" s="4">
        <v>2343.33</v>
      </c>
      <c r="N62" s="4">
        <v>304.45999999999998</v>
      </c>
      <c r="O62" s="4">
        <v>249.77</v>
      </c>
      <c r="P62" s="14">
        <v>115.00810653247437</v>
      </c>
    </row>
    <row r="63" spans="1:16" x14ac:dyDescent="0.2">
      <c r="A63" s="5" t="s">
        <v>9</v>
      </c>
      <c r="B63" s="4">
        <v>8756.5300000000007</v>
      </c>
      <c r="C63" s="4">
        <v>354.12</v>
      </c>
      <c r="D63" s="4">
        <v>9.68</v>
      </c>
      <c r="E63" s="4">
        <v>172.85</v>
      </c>
      <c r="F63" s="4">
        <v>2046.57</v>
      </c>
      <c r="G63" s="4">
        <v>127.28</v>
      </c>
      <c r="H63" s="4">
        <v>1359.24</v>
      </c>
      <c r="I63" s="4">
        <v>1640.11</v>
      </c>
      <c r="J63" s="4">
        <v>270</v>
      </c>
      <c r="K63" s="4">
        <v>21.77</v>
      </c>
      <c r="L63" s="4">
        <v>289.70999999999998</v>
      </c>
      <c r="M63" s="4">
        <v>4339.79</v>
      </c>
      <c r="N63" s="4">
        <v>682.48</v>
      </c>
      <c r="O63" s="4">
        <v>341.36</v>
      </c>
      <c r="P63" s="12">
        <v>117.87589214938538</v>
      </c>
    </row>
    <row r="64" spans="1:16" x14ac:dyDescent="0.2">
      <c r="A64" s="7" t="s">
        <v>8</v>
      </c>
      <c r="B64" s="4">
        <v>9293.7800000000007</v>
      </c>
      <c r="C64" s="4">
        <v>380.25</v>
      </c>
      <c r="D64" s="4">
        <v>11.04</v>
      </c>
      <c r="E64" s="4">
        <v>231.47</v>
      </c>
      <c r="F64" s="4">
        <v>2348.46</v>
      </c>
      <c r="G64" s="4">
        <v>141.24</v>
      </c>
      <c r="H64" s="4">
        <v>16653.34</v>
      </c>
      <c r="I64" s="4">
        <v>1963.19</v>
      </c>
      <c r="J64" s="4">
        <v>333.6</v>
      </c>
      <c r="K64" s="4">
        <v>25.65</v>
      </c>
      <c r="L64" s="4">
        <v>306.5</v>
      </c>
      <c r="M64" s="4">
        <v>4094.91</v>
      </c>
      <c r="N64" s="4">
        <v>500.5</v>
      </c>
      <c r="O64" s="4">
        <v>254.94</v>
      </c>
      <c r="P64" s="14">
        <v>119.68304824050963</v>
      </c>
    </row>
    <row r="65" spans="1:16" x14ac:dyDescent="0.2">
      <c r="A65" s="5" t="s">
        <v>7</v>
      </c>
      <c r="B65" s="4">
        <v>10352.66</v>
      </c>
      <c r="C65" s="4">
        <v>373.23</v>
      </c>
      <c r="D65" s="4">
        <v>19.57</v>
      </c>
      <c r="E65" s="4">
        <v>314.94</v>
      </c>
      <c r="F65" s="4">
        <v>2630.77</v>
      </c>
      <c r="G65" s="4">
        <v>169.47</v>
      </c>
      <c r="H65" s="4">
        <v>1734.06</v>
      </c>
      <c r="I65" s="4">
        <v>2753.63</v>
      </c>
      <c r="J65" s="4">
        <v>564.69000000000005</v>
      </c>
      <c r="K65" s="4">
        <v>28.91</v>
      </c>
      <c r="L65" s="4">
        <v>326.36</v>
      </c>
      <c r="M65" s="4">
        <v>4900.72</v>
      </c>
      <c r="N65" s="4">
        <v>1023.08</v>
      </c>
      <c r="O65" s="4">
        <v>281.39999999999998</v>
      </c>
      <c r="P65" s="12">
        <v>123.10895822500424</v>
      </c>
    </row>
    <row r="66" spans="1:16" x14ac:dyDescent="0.2">
      <c r="A66" s="7" t="s">
        <v>6</v>
      </c>
      <c r="B66" s="4">
        <v>11175.21</v>
      </c>
      <c r="C66" s="4">
        <v>345.23</v>
      </c>
      <c r="D66" s="4">
        <v>16.149999999999999</v>
      </c>
      <c r="E66" s="4">
        <v>246.34</v>
      </c>
      <c r="F66" s="4">
        <v>2903.63</v>
      </c>
      <c r="G66" s="4">
        <v>170.62</v>
      </c>
      <c r="H66" s="4">
        <v>1703.65</v>
      </c>
      <c r="I66" s="4">
        <v>4028.74</v>
      </c>
      <c r="J66" s="4">
        <v>396.31</v>
      </c>
      <c r="K66" s="4">
        <v>37.99</v>
      </c>
      <c r="L66" s="4">
        <v>517.29999999999995</v>
      </c>
      <c r="M66" s="4">
        <v>5729.92</v>
      </c>
      <c r="N66" s="4">
        <v>511.97</v>
      </c>
      <c r="O66" s="4">
        <v>281.39999999999998</v>
      </c>
      <c r="P66" s="14">
        <v>133.44272223062191</v>
      </c>
    </row>
    <row r="67" spans="1:16" x14ac:dyDescent="0.2">
      <c r="A67" s="5" t="s">
        <v>5</v>
      </c>
      <c r="B67" s="4">
        <v>11973.86</v>
      </c>
      <c r="C67" s="4">
        <v>394.78</v>
      </c>
      <c r="D67" s="4">
        <v>23.72</v>
      </c>
      <c r="E67" s="4">
        <v>279.31</v>
      </c>
      <c r="F67" s="4">
        <v>3473.93</v>
      </c>
      <c r="G67" s="4">
        <v>204.4</v>
      </c>
      <c r="H67" s="4">
        <v>1834.33</v>
      </c>
      <c r="I67" s="4">
        <v>2922.06</v>
      </c>
      <c r="J67" s="4">
        <v>398.71</v>
      </c>
      <c r="K67" s="4">
        <v>48.06</v>
      </c>
      <c r="L67" s="4">
        <v>659.37</v>
      </c>
      <c r="M67" s="4">
        <v>6787.53</v>
      </c>
      <c r="N67" s="4">
        <v>408.63</v>
      </c>
      <c r="O67" s="4">
        <v>334.5</v>
      </c>
      <c r="P67" s="12">
        <v>131.49581338195148</v>
      </c>
    </row>
    <row r="68" spans="1:16" x14ac:dyDescent="0.2">
      <c r="A68" s="7" t="s">
        <v>4</v>
      </c>
      <c r="B68" s="4">
        <v>13644.01</v>
      </c>
      <c r="C68" s="4">
        <v>529.49</v>
      </c>
      <c r="D68" s="4">
        <v>13.75</v>
      </c>
      <c r="E68" s="4">
        <v>292.08</v>
      </c>
      <c r="F68" s="4">
        <v>4249.8500000000004</v>
      </c>
      <c r="G68" s="4">
        <v>222.58</v>
      </c>
      <c r="H68" s="4">
        <v>1807.77</v>
      </c>
      <c r="I68" s="4">
        <v>3300.8</v>
      </c>
      <c r="J68" s="4">
        <v>287.19</v>
      </c>
      <c r="K68" s="4">
        <v>38.69</v>
      </c>
      <c r="L68" s="4">
        <v>909.42</v>
      </c>
      <c r="M68" s="4">
        <v>7618.95</v>
      </c>
      <c r="N68" s="4">
        <v>403.06</v>
      </c>
      <c r="O68" s="4">
        <v>408.84</v>
      </c>
      <c r="P68" s="14">
        <v>136.17008000763497</v>
      </c>
    </row>
    <row r="69" spans="1:16" x14ac:dyDescent="0.2">
      <c r="A69" s="5" t="s">
        <v>3</v>
      </c>
      <c r="B69" s="4">
        <v>13323.12</v>
      </c>
      <c r="C69" s="4">
        <v>562.30999999999995</v>
      </c>
      <c r="D69" s="4">
        <v>22.84</v>
      </c>
      <c r="E69" s="4">
        <v>121.2</v>
      </c>
      <c r="F69" s="4">
        <v>4857.12</v>
      </c>
      <c r="G69" s="4">
        <v>223.93</v>
      </c>
      <c r="H69" s="4">
        <v>2230.0100000000002</v>
      </c>
      <c r="I69" s="4">
        <v>3616.71</v>
      </c>
      <c r="J69" s="4">
        <v>376.01</v>
      </c>
      <c r="K69" s="4">
        <v>68.069999999999993</v>
      </c>
      <c r="L69" s="4">
        <v>935.17</v>
      </c>
      <c r="M69" s="4">
        <v>8752.0300000000007</v>
      </c>
      <c r="N69" s="4">
        <v>695.77</v>
      </c>
      <c r="O69" s="4">
        <v>379.67</v>
      </c>
      <c r="P69" s="12">
        <v>148.97605645402737</v>
      </c>
    </row>
    <row r="70" spans="1:16" x14ac:dyDescent="0.2">
      <c r="A70" s="7" t="s">
        <v>2</v>
      </c>
      <c r="B70" s="4">
        <v>14483.9</v>
      </c>
      <c r="C70" s="4">
        <v>636.84</v>
      </c>
      <c r="D70" s="4">
        <v>25.5</v>
      </c>
      <c r="E70" s="4">
        <v>266.19</v>
      </c>
      <c r="F70" s="4">
        <v>5763.24</v>
      </c>
      <c r="G70" s="4">
        <v>238.59</v>
      </c>
      <c r="H70" s="4">
        <v>1856.25</v>
      </c>
      <c r="I70" s="4">
        <v>4679.28</v>
      </c>
      <c r="J70" s="4">
        <v>396.06</v>
      </c>
      <c r="K70" s="4">
        <v>244.54</v>
      </c>
      <c r="L70" s="4">
        <v>1328.36</v>
      </c>
      <c r="M70" s="4">
        <v>9750.56</v>
      </c>
      <c r="N70" s="4">
        <v>754.59</v>
      </c>
      <c r="O70" s="4">
        <v>503.78</v>
      </c>
      <c r="P70" s="14">
        <v>162.12673427929735</v>
      </c>
    </row>
    <row r="71" spans="1:16" x14ac:dyDescent="0.2">
      <c r="A71" s="5" t="s">
        <v>1</v>
      </c>
      <c r="B71" s="4">
        <v>17987.599999999999</v>
      </c>
      <c r="C71" s="4">
        <v>429.03</v>
      </c>
      <c r="D71" s="4">
        <v>66.430000000000007</v>
      </c>
      <c r="E71" s="4">
        <v>439</v>
      </c>
      <c r="F71" s="4">
        <v>6211.99</v>
      </c>
      <c r="G71" s="4">
        <v>265.99</v>
      </c>
      <c r="H71" s="4">
        <v>2506.27</v>
      </c>
      <c r="I71" s="4">
        <v>4076.77</v>
      </c>
      <c r="J71" s="4">
        <v>723.44</v>
      </c>
      <c r="K71" s="4">
        <v>452.24</v>
      </c>
      <c r="L71" s="4">
        <v>1491.22</v>
      </c>
      <c r="M71" s="4">
        <v>10453.84</v>
      </c>
      <c r="N71" s="4">
        <v>744.89</v>
      </c>
      <c r="O71" s="4">
        <v>847.58</v>
      </c>
      <c r="P71" s="12">
        <v>170.48155511465546</v>
      </c>
    </row>
    <row r="75" spans="1:16" ht="37" x14ac:dyDescent="0.45">
      <c r="A75" s="34" t="s">
        <v>187</v>
      </c>
      <c r="D75" t="s">
        <v>190</v>
      </c>
      <c r="E75" s="1" t="s">
        <v>201</v>
      </c>
    </row>
    <row r="77" spans="1:16" x14ac:dyDescent="0.2">
      <c r="A77" s="3" t="s">
        <v>0</v>
      </c>
      <c r="B77" s="4" t="s">
        <v>188</v>
      </c>
      <c r="C77" s="4" t="s">
        <v>189</v>
      </c>
      <c r="D77" s="4" t="s">
        <v>192</v>
      </c>
      <c r="E77" s="4" t="s">
        <v>193</v>
      </c>
      <c r="F77" s="4" t="s">
        <v>194</v>
      </c>
      <c r="G77" s="4" t="s">
        <v>195</v>
      </c>
      <c r="H77" s="4" t="s">
        <v>196</v>
      </c>
      <c r="I77" s="4" t="s">
        <v>197</v>
      </c>
      <c r="J77" s="4" t="s">
        <v>198</v>
      </c>
      <c r="K77" s="4" t="s">
        <v>199</v>
      </c>
      <c r="L77" s="4" t="s">
        <v>200</v>
      </c>
      <c r="M77" s="3" t="s">
        <v>73</v>
      </c>
    </row>
    <row r="78" spans="1:16" x14ac:dyDescent="0.2">
      <c r="A78" s="5" t="s">
        <v>19</v>
      </c>
      <c r="B78" s="4">
        <v>30.65</v>
      </c>
      <c r="C78" s="4">
        <v>463.34</v>
      </c>
      <c r="D78" s="4">
        <v>164.25</v>
      </c>
      <c r="E78" s="4">
        <v>445.68</v>
      </c>
      <c r="F78" s="4">
        <v>1205.8</v>
      </c>
      <c r="G78" s="4">
        <v>21.49</v>
      </c>
      <c r="H78" s="4">
        <v>21.49</v>
      </c>
      <c r="I78" s="4">
        <v>0</v>
      </c>
      <c r="J78" s="4">
        <v>5.95</v>
      </c>
      <c r="K78" s="4">
        <v>420.15</v>
      </c>
      <c r="L78" s="4">
        <v>420.15</v>
      </c>
      <c r="M78" s="12">
        <v>58.479532176447954</v>
      </c>
    </row>
    <row r="79" spans="1:16" x14ac:dyDescent="0.2">
      <c r="A79" s="7" t="s">
        <v>18</v>
      </c>
      <c r="B79" s="4">
        <v>38.61</v>
      </c>
      <c r="C79" s="4">
        <v>536.85</v>
      </c>
      <c r="D79" s="4">
        <v>281.11</v>
      </c>
      <c r="E79" s="4">
        <v>496.84</v>
      </c>
      <c r="F79" s="4">
        <v>1417.98</v>
      </c>
      <c r="G79" s="4">
        <v>110.88</v>
      </c>
      <c r="H79" s="4">
        <v>8.24</v>
      </c>
      <c r="I79" s="4">
        <v>0</v>
      </c>
      <c r="J79" s="4">
        <v>8.89</v>
      </c>
      <c r="K79" s="4">
        <v>457.685</v>
      </c>
      <c r="L79" s="4">
        <v>457.685</v>
      </c>
      <c r="M79" s="14">
        <v>58.479532150042857</v>
      </c>
    </row>
    <row r="80" spans="1:16" x14ac:dyDescent="0.2">
      <c r="A80" s="5" t="s">
        <v>17</v>
      </c>
      <c r="B80" s="4">
        <v>36.6</v>
      </c>
      <c r="C80" s="4">
        <v>624.91999999999996</v>
      </c>
      <c r="D80" s="4">
        <v>325.39999999999998</v>
      </c>
      <c r="E80" s="4">
        <v>551.98</v>
      </c>
      <c r="F80" s="4">
        <v>3762.36</v>
      </c>
      <c r="G80" s="4">
        <v>150.85</v>
      </c>
      <c r="H80" s="4">
        <v>10.68</v>
      </c>
      <c r="I80" s="4">
        <v>0</v>
      </c>
      <c r="J80" s="4">
        <v>8.3699999999999992</v>
      </c>
      <c r="K80" s="4">
        <v>577.86500000000001</v>
      </c>
      <c r="L80" s="4">
        <v>577.86500000000001</v>
      </c>
      <c r="M80" s="12">
        <v>58.479533212215493</v>
      </c>
    </row>
    <row r="81" spans="1:13" x14ac:dyDescent="0.2">
      <c r="A81" s="7" t="s">
        <v>16</v>
      </c>
      <c r="B81" s="4">
        <v>54.27</v>
      </c>
      <c r="C81" s="4">
        <v>1075.02</v>
      </c>
      <c r="D81" s="4">
        <v>585.22</v>
      </c>
      <c r="E81" s="4">
        <v>707.59</v>
      </c>
      <c r="F81" s="4">
        <v>2570.7199999999998</v>
      </c>
      <c r="G81" s="4">
        <v>56.5</v>
      </c>
      <c r="H81" s="4">
        <v>10.83</v>
      </c>
      <c r="I81" s="4">
        <v>1.04</v>
      </c>
      <c r="J81" s="4">
        <v>7.65</v>
      </c>
      <c r="K81" s="4">
        <v>420.85</v>
      </c>
      <c r="L81" s="4">
        <v>732.19</v>
      </c>
      <c r="M81" s="14">
        <v>58.479532151146316</v>
      </c>
    </row>
    <row r="82" spans="1:13" x14ac:dyDescent="0.2">
      <c r="A82" s="5" t="s">
        <v>15</v>
      </c>
      <c r="B82" s="4">
        <v>125.07</v>
      </c>
      <c r="C82" s="4">
        <v>939.6</v>
      </c>
      <c r="D82" s="4">
        <v>843.73</v>
      </c>
      <c r="E82" s="4">
        <v>755.44</v>
      </c>
      <c r="F82" s="4">
        <v>3012.06</v>
      </c>
      <c r="G82" s="4">
        <v>60.88</v>
      </c>
      <c r="H82" s="4">
        <v>12.29</v>
      </c>
      <c r="I82" s="4">
        <v>1.46</v>
      </c>
      <c r="J82" s="4">
        <v>9.51</v>
      </c>
      <c r="K82" s="4">
        <v>449.18</v>
      </c>
      <c r="L82" s="4">
        <v>826.53</v>
      </c>
      <c r="M82" s="12">
        <v>58.479532164169221</v>
      </c>
    </row>
    <row r="83" spans="1:13" x14ac:dyDescent="0.2">
      <c r="A83" s="7" t="s">
        <v>14</v>
      </c>
      <c r="B83" s="4">
        <v>305.70999999999998</v>
      </c>
      <c r="C83" s="4">
        <v>1122.33</v>
      </c>
      <c r="D83" s="4">
        <v>869.11</v>
      </c>
      <c r="E83" s="4">
        <v>858.47</v>
      </c>
      <c r="F83" s="4">
        <v>2787.66</v>
      </c>
      <c r="G83" s="4">
        <v>56.9</v>
      </c>
      <c r="H83" s="4">
        <v>12.91</v>
      </c>
      <c r="I83" s="4">
        <v>1.39</v>
      </c>
      <c r="J83" s="4">
        <v>35.090000000000003</v>
      </c>
      <c r="K83" s="4">
        <v>522.79999999999995</v>
      </c>
      <c r="L83" s="4">
        <v>957.34</v>
      </c>
      <c r="M83" s="14">
        <v>58.479532162192548</v>
      </c>
    </row>
    <row r="84" spans="1:13" x14ac:dyDescent="0.2">
      <c r="A84" s="5" t="s">
        <v>13</v>
      </c>
      <c r="B84" s="4">
        <v>201.05</v>
      </c>
      <c r="C84" s="4">
        <v>1360.74</v>
      </c>
      <c r="D84" s="4">
        <v>967.86</v>
      </c>
      <c r="E84" s="4">
        <v>900.74</v>
      </c>
      <c r="F84" s="4">
        <v>2955.78</v>
      </c>
      <c r="G84" s="4">
        <v>74.23</v>
      </c>
      <c r="H84" s="4">
        <v>15.17</v>
      </c>
      <c r="I84" s="4">
        <v>1.5</v>
      </c>
      <c r="J84" s="4">
        <v>15.18</v>
      </c>
      <c r="K84" s="4">
        <v>430.43</v>
      </c>
      <c r="L84" s="4">
        <v>1074.05</v>
      </c>
      <c r="M84" s="12">
        <v>58.479532165061812</v>
      </c>
    </row>
    <row r="85" spans="1:13" x14ac:dyDescent="0.2">
      <c r="A85" s="7" t="s">
        <v>12</v>
      </c>
      <c r="B85" s="4">
        <v>253.29</v>
      </c>
      <c r="C85" s="4">
        <v>1421.09</v>
      </c>
      <c r="D85" s="4">
        <v>1097.1600000000001</v>
      </c>
      <c r="E85" s="4">
        <v>997.22</v>
      </c>
      <c r="F85" s="4">
        <v>3591.24</v>
      </c>
      <c r="G85" s="4">
        <v>74.91</v>
      </c>
      <c r="H85" s="4">
        <v>14.25</v>
      </c>
      <c r="I85" s="4">
        <v>3.13</v>
      </c>
      <c r="J85" s="4">
        <v>11.96</v>
      </c>
      <c r="K85" s="4">
        <v>526.09</v>
      </c>
      <c r="L85" s="4">
        <v>1063.6300000000001</v>
      </c>
      <c r="M85" s="14">
        <v>100</v>
      </c>
    </row>
    <row r="86" spans="1:13" x14ac:dyDescent="0.2">
      <c r="A86" s="5" t="s">
        <v>11</v>
      </c>
      <c r="B86" s="4">
        <v>138.46</v>
      </c>
      <c r="C86" s="4">
        <v>1705.62</v>
      </c>
      <c r="D86" s="4">
        <v>1289.96</v>
      </c>
      <c r="E86" s="4">
        <v>1059.45</v>
      </c>
      <c r="F86" s="4">
        <v>5140.3100000000004</v>
      </c>
      <c r="G86" s="4">
        <v>78.540000000000006</v>
      </c>
      <c r="H86" s="4">
        <v>8.36</v>
      </c>
      <c r="I86" s="4">
        <v>3.34</v>
      </c>
      <c r="J86" s="4">
        <v>26</v>
      </c>
      <c r="K86" s="4">
        <v>809.6</v>
      </c>
      <c r="L86" s="4">
        <v>1297.0899999999999</v>
      </c>
      <c r="M86" s="12">
        <v>108.48879102578024</v>
      </c>
    </row>
    <row r="87" spans="1:13" x14ac:dyDescent="0.2">
      <c r="A87" s="7" t="s">
        <v>10</v>
      </c>
      <c r="B87" s="4">
        <v>285.64</v>
      </c>
      <c r="C87" s="4">
        <v>1846.45</v>
      </c>
      <c r="D87" s="4">
        <v>1727.4</v>
      </c>
      <c r="E87" s="4">
        <v>1161.83</v>
      </c>
      <c r="F87" s="4">
        <v>5212.0600000000004</v>
      </c>
      <c r="G87" s="4">
        <v>88.39</v>
      </c>
      <c r="H87" s="4">
        <v>8.67</v>
      </c>
      <c r="I87" s="4">
        <v>3.06</v>
      </c>
      <c r="J87" s="4">
        <v>29.75</v>
      </c>
      <c r="K87" s="4">
        <v>866.08</v>
      </c>
      <c r="L87" s="4">
        <v>1510.87</v>
      </c>
      <c r="M87" s="14">
        <v>115.00810653247437</v>
      </c>
    </row>
    <row r="88" spans="1:13" x14ac:dyDescent="0.2">
      <c r="A88" s="5" t="s">
        <v>9</v>
      </c>
      <c r="B88" s="4">
        <v>94.49</v>
      </c>
      <c r="C88" s="4">
        <v>2011.92</v>
      </c>
      <c r="D88" s="4">
        <v>1843.44</v>
      </c>
      <c r="E88" s="4">
        <v>1159.1400000000001</v>
      </c>
      <c r="F88" s="4">
        <v>5244.67</v>
      </c>
      <c r="G88" s="4">
        <v>136.57</v>
      </c>
      <c r="H88" s="4">
        <v>9.11</v>
      </c>
      <c r="I88" s="4">
        <v>1.72</v>
      </c>
      <c r="J88" s="4">
        <v>21.65</v>
      </c>
      <c r="K88" s="4">
        <v>792.36</v>
      </c>
      <c r="L88" s="4">
        <v>1772.93</v>
      </c>
      <c r="M88" s="12">
        <v>117.87589214938538</v>
      </c>
    </row>
    <row r="89" spans="1:13" x14ac:dyDescent="0.2">
      <c r="A89" s="7" t="s">
        <v>8</v>
      </c>
      <c r="B89" s="4">
        <v>195.75</v>
      </c>
      <c r="C89" s="4">
        <v>2295.15</v>
      </c>
      <c r="D89" s="4">
        <v>1850.67</v>
      </c>
      <c r="E89" s="4">
        <v>1405.38</v>
      </c>
      <c r="F89" s="4">
        <v>10219.91</v>
      </c>
      <c r="G89" s="4">
        <v>85.1</v>
      </c>
      <c r="H89" s="4">
        <v>9.68</v>
      </c>
      <c r="I89" s="4">
        <v>1.78</v>
      </c>
      <c r="J89" s="4">
        <v>33.53</v>
      </c>
      <c r="K89" s="4">
        <v>818.71</v>
      </c>
      <c r="L89" s="4">
        <v>1774.69</v>
      </c>
      <c r="M89" s="14">
        <v>119.68304824050963</v>
      </c>
    </row>
    <row r="90" spans="1:13" x14ac:dyDescent="0.2">
      <c r="A90" s="5" t="s">
        <v>7</v>
      </c>
      <c r="B90" s="4">
        <v>340.71</v>
      </c>
      <c r="C90" s="4">
        <v>2519.4</v>
      </c>
      <c r="D90" s="4">
        <v>2892.08</v>
      </c>
      <c r="E90" s="4">
        <v>1411.72</v>
      </c>
      <c r="F90" s="4">
        <v>10514.98</v>
      </c>
      <c r="G90" s="4">
        <v>325.5</v>
      </c>
      <c r="H90" s="4">
        <v>24.29</v>
      </c>
      <c r="I90" s="4">
        <v>2.2000000000000002</v>
      </c>
      <c r="J90" s="4">
        <v>26.69</v>
      </c>
      <c r="K90" s="4">
        <v>954.27</v>
      </c>
      <c r="L90" s="4">
        <v>1863.37</v>
      </c>
      <c r="M90" s="12">
        <v>123.10895822500424</v>
      </c>
    </row>
    <row r="91" spans="1:13" x14ac:dyDescent="0.2">
      <c r="A91" s="7" t="s">
        <v>6</v>
      </c>
      <c r="B91" s="4">
        <v>50</v>
      </c>
      <c r="C91" s="4">
        <v>2734.7</v>
      </c>
      <c r="D91" s="4">
        <v>2980.84</v>
      </c>
      <c r="E91" s="4">
        <v>1463.09</v>
      </c>
      <c r="F91" s="4">
        <v>7631.52</v>
      </c>
      <c r="G91" s="4">
        <v>253.49</v>
      </c>
      <c r="H91" s="4">
        <v>64.209999999999994</v>
      </c>
      <c r="I91" s="4">
        <v>2.2000000000000002</v>
      </c>
      <c r="J91" s="4">
        <v>26.53</v>
      </c>
      <c r="K91" s="4">
        <v>933.83</v>
      </c>
      <c r="L91" s="4">
        <v>1966.41</v>
      </c>
      <c r="M91" s="14">
        <v>133.44272223062191</v>
      </c>
    </row>
    <row r="92" spans="1:13" x14ac:dyDescent="0.2">
      <c r="A92" s="5" t="s">
        <v>5</v>
      </c>
      <c r="B92" s="4">
        <v>68.94</v>
      </c>
      <c r="C92" s="4">
        <v>3392.03</v>
      </c>
      <c r="D92" s="4">
        <v>3417.6</v>
      </c>
      <c r="E92" s="4">
        <v>1470.54</v>
      </c>
      <c r="F92" s="4">
        <v>7447.42</v>
      </c>
      <c r="G92" s="4">
        <v>308.94</v>
      </c>
      <c r="H92" s="4">
        <v>93.84</v>
      </c>
      <c r="I92" s="4">
        <v>2.17</v>
      </c>
      <c r="J92" s="4">
        <v>30.89</v>
      </c>
      <c r="K92" s="4">
        <v>729.81</v>
      </c>
      <c r="L92" s="4">
        <v>2059.4</v>
      </c>
      <c r="M92" s="12">
        <v>131.49581338195148</v>
      </c>
    </row>
    <row r="93" spans="1:13" x14ac:dyDescent="0.2">
      <c r="A93" s="7" t="s">
        <v>4</v>
      </c>
      <c r="B93" s="4">
        <v>77.099999999999994</v>
      </c>
      <c r="C93" s="4">
        <v>3201.01</v>
      </c>
      <c r="D93" s="4">
        <v>3956.62</v>
      </c>
      <c r="E93" s="4">
        <v>1492</v>
      </c>
      <c r="F93" s="4">
        <v>7015.3</v>
      </c>
      <c r="G93" s="4">
        <v>315.26</v>
      </c>
      <c r="H93" s="4">
        <v>76.930000000000007</v>
      </c>
      <c r="I93" s="4">
        <v>4.5599999999999996</v>
      </c>
      <c r="J93" s="4">
        <v>24.98</v>
      </c>
      <c r="K93" s="4">
        <v>1086.52</v>
      </c>
      <c r="L93" s="4">
        <v>1987.5</v>
      </c>
      <c r="M93" s="14">
        <v>136.17008000763497</v>
      </c>
    </row>
    <row r="94" spans="1:13" x14ac:dyDescent="0.2">
      <c r="A94" s="5" t="s">
        <v>3</v>
      </c>
      <c r="B94" s="4">
        <v>116.76</v>
      </c>
      <c r="C94" s="4">
        <v>4205.5600000000004</v>
      </c>
      <c r="D94" s="4">
        <v>4498.67</v>
      </c>
      <c r="E94" s="4">
        <v>1574.44</v>
      </c>
      <c r="F94" s="4">
        <v>5788.32</v>
      </c>
      <c r="G94" s="4">
        <v>286.2</v>
      </c>
      <c r="H94" s="4">
        <v>104.39</v>
      </c>
      <c r="I94" s="4">
        <v>5.51</v>
      </c>
      <c r="J94" s="4">
        <v>31.83</v>
      </c>
      <c r="K94" s="4">
        <v>814.71</v>
      </c>
      <c r="L94" s="4">
        <v>1622.08</v>
      </c>
      <c r="M94" s="12">
        <v>148.97605645402737</v>
      </c>
    </row>
    <row r="95" spans="1:13" x14ac:dyDescent="0.2">
      <c r="A95" s="7" t="s">
        <v>2</v>
      </c>
      <c r="B95" s="4">
        <v>184.63</v>
      </c>
      <c r="C95" s="4">
        <v>4790.92</v>
      </c>
      <c r="D95" s="4">
        <v>1985.44</v>
      </c>
      <c r="E95" s="4">
        <v>2044.79</v>
      </c>
      <c r="F95" s="4">
        <v>7130.3</v>
      </c>
      <c r="G95" s="4">
        <v>347.3</v>
      </c>
      <c r="H95" s="4">
        <v>109.91</v>
      </c>
      <c r="I95" s="4">
        <v>7.07</v>
      </c>
      <c r="J95" s="4">
        <v>20.350000000000001</v>
      </c>
      <c r="K95" s="4">
        <v>866.4</v>
      </c>
      <c r="L95" s="4">
        <v>2062.34</v>
      </c>
      <c r="M95" s="14">
        <v>162.12673427929735</v>
      </c>
    </row>
    <row r="96" spans="1:13" x14ac:dyDescent="0.2">
      <c r="A96" s="35" t="s">
        <v>1</v>
      </c>
      <c r="B96" s="4">
        <v>147.79</v>
      </c>
      <c r="C96" s="4">
        <v>6031.66</v>
      </c>
      <c r="D96" s="4">
        <v>3417.88</v>
      </c>
      <c r="E96" s="4">
        <v>2706.58</v>
      </c>
      <c r="F96" s="4">
        <v>7179.76</v>
      </c>
      <c r="G96" s="4">
        <v>741.83</v>
      </c>
      <c r="H96" s="4">
        <v>110.59</v>
      </c>
      <c r="I96" s="4">
        <v>11.17</v>
      </c>
      <c r="J96" s="4">
        <v>45.02</v>
      </c>
      <c r="K96" s="4">
        <v>922.81</v>
      </c>
      <c r="L96" s="4">
        <v>2579.89</v>
      </c>
      <c r="M96" s="12">
        <v>170.48155511465546</v>
      </c>
    </row>
    <row r="100" spans="1:16" x14ac:dyDescent="0.2">
      <c r="A100" s="3" t="s">
        <v>0</v>
      </c>
      <c r="B100" s="4" t="s">
        <v>202</v>
      </c>
      <c r="C100" s="4" t="s">
        <v>203</v>
      </c>
      <c r="D100" s="4" t="s">
        <v>204</v>
      </c>
      <c r="E100" s="4" t="s">
        <v>206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102</v>
      </c>
    </row>
    <row r="101" spans="1:16" x14ac:dyDescent="0.2">
      <c r="A101" s="5" t="s">
        <v>19</v>
      </c>
      <c r="B101" s="4">
        <f t="shared" ref="B101:B119" si="0">B53/P53*100</f>
        <v>716.07959984442448</v>
      </c>
      <c r="C101" s="4">
        <f t="shared" ref="C101:C119" si="1">C53/P53*100</f>
        <v>716.07959984442448</v>
      </c>
      <c r="D101" s="4">
        <f t="shared" ref="D101:D119" si="2">D53/P53*100</f>
        <v>716.07959984442448</v>
      </c>
      <c r="E101" s="4">
        <f t="shared" ref="E101:E119" si="3">E53/P53*100</f>
        <v>716.07959984442448</v>
      </c>
      <c r="F101" s="4">
        <f t="shared" ref="F101:F119" si="4">F53/P53*100</f>
        <v>325.52414992927663</v>
      </c>
      <c r="G101" s="4">
        <f t="shared" ref="G101:G119" si="5">G53/P53*100</f>
        <v>325.52414992927663</v>
      </c>
      <c r="H101" s="4">
        <f t="shared" ref="H101:H119" si="6">H53/P53*100</f>
        <v>219.43301395232595</v>
      </c>
      <c r="I101" s="4">
        <f t="shared" ref="I101:I119" si="7">I53/P53*100</f>
        <v>219.43284295232601</v>
      </c>
      <c r="J101" s="4">
        <f t="shared" ref="J101:J119" si="8">J53/P53*100</f>
        <v>83.978099981754923</v>
      </c>
      <c r="K101" s="4">
        <f t="shared" ref="K101:K119" si="9">K53/P53*100</f>
        <v>219.43284295232601</v>
      </c>
      <c r="L101" s="4">
        <f t="shared" ref="L101:L119" si="10">L53/P53*100</f>
        <v>124.89839997286458</v>
      </c>
      <c r="M101" s="4">
        <f t="shared" ref="M101:M119" si="11">M53/P53*100</f>
        <v>1084.6871997643409</v>
      </c>
      <c r="N101" s="4">
        <f t="shared" ref="N101:N119" si="12">N53/P53*100</f>
        <v>0</v>
      </c>
      <c r="O101" s="4">
        <f t="shared" ref="O101:O119" si="13">O53/P53*100</f>
        <v>6.0191999986922688</v>
      </c>
      <c r="P101" s="4">
        <f>SUM(Table27[[#This Row],[Adj. General Education ]:[Adj. Others]])</f>
        <v>5473.2482988108814</v>
      </c>
    </row>
    <row r="102" spans="1:16" x14ac:dyDescent="0.2">
      <c r="A102" s="7" t="s">
        <v>18</v>
      </c>
      <c r="B102" s="4">
        <f t="shared" si="0"/>
        <v>3182.4639007455467</v>
      </c>
      <c r="C102" s="4">
        <f t="shared" si="1"/>
        <v>125.2233000293357</v>
      </c>
      <c r="D102" s="4">
        <f t="shared" si="2"/>
        <v>5.5404000012979342</v>
      </c>
      <c r="E102" s="4">
        <f t="shared" si="3"/>
        <v>55.096200012907225</v>
      </c>
      <c r="F102" s="4">
        <f t="shared" si="4"/>
        <v>458.84430010749213</v>
      </c>
      <c r="G102" s="4">
        <f t="shared" si="5"/>
        <v>458.84430010749213</v>
      </c>
      <c r="H102" s="4">
        <f t="shared" si="6"/>
        <v>458.86140010749614</v>
      </c>
      <c r="I102" s="4">
        <f t="shared" si="7"/>
        <v>0</v>
      </c>
      <c r="J102" s="4">
        <f t="shared" si="8"/>
        <v>0</v>
      </c>
      <c r="K102" s="4">
        <f t="shared" si="9"/>
        <v>20.605500004827192</v>
      </c>
      <c r="L102" s="4">
        <f t="shared" si="10"/>
        <v>171.15390004009575</v>
      </c>
      <c r="M102" s="4">
        <f t="shared" si="11"/>
        <v>1162.6290002723656</v>
      </c>
      <c r="N102" s="4">
        <f t="shared" si="12"/>
        <v>264.0753000618642</v>
      </c>
      <c r="O102" s="4">
        <f t="shared" si="13"/>
        <v>467.08650010942296</v>
      </c>
      <c r="P102" s="4">
        <f>SUM(Table27[[#This Row],[Adj. General Education ]:[Adj. Others]])</f>
        <v>6830.4240016001422</v>
      </c>
    </row>
    <row r="103" spans="1:16" x14ac:dyDescent="0.2">
      <c r="A103" s="5" t="s">
        <v>17</v>
      </c>
      <c r="B103" s="4">
        <f t="shared" si="0"/>
        <v>3683.1860339645814</v>
      </c>
      <c r="C103" s="4">
        <f t="shared" si="1"/>
        <v>163.32209707181693</v>
      </c>
      <c r="D103" s="4">
        <f t="shared" si="2"/>
        <v>5.96789989300221</v>
      </c>
      <c r="E103" s="4">
        <f t="shared" si="3"/>
        <v>66.963598799417341</v>
      </c>
      <c r="F103" s="4">
        <f t="shared" si="4"/>
        <v>489.67559122066274</v>
      </c>
      <c r="G103" s="4">
        <f t="shared" si="5"/>
        <v>489.67559122066274</v>
      </c>
      <c r="H103" s="4">
        <f t="shared" si="6"/>
        <v>489.67559122066274</v>
      </c>
      <c r="I103" s="4">
        <f t="shared" si="7"/>
        <v>0</v>
      </c>
      <c r="J103" s="4">
        <f t="shared" si="8"/>
        <v>0</v>
      </c>
      <c r="K103" s="4">
        <f t="shared" si="9"/>
        <v>31.446899436192162</v>
      </c>
      <c r="L103" s="4">
        <f t="shared" si="10"/>
        <v>177.99389680876791</v>
      </c>
      <c r="M103" s="4">
        <f t="shared" si="11"/>
        <v>1288.9295768909299</v>
      </c>
      <c r="N103" s="4">
        <f t="shared" si="12"/>
        <v>370.7279933532605</v>
      </c>
      <c r="O103" s="4">
        <f t="shared" si="13"/>
        <v>634.76908861929803</v>
      </c>
      <c r="P103" s="4">
        <f>SUM(Table27[[#This Row],[Adj. General Education ]:[Adj. Others]])</f>
        <v>7892.3338584992553</v>
      </c>
    </row>
    <row r="104" spans="1:16" x14ac:dyDescent="0.2">
      <c r="A104" s="7" t="s">
        <v>16</v>
      </c>
      <c r="B104" s="4">
        <f t="shared" si="0"/>
        <v>4426.0101009533537</v>
      </c>
      <c r="C104" s="4">
        <f t="shared" si="1"/>
        <v>193.14450004160295</v>
      </c>
      <c r="D104" s="4">
        <f t="shared" si="2"/>
        <v>6.9597000014991055</v>
      </c>
      <c r="E104" s="4">
        <f t="shared" si="3"/>
        <v>82.285200017724065</v>
      </c>
      <c r="F104" s="4">
        <f t="shared" si="4"/>
        <v>801.10080017255552</v>
      </c>
      <c r="G104" s="4">
        <f t="shared" si="5"/>
        <v>103.30110002225084</v>
      </c>
      <c r="H104" s="4">
        <f t="shared" si="6"/>
        <v>939.55950020237924</v>
      </c>
      <c r="I104" s="4">
        <f t="shared" si="7"/>
        <v>634.22190013661009</v>
      </c>
      <c r="J104" s="4">
        <f t="shared" si="8"/>
        <v>243.40140005242819</v>
      </c>
      <c r="K104" s="4">
        <f t="shared" si="9"/>
        <v>24.179400005208194</v>
      </c>
      <c r="L104" s="4">
        <f t="shared" si="10"/>
        <v>180.30240003883677</v>
      </c>
      <c r="M104" s="4">
        <f t="shared" si="11"/>
        <v>1415.2131003048341</v>
      </c>
      <c r="N104" s="4">
        <f t="shared" si="12"/>
        <v>452.17530009739767</v>
      </c>
      <c r="O104" s="4">
        <f t="shared" si="13"/>
        <v>311.27130006704721</v>
      </c>
      <c r="P104" s="4">
        <f>SUM(Table27[[#This Row],[Adj. General Education ]:[Adj. Others]])</f>
        <v>9813.1257021137262</v>
      </c>
    </row>
    <row r="105" spans="1:16" x14ac:dyDescent="0.2">
      <c r="A105" s="5" t="s">
        <v>15</v>
      </c>
      <c r="B105" s="4">
        <f t="shared" si="0"/>
        <v>6059.7098999558029</v>
      </c>
      <c r="C105" s="4">
        <f t="shared" si="1"/>
        <v>401.26859999707324</v>
      </c>
      <c r="D105" s="4">
        <f t="shared" si="2"/>
        <v>8.5328999999377633</v>
      </c>
      <c r="E105" s="4">
        <f t="shared" si="3"/>
        <v>121.34159999911496</v>
      </c>
      <c r="F105" s="4">
        <f t="shared" si="4"/>
        <v>1100.7782999919714</v>
      </c>
      <c r="G105" s="4">
        <f t="shared" si="5"/>
        <v>138.62969999898885</v>
      </c>
      <c r="H105" s="4">
        <f t="shared" si="6"/>
        <v>1110.6107999918995</v>
      </c>
      <c r="I105" s="4">
        <f t="shared" si="7"/>
        <v>856.04309999375619</v>
      </c>
      <c r="J105" s="4">
        <f t="shared" si="8"/>
        <v>207.06389999848972</v>
      </c>
      <c r="K105" s="4">
        <f t="shared" si="9"/>
        <v>35.140499999743696</v>
      </c>
      <c r="L105" s="4">
        <f t="shared" si="10"/>
        <v>248.70239999818602</v>
      </c>
      <c r="M105" s="4">
        <f t="shared" si="11"/>
        <v>1623.9014999881558</v>
      </c>
      <c r="N105" s="4">
        <f t="shared" si="12"/>
        <v>192.68279999859465</v>
      </c>
      <c r="O105" s="4">
        <f t="shared" si="13"/>
        <v>308.02229999775335</v>
      </c>
      <c r="P105" s="4">
        <f>SUM(Table27[[#This Row],[Adj. General Education ]:[Adj. Others]])</f>
        <v>12412.428299909468</v>
      </c>
    </row>
    <row r="106" spans="1:16" x14ac:dyDescent="0.2">
      <c r="A106" s="7" t="s">
        <v>14</v>
      </c>
      <c r="B106" s="4">
        <f t="shared" si="0"/>
        <v>8417.150100223118</v>
      </c>
      <c r="C106" s="4">
        <f t="shared" si="1"/>
        <v>352.90980000935474</v>
      </c>
      <c r="D106" s="4">
        <f t="shared" si="2"/>
        <v>11.303100000299617</v>
      </c>
      <c r="E106" s="4">
        <f t="shared" si="3"/>
        <v>121.82040000322914</v>
      </c>
      <c r="F106" s="4">
        <f t="shared" si="4"/>
        <v>1585.2555000420211</v>
      </c>
      <c r="G106" s="4">
        <f t="shared" si="5"/>
        <v>162.27900000430159</v>
      </c>
      <c r="H106" s="4">
        <f t="shared" si="6"/>
        <v>1271.1114000336941</v>
      </c>
      <c r="I106" s="4">
        <f t="shared" si="7"/>
        <v>571.17420001514029</v>
      </c>
      <c r="J106" s="4">
        <f t="shared" si="8"/>
        <v>275.84010000731183</v>
      </c>
      <c r="K106" s="4">
        <f t="shared" si="9"/>
        <v>28.283400000749719</v>
      </c>
      <c r="L106" s="4">
        <f t="shared" si="10"/>
        <v>318.69270000844773</v>
      </c>
      <c r="M106" s="4">
        <f t="shared" si="11"/>
        <v>3070.886400081401</v>
      </c>
      <c r="N106" s="4">
        <f t="shared" si="12"/>
        <v>357.61230000947938</v>
      </c>
      <c r="O106" s="4">
        <f t="shared" si="13"/>
        <v>388.47780001029759</v>
      </c>
      <c r="P106" s="4">
        <f>SUM(Table27[[#This Row],[Adj. General Education ]:[Adj. Others]])</f>
        <v>16932.796200448844</v>
      </c>
    </row>
    <row r="107" spans="1:16" x14ac:dyDescent="0.2">
      <c r="A107" s="5" t="s">
        <v>13</v>
      </c>
      <c r="B107" s="4">
        <f t="shared" si="0"/>
        <v>9571.0238997841079</v>
      </c>
      <c r="C107" s="4">
        <f t="shared" si="1"/>
        <v>333.89459999246833</v>
      </c>
      <c r="D107" s="4">
        <f t="shared" si="2"/>
        <v>13.816799999688334</v>
      </c>
      <c r="E107" s="4">
        <f t="shared" si="3"/>
        <v>164.79269999628278</v>
      </c>
      <c r="F107" s="4">
        <f t="shared" si="4"/>
        <v>1650.9023999627609</v>
      </c>
      <c r="G107" s="4">
        <f t="shared" si="5"/>
        <v>176.04449999602897</v>
      </c>
      <c r="H107" s="4">
        <f t="shared" si="6"/>
        <v>1481.2190999665881</v>
      </c>
      <c r="I107" s="4">
        <f t="shared" si="7"/>
        <v>550.91069998757314</v>
      </c>
      <c r="J107" s="4">
        <f t="shared" si="8"/>
        <v>341.53829999229595</v>
      </c>
      <c r="K107" s="4">
        <f t="shared" si="9"/>
        <v>39.962699999098561</v>
      </c>
      <c r="L107" s="4">
        <f t="shared" si="10"/>
        <v>366.82919999172549</v>
      </c>
      <c r="M107" s="4">
        <f t="shared" si="11"/>
        <v>3184.9775999281565</v>
      </c>
      <c r="N107" s="4">
        <f t="shared" si="12"/>
        <v>478.8854999891978</v>
      </c>
      <c r="O107" s="4">
        <f t="shared" si="13"/>
        <v>291.17879999343188</v>
      </c>
      <c r="P107" s="4">
        <f>SUM(Table27[[#This Row],[Adj. General Education ]:[Adj. Others]])</f>
        <v>18645.976799579403</v>
      </c>
    </row>
    <row r="108" spans="1:16" x14ac:dyDescent="0.2">
      <c r="A108" s="7" t="s">
        <v>12</v>
      </c>
      <c r="B108" s="4">
        <f t="shared" si="0"/>
        <v>5941.33</v>
      </c>
      <c r="C108" s="4">
        <f t="shared" si="1"/>
        <v>254.32000000000002</v>
      </c>
      <c r="D108" s="4">
        <f t="shared" si="2"/>
        <v>7.15</v>
      </c>
      <c r="E108" s="4">
        <f t="shared" si="3"/>
        <v>85.67</v>
      </c>
      <c r="F108" s="4">
        <f t="shared" si="4"/>
        <v>1094.3699999999999</v>
      </c>
      <c r="G108" s="4">
        <f t="shared" si="5"/>
        <v>103.71</v>
      </c>
      <c r="H108" s="4">
        <f t="shared" si="6"/>
        <v>1336.2</v>
      </c>
      <c r="I108" s="4">
        <f t="shared" si="7"/>
        <v>954.19</v>
      </c>
      <c r="J108" s="4">
        <f t="shared" si="8"/>
        <v>249.45</v>
      </c>
      <c r="K108" s="4">
        <f t="shared" si="9"/>
        <v>22.47</v>
      </c>
      <c r="L108" s="4">
        <f t="shared" si="10"/>
        <v>215.53</v>
      </c>
      <c r="M108" s="4">
        <f t="shared" si="11"/>
        <v>2014.89</v>
      </c>
      <c r="N108" s="4">
        <f t="shared" si="12"/>
        <v>154.16999999999999</v>
      </c>
      <c r="O108" s="4">
        <f t="shared" si="13"/>
        <v>208.21999999999997</v>
      </c>
      <c r="P108" s="4">
        <f>SUM(Table27[[#This Row],[Adj. General Education ]:[Adj. Others]])</f>
        <v>12641.67</v>
      </c>
    </row>
    <row r="109" spans="1:16" x14ac:dyDescent="0.2">
      <c r="A109" s="5" t="s">
        <v>11</v>
      </c>
      <c r="B109" s="4">
        <f t="shared" si="0"/>
        <v>6086.573495349272</v>
      </c>
      <c r="C109" s="4">
        <f t="shared" si="1"/>
        <v>266.32244425264304</v>
      </c>
      <c r="D109" s="4">
        <f t="shared" si="2"/>
        <v>7.0975074265232116</v>
      </c>
      <c r="E109" s="4">
        <f t="shared" si="3"/>
        <v>113.94725559309083</v>
      </c>
      <c r="F109" s="4">
        <f t="shared" si="4"/>
        <v>1357.5503847674183</v>
      </c>
      <c r="G109" s="4">
        <f t="shared" si="5"/>
        <v>114.35282744603501</v>
      </c>
      <c r="H109" s="4">
        <f t="shared" si="6"/>
        <v>1011.9939485168616</v>
      </c>
      <c r="I109" s="4">
        <f t="shared" si="7"/>
        <v>1476.9175551225812</v>
      </c>
      <c r="J109" s="4">
        <f t="shared" si="8"/>
        <v>310.11498682850248</v>
      </c>
      <c r="K109" s="4">
        <f t="shared" si="9"/>
        <v>25.809117914629859</v>
      </c>
      <c r="L109" s="4">
        <f t="shared" si="10"/>
        <v>214.45533478634937</v>
      </c>
      <c r="M109" s="4">
        <f t="shared" si="11"/>
        <v>1996.8514530549121</v>
      </c>
      <c r="N109" s="4">
        <f t="shared" si="12"/>
        <v>179.2719765434415</v>
      </c>
      <c r="O109" s="4">
        <f t="shared" si="13"/>
        <v>219.24845668478068</v>
      </c>
      <c r="P109" s="4">
        <f>SUM(Table27[[#This Row],[Adj. General Education ]:[Adj. Others]])</f>
        <v>13380.506744287044</v>
      </c>
    </row>
    <row r="110" spans="1:16" x14ac:dyDescent="0.2">
      <c r="A110" s="7" t="s">
        <v>10</v>
      </c>
      <c r="B110" s="4">
        <f t="shared" si="0"/>
        <v>6040.9219919104125</v>
      </c>
      <c r="C110" s="4">
        <f t="shared" si="1"/>
        <v>256.34714707415242</v>
      </c>
      <c r="D110" s="4">
        <f t="shared" si="2"/>
        <v>5.8517614130962823</v>
      </c>
      <c r="E110" s="4">
        <f t="shared" si="3"/>
        <v>108.15759319094302</v>
      </c>
      <c r="F110" s="4">
        <f t="shared" si="4"/>
        <v>1365.3559278072362</v>
      </c>
      <c r="G110" s="4">
        <f t="shared" si="5"/>
        <v>115.09623450988929</v>
      </c>
      <c r="H110" s="4">
        <f t="shared" si="6"/>
        <v>1068.7855291773876</v>
      </c>
      <c r="I110" s="4">
        <f t="shared" si="7"/>
        <v>1415.7523752816878</v>
      </c>
      <c r="J110" s="4">
        <f t="shared" si="8"/>
        <v>279.82375304051197</v>
      </c>
      <c r="K110" s="4">
        <f t="shared" si="9"/>
        <v>19.7986043649632</v>
      </c>
      <c r="L110" s="4">
        <f t="shared" si="10"/>
        <v>206.68977793567868</v>
      </c>
      <c r="M110" s="4">
        <f t="shared" si="11"/>
        <v>2037.5346318203433</v>
      </c>
      <c r="N110" s="4">
        <f t="shared" si="12"/>
        <v>264.72916490806745</v>
      </c>
      <c r="O110" s="4">
        <f t="shared" si="13"/>
        <v>217.17599526731925</v>
      </c>
      <c r="P110" s="4">
        <f>SUM(Table27[[#This Row],[Adj. General Education ]:[Adj. Others]])</f>
        <v>13402.020487701689</v>
      </c>
    </row>
    <row r="111" spans="1:16" x14ac:dyDescent="0.2">
      <c r="A111" s="5" t="s">
        <v>9</v>
      </c>
      <c r="B111" s="4">
        <f t="shared" si="0"/>
        <v>7428.6012519869264</v>
      </c>
      <c r="C111" s="4">
        <f t="shared" si="1"/>
        <v>300.41766263047236</v>
      </c>
      <c r="D111" s="4">
        <f t="shared" si="2"/>
        <v>8.2120269238195309</v>
      </c>
      <c r="E111" s="4">
        <f t="shared" si="3"/>
        <v>146.63727828328572</v>
      </c>
      <c r="F111" s="4">
        <f t="shared" si="4"/>
        <v>1736.2074319712126</v>
      </c>
      <c r="G111" s="4">
        <f t="shared" si="5"/>
        <v>107.97797384956094</v>
      </c>
      <c r="H111" s="4">
        <f t="shared" si="6"/>
        <v>1153.1111028855846</v>
      </c>
      <c r="I111" s="4">
        <f t="shared" si="7"/>
        <v>1391.3871361596746</v>
      </c>
      <c r="J111" s="4">
        <f t="shared" si="8"/>
        <v>229.05446998256957</v>
      </c>
      <c r="K111" s="4">
        <f t="shared" si="9"/>
        <v>18.4685770797057</v>
      </c>
      <c r="L111" s="4">
        <f t="shared" si="10"/>
        <v>245.7754462912971</v>
      </c>
      <c r="M111" s="4">
        <f t="shared" si="11"/>
        <v>3681.6603640209464</v>
      </c>
      <c r="N111" s="4">
        <f t="shared" si="12"/>
        <v>578.98183212482991</v>
      </c>
      <c r="O111" s="4">
        <f t="shared" si="13"/>
        <v>289.59271804907388</v>
      </c>
      <c r="P111" s="4">
        <f>SUM(Table27[[#This Row],[Adj. General Education ]:[Adj. Others]])</f>
        <v>17316.085272238957</v>
      </c>
    </row>
    <row r="112" spans="1:16" x14ac:dyDescent="0.2">
      <c r="A112" s="7" t="s">
        <v>8</v>
      </c>
      <c r="B112" s="4">
        <f t="shared" si="0"/>
        <v>7765.3269503327165</v>
      </c>
      <c r="C112" s="4">
        <f t="shared" si="1"/>
        <v>317.7141672025823</v>
      </c>
      <c r="D112" s="4">
        <f t="shared" si="2"/>
        <v>9.224363986631186</v>
      </c>
      <c r="E112" s="4">
        <f t="shared" si="3"/>
        <v>193.40249383926817</v>
      </c>
      <c r="F112" s="4">
        <f t="shared" si="4"/>
        <v>1962.2327760909307</v>
      </c>
      <c r="G112" s="4">
        <f t="shared" si="5"/>
        <v>118.01170013331421</v>
      </c>
      <c r="H112" s="4">
        <f t="shared" si="6"/>
        <v>13914.535303725055</v>
      </c>
      <c r="I112" s="4">
        <f t="shared" si="7"/>
        <v>1640.3241970031231</v>
      </c>
      <c r="J112" s="4">
        <f t="shared" si="8"/>
        <v>278.73621611776844</v>
      </c>
      <c r="K112" s="4">
        <f t="shared" si="9"/>
        <v>21.431606545026259</v>
      </c>
      <c r="L112" s="4">
        <f t="shared" si="10"/>
        <v>256.09307625928068</v>
      </c>
      <c r="M112" s="4">
        <f t="shared" si="11"/>
        <v>3421.4619866391226</v>
      </c>
      <c r="N112" s="4">
        <f t="shared" si="12"/>
        <v>418.18787819827071</v>
      </c>
      <c r="O112" s="4">
        <f t="shared" si="13"/>
        <v>213.01262271302127</v>
      </c>
      <c r="P112" s="4">
        <f>SUM(Table27[[#This Row],[Adj. General Education ]:[Adj. Others]])</f>
        <v>30529.695338786107</v>
      </c>
    </row>
    <row r="113" spans="1:16" x14ac:dyDescent="0.2">
      <c r="A113" s="5" t="s">
        <v>7</v>
      </c>
      <c r="B113" s="4">
        <f t="shared" si="0"/>
        <v>8409.3474181453239</v>
      </c>
      <c r="C113" s="4">
        <f t="shared" si="1"/>
        <v>303.17046410047072</v>
      </c>
      <c r="D113" s="4">
        <f t="shared" si="2"/>
        <v>15.89648737359326</v>
      </c>
      <c r="E113" s="4">
        <f t="shared" si="3"/>
        <v>255.8221631803506</v>
      </c>
      <c r="F113" s="4">
        <f t="shared" si="4"/>
        <v>2136.9444091889595</v>
      </c>
      <c r="G113" s="4">
        <f t="shared" si="5"/>
        <v>137.65854446616504</v>
      </c>
      <c r="H113" s="4">
        <f t="shared" si="6"/>
        <v>1408.5571228948966</v>
      </c>
      <c r="I113" s="4">
        <f t="shared" si="7"/>
        <v>2236.7421832676346</v>
      </c>
      <c r="J113" s="4">
        <f t="shared" si="8"/>
        <v>458.69123428688698</v>
      </c>
      <c r="K113" s="4">
        <f t="shared" si="9"/>
        <v>23.483262645405269</v>
      </c>
      <c r="L113" s="4">
        <f t="shared" si="10"/>
        <v>265.09849868400079</v>
      </c>
      <c r="M113" s="4">
        <f t="shared" si="11"/>
        <v>3980.7988554683684</v>
      </c>
      <c r="N113" s="4">
        <f t="shared" si="12"/>
        <v>831.03619326396495</v>
      </c>
      <c r="O113" s="4">
        <f t="shared" si="13"/>
        <v>228.57800444195928</v>
      </c>
      <c r="P113" s="4">
        <f>SUM(Table27[[#This Row],[Adj. General Education ]:[Adj. Others]])</f>
        <v>20691.824841407975</v>
      </c>
    </row>
    <row r="114" spans="1:16" x14ac:dyDescent="0.2">
      <c r="A114" s="7" t="s">
        <v>6</v>
      </c>
      <c r="B114" s="4">
        <f t="shared" si="0"/>
        <v>8374.5368898323904</v>
      </c>
      <c r="C114" s="4">
        <f t="shared" si="1"/>
        <v>258.71024978294247</v>
      </c>
      <c r="D114" s="4">
        <f t="shared" si="2"/>
        <v>12.102570848404021</v>
      </c>
      <c r="E114" s="4">
        <f t="shared" si="3"/>
        <v>184.60354816073354</v>
      </c>
      <c r="F114" s="4">
        <f t="shared" si="4"/>
        <v>2175.937324616184</v>
      </c>
      <c r="G114" s="4">
        <f t="shared" si="5"/>
        <v>127.86010143372719</v>
      </c>
      <c r="H114" s="4">
        <f t="shared" si="6"/>
        <v>1276.6900820980502</v>
      </c>
      <c r="I114" s="4">
        <f t="shared" si="7"/>
        <v>3019.0780978203848</v>
      </c>
      <c r="J114" s="4">
        <f t="shared" si="8"/>
        <v>296.98884538272432</v>
      </c>
      <c r="K114" s="4">
        <f t="shared" si="9"/>
        <v>28.46914343844389</v>
      </c>
      <c r="L114" s="4">
        <f t="shared" si="10"/>
        <v>387.65695974485448</v>
      </c>
      <c r="M114" s="4">
        <f t="shared" si="11"/>
        <v>4293.9171984945615</v>
      </c>
      <c r="N114" s="4">
        <f t="shared" si="12"/>
        <v>383.66273667228529</v>
      </c>
      <c r="O114" s="4">
        <f t="shared" si="13"/>
        <v>210.87699298705212</v>
      </c>
      <c r="P114" s="4">
        <f>SUM(Table27[[#This Row],[Adj. General Education ]:[Adj. Others]])</f>
        <v>21031.090741312739</v>
      </c>
    </row>
    <row r="115" spans="1:16" x14ac:dyDescent="0.2">
      <c r="A115" s="5" t="s">
        <v>5</v>
      </c>
      <c r="B115" s="4">
        <f t="shared" si="0"/>
        <v>9105.8868659338459</v>
      </c>
      <c r="C115" s="4">
        <f t="shared" si="1"/>
        <v>300.2224860599141</v>
      </c>
      <c r="D115" s="4">
        <f t="shared" si="2"/>
        <v>18.03859711571296</v>
      </c>
      <c r="E115" s="4">
        <f t="shared" si="3"/>
        <v>212.40980440091852</v>
      </c>
      <c r="F115" s="4">
        <f t="shared" si="4"/>
        <v>2641.8559729421895</v>
      </c>
      <c r="G115" s="4">
        <f t="shared" si="5"/>
        <v>155.44221123320952</v>
      </c>
      <c r="H115" s="4">
        <f t="shared" si="6"/>
        <v>1394.9721689403777</v>
      </c>
      <c r="I115" s="4">
        <f t="shared" si="7"/>
        <v>2222.1696074173783</v>
      </c>
      <c r="J115" s="4">
        <f t="shared" si="8"/>
        <v>303.21117436787165</v>
      </c>
      <c r="K115" s="4">
        <f t="shared" si="9"/>
        <v>36.548692132426858</v>
      </c>
      <c r="L115" s="4">
        <f t="shared" si="10"/>
        <v>501.43801771448801</v>
      </c>
      <c r="M115" s="4">
        <f t="shared" si="11"/>
        <v>5161.784109646509</v>
      </c>
      <c r="N115" s="4">
        <f t="shared" si="12"/>
        <v>310.75514078388653</v>
      </c>
      <c r="O115" s="4">
        <f t="shared" si="13"/>
        <v>254.38072239485606</v>
      </c>
      <c r="P115" s="4">
        <f>SUM(Table27[[#This Row],[Adj. General Education ]:[Adj. Others]])</f>
        <v>22619.115571083588</v>
      </c>
    </row>
    <row r="116" spans="1:16" x14ac:dyDescent="0.2">
      <c r="A116" s="7" t="s">
        <v>4</v>
      </c>
      <c r="B116" s="4">
        <f t="shared" si="0"/>
        <v>10019.829612522068</v>
      </c>
      <c r="C116" s="4">
        <f t="shared" si="1"/>
        <v>388.84459785168065</v>
      </c>
      <c r="D116" s="4">
        <f t="shared" si="2"/>
        <v>10.097666094658274</v>
      </c>
      <c r="E116" s="4">
        <f t="shared" si="3"/>
        <v>214.49645912202095</v>
      </c>
      <c r="F116" s="4">
        <f t="shared" si="4"/>
        <v>3120.9866365369794</v>
      </c>
      <c r="G116" s="4">
        <f t="shared" si="5"/>
        <v>163.45734686174828</v>
      </c>
      <c r="H116" s="4">
        <f t="shared" si="6"/>
        <v>1327.5823880683918</v>
      </c>
      <c r="I116" s="4">
        <f t="shared" si="7"/>
        <v>2424.0273632907661</v>
      </c>
      <c r="J116" s="4">
        <f t="shared" si="8"/>
        <v>210.90536187090251</v>
      </c>
      <c r="K116" s="4">
        <f t="shared" si="9"/>
        <v>28.412996451078442</v>
      </c>
      <c r="L116" s="4">
        <f t="shared" si="10"/>
        <v>667.85596362211834</v>
      </c>
      <c r="M116" s="4">
        <f t="shared" si="11"/>
        <v>5595.1718612288478</v>
      </c>
      <c r="N116" s="4">
        <f t="shared" si="12"/>
        <v>295.99747608094282</v>
      </c>
      <c r="O116" s="4">
        <f t="shared" si="13"/>
        <v>300.24216771927917</v>
      </c>
      <c r="P116" s="4">
        <f>SUM(Table27[[#This Row],[Adj. General Education ]:[Adj. Others]])</f>
        <v>24767.907897321482</v>
      </c>
    </row>
    <row r="117" spans="1:16" x14ac:dyDescent="0.2">
      <c r="A117" s="5" t="s">
        <v>3</v>
      </c>
      <c r="B117" s="4">
        <f t="shared" si="0"/>
        <v>8943.1283906426888</v>
      </c>
      <c r="C117" s="4">
        <f t="shared" si="1"/>
        <v>377.44991603635555</v>
      </c>
      <c r="D117" s="4">
        <f t="shared" si="2"/>
        <v>15.331322726379332</v>
      </c>
      <c r="E117" s="4">
        <f t="shared" si="3"/>
        <v>81.355355273081216</v>
      </c>
      <c r="F117" s="4">
        <f t="shared" si="4"/>
        <v>3260.3360000329062</v>
      </c>
      <c r="G117" s="4">
        <f t="shared" si="5"/>
        <v>150.31274510149404</v>
      </c>
      <c r="H117" s="4">
        <f t="shared" si="6"/>
        <v>1496.8915496082825</v>
      </c>
      <c r="I117" s="4">
        <f t="shared" si="7"/>
        <v>2427.7122687269434</v>
      </c>
      <c r="J117" s="4">
        <f t="shared" si="8"/>
        <v>252.39626350025793</v>
      </c>
      <c r="K117" s="4">
        <f t="shared" si="9"/>
        <v>45.691906216490409</v>
      </c>
      <c r="L117" s="4">
        <f t="shared" si="10"/>
        <v>627.7317457980804</v>
      </c>
      <c r="M117" s="4">
        <f t="shared" si="11"/>
        <v>5874.7896865566418</v>
      </c>
      <c r="N117" s="4">
        <f t="shared" si="12"/>
        <v>467.03478166956859</v>
      </c>
      <c r="O117" s="4">
        <f t="shared" si="13"/>
        <v>254.85303412979161</v>
      </c>
      <c r="P117" s="4">
        <f>SUM(Table27[[#This Row],[Adj. General Education ]:[Adj. Others]])</f>
        <v>24275.014966018956</v>
      </c>
    </row>
    <row r="118" spans="1:16" x14ac:dyDescent="0.2">
      <c r="A118" s="7" t="s">
        <v>2</v>
      </c>
      <c r="B118" s="4">
        <f t="shared" si="0"/>
        <v>8933.6900939782317</v>
      </c>
      <c r="C118" s="4">
        <f t="shared" si="1"/>
        <v>392.80381661355699</v>
      </c>
      <c r="D118" s="4">
        <f t="shared" si="2"/>
        <v>15.728436222042747</v>
      </c>
      <c r="E118" s="4">
        <f t="shared" si="3"/>
        <v>164.18637011551212</v>
      </c>
      <c r="F118" s="4">
        <f t="shared" si="4"/>
        <v>3554.7746185225742</v>
      </c>
      <c r="G118" s="4">
        <f t="shared" si="5"/>
        <v>147.16265091047762</v>
      </c>
      <c r="H118" s="4">
        <f t="shared" si="6"/>
        <v>1144.9376367516411</v>
      </c>
      <c r="I118" s="4">
        <f t="shared" si="7"/>
        <v>2886.1865507874581</v>
      </c>
      <c r="J118" s="4">
        <f t="shared" si="8"/>
        <v>244.2903705922451</v>
      </c>
      <c r="K118" s="4">
        <f t="shared" si="9"/>
        <v>150.83261936228757</v>
      </c>
      <c r="L118" s="4">
        <f t="shared" si="10"/>
        <v>819.33433489853724</v>
      </c>
      <c r="M118" s="4">
        <f t="shared" si="11"/>
        <v>6014.1592584000446</v>
      </c>
      <c r="N118" s="4">
        <f t="shared" si="12"/>
        <v>465.43218387416613</v>
      </c>
      <c r="O118" s="4">
        <f t="shared" si="13"/>
        <v>310.7322196055174</v>
      </c>
      <c r="P118" s="4">
        <f>SUM(Table27[[#This Row],[Adj. General Education ]:[Adj. Others]])</f>
        <v>25244.251160634296</v>
      </c>
    </row>
    <row r="119" spans="1:16" x14ac:dyDescent="0.2">
      <c r="A119" s="5" t="s">
        <v>1</v>
      </c>
      <c r="B119" s="4">
        <f t="shared" si="0"/>
        <v>10551.053448510977</v>
      </c>
      <c r="C119" s="4">
        <f t="shared" si="1"/>
        <v>251.65772315454342</v>
      </c>
      <c r="D119" s="4">
        <f t="shared" si="2"/>
        <v>38.966092229346017</v>
      </c>
      <c r="E119" s="4">
        <f t="shared" si="3"/>
        <v>257.50586314440613</v>
      </c>
      <c r="F119" s="4">
        <f t="shared" si="4"/>
        <v>3643.7900838141672</v>
      </c>
      <c r="G119" s="4">
        <f t="shared" si="5"/>
        <v>156.02274382182367</v>
      </c>
      <c r="H119" s="4">
        <f t="shared" si="6"/>
        <v>1470.1121175920975</v>
      </c>
      <c r="I119" s="4">
        <f t="shared" si="7"/>
        <v>2391.3261450825066</v>
      </c>
      <c r="J119" s="4">
        <f t="shared" si="8"/>
        <v>424.3508921029366</v>
      </c>
      <c r="K119" s="4">
        <f t="shared" si="9"/>
        <v>265.27209919914856</v>
      </c>
      <c r="L119" s="4">
        <f t="shared" si="10"/>
        <v>874.71046295717838</v>
      </c>
      <c r="M119" s="4">
        <f t="shared" si="11"/>
        <v>6131.9478186184933</v>
      </c>
      <c r="N119" s="4">
        <f t="shared" si="12"/>
        <v>436.93289840008356</v>
      </c>
      <c r="O119" s="4">
        <f t="shared" si="13"/>
        <v>497.1681537219493</v>
      </c>
      <c r="P119" s="4">
        <f>SUM(Table27[[#This Row],[Adj. General Education ]:[Adj. Others]])</f>
        <v>27390.81654234965</v>
      </c>
    </row>
    <row r="122" spans="1:16" x14ac:dyDescent="0.2">
      <c r="A122" s="28" t="s">
        <v>0</v>
      </c>
      <c r="B122" s="28" t="s">
        <v>216</v>
      </c>
      <c r="C122" s="28" t="s">
        <v>217</v>
      </c>
      <c r="D122" s="28" t="s">
        <v>218</v>
      </c>
      <c r="E122" s="28" t="s">
        <v>219</v>
      </c>
      <c r="F122" s="28" t="s">
        <v>220</v>
      </c>
      <c r="G122" s="28" t="s">
        <v>221</v>
      </c>
      <c r="H122" s="28" t="s">
        <v>222</v>
      </c>
      <c r="I122" s="28" t="s">
        <v>223</v>
      </c>
      <c r="J122" s="28" t="s">
        <v>224</v>
      </c>
      <c r="K122" s="28" t="s">
        <v>225</v>
      </c>
      <c r="L122" s="28" t="s">
        <v>226</v>
      </c>
      <c r="M122" s="28" t="s">
        <v>227</v>
      </c>
      <c r="N122" s="28" t="s">
        <v>228</v>
      </c>
      <c r="O122" s="28" t="s">
        <v>160</v>
      </c>
      <c r="P122" s="28" t="s">
        <v>102</v>
      </c>
    </row>
    <row r="123" spans="1:16" x14ac:dyDescent="0.2">
      <c r="A123" s="5" t="s">
        <v>19</v>
      </c>
      <c r="B123" s="36">
        <f t="shared" ref="B123:B141" si="14">B101/P101*100</f>
        <v>13.083265380085168</v>
      </c>
      <c r="C123" s="36">
        <f t="shared" ref="C123:C141" si="15">C101/P101*100</f>
        <v>13.083265380085168</v>
      </c>
      <c r="D123" s="36">
        <f t="shared" ref="D123:D141" si="16">D101/P101*100</f>
        <v>13.083265380085168</v>
      </c>
      <c r="E123" s="36">
        <f t="shared" ref="E123:E141" si="17">E101/P101*100</f>
        <v>13.083265380085168</v>
      </c>
      <c r="F123" s="36">
        <f t="shared" ref="F123:F141" si="18">F101/P101*100</f>
        <v>5.9475494652782341</v>
      </c>
      <c r="G123" s="36">
        <f t="shared" ref="G123:G141" si="19">G101/P101*100</f>
        <v>5.9475494652782341</v>
      </c>
      <c r="H123" s="36">
        <f t="shared" ref="H123:H141" si="20">H101/P101*100</f>
        <v>4.0091916531541241</v>
      </c>
      <c r="I123" s="36">
        <f t="shared" ref="I123:I141" si="21">I101/P101*100</f>
        <v>4.0091885288668525</v>
      </c>
      <c r="J123" s="36">
        <f t="shared" ref="J123:J141" si="22">J101/P101*100</f>
        <v>1.5343374792625435</v>
      </c>
      <c r="K123" s="36">
        <f t="shared" ref="K123:K141" si="23">K101/P101*100</f>
        <v>4.0091885288668525</v>
      </c>
      <c r="L123" s="36">
        <f t="shared" ref="L123:L141" si="24">L101/P101*100</f>
        <v>2.2819794234440272</v>
      </c>
      <c r="M123" s="36">
        <f t="shared" ref="M123:M141" si="25">M101/P101*100</f>
        <v>19.817979023535258</v>
      </c>
      <c r="N123" s="36">
        <f t="shared" ref="N123:N141" si="26">N101/P101*100</f>
        <v>0</v>
      </c>
      <c r="O123" s="36">
        <f t="shared" ref="O123:O141" si="27">O101/P101*100</f>
        <v>0.10997491197320614</v>
      </c>
      <c r="P123" s="36">
        <f>SUM(Table28[[#This Row],[General Education as %]:[Others as %]])</f>
        <v>100.00000000000001</v>
      </c>
    </row>
    <row r="124" spans="1:16" x14ac:dyDescent="0.2">
      <c r="A124" s="7" t="s">
        <v>18</v>
      </c>
      <c r="B124" s="5">
        <f t="shared" si="14"/>
        <v>46.592479471259772</v>
      </c>
      <c r="C124" s="36">
        <f t="shared" si="15"/>
        <v>1.8333166433006212</v>
      </c>
      <c r="D124" s="5">
        <f t="shared" si="16"/>
        <v>8.1113558982575634E-2</v>
      </c>
      <c r="E124" s="5">
        <f t="shared" si="17"/>
        <v>0.80662928099339093</v>
      </c>
      <c r="F124" s="5">
        <f t="shared" si="18"/>
        <v>6.7176547166032456</v>
      </c>
      <c r="G124" s="5">
        <f t="shared" si="19"/>
        <v>6.7176547166032456</v>
      </c>
      <c r="H124" s="5">
        <f t="shared" si="20"/>
        <v>6.717905067093934</v>
      </c>
      <c r="I124" s="5">
        <f t="shared" si="21"/>
        <v>0</v>
      </c>
      <c r="J124" s="5">
        <f t="shared" si="22"/>
        <v>0</v>
      </c>
      <c r="K124" s="5">
        <f t="shared" si="23"/>
        <v>0.30167234127778897</v>
      </c>
      <c r="L124" s="5">
        <f t="shared" si="24"/>
        <v>2.505758061285801</v>
      </c>
      <c r="M124" s="5">
        <f t="shared" si="25"/>
        <v>17.021329861806532</v>
      </c>
      <c r="N124" s="5">
        <f t="shared" si="26"/>
        <v>3.8661626276787513</v>
      </c>
      <c r="O124" s="5">
        <f t="shared" si="27"/>
        <v>6.8383236531143616</v>
      </c>
      <c r="P124" s="5">
        <f>SUM(Table28[[#This Row],[General Education as %]:[Others as %]])</f>
        <v>100.00000000000003</v>
      </c>
    </row>
    <row r="125" spans="1:16" x14ac:dyDescent="0.2">
      <c r="A125" s="5" t="s">
        <v>17</v>
      </c>
      <c r="B125" s="5">
        <f t="shared" si="14"/>
        <v>46.667894440351859</v>
      </c>
      <c r="C125" s="36">
        <f t="shared" si="15"/>
        <v>2.0693764354118818</v>
      </c>
      <c r="D125" s="5">
        <f t="shared" si="16"/>
        <v>7.5616414611951288E-2</v>
      </c>
      <c r="E125" s="5">
        <f t="shared" si="17"/>
        <v>0.84846383845387174</v>
      </c>
      <c r="F125" s="5">
        <f t="shared" si="18"/>
        <v>6.2044459851800493</v>
      </c>
      <c r="G125" s="5">
        <f t="shared" si="19"/>
        <v>6.2044459851800493</v>
      </c>
      <c r="H125" s="5">
        <f t="shared" si="20"/>
        <v>6.2044459851800493</v>
      </c>
      <c r="I125" s="5">
        <f t="shared" si="21"/>
        <v>0</v>
      </c>
      <c r="J125" s="5">
        <f t="shared" si="22"/>
        <v>0</v>
      </c>
      <c r="K125" s="5">
        <f t="shared" si="23"/>
        <v>0.39844867183776056</v>
      </c>
      <c r="L125" s="5">
        <f t="shared" si="24"/>
        <v>2.255275815747281</v>
      </c>
      <c r="M125" s="5">
        <f t="shared" si="25"/>
        <v>16.331412228625901</v>
      </c>
      <c r="N125" s="5">
        <f t="shared" si="26"/>
        <v>4.6973176756077475</v>
      </c>
      <c r="O125" s="5">
        <f t="shared" si="27"/>
        <v>8.0428565238115866</v>
      </c>
      <c r="P125" s="5">
        <f>SUM(Table28[[#This Row],[General Education as %]:[Others as %]])</f>
        <v>99.999999999999972</v>
      </c>
    </row>
    <row r="126" spans="1:16" x14ac:dyDescent="0.2">
      <c r="A126" s="7" t="s">
        <v>16</v>
      </c>
      <c r="B126" s="5">
        <f t="shared" si="14"/>
        <v>45.102959396515224</v>
      </c>
      <c r="C126" s="36">
        <f t="shared" si="15"/>
        <v>1.9682260872292714</v>
      </c>
      <c r="D126" s="5">
        <f t="shared" si="16"/>
        <v>7.0922356573909995E-2</v>
      </c>
      <c r="E126" s="5">
        <f t="shared" si="17"/>
        <v>0.83852181777310775</v>
      </c>
      <c r="F126" s="5">
        <f t="shared" si="18"/>
        <v>8.1635640313870645</v>
      </c>
      <c r="G126" s="5">
        <f t="shared" si="19"/>
        <v>1.0526829387297056</v>
      </c>
      <c r="H126" s="5">
        <f t="shared" si="20"/>
        <v>9.574518137477849</v>
      </c>
      <c r="I126" s="5">
        <f t="shared" si="21"/>
        <v>6.4629957812524506</v>
      </c>
      <c r="J126" s="5">
        <f t="shared" si="22"/>
        <v>2.4803656596389065</v>
      </c>
      <c r="K126" s="5">
        <f t="shared" si="23"/>
        <v>0.24639855576292072</v>
      </c>
      <c r="L126" s="5">
        <f t="shared" si="24"/>
        <v>1.8373595275560366</v>
      </c>
      <c r="M126" s="5">
        <f t="shared" si="25"/>
        <v>14.421634281113919</v>
      </c>
      <c r="N126" s="5">
        <f t="shared" si="26"/>
        <v>4.6078621004518476</v>
      </c>
      <c r="O126" s="5">
        <f t="shared" si="27"/>
        <v>3.1719893285377978</v>
      </c>
      <c r="P126" s="5">
        <f>SUM(Table28[[#This Row],[General Education as %]:[Others as %]])</f>
        <v>100</v>
      </c>
    </row>
    <row r="127" spans="1:16" x14ac:dyDescent="0.2">
      <c r="A127" s="5" t="s">
        <v>15</v>
      </c>
      <c r="B127" s="5">
        <f t="shared" si="14"/>
        <v>48.819697109549473</v>
      </c>
      <c r="C127" s="36">
        <f t="shared" si="15"/>
        <v>3.2327969217755723</v>
      </c>
      <c r="D127" s="5">
        <f t="shared" si="16"/>
        <v>6.8744807976050898E-2</v>
      </c>
      <c r="E127" s="5">
        <f t="shared" si="17"/>
        <v>0.97758147775161752</v>
      </c>
      <c r="F127" s="5">
        <f t="shared" si="18"/>
        <v>8.8683557592030553</v>
      </c>
      <c r="G127" s="5">
        <f t="shared" si="19"/>
        <v>1.116862040604899</v>
      </c>
      <c r="H127" s="5">
        <f t="shared" si="20"/>
        <v>8.9475707182936937</v>
      </c>
      <c r="I127" s="5">
        <f t="shared" si="21"/>
        <v>6.8966609861504686</v>
      </c>
      <c r="J127" s="5">
        <f t="shared" si="22"/>
        <v>1.6681981558757522</v>
      </c>
      <c r="K127" s="5">
        <f t="shared" si="23"/>
        <v>0.28310737553263449</v>
      </c>
      <c r="L127" s="5">
        <f t="shared" si="24"/>
        <v>2.0036562869813315</v>
      </c>
      <c r="M127" s="5">
        <f t="shared" si="25"/>
        <v>13.082867113117583</v>
      </c>
      <c r="N127" s="5">
        <f t="shared" si="26"/>
        <v>1.5523376678840513</v>
      </c>
      <c r="O127" s="5">
        <f t="shared" si="27"/>
        <v>2.4815635793038173</v>
      </c>
      <c r="P127" s="5">
        <f>SUM(Table28[[#This Row],[General Education as %]:[Others as %]])</f>
        <v>100.00000000000001</v>
      </c>
    </row>
    <row r="128" spans="1:16" x14ac:dyDescent="0.2">
      <c r="A128" s="7" t="s">
        <v>14</v>
      </c>
      <c r="B128" s="5">
        <f t="shared" si="14"/>
        <v>49.709156128625715</v>
      </c>
      <c r="C128" s="36">
        <f t="shared" si="15"/>
        <v>2.0841791032717918</v>
      </c>
      <c r="D128" s="5">
        <f t="shared" si="16"/>
        <v>6.6752707978614906E-2</v>
      </c>
      <c r="E128" s="5">
        <f t="shared" si="17"/>
        <v>0.71943463183003409</v>
      </c>
      <c r="F128" s="5">
        <f t="shared" si="18"/>
        <v>9.3620420471369066</v>
      </c>
      <c r="G128" s="5">
        <f t="shared" si="19"/>
        <v>0.95837095116044679</v>
      </c>
      <c r="H128" s="5">
        <f t="shared" si="20"/>
        <v>7.5068015051170365</v>
      </c>
      <c r="I128" s="5">
        <f t="shared" si="21"/>
        <v>3.3731829832098255</v>
      </c>
      <c r="J128" s="5">
        <f t="shared" si="22"/>
        <v>1.6290286420620834</v>
      </c>
      <c r="K128" s="5">
        <f t="shared" si="23"/>
        <v>0.1670332511295447</v>
      </c>
      <c r="L128" s="5">
        <f t="shared" si="24"/>
        <v>1.8821032051398578</v>
      </c>
      <c r="M128" s="5">
        <f t="shared" si="25"/>
        <v>18.135731179472884</v>
      </c>
      <c r="N128" s="5">
        <f t="shared" si="26"/>
        <v>2.1119506534898238</v>
      </c>
      <c r="O128" s="5">
        <f t="shared" si="27"/>
        <v>2.2942330103754518</v>
      </c>
      <c r="P128" s="5">
        <f>SUM(Table28[[#This Row],[General Education as %]:[Others as %]])</f>
        <v>100.00000000000001</v>
      </c>
    </row>
    <row r="129" spans="1:16" x14ac:dyDescent="0.2">
      <c r="A129" s="5" t="s">
        <v>13</v>
      </c>
      <c r="B129" s="5">
        <f t="shared" si="14"/>
        <v>51.330236021746003</v>
      </c>
      <c r="C129" s="36">
        <f t="shared" si="15"/>
        <v>1.7907058642269682</v>
      </c>
      <c r="D129" s="5">
        <f t="shared" si="16"/>
        <v>7.4100703589848924E-2</v>
      </c>
      <c r="E129" s="5">
        <f t="shared" si="17"/>
        <v>0.88379762437546316</v>
      </c>
      <c r="F129" s="5">
        <f t="shared" si="18"/>
        <v>8.8539335734880904</v>
      </c>
      <c r="G129" s="5">
        <f t="shared" si="19"/>
        <v>0.94414200922957292</v>
      </c>
      <c r="H129" s="5">
        <f t="shared" si="20"/>
        <v>7.9439072347231496</v>
      </c>
      <c r="I129" s="5">
        <f t="shared" si="21"/>
        <v>2.9545821380620834</v>
      </c>
      <c r="J129" s="5">
        <f t="shared" si="22"/>
        <v>1.8316996940594716</v>
      </c>
      <c r="K129" s="5">
        <f t="shared" si="23"/>
        <v>0.21432344590281804</v>
      </c>
      <c r="L129" s="5">
        <f t="shared" si="24"/>
        <v>1.967336996793861</v>
      </c>
      <c r="M129" s="5">
        <f t="shared" si="25"/>
        <v>17.081312682959037</v>
      </c>
      <c r="N129" s="5">
        <f t="shared" si="26"/>
        <v>2.5683047079625241</v>
      </c>
      <c r="O129" s="5">
        <f t="shared" si="27"/>
        <v>1.5616173028811233</v>
      </c>
      <c r="P129" s="5">
        <f>SUM(Table28[[#This Row],[General Education as %]:[Others as %]])</f>
        <v>100</v>
      </c>
    </row>
    <row r="130" spans="1:16" x14ac:dyDescent="0.2">
      <c r="A130" s="7" t="s">
        <v>12</v>
      </c>
      <c r="B130" s="5">
        <f t="shared" si="14"/>
        <v>46.997983652476293</v>
      </c>
      <c r="C130" s="36">
        <f t="shared" si="15"/>
        <v>2.0117595222783069</v>
      </c>
      <c r="D130" s="5">
        <f t="shared" si="16"/>
        <v>5.6558983109035441E-2</v>
      </c>
      <c r="E130" s="5">
        <f t="shared" si="17"/>
        <v>0.67767945216098824</v>
      </c>
      <c r="F130" s="5">
        <f t="shared" si="18"/>
        <v>8.6568467615433722</v>
      </c>
      <c r="G130" s="5">
        <f t="shared" si="19"/>
        <v>0.82038211723609289</v>
      </c>
      <c r="H130" s="5">
        <f t="shared" si="20"/>
        <v>10.569806046194847</v>
      </c>
      <c r="I130" s="5">
        <f t="shared" si="21"/>
        <v>7.5479742787147588</v>
      </c>
      <c r="J130" s="5">
        <f t="shared" si="22"/>
        <v>1.9732361309858586</v>
      </c>
      <c r="K130" s="5">
        <f t="shared" si="23"/>
        <v>0.17774550356084282</v>
      </c>
      <c r="L130" s="5">
        <f t="shared" si="24"/>
        <v>1.7049171509776793</v>
      </c>
      <c r="M130" s="5">
        <f t="shared" si="25"/>
        <v>15.938479647071945</v>
      </c>
      <c r="N130" s="5">
        <f t="shared" si="26"/>
        <v>1.2195382413874114</v>
      </c>
      <c r="O130" s="5">
        <f t="shared" si="27"/>
        <v>1.6470925123025675</v>
      </c>
      <c r="P130" s="5">
        <f>SUM(Table28[[#This Row],[General Education as %]:[Others as %]])</f>
        <v>99.999999999999986</v>
      </c>
    </row>
    <row r="131" spans="1:16" x14ac:dyDescent="0.2">
      <c r="A131" s="5" t="s">
        <v>11</v>
      </c>
      <c r="B131" s="5">
        <f t="shared" si="14"/>
        <v>45.488363121583589</v>
      </c>
      <c r="C131" s="36">
        <f t="shared" si="15"/>
        <v>1.9903763687152756</v>
      </c>
      <c r="D131" s="5">
        <f t="shared" si="16"/>
        <v>5.3043637002414511E-2</v>
      </c>
      <c r="E131" s="5">
        <f t="shared" si="17"/>
        <v>0.85159148132967299</v>
      </c>
      <c r="F131" s="5">
        <f t="shared" si="18"/>
        <v>10.145732226076113</v>
      </c>
      <c r="G131" s="5">
        <f t="shared" si="19"/>
        <v>0.85462254630123946</v>
      </c>
      <c r="H131" s="5">
        <f t="shared" si="20"/>
        <v>7.5631959824611545</v>
      </c>
      <c r="I131" s="5">
        <f t="shared" si="21"/>
        <v>11.037829757480356</v>
      </c>
      <c r="J131" s="5">
        <f t="shared" si="22"/>
        <v>2.3176624978041995</v>
      </c>
      <c r="K131" s="5">
        <f t="shared" si="23"/>
        <v>0.19288595273605275</v>
      </c>
      <c r="L131" s="5">
        <f t="shared" si="24"/>
        <v>1.6027444915560727</v>
      </c>
      <c r="M131" s="5">
        <f t="shared" si="25"/>
        <v>14.923586163188402</v>
      </c>
      <c r="N131" s="5">
        <f t="shared" si="26"/>
        <v>1.3397996052726753</v>
      </c>
      <c r="O131" s="5">
        <f t="shared" si="27"/>
        <v>1.6385661684927684</v>
      </c>
      <c r="P131" s="5">
        <f>SUM(Table28[[#This Row],[General Education as %]:[Others as %]])</f>
        <v>99.999999999999972</v>
      </c>
    </row>
    <row r="132" spans="1:16" x14ac:dyDescent="0.2">
      <c r="A132" s="7" t="s">
        <v>10</v>
      </c>
      <c r="B132" s="5">
        <f t="shared" si="14"/>
        <v>45.074710917311613</v>
      </c>
      <c r="C132" s="36">
        <f t="shared" si="15"/>
        <v>1.9127500014597676</v>
      </c>
      <c r="D132" s="5">
        <f t="shared" si="16"/>
        <v>4.3663277626430491E-2</v>
      </c>
      <c r="E132" s="5">
        <f t="shared" si="17"/>
        <v>0.80702453253368323</v>
      </c>
      <c r="F132" s="5">
        <f t="shared" si="18"/>
        <v>10.187687215223628</v>
      </c>
      <c r="G132" s="5">
        <f t="shared" si="19"/>
        <v>0.85879763141316556</v>
      </c>
      <c r="H132" s="5">
        <f t="shared" si="20"/>
        <v>7.9748089488309191</v>
      </c>
      <c r="I132" s="5">
        <f t="shared" si="21"/>
        <v>10.563723407085128</v>
      </c>
      <c r="J132" s="5">
        <f t="shared" si="22"/>
        <v>2.0879221405256851</v>
      </c>
      <c r="K132" s="5">
        <f t="shared" si="23"/>
        <v>0.14772850394559023</v>
      </c>
      <c r="L132" s="5">
        <f t="shared" si="24"/>
        <v>1.5422284880503407</v>
      </c>
      <c r="M132" s="5">
        <f t="shared" si="25"/>
        <v>15.203189949530959</v>
      </c>
      <c r="N132" s="5">
        <f t="shared" si="26"/>
        <v>1.9752929429633026</v>
      </c>
      <c r="O132" s="5">
        <f t="shared" si="27"/>
        <v>1.6204720434997839</v>
      </c>
      <c r="P132" s="5">
        <f>SUM(Table28[[#This Row],[General Education as %]:[Others as %]])</f>
        <v>100.00000000000001</v>
      </c>
    </row>
    <row r="133" spans="1:16" x14ac:dyDescent="0.2">
      <c r="A133" s="5" t="s">
        <v>9</v>
      </c>
      <c r="B133" s="5">
        <f t="shared" si="14"/>
        <v>42.900003870369105</v>
      </c>
      <c r="C133" s="36">
        <f t="shared" si="15"/>
        <v>1.7349051931044721</v>
      </c>
      <c r="D133" s="5">
        <f t="shared" si="16"/>
        <v>4.7424269369850024E-2</v>
      </c>
      <c r="E133" s="5">
        <f t="shared" si="17"/>
        <v>0.84682695873745628</v>
      </c>
      <c r="F133" s="5">
        <f t="shared" si="18"/>
        <v>10.026558570687394</v>
      </c>
      <c r="G133" s="5">
        <f t="shared" si="19"/>
        <v>0.62357035179695353</v>
      </c>
      <c r="H133" s="5">
        <f t="shared" si="20"/>
        <v>6.6591904853589821</v>
      </c>
      <c r="I133" s="5">
        <f t="shared" si="21"/>
        <v>8.035229177291809</v>
      </c>
      <c r="J133" s="5">
        <f t="shared" si="22"/>
        <v>1.3227843729193705</v>
      </c>
      <c r="K133" s="5">
        <f t="shared" si="23"/>
        <v>0.10665561406835071</v>
      </c>
      <c r="L133" s="5">
        <f t="shared" si="24"/>
        <v>1.4193476321424843</v>
      </c>
      <c r="M133" s="5">
        <f t="shared" si="25"/>
        <v>21.261505162043537</v>
      </c>
      <c r="N133" s="5">
        <f t="shared" si="26"/>
        <v>3.3436069586296737</v>
      </c>
      <c r="O133" s="5">
        <f t="shared" si="27"/>
        <v>1.672391383480579</v>
      </c>
      <c r="P133" s="5">
        <f>SUM(Table28[[#This Row],[General Education as %]:[Others as %]])</f>
        <v>100.00000000000001</v>
      </c>
    </row>
    <row r="134" spans="1:16" x14ac:dyDescent="0.2">
      <c r="A134" s="7" t="s">
        <v>8</v>
      </c>
      <c r="B134" s="5">
        <f t="shared" si="14"/>
        <v>25.435324080903438</v>
      </c>
      <c r="C134" s="36">
        <f t="shared" si="15"/>
        <v>1.040672576902351</v>
      </c>
      <c r="D134" s="5">
        <f t="shared" si="16"/>
        <v>3.0214399076928217E-2</v>
      </c>
      <c r="E134" s="5">
        <f t="shared" si="17"/>
        <v>0.63348976035657367</v>
      </c>
      <c r="F134" s="5">
        <f t="shared" si="18"/>
        <v>6.4272923601633005</v>
      </c>
      <c r="G134" s="5">
        <f t="shared" si="19"/>
        <v>0.38654725775591864</v>
      </c>
      <c r="H134" s="5">
        <f t="shared" si="20"/>
        <v>45.577052601790925</v>
      </c>
      <c r="I134" s="5">
        <f t="shared" si="21"/>
        <v>5.3728809894777818</v>
      </c>
      <c r="J134" s="5">
        <f t="shared" si="22"/>
        <v>0.91300031993326558</v>
      </c>
      <c r="K134" s="5">
        <f t="shared" si="23"/>
        <v>7.0199215246667446E-2</v>
      </c>
      <c r="L134" s="5">
        <f t="shared" si="24"/>
        <v>0.83883272799624087</v>
      </c>
      <c r="M134" s="5">
        <f t="shared" si="25"/>
        <v>11.206996822835519</v>
      </c>
      <c r="N134" s="5">
        <f t="shared" si="26"/>
        <v>1.3697741610509577</v>
      </c>
      <c r="O134" s="5">
        <f t="shared" si="27"/>
        <v>0.69772272651015221</v>
      </c>
      <c r="P134" s="5">
        <f>SUM(Table28[[#This Row],[General Education as %]:[Others as %]])</f>
        <v>100.00000000000001</v>
      </c>
    </row>
    <row r="135" spans="1:16" x14ac:dyDescent="0.2">
      <c r="A135" s="5" t="s">
        <v>7</v>
      </c>
      <c r="B135" s="5">
        <f t="shared" si="14"/>
        <v>40.640917283026404</v>
      </c>
      <c r="C135" s="36">
        <f t="shared" si="15"/>
        <v>1.4651702613187281</v>
      </c>
      <c r="D135" s="5">
        <f t="shared" si="16"/>
        <v>7.6824965876289439E-2</v>
      </c>
      <c r="E135" s="5">
        <f t="shared" si="17"/>
        <v>1.2363441365906285</v>
      </c>
      <c r="F135" s="5">
        <f t="shared" si="18"/>
        <v>10.32748162894052</v>
      </c>
      <c r="G135" s="5">
        <f t="shared" si="19"/>
        <v>0.66527986546013151</v>
      </c>
      <c r="H135" s="5">
        <f t="shared" si="20"/>
        <v>6.8073122293019148</v>
      </c>
      <c r="I135" s="5">
        <f t="shared" si="21"/>
        <v>10.809786958912975</v>
      </c>
      <c r="J135" s="5">
        <f t="shared" si="22"/>
        <v>2.2167751650833871</v>
      </c>
      <c r="K135" s="5">
        <f t="shared" si="23"/>
        <v>0.11349053466957219</v>
      </c>
      <c r="L135" s="5">
        <f t="shared" si="24"/>
        <v>1.2811750568924793</v>
      </c>
      <c r="M135" s="5">
        <f t="shared" si="25"/>
        <v>19.238510310130263</v>
      </c>
      <c r="N135" s="5">
        <f t="shared" si="26"/>
        <v>4.0162537602817689</v>
      </c>
      <c r="O135" s="5">
        <f t="shared" si="27"/>
        <v>1.1046778435149642</v>
      </c>
      <c r="P135" s="5">
        <f>SUM(Table28[[#This Row],[General Education as %]:[Others as %]])</f>
        <v>100.00000000000003</v>
      </c>
    </row>
    <row r="136" spans="1:16" x14ac:dyDescent="0.2">
      <c r="A136" s="7" t="s">
        <v>6</v>
      </c>
      <c r="B136" s="5">
        <f t="shared" si="14"/>
        <v>39.819793432690318</v>
      </c>
      <c r="C136" s="36">
        <f t="shared" si="15"/>
        <v>1.2301323453221622</v>
      </c>
      <c r="D136" s="5">
        <f t="shared" si="16"/>
        <v>5.7546092103678455E-2</v>
      </c>
      <c r="E136" s="5">
        <f t="shared" si="17"/>
        <v>0.87776497392075237</v>
      </c>
      <c r="F136" s="5">
        <f t="shared" si="18"/>
        <v>10.346288508668971</v>
      </c>
      <c r="G136" s="5">
        <f t="shared" si="19"/>
        <v>0.60795753775415595</v>
      </c>
      <c r="H136" s="5">
        <f t="shared" si="20"/>
        <v>6.0704891524725575</v>
      </c>
      <c r="I136" s="5">
        <f t="shared" si="21"/>
        <v>14.355309170388455</v>
      </c>
      <c r="J136" s="5">
        <f t="shared" si="22"/>
        <v>1.4121419047435797</v>
      </c>
      <c r="K136" s="5">
        <f t="shared" si="23"/>
        <v>0.13536693740054148</v>
      </c>
      <c r="L136" s="5">
        <f t="shared" si="24"/>
        <v>1.8432565600763384</v>
      </c>
      <c r="M136" s="5">
        <f t="shared" si="25"/>
        <v>20.416997155833393</v>
      </c>
      <c r="N136" s="5">
        <f t="shared" si="26"/>
        <v>1.8242645680693663</v>
      </c>
      <c r="O136" s="5">
        <f t="shared" si="27"/>
        <v>1.002691660555735</v>
      </c>
      <c r="P136" s="5">
        <f>SUM(Table28[[#This Row],[General Education as %]:[Others as %]])</f>
        <v>100</v>
      </c>
    </row>
    <row r="137" spans="1:16" x14ac:dyDescent="0.2">
      <c r="A137" s="5" t="s">
        <v>5</v>
      </c>
      <c r="B137" s="5">
        <f t="shared" si="14"/>
        <v>40.25748415015336</v>
      </c>
      <c r="C137" s="36">
        <f t="shared" si="15"/>
        <v>1.3272954245997148</v>
      </c>
      <c r="D137" s="5">
        <f t="shared" si="16"/>
        <v>7.9749347665801801E-2</v>
      </c>
      <c r="E137" s="5">
        <f t="shared" si="17"/>
        <v>0.93907210356387449</v>
      </c>
      <c r="F137" s="5">
        <f t="shared" si="18"/>
        <v>11.679749213181234</v>
      </c>
      <c r="G137" s="5">
        <f t="shared" si="19"/>
        <v>0.68721613249957381</v>
      </c>
      <c r="H137" s="5">
        <f t="shared" si="20"/>
        <v>6.1672268509194872</v>
      </c>
      <c r="I137" s="5">
        <f t="shared" si="21"/>
        <v>9.8242992765738961</v>
      </c>
      <c r="J137" s="5">
        <f t="shared" si="22"/>
        <v>1.3405085332138211</v>
      </c>
      <c r="K137" s="5">
        <f t="shared" si="23"/>
        <v>0.16158320610533033</v>
      </c>
      <c r="L137" s="5">
        <f t="shared" si="24"/>
        <v>2.2168772078583361</v>
      </c>
      <c r="M137" s="5">
        <f t="shared" si="25"/>
        <v>22.820450664505046</v>
      </c>
      <c r="N137" s="5">
        <f t="shared" si="26"/>
        <v>1.3738607055934484</v>
      </c>
      <c r="O137" s="5">
        <f t="shared" si="27"/>
        <v>1.1246271835670616</v>
      </c>
      <c r="P137" s="5">
        <f>SUM(Table28[[#This Row],[General Education as %]:[Others as %]])</f>
        <v>99.999999999999972</v>
      </c>
    </row>
    <row r="138" spans="1:16" x14ac:dyDescent="0.2">
      <c r="A138" s="7" t="s">
        <v>4</v>
      </c>
      <c r="B138" s="5">
        <f t="shared" si="14"/>
        <v>40.454888858843255</v>
      </c>
      <c r="C138" s="36">
        <f t="shared" si="15"/>
        <v>1.5699533422995817</v>
      </c>
      <c r="D138" s="5">
        <f t="shared" si="16"/>
        <v>4.0769152309994998E-2</v>
      </c>
      <c r="E138" s="5">
        <f t="shared" si="17"/>
        <v>0.86602574594206083</v>
      </c>
      <c r="F138" s="5">
        <f t="shared" si="18"/>
        <v>12.600929595973254</v>
      </c>
      <c r="G138" s="5">
        <f t="shared" si="19"/>
        <v>0.65995621244790448</v>
      </c>
      <c r="H138" s="5">
        <f t="shared" si="20"/>
        <v>5.3600909433774291</v>
      </c>
      <c r="I138" s="5">
        <f t="shared" si="21"/>
        <v>9.7869685778059274</v>
      </c>
      <c r="J138" s="5">
        <f t="shared" si="22"/>
        <v>0.85152675286599722</v>
      </c>
      <c r="K138" s="5">
        <f t="shared" si="23"/>
        <v>0.11471698202717864</v>
      </c>
      <c r="L138" s="5">
        <f t="shared" si="24"/>
        <v>2.6964569086367742</v>
      </c>
      <c r="M138" s="5">
        <f t="shared" si="25"/>
        <v>22.590409672162647</v>
      </c>
      <c r="N138" s="5">
        <f t="shared" si="26"/>
        <v>1.1950846930957515</v>
      </c>
      <c r="O138" s="5">
        <f t="shared" si="27"/>
        <v>1.212222562212244</v>
      </c>
      <c r="P138" s="5">
        <f>SUM(Table28[[#This Row],[General Education as %]:[Others as %]])</f>
        <v>100</v>
      </c>
    </row>
    <row r="139" spans="1:16" x14ac:dyDescent="0.2">
      <c r="A139" s="5" t="s">
        <v>3</v>
      </c>
      <c r="B139" s="5">
        <f t="shared" si="14"/>
        <v>36.840876939361742</v>
      </c>
      <c r="C139" s="36">
        <f t="shared" si="15"/>
        <v>1.5548905595515536</v>
      </c>
      <c r="D139" s="5">
        <f t="shared" si="16"/>
        <v>6.3156800306161179E-2</v>
      </c>
      <c r="E139" s="5">
        <f t="shared" si="17"/>
        <v>0.33514028884004965</v>
      </c>
      <c r="F139" s="5">
        <f t="shared" si="18"/>
        <v>13.43083003078203</v>
      </c>
      <c r="G139" s="5">
        <f t="shared" si="19"/>
        <v>0.61920763102270904</v>
      </c>
      <c r="H139" s="5">
        <f t="shared" si="20"/>
        <v>6.1663877517838213</v>
      </c>
      <c r="I139" s="5">
        <f t="shared" si="21"/>
        <v>10.000868267745016</v>
      </c>
      <c r="J139" s="5">
        <f t="shared" si="22"/>
        <v>1.0397367987355366</v>
      </c>
      <c r="K139" s="5">
        <f t="shared" si="23"/>
        <v>0.18822606816288925</v>
      </c>
      <c r="L139" s="5">
        <f t="shared" si="24"/>
        <v>2.5859170289979305</v>
      </c>
      <c r="M139" s="5">
        <f t="shared" si="25"/>
        <v>24.200972459874421</v>
      </c>
      <c r="N139" s="5">
        <f t="shared" si="26"/>
        <v>1.9239320030217932</v>
      </c>
      <c r="O139" s="5">
        <f t="shared" si="27"/>
        <v>1.04985737181437</v>
      </c>
      <c r="P139" s="5">
        <f>SUM(Table28[[#This Row],[General Education as %]:[Others as %]])</f>
        <v>100.00000000000001</v>
      </c>
    </row>
    <row r="140" spans="1:16" x14ac:dyDescent="0.2">
      <c r="A140" s="7" t="s">
        <v>2</v>
      </c>
      <c r="B140" s="5">
        <f t="shared" si="14"/>
        <v>35.38900812359752</v>
      </c>
      <c r="C140" s="36">
        <f t="shared" si="15"/>
        <v>1.5560129477165574</v>
      </c>
      <c r="D140" s="5">
        <f t="shared" si="16"/>
        <v>6.2305021931367714E-2</v>
      </c>
      <c r="E140" s="5">
        <f t="shared" si="17"/>
        <v>0.65039112893767737</v>
      </c>
      <c r="F140" s="5">
        <f t="shared" si="18"/>
        <v>14.081521356695518</v>
      </c>
      <c r="G140" s="5">
        <f t="shared" si="19"/>
        <v>0.582955105200197</v>
      </c>
      <c r="H140" s="5">
        <f t="shared" si="20"/>
        <v>4.535439096474561</v>
      </c>
      <c r="I140" s="5">
        <f t="shared" si="21"/>
        <v>11.433044824431777</v>
      </c>
      <c r="J140" s="5">
        <f t="shared" si="22"/>
        <v>0.9677069406328429</v>
      </c>
      <c r="K140" s="5">
        <f t="shared" si="23"/>
        <v>0.59749294365084937</v>
      </c>
      <c r="L140" s="5">
        <f t="shared" si="24"/>
        <v>3.2456274091275139</v>
      </c>
      <c r="M140" s="5">
        <f t="shared" si="25"/>
        <v>23.823876652671245</v>
      </c>
      <c r="N140" s="5">
        <f t="shared" si="26"/>
        <v>1.8437155489878732</v>
      </c>
      <c r="O140" s="5">
        <f t="shared" si="27"/>
        <v>1.2309028999444871</v>
      </c>
      <c r="P140" s="5">
        <f>SUM(Table28[[#This Row],[General Education as %]:[Others as %]])</f>
        <v>99.999999999999972</v>
      </c>
    </row>
    <row r="141" spans="1:16" x14ac:dyDescent="0.2">
      <c r="A141" s="29" t="s">
        <v>1</v>
      </c>
      <c r="B141" s="29">
        <f t="shared" si="14"/>
        <v>38.520404940092675</v>
      </c>
      <c r="C141" s="36">
        <f t="shared" si="15"/>
        <v>0.91876677997331291</v>
      </c>
      <c r="D141" s="29">
        <f t="shared" si="16"/>
        <v>0.14225969557752882</v>
      </c>
      <c r="E141" s="29">
        <f t="shared" si="17"/>
        <v>0.94011751254757114</v>
      </c>
      <c r="F141" s="29">
        <f t="shared" si="18"/>
        <v>13.302962612233223</v>
      </c>
      <c r="G141" s="29">
        <f t="shared" si="19"/>
        <v>0.56961698670279826</v>
      </c>
      <c r="H141" s="29">
        <f t="shared" si="20"/>
        <v>5.3671715675913463</v>
      </c>
      <c r="I141" s="29">
        <f t="shared" si="21"/>
        <v>8.7303937850308895</v>
      </c>
      <c r="J141" s="29">
        <f t="shared" si="22"/>
        <v>1.5492451327503753</v>
      </c>
      <c r="K141" s="29">
        <f t="shared" si="23"/>
        <v>0.96847094276654544</v>
      </c>
      <c r="L141" s="29">
        <f t="shared" si="24"/>
        <v>3.1934442757658061</v>
      </c>
      <c r="M141" s="29">
        <f t="shared" si="25"/>
        <v>22.386874845946014</v>
      </c>
      <c r="N141" s="29">
        <f t="shared" si="26"/>
        <v>1.5951802595024149</v>
      </c>
      <c r="O141" s="29">
        <f t="shared" si="27"/>
        <v>1.8150906635195221</v>
      </c>
      <c r="P141" s="29">
        <f>SUM(Table28[[#This Row],[General Education as %]:[Others as %]])</f>
        <v>100.00000000000001</v>
      </c>
    </row>
    <row r="163" spans="1:13" x14ac:dyDescent="0.2">
      <c r="A163" s="28" t="s">
        <v>0</v>
      </c>
      <c r="B163" s="28" t="s">
        <v>229</v>
      </c>
      <c r="C163" s="28" t="s">
        <v>230</v>
      </c>
      <c r="D163" s="28" t="s">
        <v>231</v>
      </c>
      <c r="E163" s="28" t="s">
        <v>232</v>
      </c>
      <c r="F163" s="28" t="s">
        <v>233</v>
      </c>
      <c r="G163" s="28" t="s">
        <v>234</v>
      </c>
      <c r="H163" s="28" t="s">
        <v>235</v>
      </c>
      <c r="I163" s="28" t="s">
        <v>236</v>
      </c>
      <c r="J163" s="28" t="s">
        <v>237</v>
      </c>
      <c r="K163" s="28" t="s">
        <v>238</v>
      </c>
      <c r="L163" s="28" t="s">
        <v>239</v>
      </c>
      <c r="M163" s="28" t="s">
        <v>102</v>
      </c>
    </row>
    <row r="164" spans="1:13" x14ac:dyDescent="0.2">
      <c r="A164" s="5" t="s">
        <v>19</v>
      </c>
      <c r="B164" s="36">
        <f t="shared" ref="B164:B182" si="28">B78/M78*100</f>
        <v>52.411499988613073</v>
      </c>
      <c r="C164" s="36">
        <f t="shared" ref="C164:C182" si="29">C78/M78*100</f>
        <v>792.31139982786237</v>
      </c>
      <c r="D164" s="36">
        <f t="shared" ref="D164:D182" si="30">D78/M78*100</f>
        <v>280.86749993897871</v>
      </c>
      <c r="E164" s="36">
        <f t="shared" ref="E164:E182" si="31">E78/M78*100</f>
        <v>762.1127998344233</v>
      </c>
      <c r="F164" s="36">
        <f t="shared" ref="F164:F182" si="32">F78/M78*100</f>
        <v>2061.9179995520276</v>
      </c>
      <c r="G164" s="36">
        <f t="shared" ref="G164:G182" si="33">G78/M78*100</f>
        <v>36.747899992016144</v>
      </c>
      <c r="H164" s="36">
        <f t="shared" ref="H164:H182" si="34">H78/M78*100</f>
        <v>36.747899992016144</v>
      </c>
      <c r="I164" s="36">
        <f t="shared" ref="I164:I182" si="35">I78/M78*100</f>
        <v>0</v>
      </c>
      <c r="J164" s="36">
        <f t="shared" ref="J164:J182" si="36">J78/M78*100</f>
        <v>10.174499997789487</v>
      </c>
      <c r="K164" s="36">
        <f t="shared" ref="K164:K182" si="37">K78/M78*100</f>
        <v>718.45649984390809</v>
      </c>
      <c r="L164" s="36">
        <f t="shared" ref="L164:L182" si="38">L78/M78*100</f>
        <v>718.45649984390809</v>
      </c>
      <c r="M164" s="36">
        <f>SUM(Table29[[#This Row],[Adj General Economic Service]:[Adj. Road Transport]])</f>
        <v>5470.2044988115431</v>
      </c>
    </row>
    <row r="165" spans="1:13" x14ac:dyDescent="0.2">
      <c r="A165" s="7" t="s">
        <v>18</v>
      </c>
      <c r="B165" s="5">
        <f t="shared" si="28"/>
        <v>66.023100015467037</v>
      </c>
      <c r="C165" s="5">
        <f t="shared" si="29"/>
        <v>918.0135002150605</v>
      </c>
      <c r="D165" s="5">
        <f t="shared" si="30"/>
        <v>480.69810011261183</v>
      </c>
      <c r="E165" s="5">
        <f t="shared" si="31"/>
        <v>849.59640019903247</v>
      </c>
      <c r="F165" s="5">
        <f t="shared" si="32"/>
        <v>2424.7458005680382</v>
      </c>
      <c r="G165" s="5">
        <f t="shared" si="33"/>
        <v>189.60480004441817</v>
      </c>
      <c r="H165" s="36">
        <f t="shared" si="34"/>
        <v>14.090400003300918</v>
      </c>
      <c r="I165" s="5">
        <f t="shared" si="35"/>
        <v>0</v>
      </c>
      <c r="J165" s="5">
        <f t="shared" si="36"/>
        <v>15.201900003561306</v>
      </c>
      <c r="K165" s="5">
        <f t="shared" si="37"/>
        <v>782.64135018334719</v>
      </c>
      <c r="L165" s="5">
        <f t="shared" si="38"/>
        <v>782.64135018334719</v>
      </c>
      <c r="M165" s="5">
        <f>SUM(Table29[[#This Row],[Adj General Economic Service]:[Adj. Road Transport]])</f>
        <v>6523.2567015281838</v>
      </c>
    </row>
    <row r="166" spans="1:13" x14ac:dyDescent="0.2">
      <c r="A166" s="5" t="s">
        <v>17</v>
      </c>
      <c r="B166" s="5">
        <f t="shared" si="28"/>
        <v>62.585998877902824</v>
      </c>
      <c r="C166" s="5">
        <f t="shared" si="29"/>
        <v>1068.6131808409573</v>
      </c>
      <c r="D166" s="5">
        <f t="shared" si="30"/>
        <v>556.43399002375895</v>
      </c>
      <c r="E166" s="5">
        <f t="shared" si="31"/>
        <v>943.88578307718035</v>
      </c>
      <c r="F166" s="5">
        <f t="shared" si="32"/>
        <v>6433.6354846520908</v>
      </c>
      <c r="G166" s="5">
        <f t="shared" si="33"/>
        <v>257.95349537518149</v>
      </c>
      <c r="H166" s="36">
        <f t="shared" si="34"/>
        <v>18.262799672568367</v>
      </c>
      <c r="I166" s="5">
        <f t="shared" si="35"/>
        <v>0</v>
      </c>
      <c r="J166" s="5">
        <f t="shared" si="36"/>
        <v>14.312699743389251</v>
      </c>
      <c r="K166" s="5">
        <f t="shared" si="37"/>
        <v>988.14913228358796</v>
      </c>
      <c r="L166" s="5">
        <f t="shared" si="38"/>
        <v>988.14913228358796</v>
      </c>
      <c r="M166" s="5">
        <f>SUM(Table29[[#This Row],[Adj General Economic Service]:[Adj. Road Transport]])</f>
        <v>11331.981696830206</v>
      </c>
    </row>
    <row r="167" spans="1:13" x14ac:dyDescent="0.2">
      <c r="A167" s="7" t="s">
        <v>16</v>
      </c>
      <c r="B167" s="5">
        <f t="shared" si="28"/>
        <v>92.801700019989312</v>
      </c>
      <c r="C167" s="5">
        <f t="shared" si="29"/>
        <v>1838.2842003959627</v>
      </c>
      <c r="D167" s="5">
        <f t="shared" si="30"/>
        <v>1000.7262002155544</v>
      </c>
      <c r="E167" s="5">
        <f t="shared" si="31"/>
        <v>1209.9789002606269</v>
      </c>
      <c r="F167" s="5">
        <f t="shared" si="32"/>
        <v>4395.9312009468749</v>
      </c>
      <c r="G167" s="5">
        <f t="shared" si="33"/>
        <v>96.615000020810683</v>
      </c>
      <c r="H167" s="36">
        <f t="shared" si="34"/>
        <v>18.51930000398902</v>
      </c>
      <c r="I167" s="5">
        <f t="shared" si="35"/>
        <v>1.7784000003830638</v>
      </c>
      <c r="J167" s="5">
        <f t="shared" si="36"/>
        <v>13.08150000281773</v>
      </c>
      <c r="K167" s="5">
        <f t="shared" si="37"/>
        <v>719.65350015501201</v>
      </c>
      <c r="L167" s="5">
        <f t="shared" si="38"/>
        <v>1252.044900269688</v>
      </c>
      <c r="M167" s="5">
        <f>SUM(Table29[[#This Row],[Adj General Economic Service]:[Adj. Road Transport]])</f>
        <v>10639.414802291711</v>
      </c>
    </row>
    <row r="168" spans="1:13" x14ac:dyDescent="0.2">
      <c r="A168" s="5" t="s">
        <v>15</v>
      </c>
      <c r="B168" s="5">
        <f t="shared" si="28"/>
        <v>213.8696999984401</v>
      </c>
      <c r="C168" s="5">
        <f t="shared" si="29"/>
        <v>1606.7159999882811</v>
      </c>
      <c r="D168" s="5">
        <f t="shared" si="30"/>
        <v>1442.7782999894769</v>
      </c>
      <c r="E168" s="5">
        <f t="shared" si="31"/>
        <v>1291.8023999905781</v>
      </c>
      <c r="F168" s="5">
        <f t="shared" si="32"/>
        <v>5150.622599962433</v>
      </c>
      <c r="G168" s="5">
        <f t="shared" si="33"/>
        <v>104.1047999992407</v>
      </c>
      <c r="H168" s="36">
        <f t="shared" si="34"/>
        <v>21.015899999846717</v>
      </c>
      <c r="I168" s="5">
        <f t="shared" si="35"/>
        <v>2.4965999999817905</v>
      </c>
      <c r="J168" s="5">
        <f t="shared" si="36"/>
        <v>16.262099999881389</v>
      </c>
      <c r="K168" s="5">
        <f t="shared" si="37"/>
        <v>768.09779999439775</v>
      </c>
      <c r="L168" s="5">
        <f t="shared" si="38"/>
        <v>1413.3662999896912</v>
      </c>
      <c r="M168" s="5">
        <f>SUM(Table29[[#This Row],[Adj General Economic Service]:[Adj. Road Transport]])</f>
        <v>12031.13249991225</v>
      </c>
    </row>
    <row r="169" spans="1:13" x14ac:dyDescent="0.2">
      <c r="A169" s="7" t="s">
        <v>14</v>
      </c>
      <c r="B169" s="5">
        <f t="shared" si="28"/>
        <v>522.76410001385716</v>
      </c>
      <c r="C169" s="5">
        <f t="shared" si="29"/>
        <v>1919.1843000508725</v>
      </c>
      <c r="D169" s="5">
        <f t="shared" si="30"/>
        <v>1486.1781000393948</v>
      </c>
      <c r="E169" s="5">
        <f t="shared" si="31"/>
        <v>1467.9837000389125</v>
      </c>
      <c r="F169" s="5">
        <f t="shared" si="32"/>
        <v>4766.8986001263575</v>
      </c>
      <c r="G169" s="5">
        <f t="shared" si="33"/>
        <v>97.299000002579135</v>
      </c>
      <c r="H169" s="36">
        <f t="shared" si="34"/>
        <v>22.076100000585182</v>
      </c>
      <c r="I169" s="5">
        <f t="shared" si="35"/>
        <v>2.3769000000630052</v>
      </c>
      <c r="J169" s="5">
        <f t="shared" si="36"/>
        <v>60.003900001590559</v>
      </c>
      <c r="K169" s="5">
        <f t="shared" si="37"/>
        <v>893.98800002369717</v>
      </c>
      <c r="L169" s="5">
        <f t="shared" si="38"/>
        <v>1637.0514000433939</v>
      </c>
      <c r="M169" s="5">
        <f>SUM(Table29[[#This Row],[Adj General Economic Service]:[Adj. Road Transport]])</f>
        <v>12875.804100341305</v>
      </c>
    </row>
    <row r="170" spans="1:13" x14ac:dyDescent="0.2">
      <c r="A170" s="5" t="s">
        <v>13</v>
      </c>
      <c r="B170" s="5">
        <f t="shared" si="28"/>
        <v>343.79549999224503</v>
      </c>
      <c r="C170" s="5">
        <f t="shared" si="29"/>
        <v>2326.8653999475132</v>
      </c>
      <c r="D170" s="5">
        <f t="shared" si="30"/>
        <v>1655.0405999626673</v>
      </c>
      <c r="E170" s="5">
        <f t="shared" si="31"/>
        <v>1540.2653999652562</v>
      </c>
      <c r="F170" s="5">
        <f t="shared" si="32"/>
        <v>5054.383799885989</v>
      </c>
      <c r="G170" s="5">
        <f t="shared" si="33"/>
        <v>126.93329999713679</v>
      </c>
      <c r="H170" s="36">
        <f>H84/M84*100</f>
        <v>25.940699999414857</v>
      </c>
      <c r="I170" s="5">
        <f t="shared" si="35"/>
        <v>2.5649999999421413</v>
      </c>
      <c r="J170" s="5">
        <f t="shared" si="36"/>
        <v>25.957799999414473</v>
      </c>
      <c r="K170" s="5">
        <f t="shared" si="37"/>
        <v>736.03529998339729</v>
      </c>
      <c r="L170" s="5">
        <f t="shared" si="38"/>
        <v>1836.6254999585713</v>
      </c>
      <c r="M170" s="5">
        <f>SUM(Table29[[#This Row],[Adj General Economic Service]:[Adj. Road Transport]])</f>
        <v>13674.408299691548</v>
      </c>
    </row>
    <row r="171" spans="1:13" x14ac:dyDescent="0.2">
      <c r="A171" s="7" t="s">
        <v>12</v>
      </c>
      <c r="B171" s="5">
        <f t="shared" si="28"/>
        <v>253.28999999999996</v>
      </c>
      <c r="C171" s="5">
        <f t="shared" si="29"/>
        <v>1421.09</v>
      </c>
      <c r="D171" s="5">
        <f t="shared" si="30"/>
        <v>1097.1600000000001</v>
      </c>
      <c r="E171" s="5">
        <f t="shared" si="31"/>
        <v>997.22</v>
      </c>
      <c r="F171" s="5">
        <f t="shared" si="32"/>
        <v>3591.24</v>
      </c>
      <c r="G171" s="5">
        <f t="shared" si="33"/>
        <v>74.91</v>
      </c>
      <c r="H171" s="36">
        <f t="shared" si="34"/>
        <v>14.249999999999998</v>
      </c>
      <c r="I171" s="5">
        <f t="shared" si="35"/>
        <v>3.1300000000000003</v>
      </c>
      <c r="J171" s="5">
        <f t="shared" si="36"/>
        <v>11.96</v>
      </c>
      <c r="K171" s="5">
        <f t="shared" si="37"/>
        <v>526.09</v>
      </c>
      <c r="L171" s="5">
        <f t="shared" si="38"/>
        <v>1063.6300000000001</v>
      </c>
      <c r="M171" s="5">
        <f>SUM(Table29[[#This Row],[Adj General Economic Service]:[Adj. Road Transport]])</f>
        <v>9053.9700000000012</v>
      </c>
    </row>
    <row r="172" spans="1:13" x14ac:dyDescent="0.2">
      <c r="A172" s="5" t="s">
        <v>11</v>
      </c>
      <c r="B172" s="5">
        <f t="shared" si="28"/>
        <v>127.62608808784466</v>
      </c>
      <c r="C172" s="5">
        <f t="shared" si="29"/>
        <v>1572.1624177696779</v>
      </c>
      <c r="D172" s="5">
        <f t="shared" si="30"/>
        <v>1189.0260623269976</v>
      </c>
      <c r="E172" s="5">
        <f t="shared" si="31"/>
        <v>976.55249909480733</v>
      </c>
      <c r="F172" s="5">
        <f t="shared" si="32"/>
        <v>4738.1023895625358</v>
      </c>
      <c r="G172" s="5">
        <f t="shared" si="33"/>
        <v>72.39457575053676</v>
      </c>
      <c r="H172" s="36">
        <f t="shared" si="34"/>
        <v>7.7058652059394852</v>
      </c>
      <c r="I172" s="5">
        <f t="shared" si="35"/>
        <v>3.0786590655308474</v>
      </c>
      <c r="J172" s="5">
        <f t="shared" si="36"/>
        <v>23.965609492156297</v>
      </c>
      <c r="K172" s="5">
        <f t="shared" si="37"/>
        <v>746.25220941729765</v>
      </c>
      <c r="L172" s="5">
        <f t="shared" si="38"/>
        <v>1195.5981698531157</v>
      </c>
      <c r="M172" s="5">
        <f>SUM(Table29[[#This Row],[Adj General Economic Service]:[Adj. Road Transport]])</f>
        <v>10652.464545626441</v>
      </c>
    </row>
    <row r="173" spans="1:13" x14ac:dyDescent="0.2">
      <c r="A173" s="7" t="s">
        <v>10</v>
      </c>
      <c r="B173" s="5">
        <f t="shared" si="28"/>
        <v>248.36510104559019</v>
      </c>
      <c r="C173" s="5">
        <f t="shared" si="29"/>
        <v>1605.4955217253537</v>
      </c>
      <c r="D173" s="5">
        <f t="shared" si="30"/>
        <v>1501.9810794922018</v>
      </c>
      <c r="E173" s="5">
        <f t="shared" si="31"/>
        <v>1010.215744810944</v>
      </c>
      <c r="F173" s="5">
        <f t="shared" si="32"/>
        <v>4531.9066256675496</v>
      </c>
      <c r="G173" s="5">
        <f t="shared" si="33"/>
        <v>76.855451902463656</v>
      </c>
      <c r="H173" s="36">
        <f t="shared" si="34"/>
        <v>7.5385990269754481</v>
      </c>
      <c r="I173" s="5">
        <f t="shared" si="35"/>
        <v>2.6606820095207468</v>
      </c>
      <c r="J173" s="5">
        <f t="shared" si="36"/>
        <v>25.867741759229478</v>
      </c>
      <c r="K173" s="5">
        <f t="shared" si="37"/>
        <v>753.05995908683929</v>
      </c>
      <c r="L173" s="5">
        <f t="shared" si="38"/>
        <v>1313.7073946812452</v>
      </c>
      <c r="M173" s="5">
        <f>SUM(Table29[[#This Row],[Adj General Economic Service]:[Adj. Road Transport]])</f>
        <v>11077.653901207912</v>
      </c>
    </row>
    <row r="174" spans="1:13" x14ac:dyDescent="0.2">
      <c r="A174" s="5" t="s">
        <v>9</v>
      </c>
      <c r="B174" s="5">
        <f t="shared" si="28"/>
        <v>80.160580995011102</v>
      </c>
      <c r="C174" s="5">
        <f t="shared" si="29"/>
        <v>1706.8121083234494</v>
      </c>
      <c r="D174" s="5">
        <f t="shared" si="30"/>
        <v>1563.882119054326</v>
      </c>
      <c r="E174" s="5">
        <f t="shared" si="31"/>
        <v>983.35629013183598</v>
      </c>
      <c r="F174" s="5">
        <f t="shared" si="32"/>
        <v>4449.3152114203076</v>
      </c>
      <c r="G174" s="5">
        <f t="shared" si="33"/>
        <v>115.85914431673898</v>
      </c>
      <c r="H174" s="36">
        <f t="shared" si="34"/>
        <v>7.7284674871896613</v>
      </c>
      <c r="I174" s="5">
        <f t="shared" si="35"/>
        <v>1.4591618087778506</v>
      </c>
      <c r="J174" s="5">
        <f t="shared" si="36"/>
        <v>18.36677509304678</v>
      </c>
      <c r="K174" s="5">
        <f t="shared" si="37"/>
        <v>672.19851790884752</v>
      </c>
      <c r="L174" s="5">
        <f t="shared" si="38"/>
        <v>1504.0649683933225</v>
      </c>
      <c r="M174" s="5">
        <f>SUM(Table29[[#This Row],[Adj General Economic Service]:[Adj. Road Transport]])</f>
        <v>11103.203344932854</v>
      </c>
    </row>
    <row r="175" spans="1:13" x14ac:dyDescent="0.2">
      <c r="A175" s="7" t="s">
        <v>8</v>
      </c>
      <c r="B175" s="5">
        <f t="shared" si="28"/>
        <v>163.55699731730567</v>
      </c>
      <c r="C175" s="5">
        <f t="shared" si="29"/>
        <v>1917.6901271663558</v>
      </c>
      <c r="D175" s="5">
        <f t="shared" si="30"/>
        <v>1546.3092118785089</v>
      </c>
      <c r="E175" s="5">
        <f t="shared" si="31"/>
        <v>1174.2515090155559</v>
      </c>
      <c r="F175" s="5">
        <f t="shared" si="32"/>
        <v>8539.1458107438339</v>
      </c>
      <c r="G175" s="5">
        <f t="shared" si="33"/>
        <v>71.104472396948722</v>
      </c>
      <c r="H175" s="36">
        <f t="shared" si="34"/>
        <v>8.0880292926258956</v>
      </c>
      <c r="I175" s="5">
        <f t="shared" si="35"/>
        <v>1.4872615848010426</v>
      </c>
      <c r="J175" s="5">
        <f t="shared" si="36"/>
        <v>28.015663448527505</v>
      </c>
      <c r="K175" s="5">
        <f t="shared" si="37"/>
        <v>684.06513038902347</v>
      </c>
      <c r="L175" s="5">
        <f t="shared" si="38"/>
        <v>1482.824866253125</v>
      </c>
      <c r="M175" s="5">
        <f>SUM(Table29[[#This Row],[Adj General Economic Service]:[Adj. Road Transport]])</f>
        <v>15616.539079486614</v>
      </c>
    </row>
    <row r="176" spans="1:13" x14ac:dyDescent="0.2">
      <c r="A176" s="5" t="s">
        <v>7</v>
      </c>
      <c r="B176" s="5">
        <f t="shared" si="28"/>
        <v>276.75483970653852</v>
      </c>
      <c r="C176" s="5">
        <f t="shared" si="29"/>
        <v>2046.4798308140448</v>
      </c>
      <c r="D176" s="5">
        <f t="shared" si="30"/>
        <v>2349.2035361993662</v>
      </c>
      <c r="E176" s="5">
        <f t="shared" si="31"/>
        <v>1146.7240242743524</v>
      </c>
      <c r="F176" s="5">
        <f t="shared" si="32"/>
        <v>8541.1980993145444</v>
      </c>
      <c r="G176" s="5">
        <f t="shared" si="33"/>
        <v>264.39993051122156</v>
      </c>
      <c r="H176" s="36">
        <f t="shared" si="34"/>
        <v>19.73048943814922</v>
      </c>
      <c r="I176" s="5">
        <f t="shared" si="35"/>
        <v>1.7870348605981183</v>
      </c>
      <c r="J176" s="5">
        <f t="shared" si="36"/>
        <v>21.679982013347171</v>
      </c>
      <c r="K176" s="5">
        <f t="shared" si="37"/>
        <v>775.14261655589371</v>
      </c>
      <c r="L176" s="5">
        <f t="shared" si="38"/>
        <v>1513.5941582694159</v>
      </c>
      <c r="M176" s="5">
        <f>SUM(Table29[[#This Row],[Adj General Economic Service]:[Adj. Road Transport]])</f>
        <v>16956.694541957469</v>
      </c>
    </row>
    <row r="177" spans="1:13" x14ac:dyDescent="0.2">
      <c r="A177" s="7" t="s">
        <v>6</v>
      </c>
      <c r="B177" s="5">
        <f t="shared" si="28"/>
        <v>37.469259592582112</v>
      </c>
      <c r="C177" s="5">
        <f t="shared" si="29"/>
        <v>2049.3436841566859</v>
      </c>
      <c r="D177" s="5">
        <f t="shared" si="30"/>
        <v>2233.7973552790495</v>
      </c>
      <c r="E177" s="5">
        <f t="shared" si="31"/>
        <v>1096.4179803462191</v>
      </c>
      <c r="F177" s="5">
        <f t="shared" si="32"/>
        <v>5718.9480793196444</v>
      </c>
      <c r="G177" s="5">
        <f t="shared" si="33"/>
        <v>189.96165228247278</v>
      </c>
      <c r="H177" s="36">
        <f t="shared" si="34"/>
        <v>48.11802316879394</v>
      </c>
      <c r="I177" s="5">
        <f t="shared" si="35"/>
        <v>1.6486474220736129</v>
      </c>
      <c r="J177" s="5">
        <f t="shared" si="36"/>
        <v>19.88118913982407</v>
      </c>
      <c r="K177" s="5">
        <f t="shared" si="37"/>
        <v>699.79837370681912</v>
      </c>
      <c r="L177" s="5">
        <f t="shared" si="38"/>
        <v>1473.5985351089878</v>
      </c>
      <c r="M177" s="5">
        <f>SUM(Table29[[#This Row],[Adj General Economic Service]:[Adj. Road Transport]])</f>
        <v>13568.98277952315</v>
      </c>
    </row>
    <row r="178" spans="1:13" x14ac:dyDescent="0.2">
      <c r="A178" s="5" t="s">
        <v>5</v>
      </c>
      <c r="B178" s="5">
        <f t="shared" si="28"/>
        <v>52.427524669361368</v>
      </c>
      <c r="C178" s="5">
        <f t="shared" si="29"/>
        <v>2579.5726211809379</v>
      </c>
      <c r="D178" s="5">
        <f t="shared" si="30"/>
        <v>2599.0181071947986</v>
      </c>
      <c r="E178" s="5">
        <f t="shared" si="31"/>
        <v>1118.3169731256551</v>
      </c>
      <c r="F178" s="5">
        <f t="shared" si="32"/>
        <v>5663.6175772134502</v>
      </c>
      <c r="G178" s="5">
        <f t="shared" si="33"/>
        <v>234.94284118585003</v>
      </c>
      <c r="H178" s="36">
        <f t="shared" si="34"/>
        <v>71.363488757947067</v>
      </c>
      <c r="I178" s="5">
        <f t="shared" si="35"/>
        <v>1.6502426535032515</v>
      </c>
      <c r="J178" s="5">
        <f t="shared" si="36"/>
        <v>23.491242196643061</v>
      </c>
      <c r="K178" s="5">
        <f t="shared" si="37"/>
        <v>555.00626311207736</v>
      </c>
      <c r="L178" s="5">
        <f t="shared" si="38"/>
        <v>1566.1335118085699</v>
      </c>
      <c r="M178" s="5">
        <f>SUM(Table29[[#This Row],[Adj General Economic Service]:[Adj. Road Transport]])</f>
        <v>14465.540393098794</v>
      </c>
    </row>
    <row r="179" spans="1:13" x14ac:dyDescent="0.2">
      <c r="A179" s="7" t="s">
        <v>4</v>
      </c>
      <c r="B179" s="5">
        <f t="shared" si="28"/>
        <v>56.62036770168384</v>
      </c>
      <c r="C179" s="5">
        <f t="shared" si="29"/>
        <v>2350.7440105936057</v>
      </c>
      <c r="D179" s="5">
        <f t="shared" si="30"/>
        <v>2905.6456453415867</v>
      </c>
      <c r="E179" s="5">
        <f t="shared" si="31"/>
        <v>1095.6885682349196</v>
      </c>
      <c r="F179" s="5">
        <f t="shared" si="32"/>
        <v>5151.8659602804501</v>
      </c>
      <c r="G179" s="5">
        <f t="shared" si="33"/>
        <v>231.51928821832487</v>
      </c>
      <c r="H179" s="36">
        <f t="shared" si="34"/>
        <v>56.495523829968079</v>
      </c>
      <c r="I179" s="5">
        <f t="shared" si="35"/>
        <v>3.3487532648466702</v>
      </c>
      <c r="J179" s="5">
        <f t="shared" si="36"/>
        <v>18.344705385059175</v>
      </c>
      <c r="K179" s="5">
        <f t="shared" si="37"/>
        <v>797.91390292131689</v>
      </c>
      <c r="L179" s="5">
        <f t="shared" si="38"/>
        <v>1459.571735500605</v>
      </c>
      <c r="M179" s="5">
        <f>SUM(Table29[[#This Row],[Adj General Economic Service]:[Adj. Road Transport]])</f>
        <v>14127.758461272368</v>
      </c>
    </row>
    <row r="180" spans="1:13" x14ac:dyDescent="0.2">
      <c r="A180" s="5" t="s">
        <v>3</v>
      </c>
      <c r="B180" s="5">
        <f t="shared" si="28"/>
        <v>78.375010574958438</v>
      </c>
      <c r="C180" s="5">
        <f t="shared" si="29"/>
        <v>2822.9771280714476</v>
      </c>
      <c r="D180" s="5">
        <f t="shared" si="30"/>
        <v>3019.7268655639627</v>
      </c>
      <c r="E180" s="5">
        <f t="shared" si="31"/>
        <v>1056.8409699352308</v>
      </c>
      <c r="F180" s="5">
        <f t="shared" si="32"/>
        <v>3885.4028880716287</v>
      </c>
      <c r="G180" s="5">
        <f t="shared" si="33"/>
        <v>192.11140824386007</v>
      </c>
      <c r="H180" s="36">
        <f t="shared" si="34"/>
        <v>70.071662846179436</v>
      </c>
      <c r="I180" s="5">
        <f t="shared" si="35"/>
        <v>3.6985809204181304</v>
      </c>
      <c r="J180" s="5">
        <f t="shared" si="36"/>
        <v>21.365849491272069</v>
      </c>
      <c r="K180" s="5">
        <f t="shared" si="37"/>
        <v>546.87311464135314</v>
      </c>
      <c r="L180" s="5">
        <f t="shared" si="38"/>
        <v>1088.8192630475212</v>
      </c>
      <c r="M180" s="5">
        <f>SUM(Table29[[#This Row],[Adj General Economic Service]:[Adj. Road Transport]])</f>
        <v>12786.262741407832</v>
      </c>
    </row>
    <row r="181" spans="1:13" x14ac:dyDescent="0.2">
      <c r="A181" s="7" t="s">
        <v>2</v>
      </c>
      <c r="B181" s="5">
        <f t="shared" si="28"/>
        <v>113.88004626179421</v>
      </c>
      <c r="C181" s="5">
        <f t="shared" si="29"/>
        <v>2955.046261368982</v>
      </c>
      <c r="D181" s="5">
        <f t="shared" si="30"/>
        <v>1224.6222122624531</v>
      </c>
      <c r="E181" s="5">
        <f t="shared" si="31"/>
        <v>1261.2293765674819</v>
      </c>
      <c r="F181" s="5">
        <f t="shared" si="32"/>
        <v>4397.9791683933881</v>
      </c>
      <c r="G181" s="5">
        <f t="shared" si="33"/>
        <v>214.21513333001752</v>
      </c>
      <c r="H181" s="36">
        <f t="shared" si="34"/>
        <v>67.792644124106602</v>
      </c>
      <c r="I181" s="5">
        <f t="shared" si="35"/>
        <v>4.3607860427389111</v>
      </c>
      <c r="J181" s="5">
        <f t="shared" si="36"/>
        <v>12.551908906610585</v>
      </c>
      <c r="K181" s="5">
        <f t="shared" si="37"/>
        <v>534.39675069716998</v>
      </c>
      <c r="L181" s="5">
        <f t="shared" si="38"/>
        <v>1272.0542414967704</v>
      </c>
      <c r="M181" s="5">
        <f>SUM(Table29[[#This Row],[Adj General Economic Service]:[Adj. Road Transport]])</f>
        <v>12058.128529451515</v>
      </c>
    </row>
    <row r="182" spans="1:13" x14ac:dyDescent="0.2">
      <c r="A182" s="29" t="s">
        <v>1</v>
      </c>
      <c r="B182" s="29">
        <f t="shared" si="28"/>
        <v>86.689730100482407</v>
      </c>
      <c r="C182" s="29">
        <f t="shared" si="29"/>
        <v>3538.0132448601112</v>
      </c>
      <c r="D182" s="29">
        <f t="shared" si="30"/>
        <v>2004.8385866150409</v>
      </c>
      <c r="E182" s="29">
        <f t="shared" si="31"/>
        <v>1587.608699474685</v>
      </c>
      <c r="F182" s="29">
        <f t="shared" si="32"/>
        <v>4211.4585329605497</v>
      </c>
      <c r="G182" s="29">
        <f t="shared" si="33"/>
        <v>435.13798281643466</v>
      </c>
      <c r="H182" s="36">
        <f t="shared" si="34"/>
        <v>64.869187711024765</v>
      </c>
      <c r="I182" s="29">
        <f t="shared" si="35"/>
        <v>6.5520284540387621</v>
      </c>
      <c r="J182" s="29">
        <f t="shared" si="36"/>
        <v>26.407548881004931</v>
      </c>
      <c r="K182" s="29">
        <f t="shared" si="37"/>
        <v>541.29609468858632</v>
      </c>
      <c r="L182" s="29">
        <f t="shared" si="38"/>
        <v>1513.2956748692982</v>
      </c>
      <c r="M182" s="29">
        <f>SUM(Table29[[#This Row],[Adj General Economic Service]:[Adj. Road Transport]])</f>
        <v>14016.167311431258</v>
      </c>
    </row>
    <row r="185" spans="1:13" x14ac:dyDescent="0.2">
      <c r="A185" s="28" t="s">
        <v>0</v>
      </c>
      <c r="B185" s="28" t="s">
        <v>240</v>
      </c>
      <c r="C185" s="28" t="s">
        <v>241</v>
      </c>
      <c r="D185" s="28" t="s">
        <v>242</v>
      </c>
      <c r="E185" s="28" t="s">
        <v>243</v>
      </c>
      <c r="F185" s="28" t="s">
        <v>244</v>
      </c>
      <c r="G185" s="28" t="s">
        <v>245</v>
      </c>
      <c r="H185" s="28" t="s">
        <v>246</v>
      </c>
      <c r="I185" s="28" t="s">
        <v>247</v>
      </c>
      <c r="J185" s="28" t="s">
        <v>248</v>
      </c>
      <c r="K185" s="28" t="s">
        <v>249</v>
      </c>
      <c r="L185" s="28" t="s">
        <v>250</v>
      </c>
      <c r="M185" s="28" t="s">
        <v>102</v>
      </c>
    </row>
    <row r="186" spans="1:13" x14ac:dyDescent="0.2">
      <c r="A186" s="5" t="s">
        <v>19</v>
      </c>
      <c r="B186" s="36">
        <f t="shared" ref="B186:B204" si="39">B164/M164*100</f>
        <v>0.95812688538426671</v>
      </c>
      <c r="C186" s="36">
        <f t="shared" ref="C186:C204" si="40">C164/M164*100</f>
        <v>14.484127604370183</v>
      </c>
      <c r="D186" s="36">
        <f t="shared" ref="D186:D204" si="41">D164/M164*100</f>
        <v>5.1344972569124243</v>
      </c>
      <c r="E186" s="36">
        <f t="shared" ref="E186:E204" si="42">E164/M164*100</f>
        <v>13.932071460948123</v>
      </c>
      <c r="F186" s="36">
        <f t="shared" ref="F186:F204" si="43">F164/M164*100</f>
        <v>37.693618218477937</v>
      </c>
      <c r="G186" s="36">
        <f t="shared" ref="G186:G204" si="44">G164/M164*100</f>
        <v>0.67178292877350365</v>
      </c>
      <c r="H186" s="36">
        <f t="shared" ref="H186:H204" si="45">H164/M164*100</f>
        <v>0.67178292877350365</v>
      </c>
      <c r="I186" s="36">
        <f t="shared" ref="I186:I204" si="46">I164/M164*100</f>
        <v>0</v>
      </c>
      <c r="J186" s="36">
        <f t="shared" ref="J186:J204" si="47">J164/M164*100</f>
        <v>0.1859985307679082</v>
      </c>
      <c r="K186" s="36">
        <f t="shared" ref="K186:K204" si="48">K164/M164*100</f>
        <v>13.133997092796074</v>
      </c>
      <c r="L186" s="36">
        <f t="shared" ref="L186:L204" si="49">L164/M164*100</f>
        <v>13.133997092796074</v>
      </c>
      <c r="M186" s="36">
        <f>SUM(Table30[[#This Row],[General Economic Service as %]:[Road Transport as %]])</f>
        <v>100.00000000000001</v>
      </c>
    </row>
    <row r="187" spans="1:13" x14ac:dyDescent="0.2">
      <c r="A187" s="7" t="s">
        <v>18</v>
      </c>
      <c r="B187" s="5">
        <f t="shared" si="39"/>
        <v>1.0121186860544673</v>
      </c>
      <c r="C187" s="5">
        <f t="shared" si="40"/>
        <v>14.072932313088341</v>
      </c>
      <c r="D187" s="5">
        <f t="shared" si="41"/>
        <v>7.3689894803618579</v>
      </c>
      <c r="E187" s="5">
        <f t="shared" si="42"/>
        <v>13.024114166778078</v>
      </c>
      <c r="F187" s="5">
        <f t="shared" si="43"/>
        <v>37.170786181080388</v>
      </c>
      <c r="G187" s="5">
        <f t="shared" si="44"/>
        <v>2.9065972522589831</v>
      </c>
      <c r="H187" s="5">
        <f t="shared" si="45"/>
        <v>0.21600253750553772</v>
      </c>
      <c r="I187" s="5">
        <f t="shared" si="46"/>
        <v>0</v>
      </c>
      <c r="J187" s="5">
        <f t="shared" si="47"/>
        <v>0.23304157262429978</v>
      </c>
      <c r="K187" s="5">
        <f t="shared" si="48"/>
        <v>11.997708905124032</v>
      </c>
      <c r="L187" s="5">
        <f t="shared" si="49"/>
        <v>11.997708905124032</v>
      </c>
      <c r="M187" s="5">
        <f>SUM(Table30[[#This Row],[General Economic Service as %]:[Road Transport as %]])</f>
        <v>100.00000000000001</v>
      </c>
    </row>
    <row r="188" spans="1:13" x14ac:dyDescent="0.2">
      <c r="A188" s="5" t="s">
        <v>17</v>
      </c>
      <c r="B188" s="5">
        <f t="shared" si="39"/>
        <v>0.55229526972682508</v>
      </c>
      <c r="C188" s="5">
        <f t="shared" si="40"/>
        <v>9.4300644797182382</v>
      </c>
      <c r="D188" s="5">
        <f t="shared" si="41"/>
        <v>4.9102972887734655</v>
      </c>
      <c r="E188" s="5">
        <f t="shared" si="42"/>
        <v>8.3293973492845055</v>
      </c>
      <c r="F188" s="5">
        <f t="shared" si="43"/>
        <v>56.774142923754582</v>
      </c>
      <c r="G188" s="5">
        <f t="shared" si="44"/>
        <v>2.2763317332866548</v>
      </c>
      <c r="H188" s="5">
        <f t="shared" si="45"/>
        <v>0.16116157051045057</v>
      </c>
      <c r="I188" s="5">
        <f t="shared" si="46"/>
        <v>0</v>
      </c>
      <c r="J188" s="5">
        <f t="shared" si="47"/>
        <v>0.12630359037195424</v>
      </c>
      <c r="K188" s="5">
        <f t="shared" si="48"/>
        <v>8.7200028972866601</v>
      </c>
      <c r="L188" s="5">
        <f t="shared" si="49"/>
        <v>8.7200028972866601</v>
      </c>
      <c r="M188" s="5">
        <f>SUM(Table30[[#This Row],[General Economic Service as %]:[Road Transport as %]])</f>
        <v>100</v>
      </c>
    </row>
    <row r="189" spans="1:13" x14ac:dyDescent="0.2">
      <c r="A189" s="7" t="s">
        <v>16</v>
      </c>
      <c r="B189" s="5">
        <f t="shared" si="39"/>
        <v>0.87224440201353926</v>
      </c>
      <c r="C189" s="5">
        <f t="shared" si="40"/>
        <v>17.27805743601612</v>
      </c>
      <c r="D189" s="5">
        <f t="shared" si="41"/>
        <v>9.4058387497026601</v>
      </c>
      <c r="E189" s="5">
        <f t="shared" si="42"/>
        <v>11.372607636277134</v>
      </c>
      <c r="F189" s="5">
        <f t="shared" si="43"/>
        <v>41.317415314985176</v>
      </c>
      <c r="G189" s="5">
        <f t="shared" si="44"/>
        <v>0.90808565899695903</v>
      </c>
      <c r="H189" s="5">
        <f t="shared" si="45"/>
        <v>0.17406314490154098</v>
      </c>
      <c r="I189" s="5">
        <f t="shared" si="46"/>
        <v>1.6715205050563491E-2</v>
      </c>
      <c r="J189" s="5">
        <f t="shared" si="47"/>
        <v>0.12295319099693339</v>
      </c>
      <c r="K189" s="5">
        <f t="shared" si="48"/>
        <v>6.7640327360861976</v>
      </c>
      <c r="L189" s="5">
        <f t="shared" si="49"/>
        <v>11.767986524973157</v>
      </c>
      <c r="M189" s="5">
        <f>SUM(Table30[[#This Row],[General Economic Service as %]:[Road Transport as %]])</f>
        <v>99.999999999999972</v>
      </c>
    </row>
    <row r="190" spans="1:13" x14ac:dyDescent="0.2">
      <c r="A190" s="5" t="s">
        <v>15</v>
      </c>
      <c r="B190" s="5">
        <f t="shared" si="39"/>
        <v>1.7776356465195609</v>
      </c>
      <c r="C190" s="5">
        <f t="shared" si="40"/>
        <v>13.354653022065877</v>
      </c>
      <c r="D190" s="5">
        <f t="shared" si="41"/>
        <v>11.992040649539849</v>
      </c>
      <c r="E190" s="5">
        <f t="shared" si="42"/>
        <v>10.737163770742281</v>
      </c>
      <c r="F190" s="5">
        <f t="shared" si="43"/>
        <v>42.810787762498663</v>
      </c>
      <c r="G190" s="5">
        <f t="shared" si="44"/>
        <v>0.86529510002487287</v>
      </c>
      <c r="H190" s="5">
        <f t="shared" si="45"/>
        <v>0.17467931634864794</v>
      </c>
      <c r="I190" s="5">
        <f t="shared" si="46"/>
        <v>2.075116369967665E-2</v>
      </c>
      <c r="J190" s="5">
        <f t="shared" si="47"/>
        <v>0.13516682656433215</v>
      </c>
      <c r="K190" s="5">
        <f t="shared" si="48"/>
        <v>6.3842518565895592</v>
      </c>
      <c r="L190" s="5">
        <f t="shared" si="49"/>
        <v>11.747574885406671</v>
      </c>
      <c r="M190" s="5">
        <f>SUM(Table30[[#This Row],[General Economic Service as %]:[Road Transport as %]])</f>
        <v>99.999999999999972</v>
      </c>
    </row>
    <row r="191" spans="1:13" x14ac:dyDescent="0.2">
      <c r="A191" s="7" t="s">
        <v>14</v>
      </c>
      <c r="B191" s="5">
        <f t="shared" si="39"/>
        <v>4.0600501214522202</v>
      </c>
      <c r="C191" s="5">
        <f t="shared" si="40"/>
        <v>14.905354920707437</v>
      </c>
      <c r="D191" s="5">
        <f t="shared" si="41"/>
        <v>11.542409999853911</v>
      </c>
      <c r="E191" s="5">
        <f t="shared" si="42"/>
        <v>11.401103096932019</v>
      </c>
      <c r="F191" s="5">
        <f t="shared" si="43"/>
        <v>37.022142951056544</v>
      </c>
      <c r="G191" s="5">
        <f t="shared" si="44"/>
        <v>0.75567319325711069</v>
      </c>
      <c r="H191" s="5">
        <f t="shared" si="45"/>
        <v>0.17145414630842357</v>
      </c>
      <c r="I191" s="5">
        <f t="shared" si="46"/>
        <v>1.8460206302765972E-2</v>
      </c>
      <c r="J191" s="5">
        <f t="shared" si="47"/>
        <v>0.46602060371514975</v>
      </c>
      <c r="K191" s="5">
        <f t="shared" si="48"/>
        <v>6.9431624856734171</v>
      </c>
      <c r="L191" s="5">
        <f t="shared" si="49"/>
        <v>12.714168274740992</v>
      </c>
      <c r="M191" s="5">
        <f>SUM(Table30[[#This Row],[General Economic Service as %]:[Road Transport as %]])</f>
        <v>99.999999999999972</v>
      </c>
    </row>
    <row r="192" spans="1:13" x14ac:dyDescent="0.2">
      <c r="A192" s="5" t="s">
        <v>13</v>
      </c>
      <c r="B192" s="5">
        <f t="shared" si="39"/>
        <v>2.5141526598997337</v>
      </c>
      <c r="C192" s="5">
        <f t="shared" si="40"/>
        <v>17.016205373946601</v>
      </c>
      <c r="D192" s="5">
        <f t="shared" si="41"/>
        <v>12.103197181848079</v>
      </c>
      <c r="E192" s="5">
        <f t="shared" si="42"/>
        <v>11.263854100363522</v>
      </c>
      <c r="F192" s="5">
        <f t="shared" si="43"/>
        <v>36.962358363981281</v>
      </c>
      <c r="G192" s="5">
        <f t="shared" si="44"/>
        <v>0.92825442399580826</v>
      </c>
      <c r="H192" s="5">
        <f t="shared" si="45"/>
        <v>0.18970254091359842</v>
      </c>
      <c r="I192" s="5">
        <f t="shared" si="46"/>
        <v>1.8757667196466554E-2</v>
      </c>
      <c r="J192" s="5">
        <f t="shared" si="47"/>
        <v>0.18982759202824154</v>
      </c>
      <c r="K192" s="5">
        <f t="shared" si="48"/>
        <v>5.3825751275833991</v>
      </c>
      <c r="L192" s="5">
        <f t="shared" si="49"/>
        <v>13.431114968243268</v>
      </c>
      <c r="M192" s="5">
        <f>SUM(Table30[[#This Row],[General Economic Service as %]:[Road Transport as %]])</f>
        <v>100</v>
      </c>
    </row>
    <row r="193" spans="1:13" x14ac:dyDescent="0.2">
      <c r="A193" s="7" t="s">
        <v>12</v>
      </c>
      <c r="B193" s="5">
        <f t="shared" si="39"/>
        <v>2.797557314636562</v>
      </c>
      <c r="C193" s="5">
        <f t="shared" si="40"/>
        <v>15.695766608460154</v>
      </c>
      <c r="D193" s="5">
        <f t="shared" si="41"/>
        <v>12.117999065603264</v>
      </c>
      <c r="E193" s="5">
        <f t="shared" si="42"/>
        <v>11.014173892778526</v>
      </c>
      <c r="F193" s="5">
        <f t="shared" si="43"/>
        <v>39.66481002256468</v>
      </c>
      <c r="G193" s="5">
        <f t="shared" si="44"/>
        <v>0.82737186007905905</v>
      </c>
      <c r="H193" s="5">
        <f t="shared" si="45"/>
        <v>0.15738952084002925</v>
      </c>
      <c r="I193" s="5">
        <f t="shared" si="46"/>
        <v>3.4570470191529236E-2</v>
      </c>
      <c r="J193" s="5">
        <f t="shared" si="47"/>
        <v>0.13209674871907021</v>
      </c>
      <c r="K193" s="5">
        <f t="shared" si="48"/>
        <v>5.8106002118407725</v>
      </c>
      <c r="L193" s="5">
        <f t="shared" si="49"/>
        <v>11.747664284286341</v>
      </c>
      <c r="M193" s="5">
        <f>SUM(Table30[[#This Row],[General Economic Service as %]:[Road Transport as %]])</f>
        <v>99.999999999999986</v>
      </c>
    </row>
    <row r="194" spans="1:13" x14ac:dyDescent="0.2">
      <c r="A194" s="5" t="s">
        <v>11</v>
      </c>
      <c r="B194" s="5">
        <f t="shared" si="39"/>
        <v>1.1980897710684597</v>
      </c>
      <c r="C194" s="5">
        <f t="shared" si="40"/>
        <v>14.75867308486051</v>
      </c>
      <c r="D194" s="5">
        <f t="shared" si="41"/>
        <v>11.161980940975518</v>
      </c>
      <c r="E194" s="5">
        <f t="shared" si="42"/>
        <v>9.1673855839843963</v>
      </c>
      <c r="F194" s="5">
        <f t="shared" si="43"/>
        <v>44.478931323999085</v>
      </c>
      <c r="G194" s="5">
        <f t="shared" si="44"/>
        <v>0.6796040056313507</v>
      </c>
      <c r="H194" s="5">
        <f t="shared" si="45"/>
        <v>7.2338801719863649E-2</v>
      </c>
      <c r="I194" s="5">
        <f t="shared" si="46"/>
        <v>2.8900908821093856E-2</v>
      </c>
      <c r="J194" s="5">
        <f t="shared" si="47"/>
        <v>0.22497713453546114</v>
      </c>
      <c r="K194" s="5">
        <f t="shared" si="48"/>
        <v>7.0054418507657434</v>
      </c>
      <c r="L194" s="5">
        <f t="shared" si="49"/>
        <v>11.22367659363851</v>
      </c>
      <c r="M194" s="5">
        <f>SUM(Table30[[#This Row],[General Economic Service as %]:[Road Transport as %]])</f>
        <v>100.00000000000001</v>
      </c>
    </row>
    <row r="195" spans="1:13" x14ac:dyDescent="0.2">
      <c r="A195" s="7" t="s">
        <v>10</v>
      </c>
      <c r="B195" s="5">
        <f t="shared" si="39"/>
        <v>2.2420370166873362</v>
      </c>
      <c r="C195" s="5">
        <f t="shared" si="40"/>
        <v>14.493100579268772</v>
      </c>
      <c r="D195" s="5">
        <f t="shared" si="41"/>
        <v>13.55865684997096</v>
      </c>
      <c r="E195" s="5">
        <f t="shared" si="42"/>
        <v>9.119401579253072</v>
      </c>
      <c r="F195" s="5">
        <f t="shared" si="43"/>
        <v>40.910346776345747</v>
      </c>
      <c r="G195" s="5">
        <f t="shared" si="44"/>
        <v>0.69378816659079146</v>
      </c>
      <c r="H195" s="5">
        <f t="shared" si="45"/>
        <v>6.8052306871163717E-2</v>
      </c>
      <c r="I195" s="5">
        <f t="shared" si="46"/>
        <v>2.4018461248646022E-2</v>
      </c>
      <c r="J195" s="5">
        <f t="shared" si="47"/>
        <v>0.23351281769516966</v>
      </c>
      <c r="K195" s="5">
        <f t="shared" si="48"/>
        <v>6.7980094504010937</v>
      </c>
      <c r="L195" s="5">
        <f t="shared" si="49"/>
        <v>11.85907599566726</v>
      </c>
      <c r="M195" s="5">
        <f>SUM(Table30[[#This Row],[General Economic Service as %]:[Road Transport as %]])</f>
        <v>100.00000000000001</v>
      </c>
    </row>
    <row r="196" spans="1:13" x14ac:dyDescent="0.2">
      <c r="A196" s="5" t="s">
        <v>9</v>
      </c>
      <c r="B196" s="5">
        <f t="shared" si="39"/>
        <v>0.72195904645476772</v>
      </c>
      <c r="C196" s="5">
        <f t="shared" si="40"/>
        <v>15.372249388753053</v>
      </c>
      <c r="D196" s="5">
        <f t="shared" si="41"/>
        <v>14.084963325183375</v>
      </c>
      <c r="E196" s="5">
        <f t="shared" si="42"/>
        <v>8.8565097799511001</v>
      </c>
      <c r="F196" s="5">
        <f t="shared" si="43"/>
        <v>40.072356356968214</v>
      </c>
      <c r="G196" s="5">
        <f t="shared" si="44"/>
        <v>1.0434749388753055</v>
      </c>
      <c r="H196" s="5">
        <f t="shared" si="45"/>
        <v>6.9605745721271386E-2</v>
      </c>
      <c r="I196" s="5">
        <f t="shared" si="46"/>
        <v>1.3141809290953547E-2</v>
      </c>
      <c r="J196" s="5">
        <f t="shared" si="47"/>
        <v>0.16541870415647919</v>
      </c>
      <c r="K196" s="5">
        <f t="shared" si="48"/>
        <v>6.0540953545232279</v>
      </c>
      <c r="L196" s="5">
        <f t="shared" si="49"/>
        <v>13.546225550122248</v>
      </c>
      <c r="M196" s="5">
        <f>SUM(Table30[[#This Row],[General Economic Service as %]:[Road Transport as %]])</f>
        <v>100</v>
      </c>
    </row>
    <row r="197" spans="1:13" x14ac:dyDescent="0.2">
      <c r="A197" s="7" t="s">
        <v>8</v>
      </c>
      <c r="B197" s="5">
        <f t="shared" si="39"/>
        <v>1.0473319119224624</v>
      </c>
      <c r="C197" s="5">
        <f t="shared" si="40"/>
        <v>12.279866348142221</v>
      </c>
      <c r="D197" s="5">
        <f t="shared" si="41"/>
        <v>9.9017407378674012</v>
      </c>
      <c r="E197" s="5">
        <f t="shared" si="42"/>
        <v>7.5192813403708332</v>
      </c>
      <c r="F197" s="5">
        <f t="shared" si="43"/>
        <v>54.680142426439303</v>
      </c>
      <c r="G197" s="5">
        <f t="shared" si="44"/>
        <v>0.45531517601329019</v>
      </c>
      <c r="H197" s="5">
        <f t="shared" si="45"/>
        <v>5.179143247718742E-2</v>
      </c>
      <c r="I197" s="5">
        <f t="shared" si="46"/>
        <v>9.5236311786563634E-3</v>
      </c>
      <c r="J197" s="5">
        <f t="shared" si="47"/>
        <v>0.17939738956199319</v>
      </c>
      <c r="K197" s="5">
        <f t="shared" si="48"/>
        <v>4.3803888102683999</v>
      </c>
      <c r="L197" s="5">
        <f t="shared" si="49"/>
        <v>9.4952207957582377</v>
      </c>
      <c r="M197" s="5">
        <f>SUM(Table30[[#This Row],[General Economic Service as %]:[Road Transport as %]])</f>
        <v>99.999999999999986</v>
      </c>
    </row>
    <row r="198" spans="1:13" x14ac:dyDescent="0.2">
      <c r="A198" s="5" t="s">
        <v>7</v>
      </c>
      <c r="B198" s="5">
        <f t="shared" si="39"/>
        <v>1.6321272935697413</v>
      </c>
      <c r="C198" s="5">
        <f t="shared" si="40"/>
        <v>12.068860624635635</v>
      </c>
      <c r="D198" s="5">
        <f t="shared" si="41"/>
        <v>13.854136078152033</v>
      </c>
      <c r="E198" s="5">
        <f t="shared" si="42"/>
        <v>6.7626625073472324</v>
      </c>
      <c r="F198" s="5">
        <f t="shared" si="43"/>
        <v>50.370654953890295</v>
      </c>
      <c r="G198" s="5">
        <f t="shared" si="44"/>
        <v>1.5592657510990311</v>
      </c>
      <c r="H198" s="5">
        <f t="shared" si="45"/>
        <v>0.11635811088846534</v>
      </c>
      <c r="I198" s="5">
        <f t="shared" si="46"/>
        <v>1.0538816136460427E-2</v>
      </c>
      <c r="J198" s="5">
        <f t="shared" si="47"/>
        <v>0.12785500121914947</v>
      </c>
      <c r="K198" s="5">
        <f t="shared" si="48"/>
        <v>4.5713073066091319</v>
      </c>
      <c r="L198" s="5">
        <f t="shared" si="49"/>
        <v>8.9262335564528463</v>
      </c>
      <c r="M198" s="5">
        <f>SUM(Table30[[#This Row],[General Economic Service as %]:[Road Transport as %]])</f>
        <v>100.00000000000001</v>
      </c>
    </row>
    <row r="199" spans="1:13" x14ac:dyDescent="0.2">
      <c r="A199" s="7" t="s">
        <v>6</v>
      </c>
      <c r="B199" s="5">
        <f t="shared" si="39"/>
        <v>0.27613904595064187</v>
      </c>
      <c r="C199" s="5">
        <f t="shared" si="40"/>
        <v>15.103148979224404</v>
      </c>
      <c r="D199" s="5">
        <f t="shared" si="41"/>
        <v>16.462526274630225</v>
      </c>
      <c r="E199" s="5">
        <f t="shared" si="42"/>
        <v>8.0803255347984901</v>
      </c>
      <c r="F199" s="5">
        <f t="shared" si="43"/>
        <v>42.147213039064845</v>
      </c>
      <c r="G199" s="5">
        <f t="shared" si="44"/>
        <v>1.399969735160564</v>
      </c>
      <c r="H199" s="5">
        <f t="shared" si="45"/>
        <v>0.35461776280981416</v>
      </c>
      <c r="I199" s="5">
        <f t="shared" si="46"/>
        <v>1.215011802182824E-2</v>
      </c>
      <c r="J199" s="5">
        <f t="shared" si="47"/>
        <v>0.14651937778141058</v>
      </c>
      <c r="K199" s="5">
        <f t="shared" si="48"/>
        <v>5.157338505601758</v>
      </c>
      <c r="L199" s="5">
        <f t="shared" si="49"/>
        <v>10.860051626956032</v>
      </c>
      <c r="M199" s="5">
        <f>SUM(Table30[[#This Row],[General Economic Service as %]:[Road Transport as %]])</f>
        <v>100.00000000000001</v>
      </c>
    </row>
    <row r="200" spans="1:13" x14ac:dyDescent="0.2">
      <c r="A200" s="5" t="s">
        <v>5</v>
      </c>
      <c r="B200" s="5">
        <f t="shared" si="39"/>
        <v>0.36243046056111006</v>
      </c>
      <c r="C200" s="5">
        <f t="shared" si="40"/>
        <v>17.832535467610999</v>
      </c>
      <c r="D200" s="5">
        <f t="shared" si="41"/>
        <v>17.966961735039884</v>
      </c>
      <c r="E200" s="5">
        <f t="shared" si="42"/>
        <v>7.730903531672972</v>
      </c>
      <c r="F200" s="5">
        <f t="shared" si="43"/>
        <v>39.152478395590691</v>
      </c>
      <c r="G200" s="5">
        <f t="shared" si="44"/>
        <v>1.6241553015049222</v>
      </c>
      <c r="H200" s="5">
        <f t="shared" si="45"/>
        <v>0.49333441280903056</v>
      </c>
      <c r="I200" s="5">
        <f t="shared" si="46"/>
        <v>1.1408095436866966E-2</v>
      </c>
      <c r="J200" s="5">
        <f t="shared" si="47"/>
        <v>0.16239450140314315</v>
      </c>
      <c r="K200" s="5">
        <f t="shared" si="48"/>
        <v>3.8367475257050145</v>
      </c>
      <c r="L200" s="5">
        <f t="shared" si="49"/>
        <v>10.826650572665363</v>
      </c>
      <c r="M200" s="5">
        <f>SUM(Table30[[#This Row],[General Economic Service as %]:[Road Transport as %]])</f>
        <v>100</v>
      </c>
    </row>
    <row r="201" spans="1:13" x14ac:dyDescent="0.2">
      <c r="A201" s="7" t="s">
        <v>4</v>
      </c>
      <c r="B201" s="5">
        <f t="shared" si="39"/>
        <v>0.40077389386925094</v>
      </c>
      <c r="C201" s="5">
        <f t="shared" si="40"/>
        <v>16.63918601834515</v>
      </c>
      <c r="D201" s="5">
        <f t="shared" si="41"/>
        <v>20.566926121413175</v>
      </c>
      <c r="E201" s="5">
        <f t="shared" si="42"/>
        <v>7.7555726284425734</v>
      </c>
      <c r="F201" s="5">
        <f t="shared" si="43"/>
        <v>36.46626585811876</v>
      </c>
      <c r="G201" s="5">
        <f t="shared" si="44"/>
        <v>1.6387545756319073</v>
      </c>
      <c r="H201" s="5">
        <f t="shared" si="45"/>
        <v>0.39989021602284669</v>
      </c>
      <c r="I201" s="5">
        <f t="shared" si="46"/>
        <v>2.3703358703551024E-2</v>
      </c>
      <c r="J201" s="5">
        <f t="shared" si="47"/>
        <v>0.12984866237164577</v>
      </c>
      <c r="K201" s="5">
        <f t="shared" si="48"/>
        <v>5.6478450216189184</v>
      </c>
      <c r="L201" s="5">
        <f t="shared" si="49"/>
        <v>10.331233645462209</v>
      </c>
      <c r="M201" s="5">
        <f>SUM(Table30[[#This Row],[General Economic Service as %]:[Road Transport as %]])</f>
        <v>99.999999999999972</v>
      </c>
    </row>
    <row r="202" spans="1:13" x14ac:dyDescent="0.2">
      <c r="A202" s="5" t="s">
        <v>3</v>
      </c>
      <c r="B202" s="5">
        <f t="shared" si="39"/>
        <v>0.6129626158951349</v>
      </c>
      <c r="C202" s="5">
        <f t="shared" si="40"/>
        <v>22.078203656251656</v>
      </c>
      <c r="D202" s="5">
        <f t="shared" si="41"/>
        <v>23.616962412204238</v>
      </c>
      <c r="E202" s="5">
        <f t="shared" si="42"/>
        <v>8.2654407414348743</v>
      </c>
      <c r="F202" s="5">
        <f t="shared" si="43"/>
        <v>30.387322446369708</v>
      </c>
      <c r="G202" s="5">
        <f t="shared" si="44"/>
        <v>1.5024828765774887</v>
      </c>
      <c r="H202" s="5">
        <f t="shared" si="45"/>
        <v>0.5480230170717123</v>
      </c>
      <c r="I202" s="5">
        <f t="shared" si="46"/>
        <v>2.8926207721670032E-2</v>
      </c>
      <c r="J202" s="5">
        <f t="shared" si="47"/>
        <v>0.16710003480594504</v>
      </c>
      <c r="K202" s="5">
        <f t="shared" si="48"/>
        <v>4.2770364233977851</v>
      </c>
      <c r="L202" s="5">
        <f t="shared" si="49"/>
        <v>8.5155395682697872</v>
      </c>
      <c r="M202" s="5">
        <f>SUM(Table30[[#This Row],[General Economic Service as %]:[Road Transport as %]])</f>
        <v>100</v>
      </c>
    </row>
    <row r="203" spans="1:13" x14ac:dyDescent="0.2">
      <c r="A203" s="7" t="s">
        <v>2</v>
      </c>
      <c r="B203" s="5">
        <f t="shared" si="39"/>
        <v>0.94442554649875032</v>
      </c>
      <c r="C203" s="5">
        <f t="shared" si="40"/>
        <v>24.506674100805903</v>
      </c>
      <c r="D203" s="5">
        <f t="shared" si="41"/>
        <v>10.155989043170011</v>
      </c>
      <c r="E203" s="5">
        <f t="shared" si="42"/>
        <v>10.459578146699778</v>
      </c>
      <c r="F203" s="5">
        <f t="shared" si="43"/>
        <v>36.473148860965395</v>
      </c>
      <c r="G203" s="5">
        <f t="shared" si="44"/>
        <v>1.776520567074777</v>
      </c>
      <c r="H203" s="5">
        <f t="shared" si="45"/>
        <v>0.56221530528991859</v>
      </c>
      <c r="I203" s="5">
        <f t="shared" si="46"/>
        <v>3.6164700285685789E-2</v>
      </c>
      <c r="J203" s="5">
        <f t="shared" si="47"/>
        <v>0.10409500011509273</v>
      </c>
      <c r="K203" s="5">
        <f t="shared" si="48"/>
        <v>4.4318382358582964</v>
      </c>
      <c r="L203" s="5">
        <f t="shared" si="49"/>
        <v>10.549350493236382</v>
      </c>
      <c r="M203" s="5">
        <f>SUM(Table30[[#This Row],[General Economic Service as %]:[Road Transport as %]])</f>
        <v>100</v>
      </c>
    </row>
    <row r="204" spans="1:13" x14ac:dyDescent="0.2">
      <c r="A204" s="29" t="s">
        <v>1</v>
      </c>
      <c r="B204" s="29">
        <f t="shared" si="39"/>
        <v>0.61849811131877885</v>
      </c>
      <c r="C204" s="29">
        <f t="shared" si="40"/>
        <v>25.242373084221036</v>
      </c>
      <c r="D204" s="29">
        <f t="shared" si="41"/>
        <v>14.303757525639277</v>
      </c>
      <c r="E204" s="29">
        <f t="shared" si="42"/>
        <v>11.32698165053915</v>
      </c>
      <c r="F204" s="29">
        <f t="shared" si="43"/>
        <v>30.047147978361977</v>
      </c>
      <c r="G204" s="29">
        <f t="shared" si="44"/>
        <v>3.1045432973787799</v>
      </c>
      <c r="H204" s="29">
        <f t="shared" si="45"/>
        <v>0.46281687618068723</v>
      </c>
      <c r="I204" s="29">
        <f t="shared" si="46"/>
        <v>4.6746220335819481E-2</v>
      </c>
      <c r="J204" s="29">
        <f t="shared" si="47"/>
        <v>0.18840777435260458</v>
      </c>
      <c r="K204" s="29">
        <f t="shared" si="48"/>
        <v>3.861940876284474</v>
      </c>
      <c r="L204" s="29">
        <f t="shared" si="49"/>
        <v>10.796786605387407</v>
      </c>
      <c r="M204" s="29">
        <f>SUM(Table30[[#This Row],[General Economic Service as %]:[Road Transport as %]])</f>
        <v>99.999999999999986</v>
      </c>
    </row>
  </sheetData>
  <hyperlinks>
    <hyperlink ref="A2" r:id="rId1" display="Revenue Composition" xr:uid="{0B695236-8F00-B946-9A68-AA6ABD66F628}"/>
    <hyperlink ref="A49" r:id="rId2" xr:uid="{8BAF1856-9003-264B-B05D-A3C7E05AD972}"/>
    <hyperlink ref="A75" r:id="rId3" display="DEVELOPMENT EXPENDITURE COMPOSITION: SOCIAL SERVICES " xr:uid="{7993FF2A-367A-C74C-897F-AA52E1F84C8E}"/>
    <hyperlink ref="E75" r:id="rId4" xr:uid="{3DED116A-1D13-8D41-A8B1-26815172176D}"/>
    <hyperlink ref="E49" r:id="rId5" xr:uid="{903F9C69-785F-4749-9EA8-4FA723CD8FF5}"/>
  </hyperlinks>
  <pageMargins left="0.7" right="0.7" top="0.75" bottom="0.75" header="0.3" footer="0.3"/>
  <drawing r:id="rId6"/>
  <legacyDrawing r:id="rId7"/>
  <tableParts count="8"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0F55-BDC6-514B-A7F0-836679587F39}">
  <dimension ref="A1:C44"/>
  <sheetViews>
    <sheetView workbookViewId="0">
      <selection activeCell="C50" sqref="C50"/>
    </sheetView>
  </sheetViews>
  <sheetFormatPr baseColWidth="10" defaultRowHeight="16" x14ac:dyDescent="0.2"/>
  <cols>
    <col min="2" max="2" width="45.5" customWidth="1"/>
    <col min="3" max="3" width="30.33203125" bestFit="1" customWidth="1"/>
  </cols>
  <sheetData>
    <row r="1" spans="1:3" x14ac:dyDescent="0.2">
      <c r="A1" s="3" t="s">
        <v>0</v>
      </c>
      <c r="B1" s="4" t="s">
        <v>251</v>
      </c>
      <c r="C1" s="4" t="s">
        <v>73</v>
      </c>
    </row>
    <row r="2" spans="1:3" x14ac:dyDescent="0.2">
      <c r="A2" s="5" t="s">
        <v>19</v>
      </c>
      <c r="B2" s="4">
        <v>896.92</v>
      </c>
      <c r="C2" s="37">
        <v>58.48</v>
      </c>
    </row>
    <row r="3" spans="1:3" x14ac:dyDescent="0.2">
      <c r="A3" s="7" t="s">
        <v>18</v>
      </c>
      <c r="B3" s="4">
        <v>1612.31</v>
      </c>
      <c r="C3" s="38">
        <v>58.48</v>
      </c>
    </row>
    <row r="4" spans="1:3" x14ac:dyDescent="0.2">
      <c r="A4" s="5" t="s">
        <v>17</v>
      </c>
      <c r="B4" s="4">
        <v>2427.6</v>
      </c>
      <c r="C4" s="37">
        <v>58.48</v>
      </c>
    </row>
    <row r="5" spans="1:3" x14ac:dyDescent="0.2">
      <c r="A5" s="7" t="s">
        <v>16</v>
      </c>
      <c r="B5" s="4">
        <v>3426.17</v>
      </c>
      <c r="C5" s="38">
        <v>58.48</v>
      </c>
    </row>
    <row r="6" spans="1:3" x14ac:dyDescent="0.2">
      <c r="A6" s="5" t="s">
        <v>15</v>
      </c>
      <c r="B6" s="4">
        <v>4501.67</v>
      </c>
      <c r="C6" s="37">
        <v>58.48</v>
      </c>
    </row>
    <row r="7" spans="1:3" x14ac:dyDescent="0.2">
      <c r="A7" s="7" t="s">
        <v>14</v>
      </c>
      <c r="B7" s="4">
        <v>5218.4799999999996</v>
      </c>
      <c r="C7" s="38">
        <v>58.48</v>
      </c>
    </row>
    <row r="8" spans="1:3" x14ac:dyDescent="0.2">
      <c r="A8" s="5" t="s">
        <v>13</v>
      </c>
      <c r="B8" s="4">
        <v>4031.1</v>
      </c>
      <c r="C8" s="37">
        <v>58.48</v>
      </c>
    </row>
    <row r="9" spans="1:3" x14ac:dyDescent="0.2">
      <c r="A9" s="7" t="s">
        <v>12</v>
      </c>
      <c r="B9" s="4">
        <v>5372.34</v>
      </c>
      <c r="C9" s="38">
        <v>100</v>
      </c>
    </row>
    <row r="10" spans="1:3" x14ac:dyDescent="0.2">
      <c r="A10" s="5" t="s">
        <v>11</v>
      </c>
      <c r="B10" s="4">
        <v>5761.84</v>
      </c>
      <c r="C10" s="37">
        <v>108.49</v>
      </c>
    </row>
    <row r="11" spans="1:3" x14ac:dyDescent="0.2">
      <c r="A11" s="7" t="s">
        <v>10</v>
      </c>
      <c r="B11" s="4">
        <v>3934.6</v>
      </c>
      <c r="C11" s="38">
        <v>115.01</v>
      </c>
    </row>
    <row r="12" spans="1:3" x14ac:dyDescent="0.2">
      <c r="A12" s="5" t="s">
        <v>9</v>
      </c>
      <c r="B12" s="4">
        <v>3715.53</v>
      </c>
      <c r="C12" s="37">
        <v>117.88</v>
      </c>
    </row>
    <row r="13" spans="1:3" x14ac:dyDescent="0.2">
      <c r="A13" s="7" t="s">
        <v>8</v>
      </c>
      <c r="B13" s="4">
        <v>6908.33</v>
      </c>
      <c r="C13" s="38">
        <v>119.68</v>
      </c>
    </row>
    <row r="14" spans="1:3" x14ac:dyDescent="0.2">
      <c r="A14" s="5" t="s">
        <v>7</v>
      </c>
      <c r="B14" s="4">
        <v>6863.09</v>
      </c>
      <c r="C14" s="37">
        <v>123.11</v>
      </c>
    </row>
    <row r="15" spans="1:3" x14ac:dyDescent="0.2">
      <c r="A15" s="7" t="s">
        <v>6</v>
      </c>
      <c r="B15" s="4">
        <v>13537.91</v>
      </c>
      <c r="C15" s="38">
        <v>133.44</v>
      </c>
    </row>
    <row r="16" spans="1:3" x14ac:dyDescent="0.2">
      <c r="A16" s="5" t="s">
        <v>5</v>
      </c>
      <c r="B16" s="4">
        <v>15306.6</v>
      </c>
      <c r="C16" s="37">
        <v>131.5</v>
      </c>
    </row>
    <row r="17" spans="1:3" x14ac:dyDescent="0.2">
      <c r="A17" s="7" t="s">
        <v>4</v>
      </c>
      <c r="B17" s="4">
        <v>17665.93</v>
      </c>
      <c r="C17" s="38">
        <v>136.16999999999999</v>
      </c>
    </row>
    <row r="18" spans="1:3" x14ac:dyDescent="0.2">
      <c r="A18" s="5" t="s">
        <v>3</v>
      </c>
      <c r="B18" s="4">
        <v>5869.7</v>
      </c>
      <c r="C18" s="37">
        <v>148.97999999999999</v>
      </c>
    </row>
    <row r="19" spans="1:3" x14ac:dyDescent="0.2">
      <c r="A19" s="7" t="s">
        <v>2</v>
      </c>
      <c r="B19" s="4">
        <v>11045.57</v>
      </c>
      <c r="C19" s="38">
        <v>162.13</v>
      </c>
    </row>
    <row r="20" spans="1:3" x14ac:dyDescent="0.2">
      <c r="A20" s="5" t="s">
        <v>1</v>
      </c>
      <c r="B20" s="4">
        <v>14645.62</v>
      </c>
      <c r="C20" s="37">
        <v>170.48</v>
      </c>
    </row>
    <row r="22" spans="1:3" x14ac:dyDescent="0.2">
      <c r="A22" s="3" t="s">
        <v>0</v>
      </c>
      <c r="B22" t="s">
        <v>252</v>
      </c>
    </row>
    <row r="23" spans="1:3" x14ac:dyDescent="0.2">
      <c r="A23" s="5" t="s">
        <v>19</v>
      </c>
      <c r="B23" s="39">
        <f t="shared" ref="B23:B41" si="0">B2/C2*100</f>
        <v>1533.7209302325582</v>
      </c>
    </row>
    <row r="24" spans="1:3" x14ac:dyDescent="0.2">
      <c r="A24" s="7" t="s">
        <v>18</v>
      </c>
      <c r="B24" s="39">
        <f t="shared" si="0"/>
        <v>2757.0280437756496</v>
      </c>
    </row>
    <row r="25" spans="1:3" x14ac:dyDescent="0.2">
      <c r="A25" s="5" t="s">
        <v>17</v>
      </c>
      <c r="B25" s="39">
        <f t="shared" si="0"/>
        <v>4151.1627906976737</v>
      </c>
    </row>
    <row r="26" spans="1:3" x14ac:dyDescent="0.2">
      <c r="A26" s="7" t="s">
        <v>16</v>
      </c>
      <c r="B26" s="39">
        <f t="shared" si="0"/>
        <v>5858.7038303693571</v>
      </c>
    </row>
    <row r="27" spans="1:3" x14ac:dyDescent="0.2">
      <c r="A27" s="5" t="s">
        <v>15</v>
      </c>
      <c r="B27" s="39">
        <f t="shared" si="0"/>
        <v>7697.7941176470595</v>
      </c>
    </row>
    <row r="28" spans="1:3" x14ac:dyDescent="0.2">
      <c r="A28" s="7" t="s">
        <v>14</v>
      </c>
      <c r="B28" s="39">
        <f t="shared" si="0"/>
        <v>8923.5294117647063</v>
      </c>
    </row>
    <row r="29" spans="1:3" x14ac:dyDescent="0.2">
      <c r="A29" s="5" t="s">
        <v>13</v>
      </c>
      <c r="B29" s="39">
        <f t="shared" si="0"/>
        <v>6893.1258549931599</v>
      </c>
    </row>
    <row r="30" spans="1:3" x14ac:dyDescent="0.2">
      <c r="A30" s="7" t="s">
        <v>12</v>
      </c>
      <c r="B30" s="39">
        <f t="shared" si="0"/>
        <v>5372.34</v>
      </c>
    </row>
    <row r="31" spans="1:3" x14ac:dyDescent="0.2">
      <c r="A31" s="5" t="s">
        <v>11</v>
      </c>
      <c r="B31" s="39">
        <f t="shared" si="0"/>
        <v>5310.9411005622642</v>
      </c>
    </row>
    <row r="32" spans="1:3" x14ac:dyDescent="0.2">
      <c r="A32" s="7" t="s">
        <v>10</v>
      </c>
      <c r="B32" s="39">
        <f t="shared" si="0"/>
        <v>3421.0938179288755</v>
      </c>
    </row>
    <row r="33" spans="1:2" x14ac:dyDescent="0.2">
      <c r="A33" s="5" t="s">
        <v>9</v>
      </c>
      <c r="B33" s="39">
        <f t="shared" si="0"/>
        <v>3151.9596199524944</v>
      </c>
    </row>
    <row r="34" spans="1:2" x14ac:dyDescent="0.2">
      <c r="A34" s="7" t="s">
        <v>8</v>
      </c>
      <c r="B34" s="39">
        <f t="shared" si="0"/>
        <v>5772.3345588235288</v>
      </c>
    </row>
    <row r="35" spans="1:2" x14ac:dyDescent="0.2">
      <c r="A35" s="5" t="s">
        <v>7</v>
      </c>
      <c r="B35" s="39">
        <f t="shared" si="0"/>
        <v>5574.762407602957</v>
      </c>
    </row>
    <row r="36" spans="1:2" x14ac:dyDescent="0.2">
      <c r="A36" s="7" t="s">
        <v>6</v>
      </c>
      <c r="B36" s="39">
        <f t="shared" si="0"/>
        <v>10145.316247002398</v>
      </c>
    </row>
    <row r="37" spans="1:2" x14ac:dyDescent="0.2">
      <c r="A37" s="5" t="s">
        <v>5</v>
      </c>
      <c r="B37" s="39">
        <f t="shared" si="0"/>
        <v>11640</v>
      </c>
    </row>
    <row r="38" spans="1:2" x14ac:dyDescent="0.2">
      <c r="A38" s="7" t="s">
        <v>4</v>
      </c>
      <c r="B38" s="39">
        <f t="shared" si="0"/>
        <v>12973.437614746274</v>
      </c>
    </row>
    <row r="39" spans="1:2" x14ac:dyDescent="0.2">
      <c r="A39" s="5" t="s">
        <v>3</v>
      </c>
      <c r="B39" s="39">
        <f t="shared" si="0"/>
        <v>3939.9248221237749</v>
      </c>
    </row>
    <row r="40" spans="1:2" x14ac:dyDescent="0.2">
      <c r="A40" s="7" t="s">
        <v>2</v>
      </c>
      <c r="B40" s="39">
        <f t="shared" si="0"/>
        <v>6812.7860358971193</v>
      </c>
    </row>
    <row r="41" spans="1:2" x14ac:dyDescent="0.2">
      <c r="A41" s="5" t="s">
        <v>1</v>
      </c>
      <c r="B41" s="39">
        <f t="shared" si="0"/>
        <v>8590.8141717503531</v>
      </c>
    </row>
    <row r="44" spans="1:2" x14ac:dyDescent="0.2">
      <c r="B44" t="s">
        <v>253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AD7C-DE0D-5844-B97E-8F5E4BD93710}">
  <dimension ref="A1:N43"/>
  <sheetViews>
    <sheetView workbookViewId="0">
      <selection activeCell="H32" sqref="H32"/>
    </sheetView>
  </sheetViews>
  <sheetFormatPr baseColWidth="10" defaultRowHeight="16" x14ac:dyDescent="0.2"/>
  <cols>
    <col min="1" max="1" width="16.33203125" style="4" bestFit="1" customWidth="1"/>
    <col min="2" max="2" width="35" style="4" bestFit="1" customWidth="1"/>
    <col min="3" max="3" width="13.33203125" style="4" bestFit="1" customWidth="1"/>
    <col min="4" max="5" width="12.1640625" style="4" bestFit="1" customWidth="1"/>
    <col min="6" max="6" width="13" style="4" bestFit="1" customWidth="1"/>
    <col min="7" max="9" width="12.1640625" style="4" bestFit="1" customWidth="1"/>
    <col min="10" max="12" width="10.83203125" style="4"/>
    <col min="13" max="13" width="31.83203125" style="4" bestFit="1" customWidth="1"/>
    <col min="14" max="14" width="24.83203125" style="4" bestFit="1" customWidth="1"/>
    <col min="15" max="16384" width="10.83203125" style="4"/>
  </cols>
  <sheetData>
    <row r="1" spans="1:9" x14ac:dyDescent="0.2">
      <c r="A1" s="4" t="s">
        <v>29</v>
      </c>
    </row>
    <row r="2" spans="1:9" ht="17" thickBot="1" x14ac:dyDescent="0.25"/>
    <row r="3" spans="1:9" x14ac:dyDescent="0.2">
      <c r="A3" s="2" t="s">
        <v>30</v>
      </c>
      <c r="B3" s="2"/>
    </row>
    <row r="4" spans="1:9" x14ac:dyDescent="0.2">
      <c r="A4" s="4" t="s">
        <v>31</v>
      </c>
      <c r="B4" s="4">
        <v>0.86854396845679294</v>
      </c>
    </row>
    <row r="5" spans="1:9" x14ac:dyDescent="0.2">
      <c r="A5" s="4" t="s">
        <v>32</v>
      </c>
      <c r="B5" s="4">
        <v>0.75436862514267444</v>
      </c>
    </row>
    <row r="6" spans="1:9" x14ac:dyDescent="0.2">
      <c r="A6" s="4" t="s">
        <v>33</v>
      </c>
      <c r="B6" s="4">
        <v>0.73991972073930246</v>
      </c>
    </row>
    <row r="7" spans="1:9" x14ac:dyDescent="0.2">
      <c r="A7" s="4" t="s">
        <v>34</v>
      </c>
      <c r="B7" s="4">
        <v>0.15529323337000969</v>
      </c>
    </row>
    <row r="8" spans="1:9" ht="17" thickBot="1" x14ac:dyDescent="0.25">
      <c r="A8" s="10" t="s">
        <v>35</v>
      </c>
      <c r="B8" s="10">
        <v>19</v>
      </c>
    </row>
    <row r="10" spans="1:9" ht="17" thickBot="1" x14ac:dyDescent="0.25">
      <c r="A10" s="4" t="s">
        <v>36</v>
      </c>
    </row>
    <row r="11" spans="1:9" x14ac:dyDescent="0.2">
      <c r="A11" s="2"/>
      <c r="B11" s="2" t="s">
        <v>41</v>
      </c>
      <c r="C11" s="2" t="s">
        <v>42</v>
      </c>
      <c r="D11" s="2" t="s">
        <v>43</v>
      </c>
      <c r="E11" s="2" t="s">
        <v>44</v>
      </c>
      <c r="F11" s="2" t="s">
        <v>45</v>
      </c>
    </row>
    <row r="12" spans="1:9" x14ac:dyDescent="0.2">
      <c r="A12" s="4" t="s">
        <v>37</v>
      </c>
      <c r="B12" s="4">
        <v>1</v>
      </c>
      <c r="C12" s="4">
        <v>1.2590812737746118</v>
      </c>
      <c r="D12" s="4">
        <v>1.2590812737746118</v>
      </c>
      <c r="E12" s="4">
        <v>52.209399694458448</v>
      </c>
      <c r="F12" s="4">
        <v>1.4183239135907181E-6</v>
      </c>
    </row>
    <row r="13" spans="1:9" x14ac:dyDescent="0.2">
      <c r="A13" s="4" t="s">
        <v>38</v>
      </c>
      <c r="B13" s="4">
        <v>17</v>
      </c>
      <c r="C13" s="4">
        <v>0.40997180161870889</v>
      </c>
      <c r="D13" s="4">
        <v>2.4115988330512289E-2</v>
      </c>
    </row>
    <row r="14" spans="1:9" ht="17" thickBot="1" x14ac:dyDescent="0.25">
      <c r="A14" s="10" t="s">
        <v>39</v>
      </c>
      <c r="B14" s="10">
        <v>18</v>
      </c>
      <c r="C14" s="10">
        <v>1.6690530753933206</v>
      </c>
      <c r="D14" s="10"/>
      <c r="E14" s="10"/>
      <c r="F14" s="10"/>
    </row>
    <row r="15" spans="1:9" ht="17" thickBot="1" x14ac:dyDescent="0.25"/>
    <row r="16" spans="1:9" x14ac:dyDescent="0.2">
      <c r="A16" s="2"/>
      <c r="B16" s="2" t="s">
        <v>46</v>
      </c>
      <c r="C16" s="2" t="s">
        <v>34</v>
      </c>
      <c r="D16" s="2" t="s">
        <v>47</v>
      </c>
      <c r="E16" s="2" t="s">
        <v>48</v>
      </c>
      <c r="F16" s="2" t="s">
        <v>49</v>
      </c>
      <c r="G16" s="2" t="s">
        <v>50</v>
      </c>
      <c r="H16" s="2" t="s">
        <v>51</v>
      </c>
      <c r="I16" s="2" t="s">
        <v>52</v>
      </c>
    </row>
    <row r="17" spans="1:14" x14ac:dyDescent="0.2">
      <c r="A17" s="4" t="s">
        <v>40</v>
      </c>
      <c r="B17" s="4">
        <v>11.259015011892581</v>
      </c>
      <c r="C17" s="4">
        <v>7.416291316699393E-2</v>
      </c>
      <c r="D17" s="4">
        <v>151.81462716466464</v>
      </c>
      <c r="E17" s="4">
        <v>4.5106415791905327E-28</v>
      </c>
      <c r="F17" s="4">
        <v>11.102544942395358</v>
      </c>
      <c r="G17" s="4">
        <v>11.415485081389804</v>
      </c>
      <c r="H17" s="4">
        <v>11.102544942395358</v>
      </c>
      <c r="I17" s="4">
        <v>11.415485081389804</v>
      </c>
    </row>
    <row r="18" spans="1:14" ht="17" thickBot="1" x14ac:dyDescent="0.25">
      <c r="A18" s="10" t="s">
        <v>54</v>
      </c>
      <c r="B18" s="10">
        <v>4.6999090580500107E-2</v>
      </c>
      <c r="C18" s="10">
        <v>6.5045177728282897E-3</v>
      </c>
      <c r="D18" s="10">
        <v>7.225607219774572</v>
      </c>
      <c r="E18" s="10">
        <v>1.4183239135907206E-6</v>
      </c>
      <c r="F18" s="10">
        <v>3.3275757657093306E-2</v>
      </c>
      <c r="G18" s="10">
        <v>6.0722423503906907E-2</v>
      </c>
      <c r="H18" s="10">
        <v>3.3275757657093306E-2</v>
      </c>
      <c r="I18" s="10">
        <v>6.0722423503906907E-2</v>
      </c>
    </row>
    <row r="22" spans="1:14" x14ac:dyDescent="0.2">
      <c r="A22" s="4" t="s">
        <v>55</v>
      </c>
    </row>
    <row r="23" spans="1:14" ht="17" thickBot="1" x14ac:dyDescent="0.25"/>
    <row r="24" spans="1:14" x14ac:dyDescent="0.2">
      <c r="A24" s="2" t="s">
        <v>56</v>
      </c>
      <c r="B24" s="2" t="s">
        <v>57</v>
      </c>
      <c r="C24" s="2" t="s">
        <v>58</v>
      </c>
    </row>
    <row r="25" spans="1:14" x14ac:dyDescent="0.2">
      <c r="A25" s="4">
        <v>1</v>
      </c>
      <c r="B25" s="4">
        <v>11.306014102473082</v>
      </c>
      <c r="C25" s="4">
        <v>-0.25126896936720478</v>
      </c>
    </row>
    <row r="26" spans="1:14" x14ac:dyDescent="0.2">
      <c r="A26" s="4">
        <v>2</v>
      </c>
      <c r="B26" s="4">
        <v>11.353013193053581</v>
      </c>
      <c r="C26" s="4">
        <v>-0.19010721867614677</v>
      </c>
      <c r="M26" s="4" t="s">
        <v>74</v>
      </c>
      <c r="N26" s="4">
        <f xml:space="preserve"> 0.0481</f>
        <v>4.8099999999999997E-2</v>
      </c>
    </row>
    <row r="27" spans="1:14" x14ac:dyDescent="0.2">
      <c r="A27" s="4">
        <v>3</v>
      </c>
      <c r="B27" s="4">
        <v>11.400012283634082</v>
      </c>
      <c r="C27" s="4">
        <v>-8.4972358077925136E-2</v>
      </c>
      <c r="M27" s="4" t="s">
        <v>75</v>
      </c>
      <c r="N27" s="4" t="s">
        <v>76</v>
      </c>
    </row>
    <row r="28" spans="1:14" x14ac:dyDescent="0.2">
      <c r="A28" s="4">
        <v>4</v>
      </c>
      <c r="B28" s="4">
        <v>11.447011374214581</v>
      </c>
      <c r="C28" s="4">
        <v>1.2488794800731284E-2</v>
      </c>
    </row>
    <row r="29" spans="1:14" x14ac:dyDescent="0.2">
      <c r="A29" s="4">
        <v>5</v>
      </c>
      <c r="B29" s="4">
        <v>11.494010464795082</v>
      </c>
      <c r="C29" s="4">
        <v>0.13461090298540768</v>
      </c>
    </row>
    <row r="30" spans="1:14" x14ac:dyDescent="0.2">
      <c r="A30" s="4">
        <v>6</v>
      </c>
      <c r="B30" s="4">
        <v>11.541009555375581</v>
      </c>
      <c r="C30" s="4">
        <v>0.28407126595974042</v>
      </c>
    </row>
    <row r="31" spans="1:14" x14ac:dyDescent="0.2">
      <c r="A31" s="4">
        <v>7</v>
      </c>
      <c r="B31" s="4">
        <v>11.588008645956082</v>
      </c>
      <c r="C31" s="4">
        <v>0.38164656924224616</v>
      </c>
    </row>
    <row r="32" spans="1:14" x14ac:dyDescent="0.2">
      <c r="A32" s="4">
        <v>8</v>
      </c>
      <c r="B32" s="4">
        <v>11.635007736536581</v>
      </c>
      <c r="C32" s="4">
        <v>-6.3014674595464726E-2</v>
      </c>
    </row>
    <row r="33" spans="1:3" x14ac:dyDescent="0.2">
      <c r="A33" s="4">
        <v>9</v>
      </c>
      <c r="B33" s="4">
        <v>11.682006827117082</v>
      </c>
      <c r="C33" s="4">
        <v>-5.7718535370920421E-2</v>
      </c>
    </row>
    <row r="34" spans="1:3" x14ac:dyDescent="0.2">
      <c r="A34" s="4">
        <v>10</v>
      </c>
      <c r="B34" s="4">
        <v>11.729005917697583</v>
      </c>
      <c r="C34" s="4">
        <v>-3.549998219149586E-2</v>
      </c>
    </row>
    <row r="35" spans="1:3" x14ac:dyDescent="0.2">
      <c r="A35" s="4">
        <v>11</v>
      </c>
      <c r="B35" s="4">
        <v>11.776005008278082</v>
      </c>
      <c r="C35" s="4">
        <v>-3.9683229701731548E-2</v>
      </c>
    </row>
    <row r="36" spans="1:3" x14ac:dyDescent="0.2">
      <c r="A36" s="4">
        <v>12</v>
      </c>
      <c r="B36" s="4">
        <v>11.823004098858583</v>
      </c>
      <c r="C36" s="4">
        <v>1.0793499208613611E-2</v>
      </c>
    </row>
    <row r="37" spans="1:3" x14ac:dyDescent="0.2">
      <c r="A37" s="4">
        <v>13</v>
      </c>
      <c r="B37" s="4">
        <v>11.870003189439082</v>
      </c>
      <c r="C37" s="4">
        <v>5.0111018575369926E-2</v>
      </c>
    </row>
    <row r="38" spans="1:3" x14ac:dyDescent="0.2">
      <c r="A38" s="4">
        <v>14</v>
      </c>
      <c r="B38" s="4">
        <v>11.917002280019583</v>
      </c>
      <c r="C38" s="4">
        <v>4.188899329582263E-2</v>
      </c>
    </row>
    <row r="39" spans="1:3" x14ac:dyDescent="0.2">
      <c r="A39" s="4">
        <v>15</v>
      </c>
      <c r="B39" s="4">
        <v>11.964001370600082</v>
      </c>
      <c r="C39" s="4">
        <v>7.7217493870545439E-2</v>
      </c>
    </row>
    <row r="40" spans="1:3" x14ac:dyDescent="0.2">
      <c r="A40" s="4">
        <v>16</v>
      </c>
      <c r="B40" s="4">
        <v>12.011000461180583</v>
      </c>
      <c r="C40" s="4">
        <v>5.1123432533321633E-2</v>
      </c>
    </row>
    <row r="41" spans="1:3" x14ac:dyDescent="0.2">
      <c r="A41" s="4">
        <v>17</v>
      </c>
      <c r="B41" s="4">
        <v>12.057999551761082</v>
      </c>
      <c r="C41" s="4">
        <v>-0.13459757734673694</v>
      </c>
    </row>
    <row r="42" spans="1:3" x14ac:dyDescent="0.2">
      <c r="A42" s="4">
        <v>18</v>
      </c>
      <c r="B42" s="4">
        <v>12.104998642341583</v>
      </c>
      <c r="C42" s="4">
        <v>-0.10174619602289248</v>
      </c>
    </row>
    <row r="43" spans="1:3" ht="17" thickBot="1" x14ac:dyDescent="0.25">
      <c r="A43" s="10">
        <v>19</v>
      </c>
      <c r="B43" s="10">
        <v>12.151997732922084</v>
      </c>
      <c r="C43" s="10">
        <v>-8.5343229121273012E-2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B1E6-30CF-F542-AC4E-4C4B878E790A}">
  <dimension ref="A1:M43"/>
  <sheetViews>
    <sheetView topLeftCell="A3" workbookViewId="0">
      <selection activeCell="J28" sqref="J28"/>
    </sheetView>
  </sheetViews>
  <sheetFormatPr baseColWidth="10" defaultRowHeight="16" x14ac:dyDescent="0.2"/>
  <cols>
    <col min="1" max="1" width="16.33203125" style="4" bestFit="1" customWidth="1"/>
    <col min="2" max="2" width="60.5" style="4" bestFit="1" customWidth="1"/>
    <col min="3" max="3" width="13.33203125" style="4" bestFit="1" customWidth="1"/>
    <col min="4" max="5" width="12.1640625" style="4" bestFit="1" customWidth="1"/>
    <col min="6" max="6" width="13" style="4" bestFit="1" customWidth="1"/>
    <col min="7" max="9" width="12.1640625" style="4" bestFit="1" customWidth="1"/>
    <col min="10" max="11" width="10.83203125" style="4"/>
    <col min="12" max="12" width="31.83203125" style="4" bestFit="1" customWidth="1"/>
    <col min="13" max="16384" width="10.83203125" style="4"/>
  </cols>
  <sheetData>
    <row r="1" spans="1:9" x14ac:dyDescent="0.2">
      <c r="A1" s="4" t="s">
        <v>29</v>
      </c>
    </row>
    <row r="2" spans="1:9" ht="17" thickBot="1" x14ac:dyDescent="0.25"/>
    <row r="3" spans="1:9" x14ac:dyDescent="0.2">
      <c r="A3" s="2" t="s">
        <v>30</v>
      </c>
      <c r="B3" s="2"/>
    </row>
    <row r="4" spans="1:9" x14ac:dyDescent="0.2">
      <c r="A4" s="4" t="s">
        <v>31</v>
      </c>
      <c r="B4" s="4">
        <v>0.98660014804577179</v>
      </c>
    </row>
    <row r="5" spans="1:9" x14ac:dyDescent="0.2">
      <c r="A5" s="4" t="s">
        <v>32</v>
      </c>
      <c r="B5" s="4">
        <v>0.97337985212393885</v>
      </c>
    </row>
    <row r="6" spans="1:9" x14ac:dyDescent="0.2">
      <c r="A6" s="4" t="s">
        <v>33</v>
      </c>
      <c r="B6" s="4">
        <v>0.9718139610724057</v>
      </c>
    </row>
    <row r="7" spans="1:9" x14ac:dyDescent="0.2">
      <c r="A7" s="4" t="s">
        <v>34</v>
      </c>
      <c r="B7" s="4">
        <v>4.718355661558734E-2</v>
      </c>
    </row>
    <row r="8" spans="1:9" ht="17" thickBot="1" x14ac:dyDescent="0.25">
      <c r="A8" s="10" t="s">
        <v>35</v>
      </c>
      <c r="B8" s="10">
        <v>19</v>
      </c>
    </row>
    <row r="10" spans="1:9" ht="17" thickBot="1" x14ac:dyDescent="0.25">
      <c r="A10" s="4" t="s">
        <v>36</v>
      </c>
    </row>
    <row r="11" spans="1:9" x14ac:dyDescent="0.2">
      <c r="A11" s="2"/>
      <c r="B11" s="2" t="s">
        <v>41</v>
      </c>
      <c r="C11" s="2" t="s">
        <v>42</v>
      </c>
      <c r="D11" s="2" t="s">
        <v>43</v>
      </c>
      <c r="E11" s="2" t="s">
        <v>44</v>
      </c>
      <c r="F11" s="2" t="s">
        <v>45</v>
      </c>
    </row>
    <row r="12" spans="1:9" x14ac:dyDescent="0.2">
      <c r="A12" s="4" t="s">
        <v>37</v>
      </c>
      <c r="B12" s="4">
        <v>1</v>
      </c>
      <c r="C12" s="4">
        <v>1.3838918720453603</v>
      </c>
      <c r="D12" s="4">
        <v>1.3838918720453603</v>
      </c>
      <c r="E12" s="4">
        <v>621.61403321833882</v>
      </c>
      <c r="F12" s="4">
        <v>7.9406712780866631E-15</v>
      </c>
    </row>
    <row r="13" spans="1:9" x14ac:dyDescent="0.2">
      <c r="A13" s="4" t="s">
        <v>38</v>
      </c>
      <c r="B13" s="4">
        <v>17</v>
      </c>
      <c r="C13" s="4">
        <v>3.7846896253237707E-2</v>
      </c>
      <c r="D13" s="4">
        <v>2.2262880148963358E-3</v>
      </c>
    </row>
    <row r="14" spans="1:9" ht="17" thickBot="1" x14ac:dyDescent="0.25">
      <c r="A14" s="10" t="s">
        <v>39</v>
      </c>
      <c r="B14" s="10">
        <v>18</v>
      </c>
      <c r="C14" s="10">
        <v>1.421738768298598</v>
      </c>
      <c r="D14" s="10"/>
      <c r="E14" s="10"/>
      <c r="F14" s="10"/>
    </row>
    <row r="15" spans="1:9" ht="17" thickBot="1" x14ac:dyDescent="0.25"/>
    <row r="16" spans="1:9" x14ac:dyDescent="0.2">
      <c r="A16" s="2"/>
      <c r="B16" s="2" t="s">
        <v>46</v>
      </c>
      <c r="C16" s="2" t="s">
        <v>34</v>
      </c>
      <c r="D16" s="2" t="s">
        <v>47</v>
      </c>
      <c r="E16" s="2" t="s">
        <v>48</v>
      </c>
      <c r="F16" s="2" t="s">
        <v>49</v>
      </c>
      <c r="G16" s="2" t="s">
        <v>50</v>
      </c>
      <c r="H16" s="2" t="s">
        <v>51</v>
      </c>
      <c r="I16" s="2" t="s">
        <v>52</v>
      </c>
    </row>
    <row r="17" spans="1:13" x14ac:dyDescent="0.2">
      <c r="A17" s="4" t="s">
        <v>40</v>
      </c>
      <c r="B17" s="4">
        <v>12.914362991451897</v>
      </c>
      <c r="C17" s="4">
        <v>2.2533306418150264E-2</v>
      </c>
      <c r="D17" s="4">
        <v>573.12330253715265</v>
      </c>
      <c r="E17" s="4">
        <v>7.0591155152958976E-38</v>
      </c>
      <c r="F17" s="4">
        <v>12.866821870550792</v>
      </c>
      <c r="G17" s="4">
        <v>12.961904112353002</v>
      </c>
      <c r="H17" s="4">
        <v>12.866821870550792</v>
      </c>
      <c r="I17" s="4">
        <v>12.961904112353002</v>
      </c>
    </row>
    <row r="18" spans="1:13" ht="17" thickBot="1" x14ac:dyDescent="0.25">
      <c r="A18" s="10" t="s">
        <v>54</v>
      </c>
      <c r="B18" s="10">
        <v>4.9273527144629709E-2</v>
      </c>
      <c r="C18" s="10">
        <v>1.976301709554124E-3</v>
      </c>
      <c r="D18" s="10">
        <v>24.932188696910238</v>
      </c>
      <c r="E18" s="10">
        <v>7.9406712780866915E-15</v>
      </c>
      <c r="F18" s="10">
        <v>4.5103895011313802E-2</v>
      </c>
      <c r="G18" s="10">
        <v>5.3443159277945615E-2</v>
      </c>
      <c r="H18" s="10">
        <v>4.5103895011313802E-2</v>
      </c>
      <c r="I18" s="10">
        <v>5.3443159277945615E-2</v>
      </c>
    </row>
    <row r="22" spans="1:13" x14ac:dyDescent="0.2">
      <c r="A22" s="4" t="s">
        <v>55</v>
      </c>
    </row>
    <row r="23" spans="1:13" ht="17" thickBot="1" x14ac:dyDescent="0.25"/>
    <row r="24" spans="1:13" x14ac:dyDescent="0.2">
      <c r="A24" s="2" t="s">
        <v>56</v>
      </c>
      <c r="B24" s="2" t="s">
        <v>84</v>
      </c>
      <c r="C24" s="2" t="s">
        <v>58</v>
      </c>
    </row>
    <row r="25" spans="1:13" x14ac:dyDescent="0.2">
      <c r="A25" s="4">
        <v>1</v>
      </c>
      <c r="B25" s="4">
        <v>12.963636518596527</v>
      </c>
      <c r="C25" s="4">
        <v>-5.9744398788591724E-2</v>
      </c>
    </row>
    <row r="26" spans="1:13" x14ac:dyDescent="0.2">
      <c r="A26" s="4">
        <v>2</v>
      </c>
      <c r="B26" s="4">
        <v>13.012910045741156</v>
      </c>
      <c r="C26" s="4">
        <v>-3.6950934080500986E-2</v>
      </c>
    </row>
    <row r="27" spans="1:13" x14ac:dyDescent="0.2">
      <c r="A27" s="4">
        <v>3</v>
      </c>
      <c r="B27" s="4">
        <v>13.062183572885786</v>
      </c>
      <c r="C27" s="4">
        <v>-1.3929304638006457E-2</v>
      </c>
      <c r="L27" s="4" t="s">
        <v>85</v>
      </c>
      <c r="M27" s="4">
        <v>5.0500000000000003E-2</v>
      </c>
    </row>
    <row r="28" spans="1:13" x14ac:dyDescent="0.2">
      <c r="A28" s="4">
        <v>4</v>
      </c>
      <c r="B28" s="4">
        <v>13.111457100030416</v>
      </c>
      <c r="C28" s="4">
        <v>1.416184131709386E-2</v>
      </c>
      <c r="L28" s="4" t="s">
        <v>86</v>
      </c>
      <c r="M28" s="26">
        <v>5.0500000000000003E-2</v>
      </c>
    </row>
    <row r="29" spans="1:13" x14ac:dyDescent="0.2">
      <c r="A29" s="4">
        <v>5</v>
      </c>
      <c r="B29" s="4">
        <v>13.160730627175045</v>
      </c>
      <c r="C29" s="4">
        <v>-1.7549557488139911E-2</v>
      </c>
    </row>
    <row r="30" spans="1:13" x14ac:dyDescent="0.2">
      <c r="A30" s="4">
        <v>6</v>
      </c>
      <c r="B30" s="4">
        <v>13.210004154319675</v>
      </c>
      <c r="C30" s="4">
        <v>-2.9864299682014206E-3</v>
      </c>
    </row>
    <row r="31" spans="1:13" x14ac:dyDescent="0.2">
      <c r="A31" s="4">
        <v>7</v>
      </c>
      <c r="B31" s="4">
        <v>13.259277681464305</v>
      </c>
      <c r="C31" s="4">
        <v>3.1958555739160843E-2</v>
      </c>
    </row>
    <row r="32" spans="1:13" x14ac:dyDescent="0.2">
      <c r="A32" s="4">
        <v>8</v>
      </c>
      <c r="B32" s="4">
        <v>13.308551208608934</v>
      </c>
      <c r="C32" s="4">
        <v>2.8867150039284084E-2</v>
      </c>
    </row>
    <row r="33" spans="1:3" x14ac:dyDescent="0.2">
      <c r="A33" s="4">
        <v>9</v>
      </c>
      <c r="B33" s="4">
        <v>13.357824735753564</v>
      </c>
      <c r="C33" s="4">
        <v>1.3697773755129816E-2</v>
      </c>
    </row>
    <row r="34" spans="1:3" x14ac:dyDescent="0.2">
      <c r="A34" s="4">
        <v>10</v>
      </c>
      <c r="B34" s="4">
        <v>13.407098262898193</v>
      </c>
      <c r="C34" s="4">
        <v>1.0086935458867075E-2</v>
      </c>
    </row>
    <row r="35" spans="1:3" x14ac:dyDescent="0.2">
      <c r="A35" s="4">
        <v>11</v>
      </c>
      <c r="B35" s="4">
        <v>13.456371790042825</v>
      </c>
      <c r="C35" s="4">
        <v>2.0062366281520028E-2</v>
      </c>
    </row>
    <row r="36" spans="1:3" x14ac:dyDescent="0.2">
      <c r="A36" s="4">
        <v>12</v>
      </c>
      <c r="B36" s="4">
        <v>13.505645317187454</v>
      </c>
      <c r="C36" s="4">
        <v>3.598512205155302E-2</v>
      </c>
    </row>
    <row r="37" spans="1:3" x14ac:dyDescent="0.2">
      <c r="A37" s="4">
        <v>13</v>
      </c>
      <c r="B37" s="4">
        <v>13.554918844332084</v>
      </c>
      <c r="C37" s="4">
        <v>5.3604361225913166E-2</v>
      </c>
    </row>
    <row r="38" spans="1:3" x14ac:dyDescent="0.2">
      <c r="A38" s="4">
        <v>14</v>
      </c>
      <c r="B38" s="4">
        <v>13.604192371476714</v>
      </c>
      <c r="C38" s="4">
        <v>5.7206817272779986E-2</v>
      </c>
    </row>
    <row r="39" spans="1:3" x14ac:dyDescent="0.2">
      <c r="A39" s="4">
        <v>15</v>
      </c>
      <c r="B39" s="4">
        <v>13.653465898621343</v>
      </c>
      <c r="C39" s="4">
        <v>5.7211650536622471E-2</v>
      </c>
    </row>
    <row r="40" spans="1:3" x14ac:dyDescent="0.2">
      <c r="A40" s="4">
        <v>16</v>
      </c>
      <c r="B40" s="4">
        <v>13.702739425765973</v>
      </c>
      <c r="C40" s="4">
        <v>3.1295980498642351E-2</v>
      </c>
    </row>
    <row r="41" spans="1:3" x14ac:dyDescent="0.2">
      <c r="A41" s="4">
        <v>17</v>
      </c>
      <c r="B41" s="4">
        <v>13.752012952910603</v>
      </c>
      <c r="C41" s="4">
        <v>-0.10407869160500205</v>
      </c>
    </row>
    <row r="42" spans="1:3" x14ac:dyDescent="0.2">
      <c r="A42" s="4">
        <v>18</v>
      </c>
      <c r="B42" s="4">
        <v>13.801286480055232</v>
      </c>
      <c r="C42" s="4">
        <v>-6.4909968312560906E-2</v>
      </c>
    </row>
    <row r="43" spans="1:3" ht="17" thickBot="1" x14ac:dyDescent="0.25">
      <c r="A43" s="10">
        <v>19</v>
      </c>
      <c r="B43" s="10">
        <v>13.850560007199862</v>
      </c>
      <c r="C43" s="10">
        <v>-5.3989269295568576E-2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Data</vt:lpstr>
      <vt:lpstr>India Stats</vt:lpstr>
      <vt:lpstr>Haryana Rev &amp; Exp </vt:lpstr>
      <vt:lpstr>India Haryana</vt:lpstr>
      <vt:lpstr>Haryana Rev &amp; Exp Composition</vt:lpstr>
      <vt:lpstr>Haryana Rev &amp; Exp Comp. Contd.</vt:lpstr>
      <vt:lpstr>Capital Outlay</vt:lpstr>
      <vt:lpstr>Regressions NSDP PC Har</vt:lpstr>
      <vt:lpstr>Regressions NSDP PC 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2025-02-15T08:58:03Z</dcterms:created>
  <dcterms:modified xsi:type="dcterms:W3CDTF">2025-03-07T06:11:30Z</dcterms:modified>
</cp:coreProperties>
</file>