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ydixon/GitHub/frugivore_light/"/>
    </mc:Choice>
  </mc:AlternateContent>
  <xr:revisionPtr revIDLastSave="0" documentId="13_ncr:1_{65405D7D-9ADB-1645-A3E0-8C654D575466}" xr6:coauthVersionLast="47" xr6:coauthVersionMax="47" xr10:uidLastSave="{00000000-0000-0000-0000-000000000000}"/>
  <bookViews>
    <workbookView xWindow="0" yWindow="500" windowWidth="25600" windowHeight="14380" activeTab="1" xr2:uid="{00000000-000D-0000-FFFF-FFFF00000000}"/>
  </bookViews>
  <sheets>
    <sheet name="ID Sheet" sheetId="1" r:id="rId1"/>
    <sheet name="Trial Info" sheetId="2" r:id="rId2"/>
    <sheet name="Experiment 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2" i="3" l="1"/>
  <c r="D281" i="3"/>
  <c r="D268" i="3"/>
  <c r="D267" i="3"/>
  <c r="D266" i="3"/>
  <c r="D265" i="3"/>
  <c r="D241" i="3"/>
  <c r="D240" i="3"/>
  <c r="D239" i="3"/>
  <c r="D238" i="3"/>
  <c r="D237" i="3"/>
  <c r="D236" i="3"/>
  <c r="D235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N55" i="2"/>
  <c r="M55" i="2"/>
  <c r="O55" i="2" s="1"/>
  <c r="L55" i="2"/>
  <c r="K55" i="2"/>
  <c r="J55" i="2"/>
  <c r="N54" i="2"/>
  <c r="M54" i="2"/>
  <c r="O54" i="2" s="1"/>
  <c r="K54" i="2"/>
  <c r="J54" i="2"/>
  <c r="L54" i="2" s="1"/>
  <c r="N53" i="2"/>
  <c r="M53" i="2"/>
  <c r="O53" i="2" s="1"/>
  <c r="L53" i="2"/>
  <c r="K53" i="2"/>
  <c r="J53" i="2"/>
  <c r="N52" i="2"/>
  <c r="O52" i="2" s="1"/>
  <c r="M52" i="2"/>
  <c r="K52" i="2"/>
  <c r="J52" i="2"/>
  <c r="L52" i="2" s="1"/>
  <c r="N51" i="2"/>
  <c r="M51" i="2"/>
  <c r="O51" i="2" s="1"/>
  <c r="L51" i="2"/>
  <c r="K51" i="2"/>
  <c r="J51" i="2"/>
  <c r="N50" i="2"/>
  <c r="O50" i="2" s="1"/>
  <c r="M50" i="2"/>
  <c r="K50" i="2"/>
  <c r="J50" i="2"/>
  <c r="L50" i="2" s="1"/>
  <c r="N49" i="2"/>
  <c r="M49" i="2"/>
  <c r="O49" i="2" s="1"/>
  <c r="L49" i="2"/>
  <c r="K49" i="2"/>
  <c r="J49" i="2"/>
  <c r="P48" i="2"/>
  <c r="O48" i="2"/>
  <c r="N48" i="2"/>
  <c r="M48" i="2"/>
  <c r="K48" i="2"/>
  <c r="L48" i="2" s="1"/>
  <c r="J48" i="2"/>
  <c r="Q47" i="2"/>
  <c r="N47" i="2"/>
  <c r="O47" i="2" s="1"/>
  <c r="M47" i="2"/>
  <c r="K47" i="2"/>
  <c r="J47" i="2"/>
  <c r="L47" i="2" s="1"/>
  <c r="P46" i="2"/>
  <c r="N46" i="2"/>
  <c r="M46" i="2"/>
  <c r="O46" i="2" s="1"/>
  <c r="K46" i="2"/>
  <c r="J46" i="2"/>
  <c r="L46" i="2" s="1"/>
  <c r="Q45" i="2"/>
  <c r="N45" i="2"/>
  <c r="M45" i="2"/>
  <c r="O45" i="2" s="1"/>
  <c r="L45" i="2"/>
  <c r="K45" i="2"/>
  <c r="J45" i="2"/>
  <c r="Q44" i="2"/>
  <c r="P44" i="2"/>
  <c r="O44" i="2"/>
  <c r="L44" i="2"/>
  <c r="Q43" i="2"/>
  <c r="O43" i="2"/>
  <c r="L43" i="2"/>
  <c r="P42" i="2"/>
  <c r="N42" i="2"/>
  <c r="O42" i="2" s="1"/>
  <c r="M42" i="2"/>
  <c r="K42" i="2"/>
  <c r="J42" i="2"/>
  <c r="L42" i="2" s="1"/>
  <c r="Q41" i="2"/>
  <c r="P41" i="2"/>
  <c r="N41" i="2"/>
  <c r="O41" i="2" s="1"/>
  <c r="M41" i="2"/>
  <c r="K41" i="2"/>
  <c r="J41" i="2"/>
  <c r="L41" i="2" s="1"/>
  <c r="Q40" i="2"/>
  <c r="P40" i="2"/>
  <c r="N40" i="2"/>
  <c r="O40" i="2" s="1"/>
  <c r="M40" i="2"/>
  <c r="K40" i="2"/>
  <c r="J40" i="2"/>
  <c r="L40" i="2" s="1"/>
  <c r="Q39" i="2"/>
  <c r="N39" i="2"/>
  <c r="M39" i="2"/>
  <c r="O39" i="2" s="1"/>
  <c r="K39" i="2"/>
  <c r="J39" i="2"/>
  <c r="L39" i="2" s="1"/>
  <c r="P38" i="2"/>
  <c r="N38" i="2"/>
  <c r="M38" i="2"/>
  <c r="O38" i="2" s="1"/>
  <c r="L38" i="2"/>
  <c r="K38" i="2"/>
  <c r="J38" i="2"/>
  <c r="Q37" i="2"/>
  <c r="O37" i="2"/>
  <c r="N37" i="2"/>
  <c r="M37" i="2"/>
  <c r="K37" i="2"/>
  <c r="L37" i="2" s="1"/>
  <c r="J37" i="2"/>
  <c r="P36" i="2"/>
  <c r="N36" i="2"/>
  <c r="O36" i="2" s="1"/>
  <c r="M36" i="2"/>
  <c r="K36" i="2"/>
  <c r="J36" i="2"/>
  <c r="L36" i="2" s="1"/>
  <c r="N35" i="2"/>
  <c r="M35" i="2"/>
  <c r="O35" i="2" s="1"/>
  <c r="L35" i="2"/>
  <c r="K35" i="2"/>
  <c r="J35" i="2"/>
  <c r="P34" i="2"/>
  <c r="O34" i="2"/>
  <c r="N34" i="2"/>
  <c r="M34" i="2"/>
  <c r="K34" i="2"/>
  <c r="L34" i="2" s="1"/>
  <c r="J34" i="2"/>
  <c r="Q33" i="2"/>
  <c r="N33" i="2"/>
  <c r="O33" i="2" s="1"/>
  <c r="M33" i="2"/>
  <c r="K33" i="2"/>
  <c r="J33" i="2"/>
  <c r="L33" i="2" s="1"/>
  <c r="Q32" i="2"/>
  <c r="P32" i="2"/>
  <c r="N32" i="2"/>
  <c r="O32" i="2" s="1"/>
  <c r="M32" i="2"/>
  <c r="K32" i="2"/>
  <c r="J32" i="2"/>
  <c r="L32" i="2" s="1"/>
  <c r="P31" i="2"/>
  <c r="N31" i="2"/>
  <c r="M31" i="2"/>
  <c r="O31" i="2" s="1"/>
  <c r="K31" i="2"/>
  <c r="J31" i="2"/>
  <c r="L31" i="2" s="1"/>
  <c r="P30" i="2"/>
  <c r="N30" i="2"/>
  <c r="M30" i="2"/>
  <c r="O30" i="2" s="1"/>
  <c r="L30" i="2"/>
  <c r="K30" i="2"/>
  <c r="J30" i="2"/>
  <c r="Q29" i="2"/>
  <c r="P29" i="2"/>
  <c r="N29" i="2"/>
  <c r="M29" i="2"/>
  <c r="O29" i="2" s="1"/>
  <c r="L29" i="2"/>
  <c r="K29" i="2"/>
  <c r="J29" i="2"/>
  <c r="Q28" i="2"/>
  <c r="P28" i="2"/>
  <c r="N28" i="2"/>
  <c r="M28" i="2"/>
  <c r="O28" i="2" s="1"/>
  <c r="L28" i="2"/>
  <c r="K28" i="2"/>
  <c r="J28" i="2"/>
  <c r="Q27" i="2"/>
  <c r="O27" i="2"/>
  <c r="N27" i="2"/>
  <c r="M27" i="2"/>
  <c r="K27" i="2"/>
  <c r="L27" i="2" s="1"/>
  <c r="J27" i="2"/>
  <c r="N26" i="2"/>
  <c r="M26" i="2"/>
  <c r="O26" i="2" s="1"/>
  <c r="K26" i="2"/>
  <c r="J26" i="2"/>
  <c r="L26" i="2" s="1"/>
  <c r="O25" i="2"/>
  <c r="N25" i="2"/>
  <c r="M25" i="2"/>
  <c r="K25" i="2"/>
  <c r="L25" i="2" s="1"/>
  <c r="J25" i="2"/>
  <c r="N24" i="2"/>
  <c r="M24" i="2"/>
  <c r="O24" i="2" s="1"/>
  <c r="K24" i="2"/>
  <c r="J24" i="2"/>
  <c r="L24" i="2" s="1"/>
  <c r="O23" i="2"/>
  <c r="N23" i="2"/>
  <c r="M23" i="2"/>
  <c r="K23" i="2"/>
  <c r="L23" i="2" s="1"/>
  <c r="J23" i="2"/>
  <c r="N22" i="2"/>
  <c r="M22" i="2"/>
  <c r="O22" i="2" s="1"/>
  <c r="K22" i="2"/>
  <c r="J22" i="2"/>
  <c r="L22" i="2" s="1"/>
  <c r="O21" i="2"/>
  <c r="N21" i="2"/>
  <c r="M21" i="2"/>
  <c r="K21" i="2"/>
  <c r="L21" i="2" s="1"/>
  <c r="J21" i="2"/>
  <c r="Q20" i="2"/>
  <c r="P20" i="2"/>
  <c r="O20" i="2"/>
  <c r="N20" i="2"/>
  <c r="M20" i="2"/>
  <c r="K20" i="2"/>
  <c r="L20" i="2" s="1"/>
  <c r="J20" i="2"/>
  <c r="Q19" i="2"/>
  <c r="N19" i="2"/>
  <c r="O19" i="2" s="1"/>
  <c r="M19" i="2"/>
  <c r="K19" i="2"/>
  <c r="J19" i="2"/>
  <c r="L19" i="2" s="1"/>
  <c r="Q18" i="2"/>
  <c r="P18" i="2"/>
  <c r="N18" i="2"/>
  <c r="O18" i="2" s="1"/>
  <c r="M18" i="2"/>
  <c r="K18" i="2"/>
  <c r="J18" i="2"/>
  <c r="L18" i="2" s="1"/>
  <c r="N17" i="2"/>
  <c r="M17" i="2"/>
  <c r="O17" i="2" s="1"/>
  <c r="L17" i="2"/>
  <c r="K17" i="2"/>
  <c r="J17" i="2"/>
  <c r="P16" i="2"/>
  <c r="O16" i="2"/>
  <c r="N16" i="2"/>
  <c r="M16" i="2"/>
  <c r="K16" i="2"/>
  <c r="L16" i="2" s="1"/>
  <c r="J16" i="2"/>
  <c r="N15" i="2"/>
  <c r="M15" i="2"/>
  <c r="O15" i="2" s="1"/>
  <c r="K15" i="2"/>
  <c r="J15" i="2"/>
  <c r="L15" i="2" s="1"/>
  <c r="P14" i="2"/>
  <c r="O14" i="2"/>
  <c r="L14" i="2"/>
  <c r="P13" i="2"/>
  <c r="O13" i="2"/>
  <c r="L13" i="2"/>
  <c r="O12" i="2"/>
  <c r="L12" i="2"/>
  <c r="O11" i="2"/>
  <c r="L11" i="2"/>
  <c r="O10" i="2"/>
  <c r="L10" i="2"/>
  <c r="O9" i="2"/>
  <c r="L9" i="2"/>
  <c r="O8" i="2"/>
  <c r="L8" i="2"/>
  <c r="P7" i="2"/>
  <c r="O7" i="2"/>
  <c r="L7" i="2"/>
  <c r="O6" i="2"/>
  <c r="L6" i="2"/>
  <c r="O5" i="2"/>
  <c r="L5" i="2"/>
  <c r="O4" i="2"/>
  <c r="L4" i="2"/>
  <c r="O3" i="2"/>
  <c r="L3" i="2"/>
  <c r="O2" i="2"/>
  <c r="L2" i="2"/>
  <c r="K56" i="1"/>
  <c r="J56" i="1"/>
  <c r="I56" i="1"/>
  <c r="K55" i="1"/>
  <c r="J55" i="1"/>
  <c r="I55" i="1"/>
  <c r="K54" i="1"/>
  <c r="J54" i="1"/>
  <c r="I54" i="1"/>
  <c r="K53" i="1"/>
  <c r="J53" i="1"/>
  <c r="I53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J18" i="1"/>
  <c r="I18" i="1"/>
  <c r="J17" i="1"/>
  <c r="I17" i="1"/>
  <c r="J16" i="1"/>
  <c r="I16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9" i="1"/>
  <c r="J9" i="1"/>
  <c r="I9" i="1"/>
  <c r="K8" i="1"/>
  <c r="J8" i="1"/>
  <c r="I8" i="1"/>
  <c r="J7" i="1"/>
  <c r="I7" i="1"/>
  <c r="K6" i="1"/>
  <c r="J6" i="1"/>
  <c r="I6" i="1"/>
  <c r="K5" i="1"/>
  <c r="J5" i="1"/>
  <c r="K4" i="1"/>
  <c r="J4" i="1"/>
  <c r="L3" i="1"/>
  <c r="K3" i="1"/>
  <c r="J3" i="1"/>
  <c r="L2" i="1"/>
  <c r="K2" i="1"/>
  <c r="J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200-000001000000}">
      <text>
        <r>
          <rPr>
            <sz val="10"/>
            <color rgb="FF000000"/>
            <rFont val="Arial"/>
            <scheme val="minor"/>
          </rPr>
          <t>might remove if we take out video recording
	-Mary Heather Jingco</t>
        </r>
      </text>
    </comment>
  </commentList>
</comments>
</file>

<file path=xl/sharedStrings.xml><?xml version="1.0" encoding="utf-8"?>
<sst xmlns="http://schemas.openxmlformats.org/spreadsheetml/2006/main" count="2497" uniqueCount="251">
  <si>
    <t>Name</t>
  </si>
  <si>
    <t>Haircut Style</t>
  </si>
  <si>
    <t>Wing Punch Location</t>
  </si>
  <si>
    <t>Group</t>
  </si>
  <si>
    <t>Notes</t>
  </si>
  <si>
    <t>Capture Date</t>
  </si>
  <si>
    <t>Capture Location</t>
  </si>
  <si>
    <t>Age/Sex</t>
  </si>
  <si>
    <t>Initial Weight</t>
  </si>
  <si>
    <t>Weight before trial</t>
  </si>
  <si>
    <t>Release Weight</t>
  </si>
  <si>
    <t>FA Length</t>
  </si>
  <si>
    <t>Repro Stat</t>
  </si>
  <si>
    <t>Sample ectos (Yellow vial)</t>
  </si>
  <si>
    <t>Wing Punch (Red cap)</t>
  </si>
  <si>
    <t>Fecal Sample (%80 EtOH, Clear cap)</t>
  </si>
  <si>
    <t>Fur Sample (Dry vial)</t>
  </si>
  <si>
    <t>Key</t>
  </si>
  <si>
    <t>Johnessa_G3</t>
  </si>
  <si>
    <t>N/A</t>
  </si>
  <si>
    <t>Right wing, between second and third finger</t>
  </si>
  <si>
    <t>PILOT</t>
  </si>
  <si>
    <t>Outside lab area, Bat night</t>
  </si>
  <si>
    <t>Adult Female</t>
  </si>
  <si>
    <t>NL</t>
  </si>
  <si>
    <t>N</t>
  </si>
  <si>
    <t>Y</t>
  </si>
  <si>
    <t>Group 1</t>
  </si>
  <si>
    <t>Immediate Testing</t>
  </si>
  <si>
    <t>Rey_G3</t>
  </si>
  <si>
    <t>Adult Male</t>
  </si>
  <si>
    <t>NA</t>
  </si>
  <si>
    <t>Group 2</t>
  </si>
  <si>
    <t>Light Habituation</t>
  </si>
  <si>
    <t>Gray_G3</t>
  </si>
  <si>
    <t>Right shoulder</t>
  </si>
  <si>
    <t>Group 3</t>
  </si>
  <si>
    <t>Dark Habituation</t>
  </si>
  <si>
    <t>Leaf_G3</t>
  </si>
  <si>
    <t>Left butt</t>
  </si>
  <si>
    <t>Nami_G3</t>
  </si>
  <si>
    <t>Bunkers 2, 3, and 5</t>
  </si>
  <si>
    <t>Blesilda_G3</t>
  </si>
  <si>
    <t>Table_G3</t>
  </si>
  <si>
    <t>NR</t>
  </si>
  <si>
    <t>Eena_G3</t>
  </si>
  <si>
    <t>Left Butt</t>
  </si>
  <si>
    <t>WindexAJ_G1</t>
  </si>
  <si>
    <t>Outside lab area/SC Cage</t>
  </si>
  <si>
    <t>RM</t>
  </si>
  <si>
    <t>Brutus_G3</t>
  </si>
  <si>
    <t>PG Bunker</t>
  </si>
  <si>
    <t>Mariah Carey_G3</t>
  </si>
  <si>
    <t>Grinch_G3</t>
  </si>
  <si>
    <t>Right Butt</t>
  </si>
  <si>
    <t>Eggnog_G3</t>
  </si>
  <si>
    <t>Left Shoulder</t>
  </si>
  <si>
    <t>LC_G1</t>
  </si>
  <si>
    <t>Love Shack, Bunker 3</t>
  </si>
  <si>
    <t>NP/NL</t>
  </si>
  <si>
    <t>Grover_G1</t>
  </si>
  <si>
    <t>Oswald_G1</t>
  </si>
  <si>
    <t>Oscar_G1</t>
  </si>
  <si>
    <t>Right Shoulder</t>
  </si>
  <si>
    <t>Milo_G1</t>
  </si>
  <si>
    <t>GRR Tunnel</t>
  </si>
  <si>
    <t>Cinder Block_G1</t>
  </si>
  <si>
    <t>Cher_G1</t>
  </si>
  <si>
    <t>AglioOglio_G1</t>
  </si>
  <si>
    <t>Katara_G2</t>
  </si>
  <si>
    <t>Toph_G2</t>
  </si>
  <si>
    <t>Suki_G2</t>
  </si>
  <si>
    <t>Yue_G2</t>
  </si>
  <si>
    <t>Legume_G1</t>
  </si>
  <si>
    <t>EXPERIMENT</t>
  </si>
  <si>
    <t>Umami_G1</t>
  </si>
  <si>
    <t>Peanut_G1</t>
  </si>
  <si>
    <t>Scoby_G1</t>
  </si>
  <si>
    <t>Shroom_G3</t>
  </si>
  <si>
    <t>Pepino_G3</t>
  </si>
  <si>
    <t>Zest_G3</t>
  </si>
  <si>
    <t>Aguacate_G3</t>
  </si>
  <si>
    <t>Alba_G2</t>
  </si>
  <si>
    <t>Mackrel_G2</t>
  </si>
  <si>
    <t>Small Balls</t>
  </si>
  <si>
    <t>Sockeye_G2</t>
  </si>
  <si>
    <t>Mahi_G2</t>
  </si>
  <si>
    <t>Coho_G1</t>
  </si>
  <si>
    <t>Swai_G1</t>
  </si>
  <si>
    <t>Pia_G1</t>
  </si>
  <si>
    <t>Trout_G1</t>
  </si>
  <si>
    <t>Tina_G1</t>
  </si>
  <si>
    <t>Mou_G1</t>
  </si>
  <si>
    <t>Tun_G3</t>
  </si>
  <si>
    <t>Gara_G3</t>
  </si>
  <si>
    <t>How_G3</t>
  </si>
  <si>
    <t>Ler_G3</t>
  </si>
  <si>
    <t>Seltzer_G3</t>
  </si>
  <si>
    <t>Aguadecoco_G3</t>
  </si>
  <si>
    <t>Redbull_G2</t>
  </si>
  <si>
    <t>LaCroix_G2</t>
  </si>
  <si>
    <t>DECEASED</t>
  </si>
  <si>
    <t>Schweppes_G2</t>
  </si>
  <si>
    <t>Jugo_G2</t>
  </si>
  <si>
    <t>PruneJuice_G2</t>
  </si>
  <si>
    <t>CranApple_G2</t>
  </si>
  <si>
    <t>LS</t>
  </si>
  <si>
    <t>Bat ID</t>
  </si>
  <si>
    <t>Habituation Condition</t>
  </si>
  <si>
    <t>Lux Habituated</t>
  </si>
  <si>
    <t>Trial Date</t>
  </si>
  <si>
    <t>Trial Start Time</t>
  </si>
  <si>
    <t>Time Kept in Trial</t>
  </si>
  <si>
    <t>Light Side?</t>
  </si>
  <si>
    <t>Lux of Light</t>
  </si>
  <si>
    <t>Lux of Dark</t>
  </si>
  <si>
    <t>LIGHT Food wt before trial</t>
  </si>
  <si>
    <t>LIGHT Food wt after trial</t>
  </si>
  <si>
    <t>LIGHT Total amount eaten</t>
  </si>
  <si>
    <t>DARK Food wt before trial</t>
  </si>
  <si>
    <t>DARK Food wt after trial</t>
  </si>
  <si>
    <t>DARK Total amount eaten</t>
  </si>
  <si>
    <t>Number of calls/visit DARK</t>
  </si>
  <si>
    <t>Number of calls/visit LIGHT</t>
  </si>
  <si>
    <t>Number of choices at Light</t>
  </si>
  <si>
    <t>Number of choices at Dark</t>
  </si>
  <si>
    <t>Johnessa</t>
  </si>
  <si>
    <t>Dark</t>
  </si>
  <si>
    <t>None</t>
  </si>
  <si>
    <t>30 min</t>
  </si>
  <si>
    <t>Left</t>
  </si>
  <si>
    <t>Gray</t>
  </si>
  <si>
    <t>Right</t>
  </si>
  <si>
    <t>Rey</t>
  </si>
  <si>
    <t>Leaf</t>
  </si>
  <si>
    <t>1 hr</t>
  </si>
  <si>
    <t>Blesilda</t>
  </si>
  <si>
    <t>1 hr 30 min</t>
  </si>
  <si>
    <t>Nami</t>
  </si>
  <si>
    <t>3 hr</t>
  </si>
  <si>
    <t>Table</t>
  </si>
  <si>
    <t>Dark (2 nights)</t>
  </si>
  <si>
    <t>2 hr 45 min</t>
  </si>
  <si>
    <t>Eena</t>
  </si>
  <si>
    <t>Windex (AJ)</t>
  </si>
  <si>
    <t>Brutus</t>
  </si>
  <si>
    <t>Eggnog</t>
  </si>
  <si>
    <t>Mariah Carey</t>
  </si>
  <si>
    <t>Grinch</t>
  </si>
  <si>
    <t>LC</t>
  </si>
  <si>
    <t>Grover</t>
  </si>
  <si>
    <t>Oswald</t>
  </si>
  <si>
    <t>Oscar</t>
  </si>
  <si>
    <t>Milo</t>
  </si>
  <si>
    <t>Cinder Block</t>
  </si>
  <si>
    <t>Cher</t>
  </si>
  <si>
    <t>Aglio Oglio</t>
  </si>
  <si>
    <t>Katara</t>
  </si>
  <si>
    <t>Light</t>
  </si>
  <si>
    <t>Toph</t>
  </si>
  <si>
    <t>Suki</t>
  </si>
  <si>
    <t>Yue</t>
  </si>
  <si>
    <t>Legume</t>
  </si>
  <si>
    <t>Umami</t>
  </si>
  <si>
    <t>Peanut</t>
  </si>
  <si>
    <t>Scoby</t>
  </si>
  <si>
    <t>Shroom</t>
  </si>
  <si>
    <t>Pepino</t>
  </si>
  <si>
    <t>Zest</t>
  </si>
  <si>
    <t>Aguacate</t>
  </si>
  <si>
    <t>Alba (core tuna)</t>
  </si>
  <si>
    <t>Mackrel</t>
  </si>
  <si>
    <t>Sockeye (Salmon)</t>
  </si>
  <si>
    <t>Mahi (Mahi)</t>
  </si>
  <si>
    <t>Coho (Salmon)</t>
  </si>
  <si>
    <t>Swai</t>
  </si>
  <si>
    <t>(Tila) Pia</t>
  </si>
  <si>
    <t>Trout</t>
  </si>
  <si>
    <t>Bat_ID</t>
  </si>
  <si>
    <t>Visit_Number</t>
  </si>
  <si>
    <t>Video_Time</t>
  </si>
  <si>
    <t>Time_of_Night</t>
  </si>
  <si>
    <t>Side</t>
  </si>
  <si>
    <t>Location</t>
  </si>
  <si>
    <t>Number_of_calls</t>
  </si>
  <si>
    <t>Got_food?</t>
  </si>
  <si>
    <t>Video_Name</t>
  </si>
  <si>
    <t>Audio_Name</t>
  </si>
  <si>
    <t>Light_R</t>
  </si>
  <si>
    <t>C0004.mp4</t>
  </si>
  <si>
    <t>C0004.mp5</t>
  </si>
  <si>
    <t>C0004.mp6</t>
  </si>
  <si>
    <t>C0004.mp7</t>
  </si>
  <si>
    <t>Dark_L</t>
  </si>
  <si>
    <t>C0003.mp4</t>
  </si>
  <si>
    <t>Enna_G3</t>
  </si>
  <si>
    <t>CLIP_2 C0003.mp4</t>
  </si>
  <si>
    <t>CLIP_2 C0004.mp4</t>
  </si>
  <si>
    <t>Sat and ate for 27 seconds</t>
  </si>
  <si>
    <t>Dark_R</t>
  </si>
  <si>
    <t>00003.mts</t>
  </si>
  <si>
    <t>Sat and ate for 17 seconds</t>
  </si>
  <si>
    <t>Sat and ate for 20 seconds</t>
  </si>
  <si>
    <t>00004.mts</t>
  </si>
  <si>
    <t>Sat and ate for 16 seconds</t>
  </si>
  <si>
    <t>00006.mts</t>
  </si>
  <si>
    <t>Landed but no food taken?</t>
  </si>
  <si>
    <t>landed and ate for 10 seconds</t>
  </si>
  <si>
    <t>00007.mts</t>
  </si>
  <si>
    <t>landed and ate, 9 sec</t>
  </si>
  <si>
    <t>00009.mts</t>
  </si>
  <si>
    <t>Landed</t>
  </si>
  <si>
    <t>00010.mts</t>
  </si>
  <si>
    <t>dropped banana</t>
  </si>
  <si>
    <t>landed</t>
  </si>
  <si>
    <t>Clip 2</t>
  </si>
  <si>
    <t>Hovered</t>
  </si>
  <si>
    <t>Tried to grab food</t>
  </si>
  <si>
    <t>Bit food</t>
  </si>
  <si>
    <t>Clip 4</t>
  </si>
  <si>
    <t>Grabbed a piece</t>
  </si>
  <si>
    <t>00001.mts</t>
  </si>
  <si>
    <t>Landed and ate for 3s</t>
  </si>
  <si>
    <t>Landed, ate for 9s</t>
  </si>
  <si>
    <t>Hovered over food</t>
  </si>
  <si>
    <t>hovered from two different angles between 14s and 15s and then grabbed food</t>
  </si>
  <si>
    <t>hover</t>
  </si>
  <si>
    <t>hovered</t>
  </si>
  <si>
    <t>Landed in food</t>
  </si>
  <si>
    <t>landed, grabbed food unsure</t>
  </si>
  <si>
    <t>hovered some distance away from platform</t>
  </si>
  <si>
    <t>Hover</t>
  </si>
  <si>
    <t>bit food</t>
  </si>
  <si>
    <t>Clip 1</t>
  </si>
  <si>
    <t xml:space="preserve">Clip 3 </t>
  </si>
  <si>
    <t>Sat and ate for a min and 21</t>
  </si>
  <si>
    <t>00000.mts</t>
  </si>
  <si>
    <t xml:space="preserve">Landed and ate for 51 seconds!! </t>
  </si>
  <si>
    <t>00002.mts</t>
  </si>
  <si>
    <t>Hovering for 3 seconds</t>
  </si>
  <si>
    <t>fly-over</t>
  </si>
  <si>
    <t>Tried to bite food</t>
  </si>
  <si>
    <t>Landed, ate for 15 seconds</t>
  </si>
  <si>
    <t>Grabbed food</t>
  </si>
  <si>
    <t>Clip 3</t>
  </si>
  <si>
    <t>Landed and grabbed food</t>
  </si>
  <si>
    <t>Dark_Left</t>
  </si>
  <si>
    <t>C0001.mp4</t>
  </si>
  <si>
    <t>Landed for 7 sec and grabbed food</t>
  </si>
  <si>
    <t>C0002.mp4</t>
  </si>
  <si>
    <t>grabbed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</si>
</sst>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h&quot;:&quot;mm&quot;:&quot;ss&quot; &quot;"/>
  </numFmts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9"/>
      <color rgb="FF1155CC"/>
      <name val="&quot;Google Sans Mono&quot;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64" fontId="2" fillId="3" borderId="0" xfId="0" applyNumberFormat="1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right"/>
    </xf>
    <xf numFmtId="0" fontId="1" fillId="0" borderId="0" xfId="0" applyFont="1" applyAlignment="1">
      <alignment horizontal="right" wrapText="1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 wrapText="1"/>
    </xf>
    <xf numFmtId="14" fontId="1" fillId="0" borderId="0" xfId="0" applyNumberFormat="1" applyFont="1" applyAlignment="1">
      <alignment horizontal="left" wrapText="1"/>
    </xf>
    <xf numFmtId="164" fontId="1" fillId="0" borderId="0" xfId="0" applyNumberFormat="1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1" fillId="0" borderId="0" xfId="0" applyFont="1"/>
    <xf numFmtId="0" fontId="1" fillId="4" borderId="0" xfId="0" applyFont="1" applyFill="1" applyAlignment="1">
      <alignment wrapText="1"/>
    </xf>
    <xf numFmtId="164" fontId="1" fillId="4" borderId="0" xfId="0" applyNumberFormat="1" applyFont="1" applyFill="1" applyAlignment="1">
      <alignment wrapText="1"/>
    </xf>
    <xf numFmtId="20" fontId="1" fillId="0" borderId="0" xfId="0" applyNumberFormat="1" applyFont="1" applyAlignment="1">
      <alignment wrapText="1"/>
    </xf>
    <xf numFmtId="0" fontId="1" fillId="2" borderId="0" xfId="0" applyFont="1" applyFill="1"/>
    <xf numFmtId="0" fontId="1" fillId="5" borderId="0" xfId="0" applyFont="1" applyFill="1" applyAlignment="1">
      <alignment wrapText="1"/>
    </xf>
    <xf numFmtId="164" fontId="1" fillId="5" borderId="0" xfId="0" applyNumberFormat="1" applyFont="1" applyFill="1" applyAlignment="1">
      <alignment wrapText="1"/>
    </xf>
    <xf numFmtId="20" fontId="1" fillId="5" borderId="0" xfId="0" applyNumberFormat="1" applyFont="1" applyFill="1" applyAlignment="1">
      <alignment wrapText="1"/>
    </xf>
    <xf numFmtId="0" fontId="1" fillId="5" borderId="0" xfId="0" applyFont="1" applyFill="1"/>
    <xf numFmtId="14" fontId="1" fillId="0" borderId="0" xfId="0" applyNumberFormat="1" applyFont="1"/>
    <xf numFmtId="20" fontId="1" fillId="0" borderId="0" xfId="0" applyNumberFormat="1" applyFont="1"/>
    <xf numFmtId="14" fontId="1" fillId="5" borderId="0" xfId="0" applyNumberFormat="1" applyFont="1" applyFill="1"/>
    <xf numFmtId="20" fontId="1" fillId="5" borderId="0" xfId="0" applyNumberFormat="1" applyFont="1" applyFill="1"/>
    <xf numFmtId="164" fontId="1" fillId="0" borderId="0" xfId="0" applyNumberFormat="1" applyFont="1"/>
    <xf numFmtId="164" fontId="1" fillId="5" borderId="0" xfId="0" applyNumberFormat="1" applyFont="1" applyFill="1"/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20" fontId="1" fillId="0" borderId="1" xfId="0" applyNumberFormat="1" applyFont="1" applyBorder="1"/>
    <xf numFmtId="0" fontId="1" fillId="2" borderId="1" xfId="0" applyFont="1" applyFill="1" applyBorder="1"/>
    <xf numFmtId="0" fontId="1" fillId="5" borderId="0" xfId="0" applyFont="1" applyFill="1" applyAlignment="1">
      <alignment horizontal="left"/>
    </xf>
    <xf numFmtId="18" fontId="1" fillId="5" borderId="0" xfId="0" applyNumberFormat="1" applyFont="1" applyFill="1"/>
    <xf numFmtId="18" fontId="1" fillId="0" borderId="0" xfId="0" applyNumberFormat="1" applyFont="1"/>
    <xf numFmtId="0" fontId="1" fillId="4" borderId="0" xfId="0" applyFont="1" applyFill="1"/>
    <xf numFmtId="164" fontId="1" fillId="4" borderId="0" xfId="0" applyNumberFormat="1" applyFont="1" applyFill="1"/>
    <xf numFmtId="18" fontId="1" fillId="4" borderId="0" xfId="0" applyNumberFormat="1" applyFont="1" applyFill="1"/>
    <xf numFmtId="46" fontId="1" fillId="0" borderId="0" xfId="0" applyNumberFormat="1" applyFont="1"/>
    <xf numFmtId="46" fontId="1" fillId="0" borderId="1" xfId="0" applyNumberFormat="1" applyFont="1" applyBorder="1"/>
    <xf numFmtId="165" fontId="1" fillId="0" borderId="0" xfId="0" applyNumberFormat="1" applyFont="1"/>
    <xf numFmtId="0" fontId="4" fillId="0" borderId="0" xfId="0" applyFont="1"/>
    <xf numFmtId="2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15.6640625" customWidth="1"/>
    <col min="3" max="3" width="17.83203125" customWidth="1"/>
    <col min="5" max="5" width="14.6640625" customWidth="1"/>
    <col min="9" max="9" width="16" customWidth="1"/>
    <col min="13" max="13" width="14.5" customWidth="1"/>
  </cols>
  <sheetData>
    <row r="1" spans="1:3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2" t="s">
        <v>17</v>
      </c>
      <c r="T1" s="2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>
      <c r="A2" s="1" t="s">
        <v>18</v>
      </c>
      <c r="B2" s="1" t="s">
        <v>19</v>
      </c>
      <c r="C2" s="1" t="s">
        <v>20</v>
      </c>
      <c r="D2" s="1">
        <v>3</v>
      </c>
      <c r="E2" s="1" t="s">
        <v>21</v>
      </c>
      <c r="F2" s="3">
        <v>45263</v>
      </c>
      <c r="G2" s="4" t="s">
        <v>22</v>
      </c>
      <c r="H2" s="4" t="s">
        <v>23</v>
      </c>
      <c r="I2" s="1">
        <f t="shared" ref="I2:J2" si="0">48.5-31.5</f>
        <v>17</v>
      </c>
      <c r="J2" s="5">
        <f t="shared" si="0"/>
        <v>17</v>
      </c>
      <c r="K2" s="6">
        <f>47-28</f>
        <v>19</v>
      </c>
      <c r="L2" s="1" t="str">
        <f t="shared" ref="L2:L3" si="1">CONCATENATE(LEFT(B2,FIND("/",B2) - 1),RIGHT(B2,LEN(B2) - (FIND("/",B2))))</f>
        <v>NA</v>
      </c>
      <c r="M2" s="1" t="s">
        <v>24</v>
      </c>
      <c r="N2" s="1" t="s">
        <v>25</v>
      </c>
      <c r="O2" s="1" t="s">
        <v>26</v>
      </c>
      <c r="P2" s="1" t="s">
        <v>25</v>
      </c>
      <c r="Q2" s="1" t="s">
        <v>25</v>
      </c>
      <c r="R2" s="1"/>
      <c r="S2" s="2" t="s">
        <v>27</v>
      </c>
      <c r="T2" s="2" t="s">
        <v>28</v>
      </c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>
      <c r="A3" s="1" t="s">
        <v>29</v>
      </c>
      <c r="B3" s="1" t="s">
        <v>19</v>
      </c>
      <c r="C3" s="1" t="s">
        <v>20</v>
      </c>
      <c r="D3" s="1">
        <v>3</v>
      </c>
      <c r="E3" s="1" t="s">
        <v>21</v>
      </c>
      <c r="F3" s="3">
        <v>45263</v>
      </c>
      <c r="G3" s="4" t="s">
        <v>22</v>
      </c>
      <c r="H3" s="4" t="s">
        <v>30</v>
      </c>
      <c r="I3" s="1">
        <v>16.5</v>
      </c>
      <c r="J3" s="7">
        <f>43-27</f>
        <v>16</v>
      </c>
      <c r="K3" s="7">
        <f>50.5-34.5</f>
        <v>16</v>
      </c>
      <c r="L3" s="8" t="str">
        <f t="shared" si="1"/>
        <v>NA</v>
      </c>
      <c r="M3" s="1" t="s">
        <v>31</v>
      </c>
      <c r="N3" s="1" t="s">
        <v>25</v>
      </c>
      <c r="O3" s="1" t="s">
        <v>26</v>
      </c>
      <c r="P3" s="1" t="s">
        <v>25</v>
      </c>
      <c r="Q3" s="1" t="s">
        <v>25</v>
      </c>
      <c r="R3" s="1"/>
      <c r="S3" s="2" t="s">
        <v>32</v>
      </c>
      <c r="T3" s="2" t="s">
        <v>33</v>
      </c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customHeight="1">
      <c r="A4" s="1" t="s">
        <v>34</v>
      </c>
      <c r="B4" s="1" t="s">
        <v>35</v>
      </c>
      <c r="C4" s="1" t="s">
        <v>20</v>
      </c>
      <c r="D4" s="1">
        <v>3</v>
      </c>
      <c r="E4" s="1" t="s">
        <v>21</v>
      </c>
      <c r="F4" s="3">
        <v>45263</v>
      </c>
      <c r="G4" s="4" t="s">
        <v>22</v>
      </c>
      <c r="H4" s="4" t="s">
        <v>30</v>
      </c>
      <c r="I4" s="1">
        <v>19</v>
      </c>
      <c r="J4" s="7">
        <f>46-28</f>
        <v>18</v>
      </c>
      <c r="K4" s="9">
        <f>51.5-32</f>
        <v>19.5</v>
      </c>
      <c r="L4" s="8" t="s">
        <v>31</v>
      </c>
      <c r="M4" s="1" t="s">
        <v>31</v>
      </c>
      <c r="N4" s="1" t="s">
        <v>25</v>
      </c>
      <c r="O4" s="1" t="s">
        <v>26</v>
      </c>
      <c r="P4" s="1" t="s">
        <v>25</v>
      </c>
      <c r="Q4" s="1" t="s">
        <v>25</v>
      </c>
      <c r="R4" s="1"/>
      <c r="S4" s="2" t="s">
        <v>36</v>
      </c>
      <c r="T4" s="2" t="s">
        <v>37</v>
      </c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.75" customHeight="1">
      <c r="A5" s="1" t="s">
        <v>38</v>
      </c>
      <c r="B5" s="1" t="s">
        <v>39</v>
      </c>
      <c r="C5" s="1" t="s">
        <v>20</v>
      </c>
      <c r="D5" s="1">
        <v>3</v>
      </c>
      <c r="E5" s="1" t="s">
        <v>21</v>
      </c>
      <c r="F5" s="3">
        <v>45263</v>
      </c>
      <c r="G5" s="4" t="s">
        <v>22</v>
      </c>
      <c r="H5" s="4" t="s">
        <v>30</v>
      </c>
      <c r="I5" s="1">
        <v>20</v>
      </c>
      <c r="J5" s="7">
        <f>53-34</f>
        <v>19</v>
      </c>
      <c r="K5" s="7">
        <f>45-27</f>
        <v>18</v>
      </c>
      <c r="L5" s="8" t="s">
        <v>31</v>
      </c>
      <c r="M5" s="1" t="s">
        <v>31</v>
      </c>
      <c r="N5" s="1" t="s">
        <v>25</v>
      </c>
      <c r="O5" s="1" t="s">
        <v>26</v>
      </c>
      <c r="P5" s="1" t="s">
        <v>25</v>
      </c>
      <c r="Q5" s="1" t="s">
        <v>25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75" customHeight="1">
      <c r="A6" s="1" t="s">
        <v>40</v>
      </c>
      <c r="B6" s="1" t="s">
        <v>19</v>
      </c>
      <c r="C6" s="1" t="s">
        <v>20</v>
      </c>
      <c r="D6" s="1">
        <v>3</v>
      </c>
      <c r="E6" s="1" t="s">
        <v>21</v>
      </c>
      <c r="F6" s="10">
        <v>45266</v>
      </c>
      <c r="G6" s="1" t="s">
        <v>41</v>
      </c>
      <c r="H6" s="1" t="s">
        <v>23</v>
      </c>
      <c r="I6" s="1">
        <f>50-28.5</f>
        <v>21.5</v>
      </c>
      <c r="J6" s="1">
        <f>52.5-34</f>
        <v>18.5</v>
      </c>
      <c r="K6" s="1">
        <f>44-27</f>
        <v>17</v>
      </c>
      <c r="L6" s="1">
        <v>42.3</v>
      </c>
      <c r="M6" s="1" t="s">
        <v>24</v>
      </c>
      <c r="N6" s="1" t="s">
        <v>25</v>
      </c>
      <c r="O6" s="1" t="s">
        <v>26</v>
      </c>
      <c r="P6" s="1" t="s">
        <v>25</v>
      </c>
      <c r="Q6" s="1" t="s">
        <v>25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.75" customHeight="1">
      <c r="A7" s="1" t="s">
        <v>42</v>
      </c>
      <c r="B7" s="1" t="s">
        <v>35</v>
      </c>
      <c r="C7" s="1" t="s">
        <v>20</v>
      </c>
      <c r="D7" s="1">
        <v>3</v>
      </c>
      <c r="E7" s="1" t="s">
        <v>21</v>
      </c>
      <c r="F7" s="10">
        <v>45266</v>
      </c>
      <c r="G7" s="1" t="s">
        <v>41</v>
      </c>
      <c r="H7" s="8" t="s">
        <v>23</v>
      </c>
      <c r="I7" s="1">
        <f>55.5-37.5</f>
        <v>18</v>
      </c>
      <c r="J7" s="1">
        <f>52-32</f>
        <v>20</v>
      </c>
      <c r="K7" s="1">
        <v>14</v>
      </c>
      <c r="L7" s="1">
        <v>41.35</v>
      </c>
      <c r="M7" s="1" t="s">
        <v>24</v>
      </c>
      <c r="N7" s="1" t="s">
        <v>25</v>
      </c>
      <c r="O7" s="1" t="s">
        <v>26</v>
      </c>
      <c r="P7" s="1" t="s">
        <v>25</v>
      </c>
      <c r="Q7" s="1" t="s">
        <v>25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.75" customHeight="1">
      <c r="A8" s="1" t="s">
        <v>43</v>
      </c>
      <c r="B8" s="1" t="s">
        <v>19</v>
      </c>
      <c r="C8" s="1" t="s">
        <v>20</v>
      </c>
      <c r="D8" s="1">
        <v>3</v>
      </c>
      <c r="E8" s="1" t="s">
        <v>21</v>
      </c>
      <c r="F8" s="10">
        <v>45266</v>
      </c>
      <c r="G8" s="1" t="s">
        <v>41</v>
      </c>
      <c r="H8" s="8" t="s">
        <v>30</v>
      </c>
      <c r="I8" s="1">
        <f>44-25</f>
        <v>19</v>
      </c>
      <c r="J8" s="1">
        <f t="shared" ref="J8:K8" si="2">53-35</f>
        <v>18</v>
      </c>
      <c r="K8" s="1">
        <f t="shared" si="2"/>
        <v>18</v>
      </c>
      <c r="L8" s="1">
        <v>40.799999999999997</v>
      </c>
      <c r="M8" s="1" t="s">
        <v>44</v>
      </c>
      <c r="N8" s="1" t="s">
        <v>25</v>
      </c>
      <c r="O8" s="1" t="s">
        <v>26</v>
      </c>
      <c r="P8" s="1" t="s">
        <v>25</v>
      </c>
      <c r="Q8" s="1" t="s">
        <v>25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.75" customHeight="1">
      <c r="A9" s="1" t="s">
        <v>45</v>
      </c>
      <c r="B9" s="1" t="s">
        <v>46</v>
      </c>
      <c r="C9" s="1" t="s">
        <v>20</v>
      </c>
      <c r="D9" s="1">
        <v>3</v>
      </c>
      <c r="E9" s="1" t="s">
        <v>21</v>
      </c>
      <c r="F9" s="10">
        <v>45266</v>
      </c>
      <c r="G9" s="1" t="s">
        <v>41</v>
      </c>
      <c r="H9" s="8" t="s">
        <v>23</v>
      </c>
      <c r="I9" s="1">
        <f>56-39.5</f>
        <v>16.5</v>
      </c>
      <c r="J9" s="1">
        <f t="shared" ref="J9:K9" si="3">48-32</f>
        <v>16</v>
      </c>
      <c r="K9" s="1">
        <f t="shared" si="3"/>
        <v>16</v>
      </c>
      <c r="L9" s="1">
        <v>39.799999999999997</v>
      </c>
      <c r="M9" s="1" t="s">
        <v>24</v>
      </c>
      <c r="N9" s="1" t="s">
        <v>25</v>
      </c>
      <c r="O9" s="1" t="s">
        <v>26</v>
      </c>
      <c r="P9" s="1" t="s">
        <v>25</v>
      </c>
      <c r="Q9" s="1" t="s">
        <v>25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.75" customHeight="1">
      <c r="A10" s="1" t="s">
        <v>47</v>
      </c>
      <c r="B10" s="1" t="s">
        <v>19</v>
      </c>
      <c r="C10" s="1" t="s">
        <v>19</v>
      </c>
      <c r="D10" s="1">
        <v>1</v>
      </c>
      <c r="E10" s="1" t="s">
        <v>21</v>
      </c>
      <c r="F10" s="10">
        <v>45268</v>
      </c>
      <c r="G10" s="1" t="s">
        <v>48</v>
      </c>
      <c r="H10" s="1" t="s">
        <v>30</v>
      </c>
      <c r="I10" s="1">
        <v>46</v>
      </c>
      <c r="J10" s="1">
        <v>46</v>
      </c>
      <c r="K10" s="1">
        <v>46</v>
      </c>
      <c r="L10" s="1">
        <v>42</v>
      </c>
      <c r="M10" s="1" t="s">
        <v>49</v>
      </c>
      <c r="N10" s="1" t="s">
        <v>25</v>
      </c>
      <c r="O10" s="1" t="s">
        <v>25</v>
      </c>
      <c r="P10" s="1" t="s">
        <v>25</v>
      </c>
      <c r="Q10" s="1" t="s">
        <v>25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customHeight="1">
      <c r="A11" s="1" t="s">
        <v>50</v>
      </c>
      <c r="B11" s="1" t="s">
        <v>19</v>
      </c>
      <c r="C11" s="1" t="s">
        <v>20</v>
      </c>
      <c r="D11" s="1">
        <v>3</v>
      </c>
      <c r="E11" s="1" t="s">
        <v>21</v>
      </c>
      <c r="F11" s="11">
        <v>45273</v>
      </c>
      <c r="G11" s="1" t="s">
        <v>51</v>
      </c>
      <c r="H11" s="1" t="s">
        <v>30</v>
      </c>
      <c r="I11" s="1">
        <f>47.5-28.5</f>
        <v>19</v>
      </c>
      <c r="J11" s="1">
        <f t="shared" ref="J11:K11" si="4">57-37</f>
        <v>20</v>
      </c>
      <c r="K11" s="1">
        <f t="shared" si="4"/>
        <v>20</v>
      </c>
      <c r="L11" s="1"/>
      <c r="M11" s="1" t="s">
        <v>49</v>
      </c>
      <c r="N11" s="1" t="s">
        <v>25</v>
      </c>
      <c r="O11" s="1" t="s">
        <v>26</v>
      </c>
      <c r="P11" s="1" t="s">
        <v>25</v>
      </c>
      <c r="Q11" s="1" t="s">
        <v>25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.75" customHeight="1">
      <c r="A12" s="1" t="s">
        <v>52</v>
      </c>
      <c r="B12" s="1" t="s">
        <v>19</v>
      </c>
      <c r="C12" s="1" t="s">
        <v>20</v>
      </c>
      <c r="D12" s="1">
        <v>3</v>
      </c>
      <c r="E12" s="1" t="s">
        <v>21</v>
      </c>
      <c r="F12" s="11">
        <v>45273</v>
      </c>
      <c r="G12" s="1" t="s">
        <v>51</v>
      </c>
      <c r="H12" s="8" t="s">
        <v>23</v>
      </c>
      <c r="I12" s="1">
        <f>53.5-34</f>
        <v>19.5</v>
      </c>
      <c r="J12" s="1">
        <f t="shared" ref="J12:K12" si="5">51.5-33</f>
        <v>18.5</v>
      </c>
      <c r="K12" s="1">
        <f t="shared" si="5"/>
        <v>18.5</v>
      </c>
      <c r="L12" s="1"/>
      <c r="M12" s="1" t="s">
        <v>24</v>
      </c>
      <c r="N12" s="1" t="s">
        <v>25</v>
      </c>
      <c r="O12" s="1" t="s">
        <v>26</v>
      </c>
      <c r="P12" s="1" t="s">
        <v>25</v>
      </c>
      <c r="Q12" s="1" t="s">
        <v>25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.75" customHeight="1">
      <c r="A13" s="1" t="s">
        <v>53</v>
      </c>
      <c r="B13" s="1" t="s">
        <v>54</v>
      </c>
      <c r="C13" s="1" t="s">
        <v>20</v>
      </c>
      <c r="D13" s="1">
        <v>3</v>
      </c>
      <c r="E13" s="1" t="s">
        <v>21</v>
      </c>
      <c r="F13" s="11">
        <v>45273</v>
      </c>
      <c r="G13" s="1" t="s">
        <v>51</v>
      </c>
      <c r="H13" s="8" t="s">
        <v>23</v>
      </c>
      <c r="I13" s="1">
        <f>43-26</f>
        <v>17</v>
      </c>
      <c r="J13" s="1">
        <f t="shared" ref="J13:K13" si="6">47-32</f>
        <v>15</v>
      </c>
      <c r="K13" s="1">
        <f t="shared" si="6"/>
        <v>15</v>
      </c>
      <c r="L13" s="1"/>
      <c r="M13" s="8" t="s">
        <v>24</v>
      </c>
      <c r="N13" s="1" t="s">
        <v>25</v>
      </c>
      <c r="O13" s="1" t="s">
        <v>26</v>
      </c>
      <c r="P13" s="1" t="s">
        <v>25</v>
      </c>
      <c r="Q13" s="1" t="s">
        <v>25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.75" customHeight="1">
      <c r="A14" s="1" t="s">
        <v>55</v>
      </c>
      <c r="B14" s="1" t="s">
        <v>56</v>
      </c>
      <c r="C14" s="1" t="s">
        <v>20</v>
      </c>
      <c r="D14" s="1">
        <v>3</v>
      </c>
      <c r="E14" s="1" t="s">
        <v>21</v>
      </c>
      <c r="F14" s="11">
        <v>45273</v>
      </c>
      <c r="G14" s="1" t="s">
        <v>51</v>
      </c>
      <c r="H14" s="8" t="s">
        <v>23</v>
      </c>
      <c r="I14" s="1">
        <f>46-29</f>
        <v>17</v>
      </c>
      <c r="J14" s="1">
        <f t="shared" ref="J14:K14" si="7">48-32</f>
        <v>16</v>
      </c>
      <c r="K14" s="1">
        <f t="shared" si="7"/>
        <v>16</v>
      </c>
      <c r="L14" s="1"/>
      <c r="M14" s="1" t="s">
        <v>24</v>
      </c>
      <c r="N14" s="1" t="s">
        <v>25</v>
      </c>
      <c r="O14" s="1" t="s">
        <v>26</v>
      </c>
      <c r="P14" s="1" t="s">
        <v>25</v>
      </c>
      <c r="Q14" s="1" t="s">
        <v>25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.75" customHeight="1">
      <c r="A15" s="1" t="s">
        <v>57</v>
      </c>
      <c r="B15" s="1" t="s">
        <v>19</v>
      </c>
      <c r="C15" s="1" t="s">
        <v>20</v>
      </c>
      <c r="D15" s="1">
        <v>1</v>
      </c>
      <c r="E15" s="1" t="s">
        <v>21</v>
      </c>
      <c r="F15" s="12">
        <v>45309</v>
      </c>
      <c r="G15" s="1" t="s">
        <v>58</v>
      </c>
      <c r="H15" s="1" t="s">
        <v>23</v>
      </c>
      <c r="I15" s="1">
        <f t="shared" ref="I15:J15" si="8">49-31.5</f>
        <v>17.5</v>
      </c>
      <c r="J15" s="1">
        <f t="shared" si="8"/>
        <v>17.5</v>
      </c>
      <c r="K15" s="1">
        <v>15</v>
      </c>
      <c r="L15" s="1">
        <v>44.6</v>
      </c>
      <c r="M15" s="1" t="s">
        <v>59</v>
      </c>
      <c r="N15" s="1" t="s">
        <v>25</v>
      </c>
      <c r="O15" s="1" t="s">
        <v>26</v>
      </c>
      <c r="P15" s="1" t="s">
        <v>25</v>
      </c>
      <c r="Q15" s="1" t="s">
        <v>25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.75" customHeight="1">
      <c r="A16" s="1" t="s">
        <v>60</v>
      </c>
      <c r="B16" s="1" t="s">
        <v>19</v>
      </c>
      <c r="C16" s="1" t="s">
        <v>20</v>
      </c>
      <c r="D16" s="1">
        <v>1</v>
      </c>
      <c r="E16" s="1" t="s">
        <v>21</v>
      </c>
      <c r="F16" s="12">
        <v>45309</v>
      </c>
      <c r="G16" s="1" t="s">
        <v>58</v>
      </c>
      <c r="H16" s="1" t="s">
        <v>30</v>
      </c>
      <c r="I16" s="1">
        <f t="shared" ref="I16:J16" si="9">44.5-28</f>
        <v>16.5</v>
      </c>
      <c r="J16" s="1">
        <f t="shared" si="9"/>
        <v>16.5</v>
      </c>
      <c r="K16" s="1">
        <v>18</v>
      </c>
      <c r="L16" s="1">
        <v>41.15</v>
      </c>
      <c r="M16" s="1" t="s">
        <v>49</v>
      </c>
      <c r="N16" s="1" t="s">
        <v>25</v>
      </c>
      <c r="O16" s="1" t="s">
        <v>26</v>
      </c>
      <c r="P16" s="1" t="s">
        <v>25</v>
      </c>
      <c r="Q16" s="1" t="s">
        <v>25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.75" customHeight="1">
      <c r="A17" s="1" t="s">
        <v>61</v>
      </c>
      <c r="B17" s="1" t="s">
        <v>46</v>
      </c>
      <c r="C17" s="1" t="s">
        <v>20</v>
      </c>
      <c r="D17" s="1">
        <v>1</v>
      </c>
      <c r="E17" s="1" t="s">
        <v>21</v>
      </c>
      <c r="F17" s="12">
        <v>45309</v>
      </c>
      <c r="G17" s="1" t="s">
        <v>58</v>
      </c>
      <c r="H17" s="1" t="s">
        <v>30</v>
      </c>
      <c r="I17" s="1">
        <f t="shared" ref="I17:J17" si="10">57.5-37</f>
        <v>20.5</v>
      </c>
      <c r="J17" s="1">
        <f t="shared" si="10"/>
        <v>20.5</v>
      </c>
      <c r="K17" s="1">
        <v>21.6</v>
      </c>
      <c r="L17" s="1">
        <v>42.5</v>
      </c>
      <c r="M17" s="1" t="s">
        <v>49</v>
      </c>
      <c r="N17" s="1" t="s">
        <v>25</v>
      </c>
      <c r="O17" s="1" t="s">
        <v>26</v>
      </c>
      <c r="P17" s="1" t="s">
        <v>25</v>
      </c>
      <c r="Q17" s="1" t="s">
        <v>25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.75" customHeight="1">
      <c r="A18" s="1" t="s">
        <v>62</v>
      </c>
      <c r="B18" s="1" t="s">
        <v>63</v>
      </c>
      <c r="C18" s="1" t="s">
        <v>20</v>
      </c>
      <c r="D18" s="1">
        <v>1</v>
      </c>
      <c r="E18" s="1" t="s">
        <v>21</v>
      </c>
      <c r="F18" s="12">
        <v>45309</v>
      </c>
      <c r="G18" s="1" t="s">
        <v>58</v>
      </c>
      <c r="H18" s="1" t="s">
        <v>30</v>
      </c>
      <c r="I18" s="1">
        <f t="shared" ref="I18:J18" si="11">58-41</f>
        <v>17</v>
      </c>
      <c r="J18" s="1">
        <f t="shared" si="11"/>
        <v>17</v>
      </c>
      <c r="K18" s="1">
        <v>19</v>
      </c>
      <c r="L18" s="1">
        <v>41.2</v>
      </c>
      <c r="M18" s="1" t="s">
        <v>49</v>
      </c>
      <c r="N18" s="1" t="s">
        <v>25</v>
      </c>
      <c r="O18" s="1" t="s">
        <v>26</v>
      </c>
      <c r="P18" s="1" t="s">
        <v>25</v>
      </c>
      <c r="Q18" s="1" t="s">
        <v>25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75" customHeight="1">
      <c r="A19" s="1" t="s">
        <v>64</v>
      </c>
      <c r="B19" s="1" t="s">
        <v>19</v>
      </c>
      <c r="C19" s="1" t="s">
        <v>20</v>
      </c>
      <c r="D19" s="1">
        <v>1</v>
      </c>
      <c r="E19" s="1" t="s">
        <v>21</v>
      </c>
      <c r="F19" s="12">
        <v>45315</v>
      </c>
      <c r="G19" s="1" t="s">
        <v>65</v>
      </c>
      <c r="H19" s="1" t="s">
        <v>30</v>
      </c>
      <c r="I19" s="1">
        <f t="shared" ref="I19:J19" si="12">41-21</f>
        <v>20</v>
      </c>
      <c r="J19" s="1">
        <f t="shared" si="12"/>
        <v>20</v>
      </c>
      <c r="K19" s="1">
        <f>56-37.5</f>
        <v>18.5</v>
      </c>
      <c r="L19" s="1">
        <v>43.8</v>
      </c>
      <c r="M19" s="1" t="s">
        <v>49</v>
      </c>
      <c r="N19" s="1" t="s">
        <v>25</v>
      </c>
      <c r="O19" s="1" t="s">
        <v>26</v>
      </c>
      <c r="P19" s="1" t="s">
        <v>25</v>
      </c>
      <c r="Q19" s="1" t="s">
        <v>25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75" customHeight="1">
      <c r="A20" s="1" t="s">
        <v>66</v>
      </c>
      <c r="B20" s="1" t="s">
        <v>46</v>
      </c>
      <c r="C20" s="1" t="s">
        <v>20</v>
      </c>
      <c r="D20" s="1">
        <v>1</v>
      </c>
      <c r="E20" s="1" t="s">
        <v>21</v>
      </c>
      <c r="F20" s="12">
        <v>45315</v>
      </c>
      <c r="G20" s="1" t="s">
        <v>65</v>
      </c>
      <c r="H20" s="1" t="s">
        <v>30</v>
      </c>
      <c r="I20" s="1">
        <f t="shared" ref="I20:J20" si="13">47-29</f>
        <v>18</v>
      </c>
      <c r="J20" s="1">
        <f t="shared" si="13"/>
        <v>18</v>
      </c>
      <c r="K20" s="1">
        <f>48-28.5</f>
        <v>19.5</v>
      </c>
      <c r="L20" s="1">
        <v>44.6</v>
      </c>
      <c r="M20" s="1" t="s">
        <v>49</v>
      </c>
      <c r="N20" s="1" t="s">
        <v>25</v>
      </c>
      <c r="O20" s="1" t="s">
        <v>26</v>
      </c>
      <c r="P20" s="1" t="s">
        <v>25</v>
      </c>
      <c r="Q20" s="1" t="s">
        <v>25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>
      <c r="A21" s="1" t="s">
        <v>67</v>
      </c>
      <c r="B21" s="1" t="s">
        <v>19</v>
      </c>
      <c r="C21" s="1" t="s">
        <v>20</v>
      </c>
      <c r="D21" s="1">
        <v>1</v>
      </c>
      <c r="E21" s="1" t="s">
        <v>21</v>
      </c>
      <c r="F21" s="12">
        <v>45315</v>
      </c>
      <c r="G21" s="1" t="s">
        <v>65</v>
      </c>
      <c r="H21" s="1" t="s">
        <v>23</v>
      </c>
      <c r="I21" s="1">
        <f t="shared" ref="I21:J21" si="14">56-38</f>
        <v>18</v>
      </c>
      <c r="J21" s="1">
        <f t="shared" si="14"/>
        <v>18</v>
      </c>
      <c r="K21" s="1">
        <f>49-31</f>
        <v>18</v>
      </c>
      <c r="L21" s="1">
        <v>44.3</v>
      </c>
      <c r="M21" s="1" t="s">
        <v>24</v>
      </c>
      <c r="N21" s="1" t="s">
        <v>25</v>
      </c>
      <c r="O21" s="1" t="s">
        <v>26</v>
      </c>
      <c r="P21" s="1" t="s">
        <v>25</v>
      </c>
      <c r="Q21" s="1" t="s">
        <v>25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>
      <c r="A22" s="1" t="s">
        <v>68</v>
      </c>
      <c r="B22" s="1" t="s">
        <v>63</v>
      </c>
      <c r="C22" s="1" t="s">
        <v>20</v>
      </c>
      <c r="D22" s="1">
        <v>1</v>
      </c>
      <c r="E22" s="1" t="s">
        <v>21</v>
      </c>
      <c r="F22" s="12">
        <v>45315</v>
      </c>
      <c r="G22" s="1" t="s">
        <v>65</v>
      </c>
      <c r="H22" s="1" t="s">
        <v>23</v>
      </c>
      <c r="I22" s="1">
        <f t="shared" ref="I22:J22" si="15">46.5-32</f>
        <v>14.5</v>
      </c>
      <c r="J22" s="1">
        <f t="shared" si="15"/>
        <v>14.5</v>
      </c>
      <c r="K22" s="1">
        <f>46-32</f>
        <v>14</v>
      </c>
      <c r="L22" s="1">
        <v>41.9</v>
      </c>
      <c r="M22" s="1" t="s">
        <v>24</v>
      </c>
      <c r="N22" s="1" t="s">
        <v>25</v>
      </c>
      <c r="O22" s="1" t="s">
        <v>26</v>
      </c>
      <c r="P22" s="1" t="s">
        <v>25</v>
      </c>
      <c r="Q22" s="1" t="s">
        <v>25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>
      <c r="A23" s="1" t="s">
        <v>69</v>
      </c>
      <c r="B23" s="1" t="s">
        <v>19</v>
      </c>
      <c r="C23" s="1" t="s">
        <v>20</v>
      </c>
      <c r="D23" s="1">
        <v>2</v>
      </c>
      <c r="E23" s="1" t="s">
        <v>21</v>
      </c>
      <c r="F23" s="12">
        <v>45321</v>
      </c>
      <c r="G23" s="1" t="s">
        <v>65</v>
      </c>
      <c r="H23" s="1" t="s">
        <v>23</v>
      </c>
      <c r="I23" s="1">
        <f>55.5-36.5</f>
        <v>19</v>
      </c>
      <c r="J23" s="1">
        <f t="shared" ref="J23:K23" si="16">43-25</f>
        <v>18</v>
      </c>
      <c r="K23" s="1">
        <f t="shared" si="16"/>
        <v>18</v>
      </c>
      <c r="L23" s="1">
        <v>44.5</v>
      </c>
      <c r="M23" s="1" t="s">
        <v>24</v>
      </c>
      <c r="N23" s="1" t="s">
        <v>25</v>
      </c>
      <c r="O23" s="1" t="s">
        <v>26</v>
      </c>
      <c r="P23" s="1" t="s">
        <v>25</v>
      </c>
      <c r="Q23" s="1" t="s">
        <v>25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>
      <c r="A24" s="1" t="s">
        <v>70</v>
      </c>
      <c r="B24" s="1" t="s">
        <v>63</v>
      </c>
      <c r="C24" s="1" t="s">
        <v>20</v>
      </c>
      <c r="D24" s="1">
        <v>2</v>
      </c>
      <c r="E24" s="1" t="s">
        <v>21</v>
      </c>
      <c r="F24" s="12">
        <v>45321</v>
      </c>
      <c r="G24" s="1" t="s">
        <v>65</v>
      </c>
      <c r="H24" s="1" t="s">
        <v>23</v>
      </c>
      <c r="I24" s="1">
        <f>45-28</f>
        <v>17</v>
      </c>
      <c r="J24" s="1">
        <f t="shared" ref="J24:K24" si="17">53-36.5</f>
        <v>16.5</v>
      </c>
      <c r="K24" s="1">
        <f t="shared" si="17"/>
        <v>16.5</v>
      </c>
      <c r="L24" s="1">
        <v>41.1</v>
      </c>
      <c r="M24" s="1" t="s">
        <v>24</v>
      </c>
      <c r="N24" s="1" t="s">
        <v>25</v>
      </c>
      <c r="O24" s="1" t="s">
        <v>26</v>
      </c>
      <c r="P24" s="1" t="s">
        <v>25</v>
      </c>
      <c r="Q24" s="1" t="s">
        <v>25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>
      <c r="A25" s="1" t="s">
        <v>71</v>
      </c>
      <c r="B25" s="1" t="s">
        <v>54</v>
      </c>
      <c r="C25" s="1" t="s">
        <v>20</v>
      </c>
      <c r="D25" s="1">
        <v>2</v>
      </c>
      <c r="E25" s="1" t="s">
        <v>21</v>
      </c>
      <c r="F25" s="12">
        <v>45321</v>
      </c>
      <c r="G25" s="1" t="s">
        <v>65</v>
      </c>
      <c r="H25" s="1" t="s">
        <v>23</v>
      </c>
      <c r="I25" s="1">
        <f>41.5-25</f>
        <v>16.5</v>
      </c>
      <c r="J25" s="1">
        <f t="shared" ref="J25:K25" si="18">44-28</f>
        <v>16</v>
      </c>
      <c r="K25" s="1">
        <f t="shared" si="18"/>
        <v>16</v>
      </c>
      <c r="L25" s="1">
        <v>43.2</v>
      </c>
      <c r="M25" s="1" t="s">
        <v>24</v>
      </c>
      <c r="N25" s="1" t="s">
        <v>25</v>
      </c>
      <c r="O25" s="1" t="s">
        <v>26</v>
      </c>
      <c r="P25" s="1" t="s">
        <v>25</v>
      </c>
      <c r="Q25" s="1" t="s">
        <v>25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>
      <c r="A26" s="13" t="s">
        <v>72</v>
      </c>
      <c r="B26" s="13" t="s">
        <v>46</v>
      </c>
      <c r="C26" s="13" t="s">
        <v>20</v>
      </c>
      <c r="D26" s="13">
        <v>2</v>
      </c>
      <c r="E26" s="13" t="s">
        <v>21</v>
      </c>
      <c r="F26" s="14">
        <v>45321</v>
      </c>
      <c r="G26" s="13" t="s">
        <v>65</v>
      </c>
      <c r="H26" s="13" t="s">
        <v>23</v>
      </c>
      <c r="I26" s="13">
        <f>47-29</f>
        <v>18</v>
      </c>
      <c r="J26" s="13">
        <f t="shared" ref="J26:K26" si="19">46-29</f>
        <v>17</v>
      </c>
      <c r="K26" s="13">
        <f t="shared" si="19"/>
        <v>17</v>
      </c>
      <c r="L26" s="13">
        <v>42</v>
      </c>
      <c r="M26" s="13" t="s">
        <v>24</v>
      </c>
      <c r="N26" s="13" t="s">
        <v>25</v>
      </c>
      <c r="O26" s="13" t="s">
        <v>26</v>
      </c>
      <c r="P26" s="13" t="s">
        <v>25</v>
      </c>
      <c r="Q26" s="13" t="s">
        <v>25</v>
      </c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 ht="15.75" customHeight="1">
      <c r="A27" s="1" t="s">
        <v>73</v>
      </c>
      <c r="B27" s="1" t="s">
        <v>19</v>
      </c>
      <c r="C27" s="1" t="s">
        <v>20</v>
      </c>
      <c r="D27" s="1">
        <v>1</v>
      </c>
      <c r="E27" s="1" t="s">
        <v>74</v>
      </c>
      <c r="F27" s="12">
        <v>45328</v>
      </c>
      <c r="G27" s="1" t="s">
        <v>65</v>
      </c>
      <c r="H27" s="1" t="s">
        <v>30</v>
      </c>
      <c r="I27" s="1">
        <f t="shared" ref="I27:J27" si="20">56.5-36.5</f>
        <v>20</v>
      </c>
      <c r="J27" s="1">
        <f t="shared" si="20"/>
        <v>20</v>
      </c>
      <c r="K27" s="1">
        <f>41.5-23</f>
        <v>18.5</v>
      </c>
      <c r="L27" s="1">
        <v>43.2</v>
      </c>
      <c r="M27" s="1" t="s">
        <v>49</v>
      </c>
      <c r="N27" s="1" t="s">
        <v>25</v>
      </c>
      <c r="O27" s="1" t="s">
        <v>26</v>
      </c>
      <c r="P27" s="1" t="s">
        <v>25</v>
      </c>
      <c r="Q27" s="1" t="s">
        <v>25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>
      <c r="A28" s="1" t="s">
        <v>75</v>
      </c>
      <c r="B28" s="1" t="s">
        <v>19</v>
      </c>
      <c r="C28" s="1" t="s">
        <v>20</v>
      </c>
      <c r="D28" s="1">
        <v>1</v>
      </c>
      <c r="E28" s="1" t="s">
        <v>74</v>
      </c>
      <c r="F28" s="12">
        <v>45328</v>
      </c>
      <c r="G28" s="1" t="s">
        <v>65</v>
      </c>
      <c r="H28" s="1" t="s">
        <v>23</v>
      </c>
      <c r="I28" s="1">
        <f t="shared" ref="I28:J28" si="21">40-23</f>
        <v>17</v>
      </c>
      <c r="J28" s="1">
        <f t="shared" si="21"/>
        <v>17</v>
      </c>
      <c r="K28" s="1">
        <f>40.5-23</f>
        <v>17.5</v>
      </c>
      <c r="L28" s="1">
        <v>42.7</v>
      </c>
      <c r="M28" s="1" t="s">
        <v>24</v>
      </c>
      <c r="N28" s="1" t="s">
        <v>25</v>
      </c>
      <c r="O28" s="1" t="s">
        <v>26</v>
      </c>
      <c r="P28" s="1" t="s">
        <v>25</v>
      </c>
      <c r="Q28" s="1" t="s">
        <v>25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>
      <c r="A29" s="1" t="s">
        <v>76</v>
      </c>
      <c r="B29" s="1" t="s">
        <v>54</v>
      </c>
      <c r="C29" s="1" t="s">
        <v>20</v>
      </c>
      <c r="D29" s="1">
        <v>1</v>
      </c>
      <c r="E29" s="1" t="s">
        <v>74</v>
      </c>
      <c r="F29" s="12">
        <v>45328</v>
      </c>
      <c r="G29" s="1" t="s">
        <v>65</v>
      </c>
      <c r="H29" s="1" t="s">
        <v>30</v>
      </c>
      <c r="I29" s="1">
        <f t="shared" ref="I29:J29" si="22">45-28</f>
        <v>17</v>
      </c>
      <c r="J29" s="1">
        <f t="shared" si="22"/>
        <v>17</v>
      </c>
      <c r="K29" s="1">
        <f>49-31</f>
        <v>18</v>
      </c>
      <c r="L29" s="1">
        <v>42.7</v>
      </c>
      <c r="M29" s="1" t="s">
        <v>49</v>
      </c>
      <c r="N29" s="1" t="s">
        <v>25</v>
      </c>
      <c r="O29" s="1" t="s">
        <v>26</v>
      </c>
      <c r="P29" s="1" t="s">
        <v>25</v>
      </c>
      <c r="Q29" s="1" t="s">
        <v>25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>
      <c r="A30" s="1" t="s">
        <v>77</v>
      </c>
      <c r="B30" s="1" t="s">
        <v>56</v>
      </c>
      <c r="C30" s="1" t="s">
        <v>20</v>
      </c>
      <c r="D30" s="1">
        <v>1</v>
      </c>
      <c r="E30" s="1" t="s">
        <v>74</v>
      </c>
      <c r="F30" s="12">
        <v>45328</v>
      </c>
      <c r="G30" s="1" t="s">
        <v>65</v>
      </c>
      <c r="H30" s="1" t="s">
        <v>30</v>
      </c>
      <c r="I30" s="1">
        <f t="shared" ref="I30:J30" si="23">50-31</f>
        <v>19</v>
      </c>
      <c r="J30" s="1">
        <f t="shared" si="23"/>
        <v>19</v>
      </c>
      <c r="K30" s="1">
        <f>43-25</f>
        <v>18</v>
      </c>
      <c r="L30" s="1">
        <v>43.1</v>
      </c>
      <c r="M30" s="1" t="s">
        <v>49</v>
      </c>
      <c r="N30" s="1" t="s">
        <v>25</v>
      </c>
      <c r="O30" s="1" t="s">
        <v>26</v>
      </c>
      <c r="P30" s="1" t="s">
        <v>25</v>
      </c>
      <c r="Q30" s="1" t="s">
        <v>25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>
      <c r="A31" s="1" t="s">
        <v>78</v>
      </c>
      <c r="B31" s="1" t="s">
        <v>19</v>
      </c>
      <c r="C31" s="1" t="s">
        <v>20</v>
      </c>
      <c r="D31" s="1">
        <v>3</v>
      </c>
      <c r="E31" s="1" t="s">
        <v>74</v>
      </c>
      <c r="F31" s="12">
        <v>45328</v>
      </c>
      <c r="G31" s="1" t="s">
        <v>65</v>
      </c>
      <c r="H31" s="1" t="s">
        <v>30</v>
      </c>
      <c r="I31" s="1">
        <f>44.5-28</f>
        <v>16.5</v>
      </c>
      <c r="J31" s="1">
        <f>44-28</f>
        <v>16</v>
      </c>
      <c r="K31" s="1">
        <f>37.5-21</f>
        <v>16.5</v>
      </c>
      <c r="L31" s="1">
        <v>43.1</v>
      </c>
      <c r="M31" s="1" t="s">
        <v>49</v>
      </c>
      <c r="N31" s="1" t="s">
        <v>25</v>
      </c>
      <c r="O31" s="1" t="s">
        <v>26</v>
      </c>
      <c r="P31" s="1" t="s">
        <v>25</v>
      </c>
      <c r="Q31" s="1" t="s">
        <v>25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>
      <c r="A32" s="1" t="s">
        <v>79</v>
      </c>
      <c r="B32" s="1" t="s">
        <v>54</v>
      </c>
      <c r="C32" s="1" t="s">
        <v>20</v>
      </c>
      <c r="D32" s="1">
        <v>3</v>
      </c>
      <c r="E32" s="1" t="s">
        <v>74</v>
      </c>
      <c r="F32" s="12">
        <v>45328</v>
      </c>
      <c r="G32" s="1" t="s">
        <v>65</v>
      </c>
      <c r="H32" s="1" t="s">
        <v>30</v>
      </c>
      <c r="I32" s="1">
        <f>41.5-22.5</f>
        <v>19</v>
      </c>
      <c r="J32" s="1">
        <f>41-23</f>
        <v>18</v>
      </c>
      <c r="K32" s="1">
        <f>46-28</f>
        <v>18</v>
      </c>
      <c r="L32" s="1">
        <v>44.1</v>
      </c>
      <c r="M32" s="1" t="s">
        <v>49</v>
      </c>
      <c r="N32" s="1" t="s">
        <v>25</v>
      </c>
      <c r="O32" s="1" t="s">
        <v>25</v>
      </c>
      <c r="P32" s="1" t="s">
        <v>25</v>
      </c>
      <c r="Q32" s="1" t="s">
        <v>25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>
      <c r="A33" s="1" t="s">
        <v>80</v>
      </c>
      <c r="B33" s="1" t="s">
        <v>19</v>
      </c>
      <c r="C33" s="1" t="s">
        <v>20</v>
      </c>
      <c r="D33" s="1">
        <v>3</v>
      </c>
      <c r="E33" s="1" t="s">
        <v>74</v>
      </c>
      <c r="F33" s="12">
        <v>45328</v>
      </c>
      <c r="G33" s="1" t="s">
        <v>65</v>
      </c>
      <c r="H33" s="1" t="s">
        <v>23</v>
      </c>
      <c r="I33" s="1">
        <f>42.5-23</f>
        <v>19.5</v>
      </c>
      <c r="J33" s="1">
        <f>50.5-31</f>
        <v>19.5</v>
      </c>
      <c r="K33" s="1">
        <f>47-27</f>
        <v>20</v>
      </c>
      <c r="L33" s="1">
        <v>43</v>
      </c>
      <c r="M33" s="1" t="s">
        <v>24</v>
      </c>
      <c r="N33" s="1" t="s">
        <v>25</v>
      </c>
      <c r="O33" s="1" t="s">
        <v>25</v>
      </c>
      <c r="P33" s="1" t="s">
        <v>25</v>
      </c>
      <c r="Q33" s="1" t="s">
        <v>25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>
      <c r="A34" s="1" t="s">
        <v>81</v>
      </c>
      <c r="B34" s="1" t="s">
        <v>56</v>
      </c>
      <c r="C34" s="1" t="s">
        <v>20</v>
      </c>
      <c r="D34" s="1">
        <v>3</v>
      </c>
      <c r="E34" s="1" t="s">
        <v>74</v>
      </c>
      <c r="F34" s="12">
        <v>45328</v>
      </c>
      <c r="G34" s="1" t="s">
        <v>65</v>
      </c>
      <c r="H34" s="1" t="s">
        <v>23</v>
      </c>
      <c r="I34" s="1">
        <f>40-21</f>
        <v>19</v>
      </c>
      <c r="J34" s="1">
        <f>46-28</f>
        <v>18</v>
      </c>
      <c r="K34" s="1">
        <f>55-36</f>
        <v>19</v>
      </c>
      <c r="L34" s="1">
        <v>42.9</v>
      </c>
      <c r="M34" s="1" t="s">
        <v>24</v>
      </c>
      <c r="N34" s="1" t="s">
        <v>25</v>
      </c>
      <c r="O34" s="1" t="s">
        <v>26</v>
      </c>
      <c r="P34" s="1" t="s">
        <v>25</v>
      </c>
      <c r="Q34" s="1" t="s">
        <v>25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>
      <c r="A35" s="15" t="s">
        <v>82</v>
      </c>
      <c r="B35" s="1" t="s">
        <v>19</v>
      </c>
      <c r="C35" s="1" t="s">
        <v>20</v>
      </c>
      <c r="D35" s="1">
        <v>2</v>
      </c>
      <c r="E35" s="1" t="s">
        <v>74</v>
      </c>
      <c r="F35" s="12">
        <v>45335</v>
      </c>
      <c r="G35" s="1" t="s">
        <v>65</v>
      </c>
      <c r="H35" s="1" t="s">
        <v>23</v>
      </c>
      <c r="I35" s="1">
        <f>50-32.5</f>
        <v>17.5</v>
      </c>
      <c r="J35" s="1">
        <f>49-32</f>
        <v>17</v>
      </c>
      <c r="K35" s="1">
        <f>45.5-29</f>
        <v>16.5</v>
      </c>
      <c r="L35" s="1">
        <v>42.8</v>
      </c>
      <c r="M35" s="1" t="s">
        <v>24</v>
      </c>
      <c r="N35" s="1" t="s">
        <v>25</v>
      </c>
      <c r="O35" s="1" t="s">
        <v>26</v>
      </c>
      <c r="P35" s="1" t="s">
        <v>25</v>
      </c>
      <c r="Q35" s="1" t="s">
        <v>25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>
      <c r="A36" s="15" t="s">
        <v>83</v>
      </c>
      <c r="B36" s="1" t="s">
        <v>19</v>
      </c>
      <c r="C36" s="1" t="s">
        <v>20</v>
      </c>
      <c r="D36" s="1">
        <v>2</v>
      </c>
      <c r="E36" s="1" t="s">
        <v>74</v>
      </c>
      <c r="F36" s="12">
        <v>45335</v>
      </c>
      <c r="G36" s="1" t="s">
        <v>65</v>
      </c>
      <c r="H36" s="1" t="s">
        <v>30</v>
      </c>
      <c r="I36" s="1">
        <f>44-20.5</f>
        <v>23.5</v>
      </c>
      <c r="J36" s="1">
        <f>52-39</f>
        <v>13</v>
      </c>
      <c r="K36" s="1">
        <f>48.5-31.5</f>
        <v>17</v>
      </c>
      <c r="L36" s="1">
        <v>42.5</v>
      </c>
      <c r="M36" s="1" t="s">
        <v>84</v>
      </c>
      <c r="N36" s="1" t="s">
        <v>25</v>
      </c>
      <c r="O36" s="1" t="s">
        <v>26</v>
      </c>
      <c r="P36" s="1" t="s">
        <v>25</v>
      </c>
      <c r="Q36" s="1" t="s">
        <v>25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>
      <c r="A37" s="15" t="s">
        <v>85</v>
      </c>
      <c r="B37" s="1" t="s">
        <v>63</v>
      </c>
      <c r="C37" s="1" t="s">
        <v>20</v>
      </c>
      <c r="D37" s="1">
        <v>2</v>
      </c>
      <c r="E37" s="1" t="s">
        <v>74</v>
      </c>
      <c r="F37" s="12">
        <v>45335</v>
      </c>
      <c r="G37" s="1" t="s">
        <v>65</v>
      </c>
      <c r="H37" s="1" t="s">
        <v>23</v>
      </c>
      <c r="I37" s="1">
        <f>41-21</f>
        <v>20</v>
      </c>
      <c r="J37" s="1">
        <f>48-29</f>
        <v>19</v>
      </c>
      <c r="K37" s="1">
        <f>50-31.5</f>
        <v>18.5</v>
      </c>
      <c r="L37" s="1">
        <v>41.9</v>
      </c>
      <c r="M37" s="1" t="s">
        <v>24</v>
      </c>
      <c r="N37" s="1" t="s">
        <v>25</v>
      </c>
      <c r="O37" s="1" t="s">
        <v>26</v>
      </c>
      <c r="P37" s="1" t="s">
        <v>25</v>
      </c>
      <c r="Q37" s="1" t="s">
        <v>25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>
      <c r="A38" s="15" t="s">
        <v>86</v>
      </c>
      <c r="B38" s="1" t="s">
        <v>54</v>
      </c>
      <c r="C38" s="1" t="s">
        <v>20</v>
      </c>
      <c r="D38" s="1">
        <v>2</v>
      </c>
      <c r="E38" s="1" t="s">
        <v>74</v>
      </c>
      <c r="F38" s="12">
        <v>45335</v>
      </c>
      <c r="G38" s="1" t="s">
        <v>65</v>
      </c>
      <c r="H38" s="1" t="s">
        <v>30</v>
      </c>
      <c r="I38" s="1">
        <f>50-31.5</f>
        <v>18.5</v>
      </c>
      <c r="J38" s="1">
        <f>49.5-31.5</f>
        <v>18</v>
      </c>
      <c r="K38" s="1">
        <f>58-39</f>
        <v>19</v>
      </c>
      <c r="L38" s="1">
        <v>42.1</v>
      </c>
      <c r="M38" s="1" t="s">
        <v>84</v>
      </c>
      <c r="N38" s="1" t="s">
        <v>25</v>
      </c>
      <c r="O38" s="1" t="s">
        <v>26</v>
      </c>
      <c r="P38" s="1" t="s">
        <v>25</v>
      </c>
      <c r="Q38" s="1" t="s">
        <v>25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>
      <c r="A39" s="15" t="s">
        <v>87</v>
      </c>
      <c r="B39" s="1" t="s">
        <v>19</v>
      </c>
      <c r="C39" s="1" t="s">
        <v>20</v>
      </c>
      <c r="D39" s="1">
        <v>1</v>
      </c>
      <c r="E39" s="1" t="s">
        <v>74</v>
      </c>
      <c r="F39" s="12">
        <v>45335</v>
      </c>
      <c r="G39" s="1" t="s">
        <v>65</v>
      </c>
      <c r="H39" s="1" t="s">
        <v>23</v>
      </c>
      <c r="I39" s="1">
        <f t="shared" ref="I39:J39" si="24">58-39</f>
        <v>19</v>
      </c>
      <c r="J39" s="1">
        <f t="shared" si="24"/>
        <v>19</v>
      </c>
      <c r="K39" s="1">
        <f>52-32.5</f>
        <v>19.5</v>
      </c>
      <c r="L39" s="1">
        <v>43.6</v>
      </c>
      <c r="M39" s="1" t="s">
        <v>24</v>
      </c>
      <c r="N39" s="1" t="s">
        <v>25</v>
      </c>
      <c r="O39" s="1" t="s">
        <v>26</v>
      </c>
      <c r="P39" s="1" t="s">
        <v>25</v>
      </c>
      <c r="Q39" s="1" t="s">
        <v>25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>
      <c r="A40" s="15" t="s">
        <v>88</v>
      </c>
      <c r="B40" s="1" t="s">
        <v>19</v>
      </c>
      <c r="C40" s="1" t="s">
        <v>20</v>
      </c>
      <c r="D40" s="1">
        <v>1</v>
      </c>
      <c r="E40" s="1" t="s">
        <v>74</v>
      </c>
      <c r="F40" s="12">
        <v>45335</v>
      </c>
      <c r="G40" s="1" t="s">
        <v>65</v>
      </c>
      <c r="H40" s="1" t="s">
        <v>30</v>
      </c>
      <c r="I40" s="1">
        <f t="shared" ref="I40:J40" si="25">47-29</f>
        <v>18</v>
      </c>
      <c r="J40" s="1">
        <f t="shared" si="25"/>
        <v>18</v>
      </c>
      <c r="K40" s="1">
        <f>40-23</f>
        <v>17</v>
      </c>
      <c r="L40" s="1">
        <v>42</v>
      </c>
      <c r="M40" s="1" t="s">
        <v>84</v>
      </c>
      <c r="N40" s="1" t="s">
        <v>25</v>
      </c>
      <c r="O40" s="1" t="s">
        <v>26</v>
      </c>
      <c r="P40" s="1" t="s">
        <v>25</v>
      </c>
      <c r="Q40" s="1" t="s">
        <v>25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>
      <c r="A41" s="15" t="s">
        <v>89</v>
      </c>
      <c r="B41" s="1" t="s">
        <v>46</v>
      </c>
      <c r="C41" s="1" t="s">
        <v>20</v>
      </c>
      <c r="D41" s="1">
        <v>1</v>
      </c>
      <c r="E41" s="1" t="s">
        <v>74</v>
      </c>
      <c r="F41" s="12">
        <v>45335</v>
      </c>
      <c r="G41" s="1" t="s">
        <v>65</v>
      </c>
      <c r="H41" s="1" t="s">
        <v>30</v>
      </c>
      <c r="I41" s="1">
        <f t="shared" ref="I41:J41" si="26">50-31.5</f>
        <v>18.5</v>
      </c>
      <c r="J41" s="1">
        <f t="shared" si="26"/>
        <v>18.5</v>
      </c>
      <c r="K41" s="1">
        <f>40-21</f>
        <v>19</v>
      </c>
      <c r="L41" s="1">
        <v>42</v>
      </c>
      <c r="M41" s="1" t="s">
        <v>49</v>
      </c>
      <c r="N41" s="1" t="s">
        <v>25</v>
      </c>
      <c r="O41" s="1" t="s">
        <v>26</v>
      </c>
      <c r="P41" s="1" t="s">
        <v>25</v>
      </c>
      <c r="Q41" s="1" t="s">
        <v>25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>
      <c r="A42" s="15" t="s">
        <v>90</v>
      </c>
      <c r="B42" s="1" t="s">
        <v>63</v>
      </c>
      <c r="C42" s="1" t="s">
        <v>20</v>
      </c>
      <c r="D42" s="1">
        <v>1</v>
      </c>
      <c r="E42" s="1" t="s">
        <v>74</v>
      </c>
      <c r="F42" s="12">
        <v>45335</v>
      </c>
      <c r="G42" s="1" t="s">
        <v>65</v>
      </c>
      <c r="H42" s="1" t="s">
        <v>30</v>
      </c>
      <c r="I42" s="1">
        <f t="shared" ref="I42:J42" si="27">48-31</f>
        <v>17</v>
      </c>
      <c r="J42" s="1">
        <f t="shared" si="27"/>
        <v>17</v>
      </c>
      <c r="K42" s="1">
        <f>45.5-26.5</f>
        <v>19</v>
      </c>
      <c r="L42" s="1">
        <v>41.1</v>
      </c>
      <c r="M42" s="1" t="s">
        <v>49</v>
      </c>
      <c r="N42" s="1" t="s">
        <v>25</v>
      </c>
      <c r="O42" s="1" t="s">
        <v>26</v>
      </c>
      <c r="P42" s="1" t="s">
        <v>25</v>
      </c>
      <c r="Q42" s="1" t="s">
        <v>25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42">
      <c r="A43" s="1" t="s">
        <v>91</v>
      </c>
      <c r="B43" s="1" t="s">
        <v>19</v>
      </c>
      <c r="C43" s="1" t="s">
        <v>20</v>
      </c>
      <c r="D43" s="1">
        <v>1</v>
      </c>
      <c r="E43" s="1" t="s">
        <v>74</v>
      </c>
      <c r="F43" s="12">
        <v>45343</v>
      </c>
      <c r="G43" s="1" t="s">
        <v>65</v>
      </c>
      <c r="H43" s="1" t="s">
        <v>23</v>
      </c>
      <c r="I43" s="1">
        <f t="shared" ref="I43:J43" si="28">50-31</f>
        <v>19</v>
      </c>
      <c r="J43" s="1">
        <f t="shared" si="28"/>
        <v>19</v>
      </c>
      <c r="K43" s="1">
        <f>41-23</f>
        <v>18</v>
      </c>
      <c r="L43" s="1">
        <v>41.5</v>
      </c>
      <c r="M43" s="1" t="s">
        <v>24</v>
      </c>
      <c r="N43" s="1" t="s">
        <v>25</v>
      </c>
      <c r="O43" s="1" t="s">
        <v>26</v>
      </c>
      <c r="P43" s="1" t="s">
        <v>25</v>
      </c>
      <c r="Q43" s="1" t="s">
        <v>25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42">
      <c r="A44" s="1" t="s">
        <v>92</v>
      </c>
      <c r="B44" s="1" t="s">
        <v>19</v>
      </c>
      <c r="C44" s="1" t="s">
        <v>20</v>
      </c>
      <c r="D44" s="1">
        <v>1</v>
      </c>
      <c r="E44" s="1" t="s">
        <v>74</v>
      </c>
      <c r="F44" s="12">
        <v>45343</v>
      </c>
      <c r="G44" s="1" t="s">
        <v>65</v>
      </c>
      <c r="H44" s="1" t="s">
        <v>30</v>
      </c>
      <c r="I44" s="1">
        <f t="shared" ref="I44:J44" si="29">41.5-23</f>
        <v>18.5</v>
      </c>
      <c r="J44" s="1">
        <f t="shared" si="29"/>
        <v>18.5</v>
      </c>
      <c r="K44" s="1">
        <f>50-32</f>
        <v>18</v>
      </c>
      <c r="L44" s="1">
        <v>44.5</v>
      </c>
      <c r="M44" s="1" t="s">
        <v>49</v>
      </c>
      <c r="N44" s="1" t="s">
        <v>25</v>
      </c>
      <c r="O44" s="1" t="s">
        <v>26</v>
      </c>
      <c r="P44" s="1" t="s">
        <v>25</v>
      </c>
      <c r="Q44" s="1" t="s">
        <v>25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42">
      <c r="A45" s="1" t="s">
        <v>93</v>
      </c>
      <c r="B45" s="1" t="s">
        <v>19</v>
      </c>
      <c r="C45" s="1" t="s">
        <v>20</v>
      </c>
      <c r="D45" s="1">
        <v>3</v>
      </c>
      <c r="E45" s="1" t="s">
        <v>74</v>
      </c>
      <c r="F45" s="12">
        <v>45343</v>
      </c>
      <c r="G45" s="1" t="s">
        <v>65</v>
      </c>
      <c r="H45" s="1" t="s">
        <v>23</v>
      </c>
      <c r="I45" s="1">
        <f>50-30</f>
        <v>20</v>
      </c>
      <c r="J45" s="1">
        <f>46.5-27.5</f>
        <v>19</v>
      </c>
      <c r="K45" s="1">
        <f>44-25</f>
        <v>19</v>
      </c>
      <c r="L45" s="1">
        <v>44.1</v>
      </c>
      <c r="M45" s="1" t="s">
        <v>24</v>
      </c>
      <c r="N45" s="1" t="s">
        <v>25</v>
      </c>
      <c r="O45" s="1" t="s">
        <v>26</v>
      </c>
      <c r="P45" s="1" t="s">
        <v>25</v>
      </c>
      <c r="Q45" s="1" t="s">
        <v>25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42">
      <c r="A46" s="1" t="s">
        <v>94</v>
      </c>
      <c r="B46" s="1" t="s">
        <v>54</v>
      </c>
      <c r="C46" s="1" t="s">
        <v>20</v>
      </c>
      <c r="D46" s="1">
        <v>3</v>
      </c>
      <c r="E46" s="1" t="s">
        <v>74</v>
      </c>
      <c r="F46" s="12">
        <v>45343</v>
      </c>
      <c r="G46" s="1" t="s">
        <v>65</v>
      </c>
      <c r="H46" s="1" t="s">
        <v>23</v>
      </c>
      <c r="I46" s="1">
        <f>39-20.5</f>
        <v>18.5</v>
      </c>
      <c r="J46" s="1">
        <f>45-28</f>
        <v>17</v>
      </c>
      <c r="K46" s="1">
        <f>38-20.5</f>
        <v>17.5</v>
      </c>
      <c r="L46" s="1">
        <v>41.5</v>
      </c>
      <c r="M46" s="1" t="s">
        <v>24</v>
      </c>
      <c r="N46" s="1" t="s">
        <v>25</v>
      </c>
      <c r="O46" s="1" t="s">
        <v>26</v>
      </c>
      <c r="P46" s="1" t="s">
        <v>25</v>
      </c>
      <c r="Q46" s="1" t="s">
        <v>25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42">
      <c r="A47" s="1" t="s">
        <v>95</v>
      </c>
      <c r="B47" s="1" t="s">
        <v>19</v>
      </c>
      <c r="C47" s="1" t="s">
        <v>20</v>
      </c>
      <c r="D47" s="1">
        <v>3</v>
      </c>
      <c r="E47" s="1" t="s">
        <v>74</v>
      </c>
      <c r="F47" s="12">
        <v>45343</v>
      </c>
      <c r="G47" s="1" t="s">
        <v>65</v>
      </c>
      <c r="H47" s="1" t="s">
        <v>30</v>
      </c>
      <c r="I47" s="1">
        <f>45-28</f>
        <v>17</v>
      </c>
      <c r="J47" s="1">
        <f>40-22</f>
        <v>18</v>
      </c>
      <c r="K47" s="1">
        <f>45-23.5</f>
        <v>21.5</v>
      </c>
      <c r="L47" s="1">
        <v>45.3</v>
      </c>
      <c r="M47" s="1" t="s">
        <v>49</v>
      </c>
      <c r="N47" s="1" t="s">
        <v>25</v>
      </c>
      <c r="O47" s="1" t="s">
        <v>26</v>
      </c>
      <c r="P47" s="1" t="s">
        <v>25</v>
      </c>
      <c r="Q47" s="1" t="s">
        <v>25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42">
      <c r="A48" s="1" t="s">
        <v>96</v>
      </c>
      <c r="B48" s="1" t="s">
        <v>56</v>
      </c>
      <c r="C48" s="1" t="s">
        <v>20</v>
      </c>
      <c r="D48" s="1">
        <v>3</v>
      </c>
      <c r="E48" s="1" t="s">
        <v>74</v>
      </c>
      <c r="F48" s="12">
        <v>45343</v>
      </c>
      <c r="G48" s="1" t="s">
        <v>65</v>
      </c>
      <c r="H48" s="1" t="s">
        <v>30</v>
      </c>
      <c r="I48" s="1">
        <f>46.5-25</f>
        <v>21.5</v>
      </c>
      <c r="J48" s="1">
        <f>51-32</f>
        <v>19</v>
      </c>
      <c r="K48" s="1">
        <f>49-28</f>
        <v>21</v>
      </c>
      <c r="L48" s="1">
        <v>43.1</v>
      </c>
      <c r="M48" s="1" t="s">
        <v>49</v>
      </c>
      <c r="N48" s="1" t="s">
        <v>25</v>
      </c>
      <c r="O48" s="1" t="s">
        <v>26</v>
      </c>
      <c r="P48" s="1" t="s">
        <v>25</v>
      </c>
      <c r="Q48" s="1" t="s">
        <v>25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42">
      <c r="A49" s="1" t="s">
        <v>97</v>
      </c>
      <c r="B49" s="1" t="s">
        <v>19</v>
      </c>
      <c r="C49" s="1" t="s">
        <v>20</v>
      </c>
      <c r="D49" s="1">
        <v>3</v>
      </c>
      <c r="E49" s="1" t="s">
        <v>74</v>
      </c>
      <c r="F49" s="12">
        <v>45356</v>
      </c>
      <c r="G49" s="1" t="s">
        <v>65</v>
      </c>
      <c r="H49" s="1" t="s">
        <v>30</v>
      </c>
      <c r="I49" s="1">
        <f>65-45</f>
        <v>20</v>
      </c>
      <c r="J49" s="1">
        <f>52-34</f>
        <v>18</v>
      </c>
      <c r="K49" s="1">
        <f>50-31</f>
        <v>19</v>
      </c>
      <c r="L49" s="1">
        <v>43</v>
      </c>
      <c r="M49" s="1" t="s">
        <v>49</v>
      </c>
      <c r="N49" s="1" t="s">
        <v>25</v>
      </c>
      <c r="O49" s="1" t="s">
        <v>26</v>
      </c>
      <c r="P49" s="1" t="s">
        <v>25</v>
      </c>
      <c r="Q49" s="1" t="s">
        <v>25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42">
      <c r="A50" s="1" t="s">
        <v>98</v>
      </c>
      <c r="B50" s="1" t="s">
        <v>19</v>
      </c>
      <c r="C50" s="1" t="s">
        <v>20</v>
      </c>
      <c r="D50" s="1">
        <v>3</v>
      </c>
      <c r="E50" s="1" t="s">
        <v>74</v>
      </c>
      <c r="F50" s="12">
        <v>45356</v>
      </c>
      <c r="G50" s="1" t="s">
        <v>65</v>
      </c>
      <c r="H50" s="1" t="s">
        <v>23</v>
      </c>
      <c r="I50" s="1">
        <f>48.5-28</f>
        <v>20.5</v>
      </c>
      <c r="J50" s="1">
        <f>52-32</f>
        <v>20</v>
      </c>
      <c r="K50" s="1">
        <f>53-31.5</f>
        <v>21.5</v>
      </c>
      <c r="L50" s="1">
        <v>43.2</v>
      </c>
      <c r="M50" s="1" t="s">
        <v>24</v>
      </c>
      <c r="N50" s="1" t="s">
        <v>25</v>
      </c>
      <c r="O50" s="1" t="s">
        <v>26</v>
      </c>
      <c r="P50" s="1" t="s">
        <v>25</v>
      </c>
      <c r="Q50" s="1" t="s">
        <v>25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42">
      <c r="A51" s="1" t="s">
        <v>99</v>
      </c>
      <c r="B51" s="1" t="s">
        <v>19</v>
      </c>
      <c r="C51" s="1" t="s">
        <v>20</v>
      </c>
      <c r="D51" s="1">
        <v>2</v>
      </c>
      <c r="E51" s="1" t="s">
        <v>74</v>
      </c>
      <c r="F51" s="12">
        <v>45357</v>
      </c>
      <c r="G51" s="1" t="s">
        <v>65</v>
      </c>
      <c r="H51" s="1" t="s">
        <v>30</v>
      </c>
      <c r="I51" s="1">
        <f>52.5-34</f>
        <v>18.5</v>
      </c>
      <c r="J51" s="1">
        <f>46-28.5</f>
        <v>17.5</v>
      </c>
      <c r="K51" s="1">
        <f>62.5-44</f>
        <v>18.5</v>
      </c>
      <c r="L51" s="1">
        <v>42.5</v>
      </c>
      <c r="M51" s="1" t="s">
        <v>49</v>
      </c>
      <c r="N51" s="1" t="s">
        <v>25</v>
      </c>
      <c r="O51" s="1" t="s">
        <v>26</v>
      </c>
      <c r="P51" s="1" t="s">
        <v>25</v>
      </c>
      <c r="Q51" s="1" t="s">
        <v>25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42">
      <c r="A52" s="16" t="s">
        <v>100</v>
      </c>
      <c r="B52" s="16" t="s">
        <v>54</v>
      </c>
      <c r="C52" s="16" t="s">
        <v>20</v>
      </c>
      <c r="D52" s="16">
        <v>2</v>
      </c>
      <c r="E52" s="16" t="s">
        <v>101</v>
      </c>
      <c r="F52" s="17">
        <v>45357</v>
      </c>
      <c r="G52" s="16" t="s">
        <v>65</v>
      </c>
      <c r="H52" s="16" t="s">
        <v>30</v>
      </c>
      <c r="I52" s="16">
        <f>52-34</f>
        <v>18</v>
      </c>
      <c r="J52" s="16"/>
      <c r="K52" s="16"/>
      <c r="L52" s="16">
        <v>39.5</v>
      </c>
      <c r="M52" s="16" t="s">
        <v>49</v>
      </c>
      <c r="N52" s="16" t="s">
        <v>25</v>
      </c>
      <c r="O52" s="16" t="s">
        <v>26</v>
      </c>
      <c r="P52" s="16" t="s">
        <v>25</v>
      </c>
      <c r="Q52" s="16" t="s">
        <v>25</v>
      </c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  <row r="53" spans="1:30" ht="42">
      <c r="A53" s="1" t="s">
        <v>102</v>
      </c>
      <c r="B53" s="1" t="s">
        <v>56</v>
      </c>
      <c r="C53" s="1" t="s">
        <v>20</v>
      </c>
      <c r="D53" s="1">
        <v>2</v>
      </c>
      <c r="E53" s="1" t="s">
        <v>74</v>
      </c>
      <c r="F53" s="12">
        <v>45357</v>
      </c>
      <c r="G53" s="1" t="s">
        <v>65</v>
      </c>
      <c r="H53" s="1" t="s">
        <v>30</v>
      </c>
      <c r="I53" s="1">
        <f>41-22</f>
        <v>19</v>
      </c>
      <c r="J53" s="1">
        <f>48-31</f>
        <v>17</v>
      </c>
      <c r="K53" s="1">
        <f>50.5-33</f>
        <v>17.5</v>
      </c>
      <c r="L53" s="1">
        <v>41.1</v>
      </c>
      <c r="M53" s="1" t="s">
        <v>49</v>
      </c>
      <c r="N53" s="1" t="s">
        <v>25</v>
      </c>
      <c r="O53" s="1" t="s">
        <v>26</v>
      </c>
      <c r="P53" s="1" t="s">
        <v>25</v>
      </c>
      <c r="Q53" s="1" t="s">
        <v>25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42">
      <c r="A54" s="1" t="s">
        <v>103</v>
      </c>
      <c r="B54" s="1" t="s">
        <v>19</v>
      </c>
      <c r="C54" s="1" t="s">
        <v>20</v>
      </c>
      <c r="D54" s="1">
        <v>2</v>
      </c>
      <c r="E54" s="1" t="s">
        <v>74</v>
      </c>
      <c r="F54" s="12">
        <v>45357</v>
      </c>
      <c r="G54" s="1" t="s">
        <v>65</v>
      </c>
      <c r="H54" s="1" t="s">
        <v>23</v>
      </c>
      <c r="I54" s="1">
        <f>49.5-32</f>
        <v>17.5</v>
      </c>
      <c r="J54" s="1">
        <f>51.5-35</f>
        <v>16.5</v>
      </c>
      <c r="K54" s="1">
        <f>51.5-34</f>
        <v>17.5</v>
      </c>
      <c r="L54" s="1">
        <v>41.5</v>
      </c>
      <c r="M54" s="1" t="s">
        <v>24</v>
      </c>
      <c r="N54" s="1" t="s">
        <v>25</v>
      </c>
      <c r="O54" s="1" t="s">
        <v>26</v>
      </c>
      <c r="P54" s="1" t="s">
        <v>25</v>
      </c>
      <c r="Q54" s="1" t="s">
        <v>25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42">
      <c r="A55" s="1" t="s">
        <v>104</v>
      </c>
      <c r="B55" s="1" t="s">
        <v>19</v>
      </c>
      <c r="C55" s="1" t="s">
        <v>20</v>
      </c>
      <c r="D55" s="1">
        <v>2</v>
      </c>
      <c r="E55" s="1" t="s">
        <v>74</v>
      </c>
      <c r="F55" s="12">
        <v>45358</v>
      </c>
      <c r="G55" s="1" t="s">
        <v>65</v>
      </c>
      <c r="H55" s="1" t="s">
        <v>30</v>
      </c>
      <c r="I55" s="1">
        <f>48.5-31.5</f>
        <v>17</v>
      </c>
      <c r="J55" s="1">
        <f>49-32</f>
        <v>17</v>
      </c>
      <c r="K55" s="1">
        <f>46-28.5</f>
        <v>17.5</v>
      </c>
      <c r="L55" s="1">
        <v>40.700000000000003</v>
      </c>
      <c r="M55" s="1" t="s">
        <v>49</v>
      </c>
      <c r="N55" s="1" t="s">
        <v>25</v>
      </c>
      <c r="O55" s="1" t="s">
        <v>26</v>
      </c>
      <c r="P55" s="1" t="s">
        <v>25</v>
      </c>
      <c r="Q55" s="1" t="s">
        <v>25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42">
      <c r="A56" s="1" t="s">
        <v>105</v>
      </c>
      <c r="B56" s="1" t="s">
        <v>106</v>
      </c>
      <c r="C56" s="1" t="s">
        <v>20</v>
      </c>
      <c r="D56" s="1">
        <v>2</v>
      </c>
      <c r="E56" s="1" t="s">
        <v>74</v>
      </c>
      <c r="F56" s="12">
        <v>45358</v>
      </c>
      <c r="G56" s="1" t="s">
        <v>65</v>
      </c>
      <c r="H56" s="1" t="s">
        <v>30</v>
      </c>
      <c r="I56" s="1">
        <f>48.5-28.5</f>
        <v>20</v>
      </c>
      <c r="J56" s="1">
        <f>55-35</f>
        <v>20</v>
      </c>
      <c r="K56" s="1">
        <f>51-34</f>
        <v>17</v>
      </c>
      <c r="L56" s="1">
        <v>40.9</v>
      </c>
      <c r="M56" s="1" t="s">
        <v>49</v>
      </c>
      <c r="N56" s="1" t="s">
        <v>25</v>
      </c>
      <c r="O56" s="1" t="s">
        <v>26</v>
      </c>
      <c r="P56" s="1" t="s">
        <v>25</v>
      </c>
      <c r="Q56" s="1" t="s">
        <v>25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5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baseColWidth="10" defaultColWidth="12.6640625" defaultRowHeight="15.75" customHeight="1"/>
  <cols>
    <col min="1" max="2" width="16.83203125" customWidth="1"/>
    <col min="4" max="8" width="13.1640625" customWidth="1"/>
    <col min="9" max="9" width="13" customWidth="1"/>
    <col min="10" max="10" width="13.1640625" customWidth="1"/>
    <col min="11" max="11" width="14.6640625" customWidth="1"/>
    <col min="12" max="12" width="15.6640625" customWidth="1"/>
    <col min="13" max="15" width="14.83203125" customWidth="1"/>
    <col min="16" max="16" width="21.1640625" customWidth="1"/>
    <col min="17" max="19" width="22.33203125" customWidth="1"/>
  </cols>
  <sheetData>
    <row r="1" spans="1:25" ht="15.75" customHeight="1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  <c r="L1" s="2" t="s">
        <v>118</v>
      </c>
      <c r="M1" s="1" t="s">
        <v>119</v>
      </c>
      <c r="N1" s="1" t="s">
        <v>120</v>
      </c>
      <c r="O1" s="2" t="s">
        <v>121</v>
      </c>
      <c r="P1" s="15" t="s">
        <v>122</v>
      </c>
      <c r="Q1" s="15" t="s">
        <v>123</v>
      </c>
      <c r="R1" s="15" t="s">
        <v>124</v>
      </c>
      <c r="S1" s="15" t="s">
        <v>125</v>
      </c>
    </row>
    <row r="2" spans="1:25" ht="15.75" customHeight="1">
      <c r="A2" s="1" t="s">
        <v>126</v>
      </c>
      <c r="B2" s="1" t="s">
        <v>127</v>
      </c>
      <c r="C2" s="1" t="s">
        <v>128</v>
      </c>
      <c r="D2" s="12">
        <v>45264</v>
      </c>
      <c r="E2" s="18">
        <v>0.31180555555555556</v>
      </c>
      <c r="F2" s="1" t="s">
        <v>129</v>
      </c>
      <c r="G2" s="1" t="s">
        <v>130</v>
      </c>
      <c r="H2" s="1">
        <v>27.98</v>
      </c>
      <c r="I2" s="1">
        <v>0.05</v>
      </c>
      <c r="J2" s="1">
        <v>49.7</v>
      </c>
      <c r="K2" s="1">
        <v>49.7</v>
      </c>
      <c r="L2" s="19">
        <f t="shared" ref="L2:L55" si="0">J2-K2</f>
        <v>0</v>
      </c>
      <c r="M2" s="1">
        <v>49.7</v>
      </c>
      <c r="N2" s="1">
        <v>49.7</v>
      </c>
      <c r="O2" s="19">
        <f t="shared" ref="O2:O55" si="1">M2-N2</f>
        <v>0</v>
      </c>
      <c r="P2" s="15">
        <v>0</v>
      </c>
      <c r="Q2" s="15">
        <v>0</v>
      </c>
      <c r="R2" s="15">
        <v>0</v>
      </c>
      <c r="S2" s="15">
        <v>0</v>
      </c>
    </row>
    <row r="3" spans="1:25" ht="15.75" customHeight="1">
      <c r="A3" s="1" t="s">
        <v>131</v>
      </c>
      <c r="B3" s="1" t="s">
        <v>127</v>
      </c>
      <c r="C3" s="1" t="s">
        <v>128</v>
      </c>
      <c r="D3" s="12">
        <v>45264</v>
      </c>
      <c r="E3" s="18">
        <v>0.3611111111111111</v>
      </c>
      <c r="F3" s="1" t="s">
        <v>129</v>
      </c>
      <c r="G3" s="1" t="s">
        <v>132</v>
      </c>
      <c r="H3" s="1">
        <v>28.92</v>
      </c>
      <c r="I3" s="1">
        <v>0.04</v>
      </c>
      <c r="J3" s="1">
        <v>49.7</v>
      </c>
      <c r="K3" s="1">
        <v>49.7</v>
      </c>
      <c r="L3" s="19">
        <f t="shared" si="0"/>
        <v>0</v>
      </c>
      <c r="M3" s="1">
        <v>49.7</v>
      </c>
      <c r="N3" s="1">
        <v>49.7</v>
      </c>
      <c r="O3" s="19">
        <f t="shared" si="1"/>
        <v>0</v>
      </c>
      <c r="P3" s="15">
        <v>0</v>
      </c>
      <c r="Q3" s="15">
        <v>0</v>
      </c>
      <c r="R3" s="15">
        <v>0</v>
      </c>
      <c r="S3" s="15">
        <v>0</v>
      </c>
    </row>
    <row r="4" spans="1:25" ht="15.75" customHeight="1">
      <c r="A4" s="1" t="s">
        <v>133</v>
      </c>
      <c r="B4" s="1" t="s">
        <v>127</v>
      </c>
      <c r="C4" s="1" t="s">
        <v>128</v>
      </c>
      <c r="D4" s="12">
        <v>45264</v>
      </c>
      <c r="E4" s="18">
        <v>0.40416666666666667</v>
      </c>
      <c r="F4" s="1" t="s">
        <v>129</v>
      </c>
      <c r="G4" s="1" t="s">
        <v>132</v>
      </c>
      <c r="H4" s="1">
        <v>13.79</v>
      </c>
      <c r="I4" s="1">
        <v>0.04</v>
      </c>
      <c r="J4" s="1">
        <v>49.7</v>
      </c>
      <c r="K4" s="1">
        <v>49.7</v>
      </c>
      <c r="L4" s="19">
        <f t="shared" si="0"/>
        <v>0</v>
      </c>
      <c r="M4" s="1">
        <v>49.7</v>
      </c>
      <c r="N4" s="1">
        <v>49.7</v>
      </c>
      <c r="O4" s="19">
        <f t="shared" si="1"/>
        <v>0</v>
      </c>
      <c r="P4" s="15">
        <v>0</v>
      </c>
      <c r="Q4" s="15">
        <v>0</v>
      </c>
      <c r="R4" s="15">
        <v>0</v>
      </c>
      <c r="S4" s="15">
        <v>0</v>
      </c>
    </row>
    <row r="5" spans="1:25" ht="15.75" customHeight="1">
      <c r="A5" s="20" t="s">
        <v>134</v>
      </c>
      <c r="B5" s="20" t="s">
        <v>127</v>
      </c>
      <c r="C5" s="20" t="s">
        <v>128</v>
      </c>
      <c r="D5" s="21">
        <v>45264</v>
      </c>
      <c r="E5" s="22">
        <v>0.44097222222222221</v>
      </c>
      <c r="F5" s="20" t="s">
        <v>135</v>
      </c>
      <c r="G5" s="20" t="s">
        <v>132</v>
      </c>
      <c r="H5" s="20">
        <v>4.4000000000000004</v>
      </c>
      <c r="I5" s="20">
        <v>0.03</v>
      </c>
      <c r="J5" s="20">
        <v>49.7</v>
      </c>
      <c r="K5" s="20">
        <v>49.7</v>
      </c>
      <c r="L5" s="23">
        <f t="shared" si="0"/>
        <v>0</v>
      </c>
      <c r="M5" s="20">
        <v>49.7</v>
      </c>
      <c r="N5" s="20">
        <v>49.7</v>
      </c>
      <c r="O5" s="23">
        <f t="shared" si="1"/>
        <v>0</v>
      </c>
      <c r="P5" s="23">
        <v>0</v>
      </c>
      <c r="Q5" s="23">
        <v>0</v>
      </c>
      <c r="R5" s="23">
        <v>4</v>
      </c>
      <c r="S5" s="23">
        <v>0</v>
      </c>
      <c r="T5" s="23"/>
      <c r="U5" s="23"/>
      <c r="V5" s="23"/>
      <c r="W5" s="23"/>
      <c r="X5" s="23"/>
      <c r="Y5" s="23"/>
    </row>
    <row r="6" spans="1:25" ht="15.75" customHeight="1">
      <c r="A6" s="1" t="s">
        <v>136</v>
      </c>
      <c r="B6" s="1" t="s">
        <v>127</v>
      </c>
      <c r="C6" s="1" t="s">
        <v>128</v>
      </c>
      <c r="D6" s="12">
        <v>45267</v>
      </c>
      <c r="E6" s="18">
        <v>0.29652777777777778</v>
      </c>
      <c r="F6" s="1" t="s">
        <v>137</v>
      </c>
      <c r="G6" s="1" t="s">
        <v>130</v>
      </c>
      <c r="H6" s="1">
        <v>2.5</v>
      </c>
      <c r="I6" s="1">
        <v>0.04</v>
      </c>
      <c r="J6" s="1">
        <v>0</v>
      </c>
      <c r="K6" s="1">
        <v>0</v>
      </c>
      <c r="L6" s="19">
        <f t="shared" si="0"/>
        <v>0</v>
      </c>
      <c r="M6" s="15">
        <v>0</v>
      </c>
      <c r="N6" s="15">
        <v>0</v>
      </c>
      <c r="O6" s="19">
        <f t="shared" si="1"/>
        <v>0</v>
      </c>
      <c r="P6" s="15">
        <v>0</v>
      </c>
      <c r="Q6" s="15">
        <v>0</v>
      </c>
      <c r="R6" s="15">
        <v>0</v>
      </c>
      <c r="S6" s="15">
        <v>0</v>
      </c>
    </row>
    <row r="7" spans="1:25" ht="15.75" customHeight="1">
      <c r="A7" s="1" t="s">
        <v>138</v>
      </c>
      <c r="B7" s="1" t="s">
        <v>127</v>
      </c>
      <c r="C7" s="1" t="s">
        <v>128</v>
      </c>
      <c r="D7" s="12">
        <v>45267</v>
      </c>
      <c r="E7" s="18">
        <v>0.36527777777777776</v>
      </c>
      <c r="F7" s="1" t="s">
        <v>139</v>
      </c>
      <c r="G7" s="1" t="s">
        <v>130</v>
      </c>
      <c r="H7" s="1">
        <v>2.5</v>
      </c>
      <c r="I7" s="1">
        <v>0.04</v>
      </c>
      <c r="J7" s="1">
        <v>0</v>
      </c>
      <c r="K7" s="1">
        <v>0</v>
      </c>
      <c r="L7" s="19">
        <f t="shared" si="0"/>
        <v>0</v>
      </c>
      <c r="M7" s="15">
        <v>0</v>
      </c>
      <c r="N7" s="15">
        <v>0</v>
      </c>
      <c r="O7" s="19">
        <f t="shared" si="1"/>
        <v>0</v>
      </c>
      <c r="P7" s="15">
        <f>AVERAGE(12, 21, 15)</f>
        <v>16</v>
      </c>
      <c r="Q7" s="15">
        <v>0</v>
      </c>
      <c r="R7" s="15">
        <v>0</v>
      </c>
      <c r="S7" s="15">
        <v>0</v>
      </c>
    </row>
    <row r="8" spans="1:25" ht="15.75" customHeight="1">
      <c r="A8" s="20" t="s">
        <v>140</v>
      </c>
      <c r="B8" s="20" t="s">
        <v>141</v>
      </c>
      <c r="C8" s="20" t="s">
        <v>128</v>
      </c>
      <c r="D8" s="21">
        <v>45268</v>
      </c>
      <c r="E8" s="22">
        <v>0.27638888888888891</v>
      </c>
      <c r="F8" s="20" t="s">
        <v>142</v>
      </c>
      <c r="G8" s="20" t="s">
        <v>132</v>
      </c>
      <c r="H8" s="20">
        <v>4.96</v>
      </c>
      <c r="I8" s="20">
        <v>0.04</v>
      </c>
      <c r="J8" s="20">
        <v>0</v>
      </c>
      <c r="K8" s="20">
        <v>0</v>
      </c>
      <c r="L8" s="23">
        <f t="shared" si="0"/>
        <v>0</v>
      </c>
      <c r="M8" s="23">
        <v>0</v>
      </c>
      <c r="N8" s="23">
        <v>0</v>
      </c>
      <c r="O8" s="23">
        <f t="shared" si="1"/>
        <v>0</v>
      </c>
      <c r="P8" s="23">
        <v>0</v>
      </c>
      <c r="Q8" s="23">
        <v>0</v>
      </c>
      <c r="R8" s="23">
        <v>0</v>
      </c>
      <c r="S8" s="23">
        <v>39</v>
      </c>
      <c r="T8" s="23"/>
      <c r="U8" s="23"/>
      <c r="V8" s="23"/>
      <c r="W8" s="23"/>
      <c r="X8" s="23"/>
      <c r="Y8" s="23"/>
    </row>
    <row r="9" spans="1:25" ht="15.75" customHeight="1">
      <c r="A9" s="20" t="s">
        <v>143</v>
      </c>
      <c r="B9" s="20" t="s">
        <v>141</v>
      </c>
      <c r="C9" s="20" t="s">
        <v>128</v>
      </c>
      <c r="D9" s="21">
        <v>45268</v>
      </c>
      <c r="E9" s="22">
        <v>0.42083333333333334</v>
      </c>
      <c r="F9" s="20" t="s">
        <v>135</v>
      </c>
      <c r="G9" s="20" t="s">
        <v>132</v>
      </c>
      <c r="H9" s="20">
        <v>4.96</v>
      </c>
      <c r="I9" s="20">
        <v>0.04</v>
      </c>
      <c r="J9" s="20">
        <v>0</v>
      </c>
      <c r="K9" s="20">
        <v>0</v>
      </c>
      <c r="L9" s="23">
        <f t="shared" si="0"/>
        <v>0</v>
      </c>
      <c r="M9" s="23">
        <v>0</v>
      </c>
      <c r="N9" s="23">
        <v>0</v>
      </c>
      <c r="O9" s="23">
        <f t="shared" si="1"/>
        <v>0</v>
      </c>
      <c r="P9" s="23">
        <v>0</v>
      </c>
      <c r="Q9" s="23">
        <v>0</v>
      </c>
      <c r="R9" s="23">
        <v>0</v>
      </c>
      <c r="S9" s="23">
        <v>6</v>
      </c>
      <c r="T9" s="23"/>
      <c r="U9" s="23"/>
      <c r="V9" s="23"/>
      <c r="W9" s="23"/>
      <c r="X9" s="23"/>
      <c r="Y9" s="23"/>
    </row>
    <row r="10" spans="1:25" ht="15.75" customHeight="1">
      <c r="A10" s="1" t="s">
        <v>144</v>
      </c>
      <c r="B10" s="1" t="s">
        <v>128</v>
      </c>
      <c r="C10" s="1" t="s">
        <v>128</v>
      </c>
      <c r="D10" s="12">
        <v>45268</v>
      </c>
      <c r="E10" s="18">
        <v>0.4826388888888889</v>
      </c>
      <c r="F10" s="1" t="s">
        <v>135</v>
      </c>
      <c r="G10" s="1" t="s">
        <v>132</v>
      </c>
      <c r="H10" s="1">
        <v>4.96</v>
      </c>
      <c r="I10" s="1">
        <v>0.04</v>
      </c>
      <c r="J10" s="1">
        <v>0</v>
      </c>
      <c r="K10" s="1">
        <v>0</v>
      </c>
      <c r="L10" s="19">
        <f t="shared" si="0"/>
        <v>0</v>
      </c>
      <c r="M10" s="15">
        <v>0</v>
      </c>
      <c r="N10" s="15">
        <v>0</v>
      </c>
      <c r="O10" s="19">
        <f t="shared" si="1"/>
        <v>0</v>
      </c>
      <c r="P10" s="15">
        <v>0</v>
      </c>
      <c r="Q10" s="15">
        <v>0</v>
      </c>
      <c r="R10" s="15">
        <v>0</v>
      </c>
      <c r="S10" s="15">
        <v>0</v>
      </c>
    </row>
    <row r="11" spans="1:25" ht="15.75" customHeight="1">
      <c r="A11" s="15" t="s">
        <v>145</v>
      </c>
      <c r="B11" s="15" t="s">
        <v>127</v>
      </c>
      <c r="C11" s="1" t="s">
        <v>128</v>
      </c>
      <c r="D11" s="24">
        <v>45274</v>
      </c>
      <c r="E11" s="25">
        <v>0.30486111111111114</v>
      </c>
      <c r="F11" s="15" t="s">
        <v>135</v>
      </c>
      <c r="G11" s="15" t="s">
        <v>130</v>
      </c>
      <c r="H11" s="15">
        <v>3.83</v>
      </c>
      <c r="I11" s="15">
        <v>0.05</v>
      </c>
      <c r="J11" s="15">
        <v>49</v>
      </c>
      <c r="K11" s="15">
        <v>48.7</v>
      </c>
      <c r="L11" s="19">
        <f t="shared" si="0"/>
        <v>0.29999999999999716</v>
      </c>
      <c r="M11" s="15">
        <v>48.6</v>
      </c>
      <c r="N11" s="15">
        <v>48.2</v>
      </c>
      <c r="O11" s="19">
        <f t="shared" si="1"/>
        <v>0.39999999999999858</v>
      </c>
      <c r="P11" s="15">
        <v>0</v>
      </c>
      <c r="Q11" s="15">
        <v>0</v>
      </c>
      <c r="R11" s="15">
        <v>0</v>
      </c>
      <c r="S11" s="15">
        <v>0</v>
      </c>
    </row>
    <row r="12" spans="1:25" ht="15.75" customHeight="1">
      <c r="A12" s="23" t="s">
        <v>146</v>
      </c>
      <c r="B12" s="23" t="s">
        <v>127</v>
      </c>
      <c r="C12" s="20" t="s">
        <v>128</v>
      </c>
      <c r="D12" s="26">
        <v>45274</v>
      </c>
      <c r="E12" s="27">
        <v>0.36875000000000002</v>
      </c>
      <c r="F12" s="23" t="s">
        <v>135</v>
      </c>
      <c r="G12" s="23" t="s">
        <v>130</v>
      </c>
      <c r="H12" s="23">
        <v>3.83</v>
      </c>
      <c r="I12" s="23">
        <v>0.05</v>
      </c>
      <c r="J12" s="23">
        <v>48.7</v>
      </c>
      <c r="K12" s="23">
        <v>47.7</v>
      </c>
      <c r="L12" s="23">
        <f t="shared" si="0"/>
        <v>1</v>
      </c>
      <c r="M12" s="23">
        <v>48.2</v>
      </c>
      <c r="N12" s="23">
        <v>44.8</v>
      </c>
      <c r="O12" s="23">
        <f t="shared" si="1"/>
        <v>3.4000000000000057</v>
      </c>
      <c r="P12" s="23">
        <v>0</v>
      </c>
      <c r="Q12" s="23">
        <v>0</v>
      </c>
      <c r="R12" s="23">
        <v>0</v>
      </c>
      <c r="S12" s="23">
        <v>7</v>
      </c>
      <c r="T12" s="23"/>
      <c r="U12" s="23"/>
      <c r="V12" s="23"/>
      <c r="W12" s="23"/>
      <c r="X12" s="23"/>
      <c r="Y12" s="23"/>
    </row>
    <row r="13" spans="1:25" ht="15.75" customHeight="1">
      <c r="A13" s="23" t="s">
        <v>147</v>
      </c>
      <c r="B13" s="23" t="s">
        <v>127</v>
      </c>
      <c r="C13" s="20" t="s">
        <v>128</v>
      </c>
      <c r="D13" s="26">
        <v>45274</v>
      </c>
      <c r="E13" s="27">
        <v>0.43472222222222223</v>
      </c>
      <c r="F13" s="23" t="s">
        <v>135</v>
      </c>
      <c r="G13" s="23" t="s">
        <v>132</v>
      </c>
      <c r="H13" s="23">
        <v>4.46</v>
      </c>
      <c r="I13" s="23">
        <v>0.04</v>
      </c>
      <c r="J13" s="23">
        <v>44.8</v>
      </c>
      <c r="K13" s="23">
        <v>45</v>
      </c>
      <c r="L13" s="23">
        <f t="shared" si="0"/>
        <v>-0.20000000000000284</v>
      </c>
      <c r="M13" s="23">
        <v>47.7</v>
      </c>
      <c r="N13" s="23">
        <v>47.1</v>
      </c>
      <c r="O13" s="23">
        <f t="shared" si="1"/>
        <v>0.60000000000000142</v>
      </c>
      <c r="P13" s="23">
        <f>AVERAGE(22, 13, 13, 13, 11, 38, 26, 13, 1, 12, 3, 12)</f>
        <v>14.75</v>
      </c>
      <c r="Q13" s="23">
        <v>0</v>
      </c>
      <c r="R13" s="23">
        <v>0</v>
      </c>
      <c r="S13" s="23">
        <v>6</v>
      </c>
      <c r="T13" s="23"/>
      <c r="U13" s="23"/>
      <c r="V13" s="23"/>
      <c r="W13" s="23"/>
      <c r="X13" s="23"/>
      <c r="Y13" s="23"/>
    </row>
    <row r="14" spans="1:25" ht="15.75" customHeight="1">
      <c r="A14" s="15" t="s">
        <v>148</v>
      </c>
      <c r="B14" s="15" t="s">
        <v>127</v>
      </c>
      <c r="C14" s="1" t="s">
        <v>128</v>
      </c>
      <c r="D14" s="24">
        <v>45274</v>
      </c>
      <c r="E14" s="25">
        <v>0.48819444444444443</v>
      </c>
      <c r="F14" s="15" t="s">
        <v>135</v>
      </c>
      <c r="G14" s="15" t="s">
        <v>132</v>
      </c>
      <c r="H14" s="15">
        <v>4.46</v>
      </c>
      <c r="I14" s="15">
        <v>0.04</v>
      </c>
      <c r="J14" s="15">
        <v>45</v>
      </c>
      <c r="K14" s="15">
        <v>44.8</v>
      </c>
      <c r="L14" s="19">
        <f t="shared" si="0"/>
        <v>0.20000000000000284</v>
      </c>
      <c r="M14" s="15">
        <v>47.1</v>
      </c>
      <c r="N14" s="15">
        <v>46.9</v>
      </c>
      <c r="O14" s="19">
        <f t="shared" si="1"/>
        <v>0.20000000000000284</v>
      </c>
      <c r="P14" s="15">
        <f>AVERAGE(12)</f>
        <v>12</v>
      </c>
      <c r="Q14" s="15">
        <v>0</v>
      </c>
      <c r="R14" s="15">
        <v>0</v>
      </c>
      <c r="S14" s="15">
        <v>0</v>
      </c>
    </row>
    <row r="15" spans="1:25" ht="15.75" customHeight="1">
      <c r="A15" s="15" t="s">
        <v>149</v>
      </c>
      <c r="B15" s="1" t="s">
        <v>128</v>
      </c>
      <c r="C15" s="1" t="s">
        <v>128</v>
      </c>
      <c r="D15" s="28">
        <v>45309</v>
      </c>
      <c r="E15" s="25">
        <v>0.29305555555555557</v>
      </c>
      <c r="F15" s="15" t="s">
        <v>135</v>
      </c>
      <c r="G15" s="15" t="s">
        <v>132</v>
      </c>
      <c r="H15" s="15">
        <v>4.17</v>
      </c>
      <c r="I15" s="15">
        <v>0.02</v>
      </c>
      <c r="J15" s="15">
        <f>25.6-3.3</f>
        <v>22.3</v>
      </c>
      <c r="K15" s="15">
        <f>25.4-3.3</f>
        <v>22.099999999999998</v>
      </c>
      <c r="L15" s="19">
        <f t="shared" si="0"/>
        <v>0.20000000000000284</v>
      </c>
      <c r="M15" s="15">
        <f>25.7-3.6</f>
        <v>22.099999999999998</v>
      </c>
      <c r="N15" s="15">
        <f>25.2-3.6</f>
        <v>21.599999999999998</v>
      </c>
      <c r="O15" s="19">
        <f t="shared" si="1"/>
        <v>0.5</v>
      </c>
      <c r="P15" s="15">
        <v>0</v>
      </c>
      <c r="Q15" s="15">
        <v>0</v>
      </c>
      <c r="R15" s="15">
        <v>0</v>
      </c>
      <c r="S15" s="15">
        <v>0</v>
      </c>
    </row>
    <row r="16" spans="1:25" ht="15.75" customHeight="1">
      <c r="A16" s="15" t="s">
        <v>150</v>
      </c>
      <c r="B16" s="1" t="s">
        <v>128</v>
      </c>
      <c r="C16" s="1" t="s">
        <v>128</v>
      </c>
      <c r="D16" s="28">
        <v>45309</v>
      </c>
      <c r="E16" s="25">
        <v>0.34375</v>
      </c>
      <c r="F16" s="15" t="s">
        <v>135</v>
      </c>
      <c r="G16" s="15" t="s">
        <v>130</v>
      </c>
      <c r="H16" s="15">
        <v>3.94</v>
      </c>
      <c r="I16" s="15">
        <v>0.02</v>
      </c>
      <c r="J16" s="15">
        <f>25.2-3.6</f>
        <v>21.599999999999998</v>
      </c>
      <c r="K16" s="15">
        <f>25-3.6</f>
        <v>21.4</v>
      </c>
      <c r="L16" s="19">
        <f t="shared" si="0"/>
        <v>0.19999999999999929</v>
      </c>
      <c r="M16" s="15">
        <f>25.4-3.3</f>
        <v>22.099999999999998</v>
      </c>
      <c r="N16" s="15">
        <f>25.2-3.3</f>
        <v>21.9</v>
      </c>
      <c r="O16" s="19">
        <f t="shared" si="1"/>
        <v>0.19999999999999929</v>
      </c>
      <c r="P16" s="15">
        <f>AVERAGE(17)</f>
        <v>17</v>
      </c>
      <c r="Q16" s="15">
        <v>0</v>
      </c>
      <c r="R16" s="15">
        <v>0</v>
      </c>
      <c r="S16" s="15">
        <v>0</v>
      </c>
    </row>
    <row r="17" spans="1:25" ht="15.75" customHeight="1">
      <c r="A17" s="15" t="s">
        <v>151</v>
      </c>
      <c r="B17" s="1" t="s">
        <v>128</v>
      </c>
      <c r="C17" s="1" t="s">
        <v>128</v>
      </c>
      <c r="D17" s="28">
        <v>45309</v>
      </c>
      <c r="E17" s="25">
        <v>0.40069444444444446</v>
      </c>
      <c r="F17" s="15" t="s">
        <v>135</v>
      </c>
      <c r="G17" s="15" t="s">
        <v>130</v>
      </c>
      <c r="H17" s="15">
        <v>3.94</v>
      </c>
      <c r="I17" s="15">
        <v>0.02</v>
      </c>
      <c r="J17" s="15">
        <f>25-3.6</f>
        <v>21.4</v>
      </c>
      <c r="K17" s="15">
        <f>24.8-3.6</f>
        <v>21.2</v>
      </c>
      <c r="L17" s="19">
        <f t="shared" si="0"/>
        <v>0.19999999999999929</v>
      </c>
      <c r="M17" s="15">
        <f>25.2-3.3</f>
        <v>21.9</v>
      </c>
      <c r="N17" s="15">
        <f>24.4-3.3</f>
        <v>21.099999999999998</v>
      </c>
      <c r="O17" s="19">
        <f t="shared" si="1"/>
        <v>0.80000000000000071</v>
      </c>
      <c r="P17" s="15">
        <v>0</v>
      </c>
      <c r="Q17" s="15">
        <v>0</v>
      </c>
      <c r="R17" s="15">
        <v>0</v>
      </c>
      <c r="S17" s="15">
        <v>0</v>
      </c>
    </row>
    <row r="18" spans="1:25" ht="15.75" customHeight="1">
      <c r="A18" s="23" t="s">
        <v>152</v>
      </c>
      <c r="B18" s="20" t="s">
        <v>128</v>
      </c>
      <c r="C18" s="20" t="s">
        <v>128</v>
      </c>
      <c r="D18" s="29">
        <v>45309</v>
      </c>
      <c r="E18" s="27">
        <v>0.44791666666666669</v>
      </c>
      <c r="F18" s="23" t="s">
        <v>135</v>
      </c>
      <c r="G18" s="23" t="s">
        <v>132</v>
      </c>
      <c r="H18" s="23">
        <v>4.21</v>
      </c>
      <c r="I18" s="23">
        <v>0.02</v>
      </c>
      <c r="J18" s="23">
        <f>24.4-3.3</f>
        <v>21.099999999999998</v>
      </c>
      <c r="K18" s="23">
        <f>24.3-3.3</f>
        <v>21</v>
      </c>
      <c r="L18" s="23">
        <f t="shared" si="0"/>
        <v>9.9999999999997868E-2</v>
      </c>
      <c r="M18" s="23">
        <f>24.8-3.6</f>
        <v>21.2</v>
      </c>
      <c r="N18" s="23">
        <f>19.5-3.6</f>
        <v>15.9</v>
      </c>
      <c r="O18" s="23">
        <f t="shared" si="1"/>
        <v>5.2999999999999989</v>
      </c>
      <c r="P18" s="23">
        <f>AVERAGE(22, 10, 5, 13, 13)</f>
        <v>12.6</v>
      </c>
      <c r="Q18" s="23">
        <f>AVERAGE(7)</f>
        <v>7</v>
      </c>
      <c r="R18" s="23">
        <v>0</v>
      </c>
      <c r="S18" s="23">
        <v>12</v>
      </c>
      <c r="T18" s="23"/>
      <c r="U18" s="23"/>
      <c r="V18" s="23"/>
      <c r="W18" s="23"/>
      <c r="X18" s="23"/>
      <c r="Y18" s="23"/>
    </row>
    <row r="19" spans="1:25" ht="15.75" customHeight="1">
      <c r="A19" s="1" t="s">
        <v>153</v>
      </c>
      <c r="B19" s="1" t="s">
        <v>128</v>
      </c>
      <c r="C19" s="1" t="s">
        <v>128</v>
      </c>
      <c r="D19" s="28">
        <v>45315</v>
      </c>
      <c r="E19" s="25">
        <v>0.30694444444444446</v>
      </c>
      <c r="F19" s="15" t="s">
        <v>135</v>
      </c>
      <c r="G19" s="15" t="s">
        <v>132</v>
      </c>
      <c r="H19" s="15">
        <v>3.98</v>
      </c>
      <c r="I19" s="15">
        <v>0.06</v>
      </c>
      <c r="J19" s="15">
        <f t="shared" ref="J19:K19" si="2">23.1-3.1</f>
        <v>20</v>
      </c>
      <c r="K19" s="15">
        <f t="shared" si="2"/>
        <v>20</v>
      </c>
      <c r="L19" s="19">
        <f t="shared" si="0"/>
        <v>0</v>
      </c>
      <c r="M19" s="15">
        <f>23-3</f>
        <v>20</v>
      </c>
      <c r="N19" s="15">
        <f>22.6-3</f>
        <v>19.600000000000001</v>
      </c>
      <c r="O19" s="19">
        <f t="shared" si="1"/>
        <v>0.39999999999999858</v>
      </c>
      <c r="P19" s="15">
        <v>0</v>
      </c>
      <c r="Q19" s="15">
        <f>AVERAGE(18, 21, 14, 21)</f>
        <v>18.5</v>
      </c>
      <c r="R19" s="15">
        <v>0</v>
      </c>
      <c r="S19" s="15">
        <v>0</v>
      </c>
    </row>
    <row r="20" spans="1:25" ht="15.75" customHeight="1">
      <c r="A20" s="1" t="s">
        <v>154</v>
      </c>
      <c r="B20" s="1" t="s">
        <v>128</v>
      </c>
      <c r="C20" s="1" t="s">
        <v>128</v>
      </c>
      <c r="D20" s="28">
        <v>45315</v>
      </c>
      <c r="E20" s="25">
        <v>0.35694444444444445</v>
      </c>
      <c r="F20" s="15" t="s">
        <v>135</v>
      </c>
      <c r="G20" s="15" t="s">
        <v>130</v>
      </c>
      <c r="H20" s="15">
        <v>4.08</v>
      </c>
      <c r="I20" s="15">
        <v>0.04</v>
      </c>
      <c r="J20" s="15">
        <f>22.6-3</f>
        <v>19.600000000000001</v>
      </c>
      <c r="K20" s="15">
        <f>22.5-3</f>
        <v>19.5</v>
      </c>
      <c r="L20" s="19">
        <f t="shared" si="0"/>
        <v>0.10000000000000142</v>
      </c>
      <c r="M20" s="15">
        <f>23.1-3.1</f>
        <v>20</v>
      </c>
      <c r="N20" s="15">
        <f>22.7-3.1</f>
        <v>19.599999999999998</v>
      </c>
      <c r="O20" s="19">
        <f t="shared" si="1"/>
        <v>0.40000000000000213</v>
      </c>
      <c r="P20" s="15">
        <f>AVERAGE(16, 17, 20, 11, 19, 12, 17, 6, 14, 2, 5)</f>
        <v>12.636363636363637</v>
      </c>
      <c r="Q20" s="15">
        <f>AVERAGE(7)</f>
        <v>7</v>
      </c>
      <c r="R20" s="15">
        <v>0</v>
      </c>
      <c r="S20" s="15">
        <v>0</v>
      </c>
    </row>
    <row r="21" spans="1:25" ht="15.75" customHeight="1">
      <c r="A21" s="1" t="s">
        <v>155</v>
      </c>
      <c r="B21" s="1" t="s">
        <v>128</v>
      </c>
      <c r="C21" s="1" t="s">
        <v>128</v>
      </c>
      <c r="D21" s="28">
        <v>45315</v>
      </c>
      <c r="E21" s="25">
        <v>0.40486111111111112</v>
      </c>
      <c r="F21" s="15" t="s">
        <v>135</v>
      </c>
      <c r="G21" s="15" t="s">
        <v>132</v>
      </c>
      <c r="H21" s="15">
        <v>4.3</v>
      </c>
      <c r="I21" s="15">
        <v>0.05</v>
      </c>
      <c r="J21" s="15">
        <f>22.7-3.1</f>
        <v>19.599999999999998</v>
      </c>
      <c r="K21" s="15">
        <f>22.6-3.1</f>
        <v>19.5</v>
      </c>
      <c r="L21" s="19">
        <f t="shared" si="0"/>
        <v>9.9999999999997868E-2</v>
      </c>
      <c r="M21" s="15">
        <f>22.5-3</f>
        <v>19.5</v>
      </c>
      <c r="N21" s="15">
        <f>22.3-3</f>
        <v>19.3</v>
      </c>
      <c r="O21" s="19">
        <f t="shared" si="1"/>
        <v>0.19999999999999929</v>
      </c>
    </row>
    <row r="22" spans="1:25" ht="15.75" customHeight="1">
      <c r="A22" s="1" t="s">
        <v>156</v>
      </c>
      <c r="B22" s="1" t="s">
        <v>128</v>
      </c>
      <c r="C22" s="1" t="s">
        <v>128</v>
      </c>
      <c r="D22" s="28">
        <v>45315</v>
      </c>
      <c r="E22" s="25">
        <v>0.45277777777777778</v>
      </c>
      <c r="F22" s="15" t="s">
        <v>135</v>
      </c>
      <c r="G22" s="15" t="s">
        <v>130</v>
      </c>
      <c r="H22" s="15">
        <v>4.1900000000000004</v>
      </c>
      <c r="I22" s="15">
        <v>0.04</v>
      </c>
      <c r="J22" s="15">
        <f>22.3-3</f>
        <v>19.3</v>
      </c>
      <c r="K22" s="15">
        <f>22.1-3</f>
        <v>19.100000000000001</v>
      </c>
      <c r="L22" s="19">
        <f t="shared" si="0"/>
        <v>0.19999999999999929</v>
      </c>
      <c r="M22" s="15">
        <f>22.6-3.1</f>
        <v>19.5</v>
      </c>
      <c r="N22" s="15">
        <f>22.4-3.1</f>
        <v>19.299999999999997</v>
      </c>
      <c r="O22" s="19">
        <f t="shared" si="1"/>
        <v>0.20000000000000284</v>
      </c>
    </row>
    <row r="23" spans="1:25" ht="15.75" customHeight="1">
      <c r="A23" s="1" t="s">
        <v>157</v>
      </c>
      <c r="B23" s="15" t="s">
        <v>158</v>
      </c>
      <c r="C23" s="30">
        <v>4.16</v>
      </c>
      <c r="D23" s="28">
        <v>45322</v>
      </c>
      <c r="E23" s="25">
        <v>0.29166666666666669</v>
      </c>
      <c r="F23" s="15" t="s">
        <v>135</v>
      </c>
      <c r="G23" s="15" t="s">
        <v>132</v>
      </c>
      <c r="H23" s="15">
        <v>3.97</v>
      </c>
      <c r="I23" s="15">
        <v>0.06</v>
      </c>
      <c r="J23" s="15">
        <f>32.9-4.8</f>
        <v>28.099999999999998</v>
      </c>
      <c r="K23" s="15">
        <f>32.8-4.8</f>
        <v>27.999999999999996</v>
      </c>
      <c r="L23" s="19">
        <f t="shared" si="0"/>
        <v>0.10000000000000142</v>
      </c>
      <c r="M23" s="15">
        <f>32.9-4.8</f>
        <v>28.099999999999998</v>
      </c>
      <c r="N23" s="15">
        <f>32.7-4.8</f>
        <v>27.900000000000002</v>
      </c>
      <c r="O23" s="19">
        <f t="shared" si="1"/>
        <v>0.19999999999999574</v>
      </c>
    </row>
    <row r="24" spans="1:25" ht="15.75" customHeight="1">
      <c r="A24" s="1" t="s">
        <v>159</v>
      </c>
      <c r="B24" s="15" t="s">
        <v>158</v>
      </c>
      <c r="C24" s="30">
        <v>4.16</v>
      </c>
      <c r="D24" s="28">
        <v>45322</v>
      </c>
      <c r="E24" s="25">
        <v>0.34097222222222223</v>
      </c>
      <c r="F24" s="15" t="s">
        <v>135</v>
      </c>
      <c r="G24" s="15" t="s">
        <v>132</v>
      </c>
      <c r="H24" s="15">
        <v>3.97</v>
      </c>
      <c r="I24" s="15">
        <v>0.06</v>
      </c>
      <c r="J24" s="15">
        <f>32.8-4.8</f>
        <v>27.999999999999996</v>
      </c>
      <c r="K24" s="15">
        <f>32.5-4.8</f>
        <v>27.7</v>
      </c>
      <c r="L24" s="19">
        <f t="shared" si="0"/>
        <v>0.29999999999999716</v>
      </c>
      <c r="M24" s="15">
        <f>32.7-4.8</f>
        <v>27.900000000000002</v>
      </c>
      <c r="N24" s="15">
        <f>29.3-4.8</f>
        <v>24.5</v>
      </c>
      <c r="O24" s="19">
        <f t="shared" si="1"/>
        <v>3.4000000000000021</v>
      </c>
    </row>
    <row r="25" spans="1:25" ht="15.75" customHeight="1">
      <c r="A25" s="1" t="s">
        <v>160</v>
      </c>
      <c r="B25" s="15" t="s">
        <v>158</v>
      </c>
      <c r="C25" s="30">
        <v>4.16</v>
      </c>
      <c r="D25" s="28">
        <v>45322</v>
      </c>
      <c r="E25" s="25">
        <v>0.39513888888888887</v>
      </c>
      <c r="F25" s="15" t="s">
        <v>135</v>
      </c>
      <c r="G25" s="15" t="s">
        <v>130</v>
      </c>
      <c r="H25" s="15">
        <v>4.03</v>
      </c>
      <c r="I25" s="15">
        <v>0.04</v>
      </c>
      <c r="J25" s="15">
        <f>29.3-4.8</f>
        <v>24.5</v>
      </c>
      <c r="K25" s="15">
        <f>29.1-4.8</f>
        <v>24.3</v>
      </c>
      <c r="L25" s="19">
        <f t="shared" si="0"/>
        <v>0.19999999999999929</v>
      </c>
      <c r="M25" s="15">
        <f>32.5-4.8</f>
        <v>27.7</v>
      </c>
      <c r="N25" s="15">
        <f>27.1-4.8</f>
        <v>22.3</v>
      </c>
      <c r="O25" s="19">
        <f t="shared" si="1"/>
        <v>5.3999999999999986</v>
      </c>
    </row>
    <row r="26" spans="1:25" ht="15.75" customHeight="1">
      <c r="A26" s="13" t="s">
        <v>161</v>
      </c>
      <c r="B26" s="31" t="s">
        <v>158</v>
      </c>
      <c r="C26" s="32">
        <v>4.16</v>
      </c>
      <c r="D26" s="33">
        <v>45322</v>
      </c>
      <c r="E26" s="34">
        <v>0.44583333333333336</v>
      </c>
      <c r="F26" s="31" t="s">
        <v>135</v>
      </c>
      <c r="G26" s="31" t="s">
        <v>130</v>
      </c>
      <c r="H26" s="31">
        <v>4.03</v>
      </c>
      <c r="I26" s="31">
        <v>0.04</v>
      </c>
      <c r="J26" s="31">
        <f>29.1-4.8</f>
        <v>24.3</v>
      </c>
      <c r="K26" s="31">
        <f>28.9-4.8</f>
        <v>24.099999999999998</v>
      </c>
      <c r="L26" s="35">
        <f t="shared" si="0"/>
        <v>0.20000000000000284</v>
      </c>
      <c r="M26" s="31">
        <f>27.1-4.8</f>
        <v>22.3</v>
      </c>
      <c r="N26" s="31">
        <f>24.3-4.8</f>
        <v>19.5</v>
      </c>
      <c r="O26" s="35">
        <f t="shared" si="1"/>
        <v>2.8000000000000007</v>
      </c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ht="15.75" customHeight="1">
      <c r="A27" s="1" t="s">
        <v>162</v>
      </c>
      <c r="B27" s="15" t="s">
        <v>128</v>
      </c>
      <c r="C27" s="15" t="s">
        <v>128</v>
      </c>
      <c r="D27" s="28">
        <v>45328</v>
      </c>
      <c r="E27" s="25">
        <v>0.28680555555555554</v>
      </c>
      <c r="F27" s="15" t="s">
        <v>135</v>
      </c>
      <c r="G27" s="15" t="s">
        <v>130</v>
      </c>
      <c r="H27" s="15">
        <v>3.91</v>
      </c>
      <c r="I27" s="15">
        <v>0.04</v>
      </c>
      <c r="J27" s="15">
        <f>36.5-3.6</f>
        <v>32.9</v>
      </c>
      <c r="K27" s="15">
        <f>36.3-3.6</f>
        <v>32.699999999999996</v>
      </c>
      <c r="L27" s="19">
        <f t="shared" si="0"/>
        <v>0.20000000000000284</v>
      </c>
      <c r="M27" s="15">
        <f>36.7-3.7</f>
        <v>33</v>
      </c>
      <c r="N27" s="15">
        <f>36.1-3.7</f>
        <v>32.4</v>
      </c>
      <c r="O27" s="19">
        <f t="shared" si="1"/>
        <v>0.60000000000000142</v>
      </c>
      <c r="P27" s="15">
        <v>0</v>
      </c>
      <c r="Q27" s="15">
        <f>AVERAGE(6,4,5,10,8,8,11,13,22,11,6,4)</f>
        <v>9</v>
      </c>
      <c r="R27" s="15">
        <v>0</v>
      </c>
      <c r="S27" s="15">
        <v>0</v>
      </c>
    </row>
    <row r="28" spans="1:25" ht="15.75" customHeight="1">
      <c r="A28" s="20" t="s">
        <v>163</v>
      </c>
      <c r="B28" s="23" t="s">
        <v>128</v>
      </c>
      <c r="C28" s="23" t="s">
        <v>128</v>
      </c>
      <c r="D28" s="29">
        <v>45328</v>
      </c>
      <c r="E28" s="27">
        <v>0.3347222222222222</v>
      </c>
      <c r="F28" s="23" t="s">
        <v>135</v>
      </c>
      <c r="G28" s="23" t="s">
        <v>130</v>
      </c>
      <c r="H28" s="23">
        <v>3.91</v>
      </c>
      <c r="I28" s="23">
        <v>0.04</v>
      </c>
      <c r="J28" s="23">
        <f>36.3-3.6</f>
        <v>32.699999999999996</v>
      </c>
      <c r="K28" s="23">
        <f>31-3.6</f>
        <v>27.4</v>
      </c>
      <c r="L28" s="23">
        <f t="shared" si="0"/>
        <v>5.2999999999999972</v>
      </c>
      <c r="M28" s="23">
        <f>36.1-3.7</f>
        <v>32.4</v>
      </c>
      <c r="N28" s="23">
        <f>35.8-3.7</f>
        <v>32.099999999999994</v>
      </c>
      <c r="O28" s="23">
        <f t="shared" si="1"/>
        <v>0.30000000000000426</v>
      </c>
      <c r="P28" s="23">
        <f>AVERAGE(7)</f>
        <v>7</v>
      </c>
      <c r="Q28" s="23">
        <f>AVERAGE(14,11,13,14,8,16,14,16,8,15,9,11,7,10,10,11,16)</f>
        <v>11.941176470588236</v>
      </c>
      <c r="R28" s="23">
        <v>41</v>
      </c>
      <c r="S28" s="23">
        <v>0</v>
      </c>
      <c r="T28" s="23"/>
      <c r="U28" s="23"/>
      <c r="V28" s="23"/>
      <c r="W28" s="23"/>
      <c r="X28" s="23"/>
      <c r="Y28" s="23"/>
    </row>
    <row r="29" spans="1:25" ht="15.75" customHeight="1">
      <c r="A29" s="1" t="s">
        <v>164</v>
      </c>
      <c r="B29" s="15" t="s">
        <v>128</v>
      </c>
      <c r="C29" s="15" t="s">
        <v>128</v>
      </c>
      <c r="D29" s="28">
        <v>45328</v>
      </c>
      <c r="E29" s="25">
        <v>0.3840277777777778</v>
      </c>
      <c r="F29" s="15" t="s">
        <v>135</v>
      </c>
      <c r="G29" s="15" t="s">
        <v>132</v>
      </c>
      <c r="H29" s="15">
        <v>3.89</v>
      </c>
      <c r="I29" s="15">
        <v>0.04</v>
      </c>
      <c r="J29" s="15">
        <f>35.8-3.7</f>
        <v>32.099999999999994</v>
      </c>
      <c r="K29" s="15">
        <f>35.7-3.7</f>
        <v>32</v>
      </c>
      <c r="L29" s="19">
        <f t="shared" si="0"/>
        <v>9.9999999999994316E-2</v>
      </c>
      <c r="M29" s="15">
        <f>31-3.6</f>
        <v>27.4</v>
      </c>
      <c r="N29" s="15">
        <f>30.8-3.6</f>
        <v>27.2</v>
      </c>
      <c r="O29" s="19">
        <f t="shared" si="1"/>
        <v>0.19999999999999929</v>
      </c>
      <c r="P29" s="15">
        <f>AVERAGE(25,19,4)</f>
        <v>16</v>
      </c>
      <c r="Q29" s="15">
        <f>AVERAGE(21,8)</f>
        <v>14.5</v>
      </c>
      <c r="R29" s="15">
        <v>0</v>
      </c>
      <c r="S29" s="15">
        <v>0</v>
      </c>
    </row>
    <row r="30" spans="1:25" ht="15.75" customHeight="1">
      <c r="A30" s="20" t="s">
        <v>165</v>
      </c>
      <c r="B30" s="23" t="s">
        <v>128</v>
      </c>
      <c r="C30" s="23" t="s">
        <v>128</v>
      </c>
      <c r="D30" s="29">
        <v>45328</v>
      </c>
      <c r="E30" s="27">
        <v>0.42986111111111114</v>
      </c>
      <c r="F30" s="23" t="s">
        <v>135</v>
      </c>
      <c r="G30" s="23" t="s">
        <v>132</v>
      </c>
      <c r="H30" s="23">
        <v>3.89</v>
      </c>
      <c r="I30" s="23">
        <v>0.04</v>
      </c>
      <c r="J30" s="23">
        <f>35.7-3.7</f>
        <v>32</v>
      </c>
      <c r="K30" s="23">
        <f>35.5-3.7</f>
        <v>31.8</v>
      </c>
      <c r="L30" s="23">
        <f t="shared" si="0"/>
        <v>0.19999999999999929</v>
      </c>
      <c r="M30" s="23">
        <f>30.8-3.6</f>
        <v>27.2</v>
      </c>
      <c r="N30" s="23">
        <f>26.8-3.6</f>
        <v>23.2</v>
      </c>
      <c r="O30" s="23">
        <f t="shared" si="1"/>
        <v>4</v>
      </c>
      <c r="P30" s="23">
        <f>AVERAGE(20,4,17,16,13,10,18,20,6,16,10,16,16,17)</f>
        <v>14.214285714285714</v>
      </c>
      <c r="Q30" s="23">
        <v>0</v>
      </c>
      <c r="R30" s="23">
        <v>0</v>
      </c>
      <c r="S30" s="23">
        <v>12</v>
      </c>
      <c r="T30" s="23"/>
      <c r="U30" s="23"/>
      <c r="V30" s="23"/>
      <c r="W30" s="23"/>
      <c r="X30" s="23"/>
      <c r="Y30" s="23"/>
    </row>
    <row r="31" spans="1:25" ht="15.75" customHeight="1">
      <c r="A31" s="20" t="s">
        <v>166</v>
      </c>
      <c r="B31" s="23" t="s">
        <v>127</v>
      </c>
      <c r="C31" s="23" t="s">
        <v>128</v>
      </c>
      <c r="D31" s="29">
        <v>45329</v>
      </c>
      <c r="E31" s="27">
        <v>0.28888888888888886</v>
      </c>
      <c r="F31" s="23" t="s">
        <v>135</v>
      </c>
      <c r="G31" s="23" t="s">
        <v>132</v>
      </c>
      <c r="H31" s="23">
        <v>3.88</v>
      </c>
      <c r="I31" s="23">
        <v>0.06</v>
      </c>
      <c r="J31" s="23">
        <f>35.4-3.4</f>
        <v>32</v>
      </c>
      <c r="K31" s="23">
        <f>34.5-3.4</f>
        <v>31.1</v>
      </c>
      <c r="L31" s="23">
        <f t="shared" si="0"/>
        <v>0.89999999999999858</v>
      </c>
      <c r="M31" s="23">
        <f>35.4-3.4</f>
        <v>32</v>
      </c>
      <c r="N31" s="23">
        <f>33.8-3.4</f>
        <v>30.4</v>
      </c>
      <c r="O31" s="23">
        <f t="shared" si="1"/>
        <v>1.6000000000000014</v>
      </c>
      <c r="P31" s="23">
        <f>AVERAGE(6,23,25,5)</f>
        <v>14.75</v>
      </c>
      <c r="Q31" s="23">
        <v>0</v>
      </c>
      <c r="R31" s="23">
        <v>0</v>
      </c>
      <c r="S31" s="23">
        <v>5</v>
      </c>
      <c r="T31" s="23"/>
      <c r="U31" s="23"/>
      <c r="V31" s="23"/>
      <c r="W31" s="23"/>
      <c r="X31" s="23"/>
      <c r="Y31" s="23"/>
    </row>
    <row r="32" spans="1:25" ht="15.75" customHeight="1">
      <c r="A32" s="1" t="s">
        <v>167</v>
      </c>
      <c r="B32" s="15" t="s">
        <v>127</v>
      </c>
      <c r="C32" s="15" t="s">
        <v>128</v>
      </c>
      <c r="D32" s="28">
        <v>45329</v>
      </c>
      <c r="E32" s="25">
        <v>0.33611111111111114</v>
      </c>
      <c r="F32" s="15" t="s">
        <v>135</v>
      </c>
      <c r="G32" s="15" t="s">
        <v>130</v>
      </c>
      <c r="H32" s="15">
        <v>4.1500000000000004</v>
      </c>
      <c r="I32" s="15">
        <v>0.05</v>
      </c>
      <c r="J32" s="15">
        <f>33.8-3.4</f>
        <v>30.4</v>
      </c>
      <c r="K32" s="15">
        <f>33.7-3.4</f>
        <v>30.300000000000004</v>
      </c>
      <c r="L32" s="19">
        <f t="shared" si="0"/>
        <v>9.9999999999994316E-2</v>
      </c>
      <c r="M32" s="15">
        <f>34.5-3.4</f>
        <v>31.1</v>
      </c>
      <c r="N32" s="15">
        <f>34.3-3.4</f>
        <v>30.9</v>
      </c>
      <c r="O32" s="19">
        <f t="shared" si="1"/>
        <v>0.20000000000000284</v>
      </c>
      <c r="P32" s="15">
        <f>AVERAGE(3)</f>
        <v>3</v>
      </c>
      <c r="Q32" s="15">
        <f>AVERAGE(6,8,3)</f>
        <v>5.666666666666667</v>
      </c>
    </row>
    <row r="33" spans="1:25" ht="15.75" customHeight="1">
      <c r="A33" s="20" t="s">
        <v>168</v>
      </c>
      <c r="B33" s="23" t="s">
        <v>127</v>
      </c>
      <c r="C33" s="23" t="s">
        <v>128</v>
      </c>
      <c r="D33" s="29">
        <v>45329</v>
      </c>
      <c r="E33" s="27">
        <v>0.38472222222222224</v>
      </c>
      <c r="F33" s="23" t="s">
        <v>135</v>
      </c>
      <c r="G33" s="23" t="s">
        <v>130</v>
      </c>
      <c r="H33" s="23">
        <v>4.1500000000000004</v>
      </c>
      <c r="I33" s="23">
        <v>0.05</v>
      </c>
      <c r="J33" s="23">
        <f>33.7-3.4</f>
        <v>30.300000000000004</v>
      </c>
      <c r="K33" s="23">
        <f>33.4-3.4</f>
        <v>30</v>
      </c>
      <c r="L33" s="23">
        <f t="shared" si="0"/>
        <v>0.30000000000000426</v>
      </c>
      <c r="M33" s="23">
        <f>34.3-3.4</f>
        <v>30.9</v>
      </c>
      <c r="N33" s="23">
        <f>31.6-3.4</f>
        <v>28.200000000000003</v>
      </c>
      <c r="O33" s="23">
        <f t="shared" si="1"/>
        <v>2.6999999999999957</v>
      </c>
      <c r="P33" s="23">
        <v>0</v>
      </c>
      <c r="Q33" s="23">
        <f>AVERAGE(15)</f>
        <v>15</v>
      </c>
      <c r="R33" s="23">
        <v>0</v>
      </c>
      <c r="S33" s="23">
        <v>5</v>
      </c>
      <c r="T33" s="23"/>
      <c r="U33" s="23"/>
      <c r="V33" s="23"/>
      <c r="W33" s="23"/>
      <c r="X33" s="23"/>
      <c r="Y33" s="23"/>
    </row>
    <row r="34" spans="1:25" ht="15.75" customHeight="1">
      <c r="A34" s="20" t="s">
        <v>169</v>
      </c>
      <c r="B34" s="23" t="s">
        <v>127</v>
      </c>
      <c r="C34" s="23" t="s">
        <v>128</v>
      </c>
      <c r="D34" s="29">
        <v>45329</v>
      </c>
      <c r="E34" s="27">
        <v>0.43611111111111112</v>
      </c>
      <c r="F34" s="23" t="s">
        <v>135</v>
      </c>
      <c r="G34" s="23" t="s">
        <v>132</v>
      </c>
      <c r="H34" s="23">
        <v>3.99</v>
      </c>
      <c r="I34" s="23">
        <v>0.05</v>
      </c>
      <c r="J34" s="23">
        <f>31.6-3.4</f>
        <v>28.200000000000003</v>
      </c>
      <c r="K34" s="23">
        <f>31.1-3.4</f>
        <v>27.700000000000003</v>
      </c>
      <c r="L34" s="23">
        <f t="shared" si="0"/>
        <v>0.5</v>
      </c>
      <c r="M34" s="23">
        <f>33.4-3.4</f>
        <v>30</v>
      </c>
      <c r="N34" s="23">
        <f>24-3.4</f>
        <v>20.6</v>
      </c>
      <c r="O34" s="23">
        <f t="shared" si="1"/>
        <v>9.3999999999999986</v>
      </c>
      <c r="P34" s="23">
        <f>AVERAGE(11,5,15,7,10)</f>
        <v>9.6</v>
      </c>
      <c r="Q34" s="23">
        <v>0</v>
      </c>
      <c r="R34" s="23">
        <v>0</v>
      </c>
      <c r="S34" s="23">
        <v>17</v>
      </c>
      <c r="T34" s="23"/>
      <c r="U34" s="23"/>
      <c r="V34" s="23"/>
      <c r="W34" s="23"/>
      <c r="X34" s="23"/>
      <c r="Y34" s="23"/>
    </row>
    <row r="35" spans="1:25" ht="15.75" customHeight="1">
      <c r="A35" s="23" t="s">
        <v>170</v>
      </c>
      <c r="B35" s="23" t="s">
        <v>158</v>
      </c>
      <c r="C35" s="36">
        <v>3.88</v>
      </c>
      <c r="D35" s="29">
        <v>45336</v>
      </c>
      <c r="E35" s="27">
        <v>0.29583333333333334</v>
      </c>
      <c r="F35" s="23" t="s">
        <v>135</v>
      </c>
      <c r="G35" s="23" t="s">
        <v>130</v>
      </c>
      <c r="H35" s="23">
        <v>4</v>
      </c>
      <c r="I35" s="23">
        <v>0.02</v>
      </c>
      <c r="J35" s="23">
        <f>36-3.5</f>
        <v>32.5</v>
      </c>
      <c r="K35" s="23">
        <f>35.8-3.5</f>
        <v>32.299999999999997</v>
      </c>
      <c r="L35" s="23">
        <f t="shared" si="0"/>
        <v>0.20000000000000284</v>
      </c>
      <c r="M35" s="23">
        <f>36-3.5</f>
        <v>32.5</v>
      </c>
      <c r="N35" s="23">
        <f>30.8-3.5</f>
        <v>27.3</v>
      </c>
      <c r="O35" s="23">
        <f t="shared" si="1"/>
        <v>5.1999999999999993</v>
      </c>
      <c r="P35" s="23">
        <v>0</v>
      </c>
      <c r="Q35" s="23">
        <v>0</v>
      </c>
      <c r="R35" s="23">
        <v>0</v>
      </c>
      <c r="S35" s="23">
        <v>15</v>
      </c>
      <c r="T35" s="23"/>
      <c r="U35" s="23"/>
      <c r="V35" s="23"/>
      <c r="W35" s="23"/>
      <c r="X35" s="23"/>
      <c r="Y35" s="23"/>
    </row>
    <row r="36" spans="1:25" ht="15.75" customHeight="1">
      <c r="A36" s="23" t="s">
        <v>171</v>
      </c>
      <c r="B36" s="23" t="s">
        <v>158</v>
      </c>
      <c r="C36" s="36">
        <v>3.88</v>
      </c>
      <c r="D36" s="29">
        <v>45336</v>
      </c>
      <c r="E36" s="27">
        <v>0.34583333333333333</v>
      </c>
      <c r="F36" s="23" t="s">
        <v>135</v>
      </c>
      <c r="G36" s="23" t="s">
        <v>132</v>
      </c>
      <c r="H36" s="23">
        <v>3.82</v>
      </c>
      <c r="I36" s="23">
        <v>0.06</v>
      </c>
      <c r="J36" s="23">
        <f>30.8-3.5</f>
        <v>27.3</v>
      </c>
      <c r="K36" s="23">
        <f>30.7-3.5</f>
        <v>27.2</v>
      </c>
      <c r="L36" s="23">
        <f t="shared" si="0"/>
        <v>0.10000000000000142</v>
      </c>
      <c r="M36" s="23">
        <f>35.8-3.5</f>
        <v>32.299999999999997</v>
      </c>
      <c r="N36" s="23">
        <f>32.5-3.5</f>
        <v>29</v>
      </c>
      <c r="O36" s="23">
        <f t="shared" si="1"/>
        <v>3.2999999999999972</v>
      </c>
      <c r="P36" s="23">
        <f>AVERAGE(11,9,11,21,16,12,17,12)</f>
        <v>13.625</v>
      </c>
      <c r="Q36" s="23">
        <v>0</v>
      </c>
      <c r="R36" s="23">
        <v>0</v>
      </c>
      <c r="S36" s="23">
        <v>7</v>
      </c>
      <c r="T36" s="23"/>
      <c r="U36" s="23"/>
      <c r="V36" s="23"/>
      <c r="W36" s="23"/>
      <c r="X36" s="23"/>
      <c r="Y36" s="23"/>
    </row>
    <row r="37" spans="1:25" ht="15.75" customHeight="1">
      <c r="A37" s="23" t="s">
        <v>172</v>
      </c>
      <c r="B37" s="23" t="s">
        <v>158</v>
      </c>
      <c r="C37" s="36">
        <v>3.88</v>
      </c>
      <c r="D37" s="29">
        <v>45336</v>
      </c>
      <c r="E37" s="27">
        <v>0.39444444444444443</v>
      </c>
      <c r="F37" s="23" t="s">
        <v>135</v>
      </c>
      <c r="G37" s="23" t="s">
        <v>130</v>
      </c>
      <c r="H37" s="23">
        <v>3.88</v>
      </c>
      <c r="I37" s="23">
        <v>0.03</v>
      </c>
      <c r="J37" s="23">
        <f>32.5-3.5</f>
        <v>29</v>
      </c>
      <c r="K37" s="23">
        <f>32.2-3.5</f>
        <v>28.700000000000003</v>
      </c>
      <c r="L37" s="23">
        <f t="shared" si="0"/>
        <v>0.29999999999999716</v>
      </c>
      <c r="M37" s="23">
        <f>30.7-3.5</f>
        <v>27.2</v>
      </c>
      <c r="N37" s="23">
        <f>26.4-3.5</f>
        <v>22.9</v>
      </c>
      <c r="O37" s="23">
        <f t="shared" si="1"/>
        <v>4.3000000000000007</v>
      </c>
      <c r="P37" s="23">
        <v>0</v>
      </c>
      <c r="Q37" s="23">
        <f>AVERAGE(12,21)</f>
        <v>16.5</v>
      </c>
      <c r="R37" s="23">
        <v>0</v>
      </c>
      <c r="S37" s="23">
        <v>10</v>
      </c>
      <c r="T37" s="23"/>
      <c r="U37" s="23"/>
      <c r="V37" s="23"/>
      <c r="W37" s="23"/>
      <c r="X37" s="23"/>
      <c r="Y37" s="23"/>
    </row>
    <row r="38" spans="1:25" ht="15.75" customHeight="1">
      <c r="A38" s="23" t="s">
        <v>173</v>
      </c>
      <c r="B38" s="23" t="s">
        <v>158</v>
      </c>
      <c r="C38" s="36">
        <v>3.88</v>
      </c>
      <c r="D38" s="29">
        <v>45336</v>
      </c>
      <c r="E38" s="27">
        <v>0.44374999999999998</v>
      </c>
      <c r="F38" s="23" t="s">
        <v>135</v>
      </c>
      <c r="G38" s="23" t="s">
        <v>132</v>
      </c>
      <c r="H38" s="23">
        <v>3.9</v>
      </c>
      <c r="I38" s="23">
        <v>0.04</v>
      </c>
      <c r="J38" s="23">
        <f>26.4-3.5</f>
        <v>22.9</v>
      </c>
      <c r="K38" s="23">
        <f>26-3.5</f>
        <v>22.5</v>
      </c>
      <c r="L38" s="23">
        <f t="shared" si="0"/>
        <v>0.39999999999999858</v>
      </c>
      <c r="M38" s="23">
        <f>32.2-3.5</f>
        <v>28.700000000000003</v>
      </c>
      <c r="N38" s="23">
        <f>30.3-3.5</f>
        <v>26.8</v>
      </c>
      <c r="O38" s="23">
        <f t="shared" si="1"/>
        <v>1.9000000000000021</v>
      </c>
      <c r="P38" s="23">
        <f>AVERAGE(3,8,6)</f>
        <v>5.666666666666667</v>
      </c>
      <c r="Q38" s="23">
        <v>0</v>
      </c>
      <c r="R38" s="23">
        <v>0</v>
      </c>
      <c r="S38" s="23">
        <v>4</v>
      </c>
      <c r="T38" s="23"/>
      <c r="U38" s="23"/>
      <c r="V38" s="23"/>
      <c r="W38" s="23"/>
      <c r="X38" s="23"/>
      <c r="Y38" s="23"/>
    </row>
    <row r="39" spans="1:25" ht="15.75" customHeight="1">
      <c r="A39" s="23" t="s">
        <v>174</v>
      </c>
      <c r="B39" s="23" t="s">
        <v>128</v>
      </c>
      <c r="C39" s="23" t="s">
        <v>128</v>
      </c>
      <c r="D39" s="29">
        <v>45335</v>
      </c>
      <c r="E39" s="27">
        <v>0.2986111111111111</v>
      </c>
      <c r="F39" s="23" t="s">
        <v>135</v>
      </c>
      <c r="G39" s="23" t="s">
        <v>130</v>
      </c>
      <c r="H39" s="23">
        <v>3.83</v>
      </c>
      <c r="I39" s="23">
        <v>0.03</v>
      </c>
      <c r="J39" s="23">
        <f t="shared" ref="J39:J40" si="3">30-2.5</f>
        <v>27.5</v>
      </c>
      <c r="K39" s="23">
        <f>26.7-2.5</f>
        <v>24.2</v>
      </c>
      <c r="L39" s="23">
        <f t="shared" si="0"/>
        <v>3.3000000000000007</v>
      </c>
      <c r="M39" s="23">
        <f t="shared" ref="M39:N39" si="4">30-2.5</f>
        <v>27.5</v>
      </c>
      <c r="N39" s="23">
        <f t="shared" si="4"/>
        <v>27.5</v>
      </c>
      <c r="O39" s="23">
        <f t="shared" si="1"/>
        <v>0</v>
      </c>
      <c r="P39" s="23">
        <v>0</v>
      </c>
      <c r="Q39" s="23">
        <f>AVERAGE(7,18,15,17,14,14,10,9,9,6,15,16,16,23,12)</f>
        <v>13.4</v>
      </c>
      <c r="R39" s="23">
        <v>39</v>
      </c>
      <c r="S39" s="23">
        <v>0</v>
      </c>
      <c r="T39" s="23"/>
      <c r="U39" s="23"/>
      <c r="V39" s="23"/>
      <c r="W39" s="23"/>
      <c r="X39" s="23"/>
      <c r="Y39" s="23"/>
    </row>
    <row r="40" spans="1:25" ht="15.75" customHeight="1">
      <c r="A40" s="15" t="s">
        <v>175</v>
      </c>
      <c r="B40" s="15" t="s">
        <v>128</v>
      </c>
      <c r="C40" s="15" t="s">
        <v>128</v>
      </c>
      <c r="D40" s="28">
        <v>45335</v>
      </c>
      <c r="E40" s="25">
        <v>0.34583333333333333</v>
      </c>
      <c r="F40" s="15" t="s">
        <v>135</v>
      </c>
      <c r="G40" s="15" t="s">
        <v>132</v>
      </c>
      <c r="H40" s="15">
        <v>4.22</v>
      </c>
      <c r="I40" s="15">
        <v>0.04</v>
      </c>
      <c r="J40" s="15">
        <f t="shared" si="3"/>
        <v>27.5</v>
      </c>
      <c r="K40" s="15">
        <f>29.8-2.5</f>
        <v>27.3</v>
      </c>
      <c r="L40" s="19">
        <f t="shared" si="0"/>
        <v>0.19999999999999929</v>
      </c>
      <c r="M40" s="15">
        <f>26.7-2.5</f>
        <v>24.2</v>
      </c>
      <c r="N40" s="15">
        <f>26.3-2.5</f>
        <v>23.8</v>
      </c>
      <c r="O40" s="19">
        <f t="shared" si="1"/>
        <v>0.39999999999999858</v>
      </c>
      <c r="P40" s="15">
        <f>AVERAGE(6,6,9,12)</f>
        <v>8.25</v>
      </c>
      <c r="Q40" s="15">
        <f>AVERAGE(5)</f>
        <v>5</v>
      </c>
      <c r="R40" s="15">
        <v>0</v>
      </c>
      <c r="S40" s="15">
        <v>0</v>
      </c>
    </row>
    <row r="41" spans="1:25" ht="15.75" customHeight="1">
      <c r="A41" s="23" t="s">
        <v>176</v>
      </c>
      <c r="B41" s="23" t="s">
        <v>128</v>
      </c>
      <c r="C41" s="23" t="s">
        <v>128</v>
      </c>
      <c r="D41" s="29">
        <v>45335</v>
      </c>
      <c r="E41" s="27">
        <v>0.39305555555555555</v>
      </c>
      <c r="F41" s="23" t="s">
        <v>135</v>
      </c>
      <c r="G41" s="23" t="s">
        <v>130</v>
      </c>
      <c r="H41" s="23">
        <v>3.96</v>
      </c>
      <c r="I41" s="23">
        <v>0.03</v>
      </c>
      <c r="J41" s="23">
        <f>26.3-2.5</f>
        <v>23.8</v>
      </c>
      <c r="K41" s="23">
        <f>26-2.5</f>
        <v>23.5</v>
      </c>
      <c r="L41" s="23">
        <f t="shared" si="0"/>
        <v>0.30000000000000071</v>
      </c>
      <c r="M41" s="23">
        <f>29.8-2.5</f>
        <v>27.3</v>
      </c>
      <c r="N41" s="23">
        <f>26.9-2.5</f>
        <v>24.4</v>
      </c>
      <c r="O41" s="23">
        <f t="shared" si="1"/>
        <v>2.9000000000000021</v>
      </c>
      <c r="P41" s="23">
        <f>AVERAGE(14)</f>
        <v>14</v>
      </c>
      <c r="Q41" s="23">
        <f>AVERAGE(16,10,22,16,13,21,3)</f>
        <v>14.428571428571429</v>
      </c>
      <c r="R41" s="23">
        <v>0</v>
      </c>
      <c r="S41" s="23">
        <v>4</v>
      </c>
      <c r="T41" s="23"/>
      <c r="U41" s="23"/>
      <c r="V41" s="23"/>
      <c r="W41" s="23"/>
      <c r="X41" s="23"/>
      <c r="Y41" s="23"/>
    </row>
    <row r="42" spans="1:25" ht="15.75" customHeight="1">
      <c r="A42" s="15" t="s">
        <v>177</v>
      </c>
      <c r="B42" s="15" t="s">
        <v>128</v>
      </c>
      <c r="C42" s="15" t="s">
        <v>128</v>
      </c>
      <c r="D42" s="28">
        <v>45335</v>
      </c>
      <c r="E42" s="25">
        <v>0.43958333333333333</v>
      </c>
      <c r="F42" s="15" t="s">
        <v>135</v>
      </c>
      <c r="G42" s="15" t="s">
        <v>132</v>
      </c>
      <c r="H42" s="15">
        <v>4.04</v>
      </c>
      <c r="I42" s="15">
        <v>0.04</v>
      </c>
      <c r="J42" s="15">
        <f>26.9-2.5</f>
        <v>24.4</v>
      </c>
      <c r="K42" s="15">
        <f>26.8-2.5</f>
        <v>24.3</v>
      </c>
      <c r="L42" s="19">
        <f t="shared" si="0"/>
        <v>9.9999999999997868E-2</v>
      </c>
      <c r="M42" s="15">
        <f>26-2.5</f>
        <v>23.5</v>
      </c>
      <c r="N42" s="15">
        <f>25.9-2.5</f>
        <v>23.4</v>
      </c>
      <c r="O42" s="19">
        <f t="shared" si="1"/>
        <v>0.10000000000000142</v>
      </c>
      <c r="P42" s="15">
        <f>AVERAGE(3)</f>
        <v>3</v>
      </c>
      <c r="Q42" s="15">
        <v>0</v>
      </c>
      <c r="R42" s="15">
        <v>0</v>
      </c>
      <c r="S42" s="15">
        <v>0</v>
      </c>
    </row>
    <row r="43" spans="1:25" ht="14">
      <c r="A43" s="20" t="s">
        <v>91</v>
      </c>
      <c r="B43" s="23" t="s">
        <v>128</v>
      </c>
      <c r="C43" s="23" t="s">
        <v>128</v>
      </c>
      <c r="D43" s="29">
        <v>45343</v>
      </c>
      <c r="E43" s="37">
        <v>0.79166666666666663</v>
      </c>
      <c r="F43" s="23" t="s">
        <v>135</v>
      </c>
      <c r="G43" s="23" t="s">
        <v>130</v>
      </c>
      <c r="H43" s="23">
        <v>3.82</v>
      </c>
      <c r="I43" s="23">
        <v>0.04</v>
      </c>
      <c r="J43" s="23">
        <v>37.5</v>
      </c>
      <c r="K43" s="23">
        <v>36.299999999999997</v>
      </c>
      <c r="L43" s="23">
        <f t="shared" si="0"/>
        <v>1.2000000000000028</v>
      </c>
      <c r="M43" s="23">
        <v>37.5</v>
      </c>
      <c r="N43" s="23">
        <v>33.9</v>
      </c>
      <c r="O43" s="23">
        <f t="shared" si="1"/>
        <v>3.6000000000000014</v>
      </c>
      <c r="P43" s="23">
        <v>0</v>
      </c>
      <c r="Q43" s="23">
        <f>AVERAGE(19, 10, 9, 11)</f>
        <v>12.25</v>
      </c>
      <c r="R43" s="23">
        <v>0</v>
      </c>
      <c r="S43" s="23">
        <v>7</v>
      </c>
      <c r="T43" s="23"/>
      <c r="U43" s="23"/>
      <c r="V43" s="23"/>
      <c r="W43" s="23"/>
      <c r="X43" s="23"/>
      <c r="Y43" s="23"/>
    </row>
    <row r="44" spans="1:25" ht="14">
      <c r="A44" s="1" t="s">
        <v>92</v>
      </c>
      <c r="B44" s="15" t="s">
        <v>128</v>
      </c>
      <c r="C44" s="15" t="s">
        <v>128</v>
      </c>
      <c r="D44" s="28">
        <v>45343</v>
      </c>
      <c r="E44" s="38">
        <v>0.83750000000000002</v>
      </c>
      <c r="F44" s="15" t="s">
        <v>135</v>
      </c>
      <c r="G44" s="15" t="s">
        <v>132</v>
      </c>
      <c r="H44" s="15">
        <v>3.84</v>
      </c>
      <c r="I44" s="15">
        <v>0.05</v>
      </c>
      <c r="J44" s="15">
        <v>33.9</v>
      </c>
      <c r="K44" s="15">
        <v>33.6</v>
      </c>
      <c r="L44" s="19">
        <f t="shared" si="0"/>
        <v>0.29999999999999716</v>
      </c>
      <c r="M44" s="15">
        <v>36.6</v>
      </c>
      <c r="N44" s="15">
        <v>36.5</v>
      </c>
      <c r="O44" s="19">
        <f t="shared" si="1"/>
        <v>0.10000000000000142</v>
      </c>
      <c r="P44" s="15">
        <f>AVERAGE(7, 11, 9, 2, 11, 13, 4, 20, 14, 23, 5, 11, 18, 7, 7, 9, 7, 10, 13)</f>
        <v>10.578947368421053</v>
      </c>
      <c r="Q44" s="15">
        <f>AVERAGE(9)</f>
        <v>9</v>
      </c>
      <c r="R44" s="15">
        <v>0</v>
      </c>
      <c r="S44" s="15">
        <v>0</v>
      </c>
    </row>
    <row r="45" spans="1:25" ht="14">
      <c r="A45" s="1" t="s">
        <v>93</v>
      </c>
      <c r="B45" s="15" t="s">
        <v>127</v>
      </c>
      <c r="C45" s="15" t="s">
        <v>128</v>
      </c>
      <c r="D45" s="28">
        <v>45344</v>
      </c>
      <c r="E45" s="25">
        <v>0.29444444444444445</v>
      </c>
      <c r="F45" s="15" t="s">
        <v>135</v>
      </c>
      <c r="G45" s="15" t="s">
        <v>130</v>
      </c>
      <c r="H45" s="15">
        <v>4.18</v>
      </c>
      <c r="I45" s="15">
        <v>0.02</v>
      </c>
      <c r="J45" s="15">
        <f t="shared" ref="J45:J46" si="5">36.6-2.3</f>
        <v>34.300000000000004</v>
      </c>
      <c r="K45" s="15">
        <f>35.5-2.3</f>
        <v>33.200000000000003</v>
      </c>
      <c r="L45" s="19">
        <f t="shared" si="0"/>
        <v>1.1000000000000014</v>
      </c>
      <c r="M45" s="15">
        <f t="shared" ref="M45:N45" si="6">36.6-2.3</f>
        <v>34.300000000000004</v>
      </c>
      <c r="N45" s="15">
        <f t="shared" si="6"/>
        <v>34.300000000000004</v>
      </c>
      <c r="O45" s="19">
        <f t="shared" si="1"/>
        <v>0</v>
      </c>
      <c r="P45" s="15">
        <v>0</v>
      </c>
      <c r="Q45" s="15">
        <f>AVERAGE(17, 6, 8)</f>
        <v>10.333333333333334</v>
      </c>
      <c r="R45" s="15">
        <v>0</v>
      </c>
      <c r="S45" s="15">
        <v>0</v>
      </c>
    </row>
    <row r="46" spans="1:25" ht="14">
      <c r="A46" s="20" t="s">
        <v>94</v>
      </c>
      <c r="B46" s="23" t="s">
        <v>127</v>
      </c>
      <c r="C46" s="23" t="s">
        <v>128</v>
      </c>
      <c r="D46" s="29">
        <v>45344</v>
      </c>
      <c r="E46" s="27">
        <v>0.34097222222222223</v>
      </c>
      <c r="F46" s="23" t="s">
        <v>135</v>
      </c>
      <c r="G46" s="23" t="s">
        <v>132</v>
      </c>
      <c r="H46" s="23">
        <v>4.09</v>
      </c>
      <c r="I46" s="23">
        <v>0.04</v>
      </c>
      <c r="J46" s="23">
        <f t="shared" si="5"/>
        <v>34.300000000000004</v>
      </c>
      <c r="K46" s="23">
        <f>35.6-2.3</f>
        <v>33.300000000000004</v>
      </c>
      <c r="L46" s="23">
        <f t="shared" si="0"/>
        <v>1</v>
      </c>
      <c r="M46" s="23">
        <f>35.5-2.3</f>
        <v>33.200000000000003</v>
      </c>
      <c r="N46" s="23">
        <f>31.4-2.3</f>
        <v>29.099999999999998</v>
      </c>
      <c r="O46" s="23">
        <f t="shared" si="1"/>
        <v>4.100000000000005</v>
      </c>
      <c r="P46" s="23">
        <f>AVERAGE(8, 17, 19, 12, 10, 50)</f>
        <v>19.333333333333332</v>
      </c>
      <c r="Q46" s="23">
        <v>0</v>
      </c>
      <c r="R46" s="23">
        <v>0</v>
      </c>
      <c r="S46" s="23">
        <v>5</v>
      </c>
      <c r="T46" s="23"/>
      <c r="U46" s="23"/>
      <c r="V46" s="23"/>
      <c r="W46" s="23"/>
      <c r="X46" s="23"/>
      <c r="Y46" s="23"/>
    </row>
    <row r="47" spans="1:25" ht="14">
      <c r="A47" s="20" t="s">
        <v>95</v>
      </c>
      <c r="B47" s="23" t="s">
        <v>127</v>
      </c>
      <c r="C47" s="23" t="s">
        <v>128</v>
      </c>
      <c r="D47" s="29">
        <v>45344</v>
      </c>
      <c r="E47" s="27">
        <v>0.38750000000000001</v>
      </c>
      <c r="F47" s="23" t="s">
        <v>135</v>
      </c>
      <c r="G47" s="23" t="s">
        <v>130</v>
      </c>
      <c r="H47" s="23">
        <v>4.2</v>
      </c>
      <c r="I47" s="23">
        <v>0.04</v>
      </c>
      <c r="J47" s="23">
        <f>31.4-2.3</f>
        <v>29.099999999999998</v>
      </c>
      <c r="K47" s="23">
        <f>26.5-2.3</f>
        <v>24.2</v>
      </c>
      <c r="L47" s="23">
        <f t="shared" si="0"/>
        <v>4.8999999999999986</v>
      </c>
      <c r="M47" s="23">
        <f>35.6-2.3</f>
        <v>33.300000000000004</v>
      </c>
      <c r="N47" s="23">
        <f>34.5-2.3</f>
        <v>32.200000000000003</v>
      </c>
      <c r="O47" s="23">
        <f t="shared" si="1"/>
        <v>1.1000000000000014</v>
      </c>
      <c r="P47" s="23">
        <v>0</v>
      </c>
      <c r="Q47" s="23">
        <f>AVERAGE(9, 4, 10, 24, 17, 14, 8,  48, 6, 13, 19)</f>
        <v>15.636363636363637</v>
      </c>
      <c r="R47" s="23">
        <v>5</v>
      </c>
      <c r="S47" s="23">
        <v>0</v>
      </c>
      <c r="T47" s="23"/>
      <c r="U47" s="23"/>
      <c r="V47" s="23"/>
      <c r="W47" s="23"/>
      <c r="X47" s="23"/>
      <c r="Y47" s="23"/>
    </row>
    <row r="48" spans="1:25" ht="14">
      <c r="A48" s="20" t="s">
        <v>96</v>
      </c>
      <c r="B48" s="23" t="s">
        <v>127</v>
      </c>
      <c r="C48" s="23" t="s">
        <v>128</v>
      </c>
      <c r="D48" s="29">
        <v>45344</v>
      </c>
      <c r="E48" s="27">
        <v>0.43611111111111112</v>
      </c>
      <c r="F48" s="23" t="s">
        <v>135</v>
      </c>
      <c r="G48" s="23" t="s">
        <v>132</v>
      </c>
      <c r="H48" s="23">
        <v>4.08</v>
      </c>
      <c r="I48" s="23">
        <v>0.04</v>
      </c>
      <c r="J48" s="23">
        <f>34.5-2.3</f>
        <v>32.200000000000003</v>
      </c>
      <c r="K48" s="23">
        <f>43.3-2.3</f>
        <v>41</v>
      </c>
      <c r="L48" s="23">
        <f t="shared" si="0"/>
        <v>-8.7999999999999972</v>
      </c>
      <c r="M48" s="23">
        <f>26.5-2.3</f>
        <v>24.2</v>
      </c>
      <c r="N48" s="23">
        <f>20.9-2.3</f>
        <v>18.599999999999998</v>
      </c>
      <c r="O48" s="23">
        <f t="shared" si="1"/>
        <v>5.6000000000000014</v>
      </c>
      <c r="P48" s="23">
        <f>AVERAGE(13, 11, 29, 6, 11, 22, 17, 18, 10, 13, 4, 5)</f>
        <v>13.25</v>
      </c>
      <c r="Q48" s="23">
        <v>0</v>
      </c>
      <c r="R48" s="23">
        <v>0</v>
      </c>
      <c r="S48" s="23">
        <v>12</v>
      </c>
      <c r="T48" s="23"/>
      <c r="U48" s="23"/>
      <c r="V48" s="23"/>
      <c r="W48" s="23"/>
      <c r="X48" s="23"/>
      <c r="Y48" s="23"/>
    </row>
    <row r="49" spans="1:25" ht="14">
      <c r="A49" s="1" t="s">
        <v>97</v>
      </c>
      <c r="B49" s="15" t="s">
        <v>127</v>
      </c>
      <c r="C49" s="15" t="s">
        <v>128</v>
      </c>
      <c r="D49" s="28">
        <v>45357</v>
      </c>
      <c r="E49" s="38">
        <v>0.79513888888888884</v>
      </c>
      <c r="F49" s="15" t="s">
        <v>135</v>
      </c>
      <c r="G49" s="15" t="s">
        <v>130</v>
      </c>
      <c r="H49" s="15">
        <v>4.03</v>
      </c>
      <c r="I49" s="15">
        <v>0.04</v>
      </c>
      <c r="J49" s="15">
        <f t="shared" ref="J49:J50" si="7">35.5-2.5</f>
        <v>33</v>
      </c>
      <c r="K49" s="15">
        <f>35-2.5</f>
        <v>32.5</v>
      </c>
      <c r="L49" s="19">
        <f t="shared" si="0"/>
        <v>0.5</v>
      </c>
      <c r="M49" s="15">
        <f>35.6-2.5</f>
        <v>33.1</v>
      </c>
      <c r="N49" s="15">
        <f>35.5-2.5</f>
        <v>33</v>
      </c>
      <c r="O49" s="19">
        <f t="shared" si="1"/>
        <v>0.10000000000000142</v>
      </c>
      <c r="P49" s="15">
        <v>0</v>
      </c>
      <c r="Q49" s="15">
        <v>0</v>
      </c>
      <c r="R49" s="15">
        <v>0</v>
      </c>
      <c r="S49" s="15">
        <v>0</v>
      </c>
    </row>
    <row r="50" spans="1:25" ht="14">
      <c r="A50" s="20" t="s">
        <v>98</v>
      </c>
      <c r="B50" s="23" t="s">
        <v>127</v>
      </c>
      <c r="C50" s="23" t="s">
        <v>128</v>
      </c>
      <c r="D50" s="29">
        <v>45357</v>
      </c>
      <c r="E50" s="37">
        <v>0.84444444444444444</v>
      </c>
      <c r="F50" s="23" t="s">
        <v>135</v>
      </c>
      <c r="G50" s="23" t="s">
        <v>132</v>
      </c>
      <c r="H50" s="23">
        <v>4.03</v>
      </c>
      <c r="I50" s="23">
        <v>0.04</v>
      </c>
      <c r="J50" s="23">
        <f t="shared" si="7"/>
        <v>33</v>
      </c>
      <c r="K50" s="23">
        <f>34.5-2.3</f>
        <v>32.200000000000003</v>
      </c>
      <c r="L50" s="23">
        <f t="shared" si="0"/>
        <v>0.79999999999999716</v>
      </c>
      <c r="M50" s="23">
        <f>35-2.5</f>
        <v>32.5</v>
      </c>
      <c r="N50" s="23">
        <f>31.1-2.5</f>
        <v>28.6</v>
      </c>
      <c r="O50" s="23">
        <f t="shared" si="1"/>
        <v>3.8999999999999986</v>
      </c>
      <c r="P50" s="23">
        <v>16</v>
      </c>
      <c r="Q50" s="23">
        <v>0</v>
      </c>
      <c r="R50" s="23">
        <v>0</v>
      </c>
      <c r="S50" s="23">
        <v>4</v>
      </c>
      <c r="T50" s="23"/>
      <c r="U50" s="23"/>
      <c r="V50" s="23"/>
      <c r="W50" s="23"/>
      <c r="X50" s="23"/>
      <c r="Y50" s="23"/>
    </row>
    <row r="51" spans="1:25" ht="14">
      <c r="A51" s="20" t="s">
        <v>99</v>
      </c>
      <c r="B51" s="23" t="s">
        <v>158</v>
      </c>
      <c r="C51" s="23">
        <v>4.05</v>
      </c>
      <c r="D51" s="29">
        <v>45358</v>
      </c>
      <c r="E51" s="27">
        <v>0.29930555555555555</v>
      </c>
      <c r="F51" s="23" t="s">
        <v>135</v>
      </c>
      <c r="G51" s="23" t="s">
        <v>130</v>
      </c>
      <c r="H51" s="23">
        <v>3.97</v>
      </c>
      <c r="I51" s="23">
        <v>0.06</v>
      </c>
      <c r="J51" s="23">
        <f>36.8-2.4</f>
        <v>34.4</v>
      </c>
      <c r="K51" s="23">
        <f>36.3-2.4</f>
        <v>33.9</v>
      </c>
      <c r="L51" s="23">
        <f t="shared" si="0"/>
        <v>0.5</v>
      </c>
      <c r="M51" s="23">
        <f>36.8-2.4</f>
        <v>34.4</v>
      </c>
      <c r="N51" s="23">
        <f>32.5-2.4</f>
        <v>30.1</v>
      </c>
      <c r="O51" s="23">
        <f t="shared" si="1"/>
        <v>4.2999999999999972</v>
      </c>
      <c r="P51" s="23">
        <v>0</v>
      </c>
      <c r="Q51" s="23">
        <v>0</v>
      </c>
      <c r="R51" s="23">
        <v>0</v>
      </c>
      <c r="S51" s="23">
        <v>3</v>
      </c>
      <c r="T51" s="23"/>
      <c r="U51" s="23"/>
      <c r="V51" s="23"/>
      <c r="W51" s="23"/>
      <c r="X51" s="23"/>
      <c r="Y51" s="23"/>
    </row>
    <row r="52" spans="1:25" ht="14">
      <c r="A52" s="1" t="s">
        <v>102</v>
      </c>
      <c r="B52" s="15" t="s">
        <v>158</v>
      </c>
      <c r="C52" s="15">
        <v>4.05</v>
      </c>
      <c r="D52" s="28">
        <v>45358</v>
      </c>
      <c r="E52" s="25">
        <v>0.34791666666666665</v>
      </c>
      <c r="F52" s="15" t="s">
        <v>135</v>
      </c>
      <c r="G52" s="15" t="s">
        <v>132</v>
      </c>
      <c r="H52" s="15">
        <v>4.0999999999999996</v>
      </c>
      <c r="I52" s="15">
        <v>0.03</v>
      </c>
      <c r="J52" s="15">
        <f>32.5-2.4</f>
        <v>30.1</v>
      </c>
      <c r="K52" s="15">
        <f>33.8-2.4</f>
        <v>31.4</v>
      </c>
      <c r="L52" s="19">
        <f t="shared" si="0"/>
        <v>-1.2999999999999972</v>
      </c>
      <c r="M52" s="15">
        <f>36.3-2.4</f>
        <v>33.9</v>
      </c>
      <c r="N52" s="15">
        <f>31.3-2.4</f>
        <v>28.900000000000002</v>
      </c>
      <c r="O52" s="19">
        <f t="shared" si="1"/>
        <v>4.9999999999999964</v>
      </c>
      <c r="P52" s="15">
        <v>8</v>
      </c>
      <c r="Q52" s="15">
        <v>0</v>
      </c>
    </row>
    <row r="53" spans="1:25" ht="14">
      <c r="A53" s="1" t="s">
        <v>103</v>
      </c>
      <c r="B53" s="15" t="s">
        <v>158</v>
      </c>
      <c r="C53" s="15">
        <v>4.05</v>
      </c>
      <c r="D53" s="28">
        <v>45358</v>
      </c>
      <c r="E53" s="25">
        <v>0.39583333333333331</v>
      </c>
      <c r="F53" s="15" t="s">
        <v>135</v>
      </c>
      <c r="G53" s="15" t="s">
        <v>130</v>
      </c>
      <c r="H53" s="15">
        <v>3.77</v>
      </c>
      <c r="I53" s="15">
        <v>0.06</v>
      </c>
      <c r="J53" s="15">
        <f>31.3-2.4</f>
        <v>28.900000000000002</v>
      </c>
      <c r="K53" s="15">
        <f>30-2.4</f>
        <v>27.6</v>
      </c>
      <c r="L53" s="19">
        <f t="shared" si="0"/>
        <v>1.3000000000000007</v>
      </c>
      <c r="M53" s="15">
        <f>33.8-2.4</f>
        <v>31.4</v>
      </c>
      <c r="N53" s="15">
        <f>30.2-2.4</f>
        <v>27.8</v>
      </c>
      <c r="O53" s="19">
        <f t="shared" si="1"/>
        <v>3.5999999999999979</v>
      </c>
      <c r="P53" s="15">
        <v>0</v>
      </c>
      <c r="Q53" s="15">
        <v>0</v>
      </c>
    </row>
    <row r="54" spans="1:25" ht="13">
      <c r="A54" s="39" t="s">
        <v>104</v>
      </c>
      <c r="B54" s="39" t="s">
        <v>158</v>
      </c>
      <c r="C54" s="39">
        <v>4.05</v>
      </c>
      <c r="D54" s="40">
        <v>45359</v>
      </c>
      <c r="E54" s="41">
        <v>0.79305555555555551</v>
      </c>
      <c r="F54" s="39" t="s">
        <v>135</v>
      </c>
      <c r="G54" s="39" t="s">
        <v>130</v>
      </c>
      <c r="H54" s="39">
        <v>4.29</v>
      </c>
      <c r="I54" s="39">
        <v>0.04</v>
      </c>
      <c r="J54" s="39">
        <f>39-2.2</f>
        <v>36.799999999999997</v>
      </c>
      <c r="K54" s="39">
        <f>38.2-2.2</f>
        <v>36</v>
      </c>
      <c r="L54" s="39">
        <f t="shared" si="0"/>
        <v>0.79999999999999716</v>
      </c>
      <c r="M54" s="39">
        <f>39-2.2</f>
        <v>36.799999999999997</v>
      </c>
      <c r="N54" s="39">
        <f>36.4-2.2</f>
        <v>34.199999999999996</v>
      </c>
      <c r="O54" s="39">
        <f t="shared" si="1"/>
        <v>2.6000000000000014</v>
      </c>
      <c r="P54" s="39">
        <v>0</v>
      </c>
      <c r="Q54" s="39">
        <v>0</v>
      </c>
      <c r="R54" s="39">
        <v>0</v>
      </c>
      <c r="S54" s="39">
        <v>0</v>
      </c>
      <c r="T54" s="39"/>
      <c r="U54" s="39"/>
      <c r="V54" s="39"/>
      <c r="W54" s="39"/>
      <c r="X54" s="39"/>
      <c r="Y54" s="39"/>
    </row>
    <row r="55" spans="1:25" ht="13">
      <c r="A55" s="23" t="s">
        <v>105</v>
      </c>
      <c r="B55" s="23" t="s">
        <v>158</v>
      </c>
      <c r="C55" s="23">
        <v>4.05</v>
      </c>
      <c r="D55" s="29">
        <v>45359</v>
      </c>
      <c r="E55" s="37">
        <v>0.83888888888888891</v>
      </c>
      <c r="F55" s="23" t="s">
        <v>135</v>
      </c>
      <c r="G55" s="23" t="s">
        <v>132</v>
      </c>
      <c r="H55" s="23">
        <v>3.84</v>
      </c>
      <c r="I55" s="23">
        <v>0.03</v>
      </c>
      <c r="J55" s="23">
        <f>36.4-2.2</f>
        <v>34.199999999999996</v>
      </c>
      <c r="K55" s="23">
        <f>35.6-2.2</f>
        <v>33.4</v>
      </c>
      <c r="L55" s="23">
        <f t="shared" si="0"/>
        <v>0.79999999999999716</v>
      </c>
      <c r="M55" s="23">
        <f>38.2-2.2</f>
        <v>36</v>
      </c>
      <c r="N55" s="23">
        <f>34.4-2.2</f>
        <v>32.199999999999996</v>
      </c>
      <c r="O55" s="23">
        <f t="shared" si="1"/>
        <v>3.8000000000000043</v>
      </c>
      <c r="P55" s="23">
        <v>0</v>
      </c>
      <c r="Q55" s="23">
        <v>0</v>
      </c>
      <c r="R55" s="23">
        <v>0</v>
      </c>
      <c r="S55" s="23">
        <v>2</v>
      </c>
      <c r="T55" s="23"/>
      <c r="U55" s="23"/>
      <c r="V55" s="23"/>
      <c r="W55" s="23"/>
      <c r="X55" s="23"/>
      <c r="Y55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16.1640625" customWidth="1"/>
    <col min="7" max="7" width="14.33203125" customWidth="1"/>
    <col min="9" max="9" width="14.6640625" customWidth="1"/>
    <col min="11" max="11" width="25.33203125" customWidth="1"/>
  </cols>
  <sheetData>
    <row r="1" spans="1:11" ht="15.75" customHeight="1">
      <c r="A1" s="15" t="s">
        <v>178</v>
      </c>
      <c r="B1" s="15" t="s">
        <v>179</v>
      </c>
      <c r="C1" s="15" t="s">
        <v>180</v>
      </c>
      <c r="D1" s="15" t="s">
        <v>181</v>
      </c>
      <c r="E1" s="15" t="s">
        <v>182</v>
      </c>
      <c r="F1" s="15" t="s">
        <v>183</v>
      </c>
      <c r="G1" s="15" t="s">
        <v>184</v>
      </c>
      <c r="H1" s="15" t="s">
        <v>185</v>
      </c>
      <c r="I1" s="15" t="s">
        <v>186</v>
      </c>
      <c r="J1" s="15" t="s">
        <v>187</v>
      </c>
      <c r="K1" s="15" t="s">
        <v>4</v>
      </c>
    </row>
    <row r="2" spans="1:11" ht="15.75" customHeight="1">
      <c r="A2" s="15" t="s">
        <v>38</v>
      </c>
      <c r="B2" s="15">
        <v>1</v>
      </c>
      <c r="C2" s="42">
        <v>2.2645833333333334</v>
      </c>
      <c r="D2" s="42">
        <v>0.47871527777777778</v>
      </c>
      <c r="E2" s="15" t="s">
        <v>158</v>
      </c>
      <c r="F2" s="15" t="s">
        <v>188</v>
      </c>
      <c r="G2" s="15">
        <v>0</v>
      </c>
      <c r="H2" s="15" t="s">
        <v>25</v>
      </c>
      <c r="I2" s="15" t="s">
        <v>189</v>
      </c>
    </row>
    <row r="3" spans="1:11" ht="15.75" customHeight="1">
      <c r="A3" s="15" t="s">
        <v>38</v>
      </c>
      <c r="B3" s="15">
        <v>2</v>
      </c>
      <c r="C3" s="42">
        <v>2.2937500000000002</v>
      </c>
      <c r="D3" s="42">
        <v>0.47920138888888891</v>
      </c>
      <c r="E3" s="15" t="s">
        <v>158</v>
      </c>
      <c r="F3" s="15" t="s">
        <v>188</v>
      </c>
      <c r="G3" s="15">
        <v>0</v>
      </c>
      <c r="H3" s="15" t="s">
        <v>25</v>
      </c>
      <c r="I3" s="15" t="s">
        <v>190</v>
      </c>
    </row>
    <row r="4" spans="1:11" ht="15.75" customHeight="1">
      <c r="A4" s="15" t="s">
        <v>38</v>
      </c>
      <c r="B4" s="15">
        <v>3</v>
      </c>
      <c r="C4" s="42">
        <v>2.3611111111111112</v>
      </c>
      <c r="D4" s="42">
        <v>0.48032407407407407</v>
      </c>
      <c r="E4" s="15" t="s">
        <v>158</v>
      </c>
      <c r="F4" s="15" t="s">
        <v>188</v>
      </c>
      <c r="G4" s="15">
        <v>0</v>
      </c>
      <c r="H4" s="15" t="s">
        <v>25</v>
      </c>
      <c r="I4" s="15" t="s">
        <v>191</v>
      </c>
    </row>
    <row r="5" spans="1:11" ht="15.75" customHeight="1">
      <c r="A5" s="15" t="s">
        <v>38</v>
      </c>
      <c r="B5" s="15">
        <v>4</v>
      </c>
      <c r="C5" s="42">
        <v>2.4555555555555557</v>
      </c>
      <c r="D5" s="42">
        <v>0.48189814814814813</v>
      </c>
      <c r="E5" s="15" t="s">
        <v>158</v>
      </c>
      <c r="F5" s="15" t="s">
        <v>188</v>
      </c>
      <c r="G5" s="15">
        <v>0</v>
      </c>
      <c r="H5" s="15" t="s">
        <v>25</v>
      </c>
      <c r="I5" s="15" t="s">
        <v>192</v>
      </c>
    </row>
    <row r="6" spans="1:11" ht="15.75" customHeight="1">
      <c r="A6" s="15" t="s">
        <v>43</v>
      </c>
      <c r="B6" s="15">
        <v>1</v>
      </c>
      <c r="C6" s="42">
        <v>4.5150462962962962E-2</v>
      </c>
      <c r="E6" s="15" t="s">
        <v>127</v>
      </c>
      <c r="F6" s="15" t="s">
        <v>193</v>
      </c>
      <c r="H6" s="15" t="s">
        <v>25</v>
      </c>
      <c r="I6" s="15" t="s">
        <v>194</v>
      </c>
    </row>
    <row r="7" spans="1:11" ht="15.75" customHeight="1">
      <c r="A7" s="15" t="s">
        <v>43</v>
      </c>
      <c r="B7" s="15">
        <v>2</v>
      </c>
      <c r="C7" s="42">
        <v>4.5277777777777778E-2</v>
      </c>
      <c r="E7" s="15" t="s">
        <v>127</v>
      </c>
      <c r="F7" s="15" t="s">
        <v>193</v>
      </c>
      <c r="H7" s="15" t="s">
        <v>25</v>
      </c>
      <c r="I7" s="15" t="s">
        <v>194</v>
      </c>
    </row>
    <row r="8" spans="1:11" ht="15.75" customHeight="1">
      <c r="A8" s="15" t="s">
        <v>43</v>
      </c>
      <c r="B8" s="15">
        <v>3</v>
      </c>
      <c r="C8" s="42">
        <v>4.5289351851851851E-2</v>
      </c>
      <c r="E8" s="15" t="s">
        <v>127</v>
      </c>
      <c r="F8" s="15" t="s">
        <v>193</v>
      </c>
      <c r="H8" s="15" t="s">
        <v>25</v>
      </c>
      <c r="I8" s="15" t="s">
        <v>194</v>
      </c>
    </row>
    <row r="9" spans="1:11" ht="15.75" customHeight="1">
      <c r="A9" s="15" t="s">
        <v>43</v>
      </c>
      <c r="B9" s="15">
        <v>4</v>
      </c>
      <c r="C9" s="42">
        <v>4.5312499999999999E-2</v>
      </c>
      <c r="E9" s="15" t="s">
        <v>127</v>
      </c>
      <c r="F9" s="15" t="s">
        <v>193</v>
      </c>
      <c r="H9" s="15" t="s">
        <v>25</v>
      </c>
      <c r="I9" s="15" t="s">
        <v>194</v>
      </c>
    </row>
    <row r="10" spans="1:11" ht="15.75" customHeight="1">
      <c r="A10" s="15" t="s">
        <v>43</v>
      </c>
      <c r="B10" s="15">
        <v>5</v>
      </c>
      <c r="C10" s="42">
        <v>4.5393518518518521E-2</v>
      </c>
      <c r="E10" s="15" t="s">
        <v>127</v>
      </c>
      <c r="F10" s="15" t="s">
        <v>193</v>
      </c>
      <c r="H10" s="15" t="s">
        <v>26</v>
      </c>
      <c r="I10" s="15" t="s">
        <v>194</v>
      </c>
    </row>
    <row r="11" spans="1:11" ht="15.75" customHeight="1">
      <c r="A11" s="15" t="s">
        <v>43</v>
      </c>
      <c r="B11" s="15">
        <v>6</v>
      </c>
      <c r="C11" s="42">
        <v>4.5439814814814815E-2</v>
      </c>
      <c r="E11" s="15" t="s">
        <v>127</v>
      </c>
      <c r="F11" s="15" t="s">
        <v>193</v>
      </c>
      <c r="H11" s="15" t="s">
        <v>26</v>
      </c>
      <c r="I11" s="15" t="s">
        <v>194</v>
      </c>
    </row>
    <row r="12" spans="1:11" ht="15.75" customHeight="1">
      <c r="A12" s="15" t="s">
        <v>43</v>
      </c>
      <c r="B12" s="15">
        <v>7</v>
      </c>
      <c r="C12" s="42">
        <v>4.5486111111111109E-2</v>
      </c>
      <c r="E12" s="15" t="s">
        <v>127</v>
      </c>
      <c r="F12" s="15" t="s">
        <v>193</v>
      </c>
      <c r="H12" s="15" t="s">
        <v>26</v>
      </c>
      <c r="I12" s="15" t="s">
        <v>194</v>
      </c>
    </row>
    <row r="13" spans="1:11" ht="15.75" customHeight="1">
      <c r="A13" s="15" t="s">
        <v>43</v>
      </c>
      <c r="B13" s="15">
        <v>8</v>
      </c>
      <c r="C13" s="42">
        <v>4.5590277777777778E-2</v>
      </c>
      <c r="E13" s="15" t="s">
        <v>127</v>
      </c>
      <c r="F13" s="15" t="s">
        <v>193</v>
      </c>
      <c r="H13" s="15" t="s">
        <v>26</v>
      </c>
      <c r="I13" s="15" t="s">
        <v>194</v>
      </c>
    </row>
    <row r="14" spans="1:11" ht="15.75" customHeight="1">
      <c r="A14" s="15" t="s">
        <v>43</v>
      </c>
      <c r="B14" s="15">
        <v>9</v>
      </c>
      <c r="C14" s="42">
        <v>4.5636574074074072E-2</v>
      </c>
      <c r="E14" s="15" t="s">
        <v>127</v>
      </c>
      <c r="F14" s="15" t="s">
        <v>193</v>
      </c>
      <c r="H14" s="15" t="s">
        <v>26</v>
      </c>
      <c r="I14" s="15" t="s">
        <v>194</v>
      </c>
    </row>
    <row r="15" spans="1:11" ht="15.75" customHeight="1">
      <c r="A15" s="15" t="s">
        <v>43</v>
      </c>
      <c r="B15" s="15">
        <v>10</v>
      </c>
      <c r="C15" s="42">
        <v>4.5775462962962962E-2</v>
      </c>
      <c r="E15" s="15" t="s">
        <v>127</v>
      </c>
      <c r="F15" s="15" t="s">
        <v>193</v>
      </c>
      <c r="H15" s="15" t="s">
        <v>25</v>
      </c>
      <c r="I15" s="15" t="s">
        <v>194</v>
      </c>
    </row>
    <row r="16" spans="1:11" ht="15.75" customHeight="1">
      <c r="A16" s="15" t="s">
        <v>43</v>
      </c>
      <c r="B16" s="15">
        <v>11</v>
      </c>
      <c r="C16" s="42">
        <v>4.5821759259259257E-2</v>
      </c>
      <c r="E16" s="15" t="s">
        <v>127</v>
      </c>
      <c r="F16" s="15" t="s">
        <v>193</v>
      </c>
      <c r="H16" s="15" t="s">
        <v>26</v>
      </c>
      <c r="I16" s="15" t="s">
        <v>194</v>
      </c>
    </row>
    <row r="17" spans="1:9" ht="15.75" customHeight="1">
      <c r="A17" s="15" t="s">
        <v>43</v>
      </c>
      <c r="B17" s="15">
        <v>12</v>
      </c>
      <c r="C17" s="42">
        <v>4.6192129629629632E-2</v>
      </c>
      <c r="E17" s="15" t="s">
        <v>127</v>
      </c>
      <c r="F17" s="15" t="s">
        <v>193</v>
      </c>
      <c r="H17" s="15" t="s">
        <v>25</v>
      </c>
      <c r="I17" s="15" t="s">
        <v>194</v>
      </c>
    </row>
    <row r="18" spans="1:9" ht="15.75" customHeight="1">
      <c r="A18" s="15" t="s">
        <v>43</v>
      </c>
      <c r="B18" s="15">
        <v>13</v>
      </c>
      <c r="C18" s="42">
        <v>4.6238425925925926E-2</v>
      </c>
      <c r="E18" s="15" t="s">
        <v>127</v>
      </c>
      <c r="F18" s="15" t="s">
        <v>193</v>
      </c>
      <c r="H18" s="15" t="s">
        <v>26</v>
      </c>
      <c r="I18" s="15" t="s">
        <v>194</v>
      </c>
    </row>
    <row r="19" spans="1:9" ht="15.75" customHeight="1">
      <c r="A19" s="15" t="s">
        <v>43</v>
      </c>
      <c r="B19" s="15">
        <v>14</v>
      </c>
      <c r="C19" s="42">
        <v>4.6319444444444448E-2</v>
      </c>
      <c r="E19" s="15" t="s">
        <v>127</v>
      </c>
      <c r="F19" s="15" t="s">
        <v>193</v>
      </c>
      <c r="H19" s="15" t="s">
        <v>25</v>
      </c>
      <c r="I19" s="15" t="s">
        <v>194</v>
      </c>
    </row>
    <row r="20" spans="1:9" ht="15.75" customHeight="1">
      <c r="A20" s="15" t="s">
        <v>43</v>
      </c>
      <c r="B20" s="15">
        <v>15</v>
      </c>
      <c r="C20" s="42">
        <v>4.6354166666666669E-2</v>
      </c>
      <c r="E20" s="15" t="s">
        <v>127</v>
      </c>
      <c r="F20" s="15" t="s">
        <v>193</v>
      </c>
      <c r="H20" s="15" t="s">
        <v>25</v>
      </c>
      <c r="I20" s="15" t="s">
        <v>194</v>
      </c>
    </row>
    <row r="21" spans="1:9" ht="15.75" customHeight="1">
      <c r="A21" s="15" t="s">
        <v>43</v>
      </c>
      <c r="B21" s="15">
        <v>16</v>
      </c>
      <c r="C21" s="42">
        <v>4.6412037037037036E-2</v>
      </c>
      <c r="E21" s="15" t="s">
        <v>127</v>
      </c>
      <c r="F21" s="15" t="s">
        <v>193</v>
      </c>
      <c r="H21" s="15" t="s">
        <v>26</v>
      </c>
      <c r="I21" s="15" t="s">
        <v>194</v>
      </c>
    </row>
    <row r="22" spans="1:9" ht="15.75" customHeight="1">
      <c r="A22" s="15" t="s">
        <v>43</v>
      </c>
      <c r="B22" s="15">
        <v>17</v>
      </c>
      <c r="C22" s="42">
        <v>4.6458333333333331E-2</v>
      </c>
      <c r="E22" s="15" t="s">
        <v>127</v>
      </c>
      <c r="F22" s="15" t="s">
        <v>193</v>
      </c>
      <c r="H22" s="15" t="s">
        <v>26</v>
      </c>
      <c r="I22" s="15" t="s">
        <v>194</v>
      </c>
    </row>
    <row r="23" spans="1:9" ht="15.75" customHeight="1">
      <c r="A23" s="15" t="s">
        <v>43</v>
      </c>
      <c r="B23" s="15">
        <v>18</v>
      </c>
      <c r="C23" s="42">
        <v>9.1678240740740741E-2</v>
      </c>
      <c r="E23" s="15" t="s">
        <v>127</v>
      </c>
      <c r="F23" s="15" t="s">
        <v>193</v>
      </c>
      <c r="H23" s="15" t="s">
        <v>25</v>
      </c>
      <c r="I23" s="15" t="s">
        <v>194</v>
      </c>
    </row>
    <row r="24" spans="1:9" ht="15.75" customHeight="1">
      <c r="A24" s="15" t="s">
        <v>43</v>
      </c>
      <c r="B24" s="15">
        <v>19</v>
      </c>
      <c r="C24" s="42">
        <v>9.1874999999999998E-2</v>
      </c>
      <c r="E24" s="15" t="s">
        <v>127</v>
      </c>
      <c r="F24" s="15" t="s">
        <v>193</v>
      </c>
      <c r="H24" s="15" t="s">
        <v>25</v>
      </c>
      <c r="I24" s="15" t="s">
        <v>194</v>
      </c>
    </row>
    <row r="25" spans="1:9" ht="15.75" customHeight="1">
      <c r="A25" s="15" t="s">
        <v>43</v>
      </c>
      <c r="B25" s="15">
        <v>20</v>
      </c>
      <c r="C25" s="42">
        <v>9.2835648148148153E-2</v>
      </c>
      <c r="E25" s="15" t="s">
        <v>127</v>
      </c>
      <c r="F25" s="15" t="s">
        <v>193</v>
      </c>
      <c r="H25" s="15" t="s">
        <v>25</v>
      </c>
      <c r="I25" s="15" t="s">
        <v>194</v>
      </c>
    </row>
    <row r="26" spans="1:9" ht="15.75" customHeight="1">
      <c r="A26" s="15" t="s">
        <v>43</v>
      </c>
      <c r="B26" s="15">
        <v>21</v>
      </c>
      <c r="C26" s="42">
        <v>9.2951388888888889E-2</v>
      </c>
      <c r="E26" s="15" t="s">
        <v>127</v>
      </c>
      <c r="F26" s="15" t="s">
        <v>193</v>
      </c>
      <c r="H26" s="15" t="s">
        <v>25</v>
      </c>
      <c r="I26" s="15" t="s">
        <v>194</v>
      </c>
    </row>
    <row r="27" spans="1:9" ht="15.75" customHeight="1">
      <c r="A27" s="15" t="s">
        <v>43</v>
      </c>
      <c r="B27" s="15">
        <v>22</v>
      </c>
      <c r="C27" s="42">
        <v>9.3055555555555558E-2</v>
      </c>
      <c r="E27" s="15" t="s">
        <v>127</v>
      </c>
      <c r="F27" s="15" t="s">
        <v>193</v>
      </c>
      <c r="H27" s="15" t="s">
        <v>25</v>
      </c>
      <c r="I27" s="15" t="s">
        <v>194</v>
      </c>
    </row>
    <row r="28" spans="1:9" ht="15.75" customHeight="1">
      <c r="A28" s="15" t="s">
        <v>43</v>
      </c>
      <c r="B28" s="15">
        <v>23</v>
      </c>
      <c r="C28" s="42">
        <v>9.3414351851851846E-2</v>
      </c>
      <c r="E28" s="15" t="s">
        <v>127</v>
      </c>
      <c r="F28" s="15" t="s">
        <v>193</v>
      </c>
      <c r="H28" s="15" t="s">
        <v>25</v>
      </c>
      <c r="I28" s="15" t="s">
        <v>194</v>
      </c>
    </row>
    <row r="29" spans="1:9" ht="15.75" customHeight="1">
      <c r="A29" s="15" t="s">
        <v>43</v>
      </c>
      <c r="B29" s="15">
        <v>24</v>
      </c>
      <c r="C29" s="42">
        <v>9.3506944444444448E-2</v>
      </c>
      <c r="E29" s="15" t="s">
        <v>127</v>
      </c>
      <c r="F29" s="15" t="s">
        <v>193</v>
      </c>
      <c r="H29" s="15" t="s">
        <v>25</v>
      </c>
      <c r="I29" s="15" t="s">
        <v>194</v>
      </c>
    </row>
    <row r="30" spans="1:9" ht="15.75" customHeight="1">
      <c r="A30" s="15" t="s">
        <v>43</v>
      </c>
      <c r="B30" s="15">
        <v>25</v>
      </c>
      <c r="C30" s="42">
        <v>9.3530092592592595E-2</v>
      </c>
      <c r="E30" s="15" t="s">
        <v>127</v>
      </c>
      <c r="F30" s="15" t="s">
        <v>193</v>
      </c>
      <c r="H30" s="15" t="s">
        <v>25</v>
      </c>
      <c r="I30" s="15" t="s">
        <v>194</v>
      </c>
    </row>
    <row r="31" spans="1:9" ht="15.75" customHeight="1">
      <c r="A31" s="15" t="s">
        <v>43</v>
      </c>
      <c r="B31" s="15">
        <v>26</v>
      </c>
      <c r="C31" s="42">
        <v>9.3587962962962956E-2</v>
      </c>
      <c r="E31" s="15" t="s">
        <v>127</v>
      </c>
      <c r="F31" s="15" t="s">
        <v>193</v>
      </c>
      <c r="H31" s="15" t="s">
        <v>26</v>
      </c>
      <c r="I31" s="15" t="s">
        <v>194</v>
      </c>
    </row>
    <row r="32" spans="1:9" ht="15.75" customHeight="1">
      <c r="A32" s="15" t="s">
        <v>43</v>
      </c>
      <c r="B32" s="15">
        <v>27</v>
      </c>
      <c r="C32" s="42">
        <v>9.3657407407407411E-2</v>
      </c>
      <c r="E32" s="15" t="s">
        <v>127</v>
      </c>
      <c r="F32" s="15" t="s">
        <v>193</v>
      </c>
      <c r="H32" s="15" t="s">
        <v>26</v>
      </c>
      <c r="I32" s="15" t="s">
        <v>194</v>
      </c>
    </row>
    <row r="33" spans="1:9" ht="15.75" customHeight="1">
      <c r="A33" s="15" t="s">
        <v>43</v>
      </c>
      <c r="B33" s="15">
        <v>28</v>
      </c>
      <c r="C33" s="42">
        <v>9.3715277777777772E-2</v>
      </c>
      <c r="E33" s="15" t="s">
        <v>127</v>
      </c>
      <c r="F33" s="15" t="s">
        <v>193</v>
      </c>
      <c r="H33" s="15" t="s">
        <v>26</v>
      </c>
      <c r="I33" s="15" t="s">
        <v>194</v>
      </c>
    </row>
    <row r="34" spans="1:9" ht="15.75" customHeight="1">
      <c r="A34" s="15" t="s">
        <v>43</v>
      </c>
      <c r="B34" s="15">
        <v>29</v>
      </c>
      <c r="C34" s="42">
        <v>9.3761574074074081E-2</v>
      </c>
      <c r="E34" s="15" t="s">
        <v>127</v>
      </c>
      <c r="F34" s="15" t="s">
        <v>193</v>
      </c>
      <c r="H34" s="15" t="s">
        <v>25</v>
      </c>
      <c r="I34" s="15" t="s">
        <v>194</v>
      </c>
    </row>
    <row r="35" spans="1:9" ht="15.75" customHeight="1">
      <c r="A35" s="15" t="s">
        <v>43</v>
      </c>
      <c r="B35" s="15">
        <v>30</v>
      </c>
      <c r="C35" s="42">
        <v>9.3807870370370375E-2</v>
      </c>
      <c r="E35" s="15" t="s">
        <v>127</v>
      </c>
      <c r="F35" s="15" t="s">
        <v>193</v>
      </c>
      <c r="H35" s="15" t="s">
        <v>26</v>
      </c>
      <c r="I35" s="15" t="s">
        <v>194</v>
      </c>
    </row>
    <row r="36" spans="1:9" ht="15.75" customHeight="1">
      <c r="A36" s="15" t="s">
        <v>43</v>
      </c>
      <c r="B36" s="15">
        <v>31</v>
      </c>
      <c r="C36" s="42">
        <v>9.3912037037037044E-2</v>
      </c>
      <c r="E36" s="15" t="s">
        <v>127</v>
      </c>
      <c r="F36" s="15" t="s">
        <v>193</v>
      </c>
      <c r="H36" s="15" t="s">
        <v>25</v>
      </c>
      <c r="I36" s="15" t="s">
        <v>194</v>
      </c>
    </row>
    <row r="37" spans="1:9" ht="15.75" customHeight="1">
      <c r="A37" s="15" t="s">
        <v>43</v>
      </c>
      <c r="B37" s="15">
        <v>32</v>
      </c>
      <c r="C37" s="42">
        <v>9.3958333333333338E-2</v>
      </c>
      <c r="E37" s="15" t="s">
        <v>127</v>
      </c>
      <c r="F37" s="15" t="s">
        <v>193</v>
      </c>
      <c r="H37" s="15" t="s">
        <v>25</v>
      </c>
      <c r="I37" s="15" t="s">
        <v>194</v>
      </c>
    </row>
    <row r="38" spans="1:9" ht="15.75" customHeight="1">
      <c r="A38" s="15" t="s">
        <v>43</v>
      </c>
      <c r="B38" s="15">
        <v>33</v>
      </c>
      <c r="C38" s="42">
        <v>9.4062499999999993E-2</v>
      </c>
      <c r="E38" s="15" t="s">
        <v>127</v>
      </c>
      <c r="F38" s="15" t="s">
        <v>193</v>
      </c>
      <c r="H38" s="15" t="s">
        <v>25</v>
      </c>
      <c r="I38" s="15" t="s">
        <v>194</v>
      </c>
    </row>
    <row r="39" spans="1:9" ht="15.75" customHeight="1">
      <c r="A39" s="15" t="s">
        <v>43</v>
      </c>
      <c r="B39" s="15">
        <v>34</v>
      </c>
      <c r="C39" s="42">
        <v>9.4178240740740743E-2</v>
      </c>
      <c r="E39" s="15" t="s">
        <v>127</v>
      </c>
      <c r="F39" s="15" t="s">
        <v>193</v>
      </c>
      <c r="H39" s="15" t="s">
        <v>26</v>
      </c>
      <c r="I39" s="15" t="s">
        <v>194</v>
      </c>
    </row>
    <row r="40" spans="1:9" ht="15.75" customHeight="1">
      <c r="A40" s="15" t="s">
        <v>43</v>
      </c>
      <c r="B40" s="15">
        <v>35</v>
      </c>
      <c r="C40" s="42">
        <v>9.4293981481481479E-2</v>
      </c>
      <c r="E40" s="15" t="s">
        <v>127</v>
      </c>
      <c r="F40" s="15" t="s">
        <v>193</v>
      </c>
      <c r="H40" s="15" t="s">
        <v>25</v>
      </c>
      <c r="I40" s="15" t="s">
        <v>194</v>
      </c>
    </row>
    <row r="41" spans="1:9" ht="15.75" customHeight="1">
      <c r="A41" s="15" t="s">
        <v>43</v>
      </c>
      <c r="B41" s="15">
        <v>36</v>
      </c>
      <c r="C41" s="42">
        <v>9.4340277777777773E-2</v>
      </c>
      <c r="E41" s="15" t="s">
        <v>127</v>
      </c>
      <c r="F41" s="15" t="s">
        <v>193</v>
      </c>
      <c r="H41" s="15" t="s">
        <v>25</v>
      </c>
      <c r="I41" s="15" t="s">
        <v>194</v>
      </c>
    </row>
    <row r="42" spans="1:9" ht="15.75" customHeight="1">
      <c r="A42" s="15" t="s">
        <v>43</v>
      </c>
      <c r="B42" s="15">
        <v>37</v>
      </c>
      <c r="C42" s="42">
        <v>9.4386574074074067E-2</v>
      </c>
      <c r="E42" s="15" t="s">
        <v>127</v>
      </c>
      <c r="F42" s="15" t="s">
        <v>193</v>
      </c>
      <c r="H42" s="15" t="s">
        <v>26</v>
      </c>
      <c r="I42" s="15" t="s">
        <v>194</v>
      </c>
    </row>
    <row r="43" spans="1:9" ht="13">
      <c r="A43" s="15" t="s">
        <v>43</v>
      </c>
      <c r="B43" s="15">
        <v>38</v>
      </c>
      <c r="C43" s="42">
        <v>9.4444444444444442E-2</v>
      </c>
      <c r="E43" s="15" t="s">
        <v>127</v>
      </c>
      <c r="F43" s="15" t="s">
        <v>193</v>
      </c>
      <c r="H43" s="15" t="s">
        <v>25</v>
      </c>
      <c r="I43" s="15" t="s">
        <v>194</v>
      </c>
    </row>
    <row r="44" spans="1:9" ht="13">
      <c r="A44" s="15" t="s">
        <v>43</v>
      </c>
      <c r="B44" s="15">
        <v>39</v>
      </c>
      <c r="C44" s="42">
        <v>9.447916666666667E-2</v>
      </c>
      <c r="E44" s="15" t="s">
        <v>127</v>
      </c>
      <c r="F44" s="15" t="s">
        <v>193</v>
      </c>
      <c r="H44" s="15" t="s">
        <v>26</v>
      </c>
      <c r="I44" s="15" t="s">
        <v>194</v>
      </c>
    </row>
    <row r="45" spans="1:9" ht="13">
      <c r="A45" s="15" t="s">
        <v>195</v>
      </c>
      <c r="B45" s="15">
        <v>1</v>
      </c>
      <c r="C45" s="42">
        <v>2.6967592592592594E-3</v>
      </c>
      <c r="E45" s="15" t="s">
        <v>127</v>
      </c>
      <c r="F45" s="15" t="s">
        <v>193</v>
      </c>
      <c r="H45" s="15" t="s">
        <v>25</v>
      </c>
      <c r="I45" s="15" t="s">
        <v>196</v>
      </c>
    </row>
    <row r="46" spans="1:9" ht="13">
      <c r="A46" s="15" t="s">
        <v>195</v>
      </c>
      <c r="B46" s="15">
        <v>2</v>
      </c>
      <c r="C46" s="42">
        <v>5.7291666666666663E-3</v>
      </c>
      <c r="E46" s="15" t="s">
        <v>127</v>
      </c>
      <c r="F46" s="15" t="s">
        <v>193</v>
      </c>
      <c r="H46" s="15" t="s">
        <v>25</v>
      </c>
      <c r="I46" s="15" t="s">
        <v>196</v>
      </c>
    </row>
    <row r="47" spans="1:9" ht="13">
      <c r="A47" s="15" t="s">
        <v>195</v>
      </c>
      <c r="B47" s="15">
        <v>3</v>
      </c>
      <c r="C47" s="42">
        <v>5.5092592592592589E-3</v>
      </c>
      <c r="E47" s="15" t="s">
        <v>127</v>
      </c>
      <c r="F47" s="15" t="s">
        <v>193</v>
      </c>
      <c r="H47" s="15" t="s">
        <v>25</v>
      </c>
      <c r="I47" s="15" t="s">
        <v>197</v>
      </c>
    </row>
    <row r="48" spans="1:9" ht="13">
      <c r="A48" s="15" t="s">
        <v>195</v>
      </c>
      <c r="B48" s="15">
        <v>4</v>
      </c>
      <c r="C48" s="42">
        <v>5.5671296296296293E-3</v>
      </c>
      <c r="E48" s="15" t="s">
        <v>127</v>
      </c>
      <c r="F48" s="15" t="s">
        <v>193</v>
      </c>
      <c r="H48" s="15" t="s">
        <v>25</v>
      </c>
      <c r="I48" s="15" t="s">
        <v>197</v>
      </c>
    </row>
    <row r="49" spans="1:11" ht="13">
      <c r="A49" s="15" t="s">
        <v>195</v>
      </c>
      <c r="B49" s="15">
        <v>5</v>
      </c>
      <c r="C49" s="42">
        <v>5.6828703703703702E-3</v>
      </c>
      <c r="E49" s="15" t="s">
        <v>127</v>
      </c>
      <c r="F49" s="15" t="s">
        <v>193</v>
      </c>
      <c r="H49" s="15" t="s">
        <v>25</v>
      </c>
      <c r="I49" s="15" t="s">
        <v>197</v>
      </c>
    </row>
    <row r="50" spans="1:11" ht="13">
      <c r="A50" s="15" t="s">
        <v>195</v>
      </c>
      <c r="B50" s="15">
        <v>6</v>
      </c>
      <c r="C50" s="42">
        <v>5.7638888888888887E-3</v>
      </c>
      <c r="E50" s="15" t="s">
        <v>127</v>
      </c>
      <c r="F50" s="15" t="s">
        <v>193</v>
      </c>
      <c r="H50" s="15" t="s">
        <v>26</v>
      </c>
      <c r="I50" s="15" t="s">
        <v>197</v>
      </c>
      <c r="K50" s="15" t="s">
        <v>198</v>
      </c>
    </row>
    <row r="51" spans="1:11" ht="13">
      <c r="A51" s="15" t="s">
        <v>55</v>
      </c>
      <c r="B51" s="15">
        <v>1</v>
      </c>
      <c r="C51" s="42">
        <v>6.2152777777777779E-3</v>
      </c>
      <c r="E51" s="15" t="s">
        <v>127</v>
      </c>
      <c r="F51" s="15" t="s">
        <v>199</v>
      </c>
      <c r="H51" s="15" t="s">
        <v>25</v>
      </c>
      <c r="I51" s="15" t="s">
        <v>200</v>
      </c>
      <c r="K51" s="15"/>
    </row>
    <row r="52" spans="1:11" ht="13">
      <c r="A52" s="15" t="s">
        <v>55</v>
      </c>
      <c r="B52" s="15">
        <v>2</v>
      </c>
      <c r="C52" s="42">
        <v>6.2731481481481484E-3</v>
      </c>
      <c r="E52" s="15" t="s">
        <v>127</v>
      </c>
      <c r="F52" s="15" t="s">
        <v>199</v>
      </c>
      <c r="H52" s="15" t="s">
        <v>25</v>
      </c>
      <c r="I52" s="15" t="s">
        <v>200</v>
      </c>
    </row>
    <row r="53" spans="1:11" ht="13">
      <c r="A53" s="15" t="s">
        <v>55</v>
      </c>
      <c r="B53" s="15">
        <v>3</v>
      </c>
      <c r="C53" s="42">
        <v>6.3078703703703708E-3</v>
      </c>
      <c r="E53" s="15" t="s">
        <v>127</v>
      </c>
      <c r="F53" s="15" t="s">
        <v>199</v>
      </c>
      <c r="H53" s="15" t="s">
        <v>26</v>
      </c>
      <c r="I53" s="15" t="s">
        <v>200</v>
      </c>
      <c r="K53" s="15" t="s">
        <v>201</v>
      </c>
    </row>
    <row r="54" spans="1:11" ht="13">
      <c r="A54" s="15" t="s">
        <v>55</v>
      </c>
      <c r="B54" s="15">
        <v>4</v>
      </c>
      <c r="C54" s="42">
        <v>8.9583333333333338E-3</v>
      </c>
      <c r="E54" s="15" t="s">
        <v>127</v>
      </c>
      <c r="F54" s="15" t="s">
        <v>199</v>
      </c>
      <c r="H54" s="15" t="s">
        <v>26</v>
      </c>
      <c r="I54" s="15" t="s">
        <v>200</v>
      </c>
    </row>
    <row r="55" spans="1:11" ht="13">
      <c r="A55" s="15" t="s">
        <v>55</v>
      </c>
      <c r="B55" s="15">
        <v>5</v>
      </c>
      <c r="C55" s="42">
        <v>1.292824074074074E-2</v>
      </c>
      <c r="E55" s="15" t="s">
        <v>127</v>
      </c>
      <c r="F55" s="15" t="s">
        <v>199</v>
      </c>
      <c r="H55" s="15" t="s">
        <v>26</v>
      </c>
      <c r="I55" s="15" t="s">
        <v>200</v>
      </c>
      <c r="K55" s="15" t="s">
        <v>202</v>
      </c>
    </row>
    <row r="56" spans="1:11" ht="13">
      <c r="A56" s="15" t="s">
        <v>55</v>
      </c>
      <c r="B56" s="15">
        <v>6</v>
      </c>
      <c r="C56" s="42">
        <v>3.8773148148148148E-3</v>
      </c>
      <c r="E56" s="15" t="s">
        <v>127</v>
      </c>
      <c r="F56" s="15" t="s">
        <v>199</v>
      </c>
      <c r="H56" s="15" t="s">
        <v>26</v>
      </c>
      <c r="I56" s="15" t="s">
        <v>203</v>
      </c>
    </row>
    <row r="57" spans="1:11" ht="13">
      <c r="A57" s="15" t="s">
        <v>55</v>
      </c>
      <c r="B57" s="15">
        <v>7</v>
      </c>
      <c r="C57" s="42">
        <v>9.0856481481481483E-3</v>
      </c>
      <c r="E57" s="15" t="s">
        <v>127</v>
      </c>
      <c r="F57" s="15" t="s">
        <v>199</v>
      </c>
      <c r="H57" s="15" t="s">
        <v>26</v>
      </c>
      <c r="I57" s="15" t="s">
        <v>203</v>
      </c>
      <c r="K57" s="15" t="s">
        <v>204</v>
      </c>
    </row>
    <row r="58" spans="1:11" ht="13">
      <c r="A58" s="15" t="s">
        <v>52</v>
      </c>
      <c r="B58" s="15">
        <v>1</v>
      </c>
      <c r="C58" s="42">
        <v>9.7453703703703695E-3</v>
      </c>
      <c r="E58" s="15" t="s">
        <v>127</v>
      </c>
      <c r="F58" s="15" t="s">
        <v>193</v>
      </c>
      <c r="H58" s="15" t="s">
        <v>26</v>
      </c>
      <c r="I58" s="15" t="s">
        <v>205</v>
      </c>
    </row>
    <row r="59" spans="1:11" ht="13">
      <c r="A59" s="15" t="s">
        <v>52</v>
      </c>
      <c r="B59" s="15">
        <v>2</v>
      </c>
      <c r="C59" s="42">
        <v>9.8032407407407408E-3</v>
      </c>
      <c r="E59" s="15" t="s">
        <v>127</v>
      </c>
      <c r="F59" s="15" t="s">
        <v>193</v>
      </c>
      <c r="H59" s="15" t="s">
        <v>25</v>
      </c>
      <c r="I59" s="15" t="s">
        <v>205</v>
      </c>
    </row>
    <row r="60" spans="1:11" ht="13">
      <c r="A60" s="15" t="s">
        <v>52</v>
      </c>
      <c r="B60" s="15">
        <v>3</v>
      </c>
      <c r="C60" s="42">
        <v>1.1886574074074074E-2</v>
      </c>
      <c r="E60" s="15" t="s">
        <v>127</v>
      </c>
      <c r="F60" s="15" t="s">
        <v>193</v>
      </c>
      <c r="H60" s="15" t="s">
        <v>25</v>
      </c>
      <c r="I60" s="15" t="s">
        <v>205</v>
      </c>
    </row>
    <row r="61" spans="1:11" ht="13">
      <c r="A61" s="15" t="s">
        <v>52</v>
      </c>
      <c r="B61" s="15">
        <v>4</v>
      </c>
      <c r="C61" s="42">
        <v>1.193287037037037E-2</v>
      </c>
      <c r="E61" s="15" t="s">
        <v>127</v>
      </c>
      <c r="F61" s="15" t="s">
        <v>193</v>
      </c>
      <c r="H61" s="15" t="s">
        <v>25</v>
      </c>
      <c r="I61" s="15" t="s">
        <v>205</v>
      </c>
      <c r="K61" s="15" t="s">
        <v>206</v>
      </c>
    </row>
    <row r="62" spans="1:11" ht="13">
      <c r="A62" s="15" t="s">
        <v>52</v>
      </c>
      <c r="B62" s="15">
        <v>5</v>
      </c>
      <c r="C62" s="42">
        <v>1.1979166666666667E-2</v>
      </c>
      <c r="E62" s="15" t="s">
        <v>127</v>
      </c>
      <c r="F62" s="15" t="s">
        <v>193</v>
      </c>
      <c r="H62" s="15" t="s">
        <v>26</v>
      </c>
      <c r="I62" s="15" t="s">
        <v>205</v>
      </c>
      <c r="K62" s="15" t="s">
        <v>207</v>
      </c>
    </row>
    <row r="63" spans="1:11" ht="13">
      <c r="A63" s="15" t="s">
        <v>52</v>
      </c>
      <c r="B63" s="15">
        <v>6</v>
      </c>
      <c r="C63" s="42">
        <v>2.0833333333333335E-4</v>
      </c>
      <c r="E63" s="15" t="s">
        <v>127</v>
      </c>
      <c r="F63" s="15" t="s">
        <v>193</v>
      </c>
      <c r="H63" s="15" t="s">
        <v>26</v>
      </c>
      <c r="I63" s="15" t="s">
        <v>208</v>
      </c>
      <c r="K63" s="15" t="s">
        <v>209</v>
      </c>
    </row>
    <row r="64" spans="1:11" ht="13">
      <c r="A64" s="15" t="s">
        <v>62</v>
      </c>
      <c r="B64" s="15">
        <v>1</v>
      </c>
      <c r="C64" s="42">
        <v>1.0648148148148149E-3</v>
      </c>
      <c r="E64" s="15" t="s">
        <v>127</v>
      </c>
      <c r="F64" s="15" t="s">
        <v>193</v>
      </c>
      <c r="H64" s="15" t="s">
        <v>25</v>
      </c>
      <c r="I64" s="15" t="s">
        <v>210</v>
      </c>
    </row>
    <row r="65" spans="1:12" ht="13">
      <c r="A65" s="15" t="s">
        <v>62</v>
      </c>
      <c r="B65" s="15">
        <v>2</v>
      </c>
      <c r="C65" s="42">
        <v>1.2268518518518518E-3</v>
      </c>
      <c r="E65" s="15" t="s">
        <v>127</v>
      </c>
      <c r="F65" s="15" t="s">
        <v>193</v>
      </c>
      <c r="H65" s="15" t="s">
        <v>25</v>
      </c>
      <c r="I65" s="15" t="s">
        <v>210</v>
      </c>
    </row>
    <row r="66" spans="1:12" ht="13">
      <c r="A66" s="15" t="s">
        <v>62</v>
      </c>
      <c r="B66" s="15">
        <v>3</v>
      </c>
      <c r="C66" s="42">
        <v>1.261574074074074E-3</v>
      </c>
      <c r="E66" s="15" t="s">
        <v>127</v>
      </c>
      <c r="F66" s="15" t="s">
        <v>193</v>
      </c>
      <c r="H66" s="15" t="s">
        <v>26</v>
      </c>
      <c r="I66" s="15" t="s">
        <v>210</v>
      </c>
      <c r="K66" s="15" t="s">
        <v>211</v>
      </c>
    </row>
    <row r="67" spans="1:12" ht="13">
      <c r="A67" s="15" t="s">
        <v>62</v>
      </c>
      <c r="B67" s="15">
        <v>4</v>
      </c>
      <c r="C67" s="42">
        <v>2.4652777777777776E-3</v>
      </c>
      <c r="E67" s="15" t="s">
        <v>127</v>
      </c>
      <c r="F67" s="15" t="s">
        <v>193</v>
      </c>
      <c r="H67" s="15" t="s">
        <v>25</v>
      </c>
      <c r="I67" s="15" t="s">
        <v>210</v>
      </c>
    </row>
    <row r="68" spans="1:12" ht="13">
      <c r="A68" s="15" t="s">
        <v>62</v>
      </c>
      <c r="B68" s="15">
        <v>5</v>
      </c>
      <c r="C68" s="42">
        <v>2.5925925925925925E-3</v>
      </c>
      <c r="E68" s="15" t="s">
        <v>127</v>
      </c>
      <c r="F68" s="15" t="s">
        <v>193</v>
      </c>
      <c r="H68" s="15" t="s">
        <v>26</v>
      </c>
      <c r="I68" s="15" t="s">
        <v>210</v>
      </c>
    </row>
    <row r="69" spans="1:12" ht="13">
      <c r="A69" s="15" t="s">
        <v>62</v>
      </c>
      <c r="B69" s="15">
        <v>6</v>
      </c>
      <c r="C69" s="42">
        <v>2.662037037037037E-3</v>
      </c>
      <c r="E69" s="15" t="s">
        <v>127</v>
      </c>
      <c r="F69" s="15" t="s">
        <v>193</v>
      </c>
      <c r="H69" s="15" t="s">
        <v>26</v>
      </c>
      <c r="I69" s="15" t="s">
        <v>210</v>
      </c>
    </row>
    <row r="70" spans="1:12" ht="13">
      <c r="A70" s="15" t="s">
        <v>62</v>
      </c>
      <c r="B70" s="15">
        <v>7</v>
      </c>
      <c r="C70" s="42">
        <v>6.7592592592592591E-3</v>
      </c>
      <c r="E70" s="15" t="s">
        <v>127</v>
      </c>
      <c r="F70" s="15" t="s">
        <v>193</v>
      </c>
      <c r="H70" s="15" t="s">
        <v>25</v>
      </c>
      <c r="I70" s="15" t="s">
        <v>210</v>
      </c>
    </row>
    <row r="71" spans="1:12" ht="13">
      <c r="A71" s="15" t="s">
        <v>62</v>
      </c>
      <c r="B71" s="15">
        <v>8</v>
      </c>
      <c r="C71" s="42">
        <v>1.4699074074074074E-3</v>
      </c>
      <c r="E71" s="15" t="s">
        <v>127</v>
      </c>
      <c r="F71" s="15" t="s">
        <v>193</v>
      </c>
      <c r="H71" s="15" t="s">
        <v>25</v>
      </c>
      <c r="I71" s="15" t="s">
        <v>212</v>
      </c>
    </row>
    <row r="72" spans="1:12" ht="13">
      <c r="A72" s="15" t="s">
        <v>62</v>
      </c>
      <c r="B72" s="15">
        <v>9</v>
      </c>
      <c r="C72" s="42">
        <v>1.6087962962962963E-3</v>
      </c>
      <c r="E72" s="15" t="s">
        <v>127</v>
      </c>
      <c r="F72" s="15" t="s">
        <v>193</v>
      </c>
      <c r="H72" s="15" t="s">
        <v>26</v>
      </c>
      <c r="I72" s="15" t="s">
        <v>212</v>
      </c>
    </row>
    <row r="73" spans="1:12" ht="13">
      <c r="A73" s="15" t="s">
        <v>62</v>
      </c>
      <c r="B73" s="15">
        <v>10</v>
      </c>
      <c r="C73" s="42">
        <v>1.8518518518518519E-3</v>
      </c>
      <c r="E73" s="15" t="s">
        <v>127</v>
      </c>
      <c r="F73" s="15" t="s">
        <v>193</v>
      </c>
      <c r="H73" s="15" t="s">
        <v>26</v>
      </c>
      <c r="I73" s="15" t="s">
        <v>212</v>
      </c>
      <c r="K73" s="15" t="s">
        <v>213</v>
      </c>
    </row>
    <row r="74" spans="1:12" ht="13">
      <c r="A74" s="15" t="s">
        <v>62</v>
      </c>
      <c r="B74" s="15">
        <v>11</v>
      </c>
      <c r="C74" s="42">
        <v>2.0023148148148148E-3</v>
      </c>
      <c r="E74" s="15" t="s">
        <v>127</v>
      </c>
      <c r="F74" s="15" t="s">
        <v>193</v>
      </c>
      <c r="H74" s="15" t="s">
        <v>26</v>
      </c>
      <c r="I74" s="15" t="s">
        <v>212</v>
      </c>
    </row>
    <row r="75" spans="1:12" ht="13">
      <c r="A75" s="31" t="s">
        <v>62</v>
      </c>
      <c r="B75" s="31">
        <v>12</v>
      </c>
      <c r="C75" s="43">
        <v>2.1064814814814813E-3</v>
      </c>
      <c r="D75" s="31"/>
      <c r="E75" s="31" t="s">
        <v>127</v>
      </c>
      <c r="F75" s="31" t="s">
        <v>193</v>
      </c>
      <c r="G75" s="31"/>
      <c r="H75" s="31" t="s">
        <v>26</v>
      </c>
      <c r="I75" s="31" t="s">
        <v>212</v>
      </c>
      <c r="J75" s="31"/>
      <c r="K75" s="31" t="s">
        <v>214</v>
      </c>
    </row>
    <row r="76" spans="1:12" ht="13">
      <c r="A76" s="15" t="s">
        <v>75</v>
      </c>
      <c r="B76" s="15">
        <v>1</v>
      </c>
      <c r="C76" s="42">
        <v>1.0914351851851852E-2</v>
      </c>
      <c r="D76" s="44">
        <v>0.84563657407407411</v>
      </c>
      <c r="E76" s="15" t="s">
        <v>158</v>
      </c>
      <c r="F76" s="15" t="s">
        <v>199</v>
      </c>
      <c r="H76" s="15" t="s">
        <v>25</v>
      </c>
      <c r="I76" s="15" t="s">
        <v>215</v>
      </c>
      <c r="K76" s="15" t="s">
        <v>216</v>
      </c>
      <c r="L76" s="42"/>
    </row>
    <row r="77" spans="1:12" ht="13">
      <c r="A77" s="15" t="s">
        <v>75</v>
      </c>
      <c r="B77" s="15">
        <v>2</v>
      </c>
      <c r="C77" s="42">
        <v>1.1203703703703704E-2</v>
      </c>
      <c r="D77" s="44">
        <v>0.84592592592592597</v>
      </c>
      <c r="E77" s="15" t="s">
        <v>158</v>
      </c>
      <c r="F77" s="15" t="s">
        <v>199</v>
      </c>
      <c r="H77" s="15" t="s">
        <v>25</v>
      </c>
      <c r="I77" s="15" t="s">
        <v>215</v>
      </c>
      <c r="K77" s="15" t="s">
        <v>217</v>
      </c>
      <c r="L77" s="42"/>
    </row>
    <row r="78" spans="1:12" ht="13">
      <c r="A78" s="15" t="s">
        <v>75</v>
      </c>
      <c r="B78" s="15">
        <v>3</v>
      </c>
      <c r="C78" s="42">
        <v>1.1284722222222222E-2</v>
      </c>
      <c r="D78" s="44">
        <v>0.84600694444444446</v>
      </c>
      <c r="E78" s="15" t="s">
        <v>158</v>
      </c>
      <c r="F78" s="15" t="s">
        <v>199</v>
      </c>
      <c r="H78" s="15" t="s">
        <v>26</v>
      </c>
      <c r="I78" s="15" t="s">
        <v>215</v>
      </c>
      <c r="K78" s="15" t="s">
        <v>218</v>
      </c>
      <c r="L78" s="42"/>
    </row>
    <row r="79" spans="1:12" ht="13">
      <c r="A79" s="15" t="s">
        <v>75</v>
      </c>
      <c r="B79" s="15">
        <v>4</v>
      </c>
      <c r="C79" s="42">
        <v>1.1331018518518518E-2</v>
      </c>
      <c r="D79" s="44">
        <v>0.84605324074074073</v>
      </c>
      <c r="E79" s="15" t="s">
        <v>158</v>
      </c>
      <c r="F79" s="15" t="s">
        <v>199</v>
      </c>
      <c r="H79" s="15" t="s">
        <v>26</v>
      </c>
      <c r="I79" s="15" t="s">
        <v>215</v>
      </c>
      <c r="K79" s="15" t="s">
        <v>218</v>
      </c>
      <c r="L79" s="42"/>
    </row>
    <row r="80" spans="1:12" ht="13">
      <c r="A80" s="15" t="s">
        <v>75</v>
      </c>
      <c r="B80" s="15">
        <v>5</v>
      </c>
      <c r="C80" s="42">
        <v>1.1400462962962963E-2</v>
      </c>
      <c r="D80" s="44">
        <v>0.84612268518518519</v>
      </c>
      <c r="E80" s="15" t="s">
        <v>158</v>
      </c>
      <c r="F80" s="15" t="s">
        <v>199</v>
      </c>
      <c r="H80" s="15" t="s">
        <v>26</v>
      </c>
      <c r="I80" s="15" t="s">
        <v>215</v>
      </c>
      <c r="K80" s="15" t="s">
        <v>218</v>
      </c>
      <c r="L80" s="42"/>
    </row>
    <row r="81" spans="1:12" ht="13">
      <c r="A81" s="15" t="s">
        <v>75</v>
      </c>
      <c r="B81" s="15">
        <v>6</v>
      </c>
      <c r="C81" s="42">
        <v>1.1469907407407408E-2</v>
      </c>
      <c r="D81" s="44">
        <v>0.84619212962962964</v>
      </c>
      <c r="E81" s="15" t="s">
        <v>158</v>
      </c>
      <c r="F81" s="15" t="s">
        <v>199</v>
      </c>
      <c r="H81" s="15" t="s">
        <v>26</v>
      </c>
      <c r="I81" s="15" t="s">
        <v>215</v>
      </c>
      <c r="K81" s="15" t="s">
        <v>218</v>
      </c>
      <c r="L81" s="42"/>
    </row>
    <row r="82" spans="1:12" ht="13">
      <c r="A82" s="15" t="s">
        <v>75</v>
      </c>
      <c r="B82" s="15">
        <v>7</v>
      </c>
      <c r="C82" s="42">
        <v>1.1539351851851851E-2</v>
      </c>
      <c r="D82" s="44">
        <v>0.8462615740740741</v>
      </c>
      <c r="E82" s="15" t="s">
        <v>158</v>
      </c>
      <c r="F82" s="15" t="s">
        <v>199</v>
      </c>
      <c r="H82" s="15" t="s">
        <v>25</v>
      </c>
      <c r="I82" s="15" t="s">
        <v>215</v>
      </c>
      <c r="K82" s="15" t="s">
        <v>217</v>
      </c>
      <c r="L82" s="42"/>
    </row>
    <row r="83" spans="1:12" ht="13">
      <c r="A83" s="45" t="s">
        <v>75</v>
      </c>
      <c r="B83" s="15">
        <v>8</v>
      </c>
      <c r="C83" s="42">
        <v>1.1574074074074073E-2</v>
      </c>
      <c r="D83" s="44">
        <v>0.84629629629629632</v>
      </c>
      <c r="E83" s="15" t="s">
        <v>158</v>
      </c>
      <c r="F83" s="15" t="s">
        <v>199</v>
      </c>
      <c r="H83" s="15" t="s">
        <v>25</v>
      </c>
      <c r="I83" s="15" t="s">
        <v>215</v>
      </c>
      <c r="K83" s="15" t="s">
        <v>216</v>
      </c>
      <c r="L83" s="42"/>
    </row>
    <row r="84" spans="1:12" ht="13">
      <c r="A84" s="45" t="s">
        <v>75</v>
      </c>
      <c r="B84" s="15">
        <v>9</v>
      </c>
      <c r="C84" s="42">
        <v>1.1620370370370371E-2</v>
      </c>
      <c r="D84" s="44">
        <v>0.84634259259259259</v>
      </c>
      <c r="E84" s="15" t="s">
        <v>158</v>
      </c>
      <c r="F84" s="15" t="s">
        <v>199</v>
      </c>
      <c r="H84" s="15" t="s">
        <v>25</v>
      </c>
      <c r="I84" s="15" t="s">
        <v>215</v>
      </c>
      <c r="K84" s="15" t="s">
        <v>217</v>
      </c>
      <c r="L84" s="42"/>
    </row>
    <row r="85" spans="1:12" ht="13">
      <c r="A85" s="45" t="s">
        <v>75</v>
      </c>
      <c r="B85" s="15">
        <v>10</v>
      </c>
      <c r="C85" s="42">
        <v>1.1689814814814814E-2</v>
      </c>
      <c r="D85" s="44">
        <v>0.84641203703703705</v>
      </c>
      <c r="E85" s="15" t="s">
        <v>158</v>
      </c>
      <c r="F85" s="15" t="s">
        <v>199</v>
      </c>
      <c r="H85" s="15" t="s">
        <v>26</v>
      </c>
      <c r="I85" s="15" t="s">
        <v>215</v>
      </c>
      <c r="K85" s="15" t="s">
        <v>218</v>
      </c>
      <c r="L85" s="42"/>
    </row>
    <row r="86" spans="1:12" ht="13">
      <c r="A86" s="45" t="s">
        <v>75</v>
      </c>
      <c r="B86" s="15">
        <v>11</v>
      </c>
      <c r="C86" s="42">
        <v>1.173611111111111E-2</v>
      </c>
      <c r="D86" s="44">
        <v>0.84645833333333331</v>
      </c>
      <c r="E86" s="15" t="s">
        <v>158</v>
      </c>
      <c r="F86" s="15" t="s">
        <v>199</v>
      </c>
      <c r="H86" s="15" t="s">
        <v>25</v>
      </c>
      <c r="I86" s="15" t="s">
        <v>215</v>
      </c>
      <c r="K86" s="15" t="s">
        <v>217</v>
      </c>
      <c r="L86" s="42"/>
    </row>
    <row r="87" spans="1:12" ht="13">
      <c r="A87" s="45" t="s">
        <v>75</v>
      </c>
      <c r="B87" s="15">
        <v>12</v>
      </c>
      <c r="C87" s="42">
        <v>1.1817129629629629E-2</v>
      </c>
      <c r="D87" s="44">
        <v>0.84653935185185192</v>
      </c>
      <c r="E87" s="15" t="s">
        <v>158</v>
      </c>
      <c r="F87" s="15" t="s">
        <v>199</v>
      </c>
      <c r="H87" s="15" t="s">
        <v>26</v>
      </c>
      <c r="I87" s="15" t="s">
        <v>215</v>
      </c>
      <c r="K87" s="15" t="s">
        <v>218</v>
      </c>
      <c r="L87" s="42"/>
    </row>
    <row r="88" spans="1:12" ht="13">
      <c r="A88" s="45" t="s">
        <v>75</v>
      </c>
      <c r="B88" s="15">
        <v>13</v>
      </c>
      <c r="C88" s="42">
        <v>1.9317129629629629E-2</v>
      </c>
      <c r="D88" s="44">
        <v>0.85403935185185187</v>
      </c>
      <c r="E88" s="15" t="s">
        <v>158</v>
      </c>
      <c r="F88" s="15" t="s">
        <v>199</v>
      </c>
      <c r="H88" s="15" t="s">
        <v>25</v>
      </c>
      <c r="I88" s="15" t="s">
        <v>215</v>
      </c>
      <c r="K88" s="15" t="s">
        <v>217</v>
      </c>
      <c r="L88" s="42"/>
    </row>
    <row r="89" spans="1:12" ht="13">
      <c r="A89" s="45" t="s">
        <v>75</v>
      </c>
      <c r="B89" s="15">
        <v>14</v>
      </c>
      <c r="C89" s="42">
        <v>1.9398148148148147E-2</v>
      </c>
      <c r="D89" s="44">
        <v>0.85412037037037036</v>
      </c>
      <c r="E89" s="15" t="s">
        <v>158</v>
      </c>
      <c r="F89" s="15" t="s">
        <v>199</v>
      </c>
      <c r="H89" s="15" t="s">
        <v>25</v>
      </c>
      <c r="I89" s="15" t="s">
        <v>215</v>
      </c>
      <c r="K89" s="15" t="s">
        <v>216</v>
      </c>
      <c r="L89" s="42"/>
    </row>
    <row r="90" spans="1:12" ht="13">
      <c r="A90" s="45" t="s">
        <v>75</v>
      </c>
      <c r="B90" s="15">
        <v>15</v>
      </c>
      <c r="C90" s="42">
        <v>1.9456018518518518E-2</v>
      </c>
      <c r="D90" s="44">
        <v>0.85417824074074078</v>
      </c>
      <c r="E90" s="15" t="s">
        <v>158</v>
      </c>
      <c r="F90" s="15" t="s">
        <v>199</v>
      </c>
      <c r="H90" s="15" t="s">
        <v>25</v>
      </c>
      <c r="I90" s="15" t="s">
        <v>215</v>
      </c>
      <c r="K90" s="15" t="s">
        <v>217</v>
      </c>
      <c r="L90" s="42"/>
    </row>
    <row r="91" spans="1:12" ht="13">
      <c r="A91" s="45" t="s">
        <v>75</v>
      </c>
      <c r="B91" s="15">
        <v>16</v>
      </c>
      <c r="C91" s="42">
        <v>1.9525462962962963E-2</v>
      </c>
      <c r="D91" s="44">
        <v>0.85424768518518523</v>
      </c>
      <c r="E91" s="15" t="s">
        <v>158</v>
      </c>
      <c r="F91" s="15" t="s">
        <v>199</v>
      </c>
      <c r="H91" s="15" t="s">
        <v>25</v>
      </c>
      <c r="I91" s="15" t="s">
        <v>215</v>
      </c>
      <c r="K91" s="15" t="s">
        <v>216</v>
      </c>
      <c r="L91" s="42"/>
    </row>
    <row r="92" spans="1:12" ht="13">
      <c r="A92" s="45" t="s">
        <v>75</v>
      </c>
      <c r="B92" s="15">
        <v>17</v>
      </c>
      <c r="C92" s="42">
        <v>1.9571759259259261E-2</v>
      </c>
      <c r="D92" s="44">
        <v>0.8542939814814815</v>
      </c>
      <c r="E92" s="15" t="s">
        <v>158</v>
      </c>
      <c r="F92" s="15" t="s">
        <v>199</v>
      </c>
      <c r="H92" s="15" t="s">
        <v>25</v>
      </c>
      <c r="I92" s="15" t="s">
        <v>215</v>
      </c>
      <c r="K92" s="15" t="s">
        <v>217</v>
      </c>
      <c r="L92" s="42"/>
    </row>
    <row r="93" spans="1:12" ht="13">
      <c r="A93" s="45" t="s">
        <v>75</v>
      </c>
      <c r="B93" s="15">
        <v>18</v>
      </c>
      <c r="C93" s="42">
        <v>1.9629629629629629E-2</v>
      </c>
      <c r="D93" s="44">
        <v>0.85435185185185192</v>
      </c>
      <c r="E93" s="15" t="s">
        <v>158</v>
      </c>
      <c r="F93" s="15" t="s">
        <v>199</v>
      </c>
      <c r="H93" s="15" t="s">
        <v>25</v>
      </c>
      <c r="I93" s="15" t="s">
        <v>215</v>
      </c>
      <c r="K93" s="15" t="s">
        <v>217</v>
      </c>
      <c r="L93" s="42"/>
    </row>
    <row r="94" spans="1:12" ht="13">
      <c r="A94" s="45" t="s">
        <v>75</v>
      </c>
      <c r="B94" s="15">
        <v>19</v>
      </c>
      <c r="C94" s="42">
        <v>1.9699074074074074E-2</v>
      </c>
      <c r="D94" s="44">
        <v>0.85442129629629637</v>
      </c>
      <c r="E94" s="15" t="s">
        <v>158</v>
      </c>
      <c r="F94" s="15" t="s">
        <v>199</v>
      </c>
      <c r="H94" s="15" t="s">
        <v>26</v>
      </c>
      <c r="I94" s="15" t="s">
        <v>215</v>
      </c>
      <c r="K94" s="15" t="s">
        <v>218</v>
      </c>
      <c r="L94" s="42"/>
    </row>
    <row r="95" spans="1:12" ht="13">
      <c r="A95" s="45" t="s">
        <v>75</v>
      </c>
      <c r="B95" s="15">
        <v>20</v>
      </c>
      <c r="C95" s="42">
        <v>1.9780092592592592E-2</v>
      </c>
      <c r="D95" s="44">
        <v>0.85450231481481487</v>
      </c>
      <c r="E95" s="15" t="s">
        <v>158</v>
      </c>
      <c r="F95" s="15" t="s">
        <v>199</v>
      </c>
      <c r="H95" s="15" t="s">
        <v>26</v>
      </c>
      <c r="I95" s="15" t="s">
        <v>215</v>
      </c>
      <c r="K95" s="15" t="s">
        <v>218</v>
      </c>
      <c r="L95" s="42"/>
    </row>
    <row r="96" spans="1:12" ht="13">
      <c r="A96" s="45" t="s">
        <v>75</v>
      </c>
      <c r="B96" s="15">
        <v>21</v>
      </c>
      <c r="C96" s="42">
        <v>1.9837962962962963E-2</v>
      </c>
      <c r="D96" s="44">
        <v>0.85456018518518517</v>
      </c>
      <c r="E96" s="15" t="s">
        <v>158</v>
      </c>
      <c r="F96" s="15" t="s">
        <v>199</v>
      </c>
      <c r="H96" s="15" t="s">
        <v>26</v>
      </c>
      <c r="I96" s="15" t="s">
        <v>215</v>
      </c>
      <c r="K96" s="15" t="s">
        <v>218</v>
      </c>
      <c r="L96" s="42"/>
    </row>
    <row r="97" spans="1:12" ht="13">
      <c r="A97" s="45" t="s">
        <v>75</v>
      </c>
      <c r="B97" s="15">
        <v>22</v>
      </c>
      <c r="C97" s="42">
        <v>1.9942129629629629E-2</v>
      </c>
      <c r="D97" s="44">
        <v>0.85466435185185186</v>
      </c>
      <c r="E97" s="15" t="s">
        <v>158</v>
      </c>
      <c r="F97" s="15" t="s">
        <v>199</v>
      </c>
      <c r="H97" s="15" t="s">
        <v>26</v>
      </c>
      <c r="I97" s="15" t="s">
        <v>215</v>
      </c>
      <c r="K97" s="15" t="s">
        <v>218</v>
      </c>
      <c r="L97" s="42"/>
    </row>
    <row r="98" spans="1:12" ht="13">
      <c r="A98" s="45" t="s">
        <v>75</v>
      </c>
      <c r="B98" s="15">
        <v>23</v>
      </c>
      <c r="C98" s="42">
        <v>2.0069444444444445E-2</v>
      </c>
      <c r="D98" s="44">
        <v>0.85479166666666673</v>
      </c>
      <c r="E98" s="15" t="s">
        <v>158</v>
      </c>
      <c r="F98" s="15" t="s">
        <v>199</v>
      </c>
      <c r="H98" s="15" t="s">
        <v>26</v>
      </c>
      <c r="I98" s="15" t="s">
        <v>215</v>
      </c>
      <c r="K98" s="15" t="s">
        <v>218</v>
      </c>
      <c r="L98" s="42"/>
    </row>
    <row r="99" spans="1:12" ht="13">
      <c r="A99" s="45" t="s">
        <v>75</v>
      </c>
      <c r="B99" s="15">
        <v>24</v>
      </c>
      <c r="C99" s="42">
        <v>2.0324074074074074E-2</v>
      </c>
      <c r="D99" s="44">
        <v>0.85504629629629636</v>
      </c>
      <c r="E99" s="15" t="s">
        <v>158</v>
      </c>
      <c r="F99" s="15" t="s">
        <v>199</v>
      </c>
      <c r="H99" s="15" t="s">
        <v>26</v>
      </c>
      <c r="I99" s="15" t="s">
        <v>215</v>
      </c>
      <c r="K99" s="15" t="s">
        <v>218</v>
      </c>
      <c r="L99" s="42"/>
    </row>
    <row r="100" spans="1:12" ht="13">
      <c r="A100" s="45" t="s">
        <v>75</v>
      </c>
      <c r="B100" s="15">
        <v>25</v>
      </c>
      <c r="C100" s="42">
        <v>2.0381944444444446E-2</v>
      </c>
      <c r="D100" s="44">
        <v>0.85510416666666667</v>
      </c>
      <c r="E100" s="15" t="s">
        <v>158</v>
      </c>
      <c r="F100" s="15" t="s">
        <v>199</v>
      </c>
      <c r="H100" s="15" t="s">
        <v>26</v>
      </c>
      <c r="I100" s="15" t="s">
        <v>215</v>
      </c>
      <c r="K100" s="15" t="s">
        <v>218</v>
      </c>
      <c r="L100" s="42"/>
    </row>
    <row r="101" spans="1:12" ht="13">
      <c r="A101" s="45" t="s">
        <v>75</v>
      </c>
      <c r="B101" s="15">
        <v>26</v>
      </c>
      <c r="C101" s="42">
        <v>2.0439814814814813E-2</v>
      </c>
      <c r="D101" s="44">
        <v>0.85516203703703708</v>
      </c>
      <c r="E101" s="15" t="s">
        <v>158</v>
      </c>
      <c r="F101" s="15" t="s">
        <v>199</v>
      </c>
      <c r="H101" s="15" t="s">
        <v>26</v>
      </c>
      <c r="I101" s="15" t="s">
        <v>215</v>
      </c>
      <c r="K101" s="15" t="s">
        <v>218</v>
      </c>
      <c r="L101" s="42"/>
    </row>
    <row r="102" spans="1:12" ht="13">
      <c r="A102" s="45" t="s">
        <v>75</v>
      </c>
      <c r="B102" s="15">
        <v>27</v>
      </c>
      <c r="C102" s="42">
        <v>2.0509259259259258E-2</v>
      </c>
      <c r="D102" s="44">
        <v>0.85523148148148154</v>
      </c>
      <c r="E102" s="15" t="s">
        <v>158</v>
      </c>
      <c r="F102" s="15" t="s">
        <v>199</v>
      </c>
      <c r="H102" s="15" t="s">
        <v>25</v>
      </c>
      <c r="I102" s="15" t="s">
        <v>215</v>
      </c>
      <c r="K102" s="15" t="s">
        <v>217</v>
      </c>
      <c r="L102" s="42"/>
    </row>
    <row r="103" spans="1:12" ht="13">
      <c r="A103" s="45" t="s">
        <v>75</v>
      </c>
      <c r="B103" s="15">
        <v>28</v>
      </c>
      <c r="C103" s="42">
        <v>2.056712962962963E-2</v>
      </c>
      <c r="D103" s="44">
        <v>0.85528935185185184</v>
      </c>
      <c r="E103" s="15" t="s">
        <v>158</v>
      </c>
      <c r="F103" s="15" t="s">
        <v>199</v>
      </c>
      <c r="H103" s="15" t="s">
        <v>26</v>
      </c>
      <c r="I103" s="15" t="s">
        <v>215</v>
      </c>
      <c r="K103" s="15" t="s">
        <v>218</v>
      </c>
      <c r="L103" s="42"/>
    </row>
    <row r="104" spans="1:12" ht="13">
      <c r="A104" s="45" t="s">
        <v>75</v>
      </c>
      <c r="B104" s="15">
        <v>29</v>
      </c>
      <c r="C104" s="42">
        <v>2.0625000000000001E-2</v>
      </c>
      <c r="D104" s="44">
        <v>0.85534722222222226</v>
      </c>
      <c r="E104" s="15" t="s">
        <v>158</v>
      </c>
      <c r="F104" s="15" t="s">
        <v>199</v>
      </c>
      <c r="H104" s="15" t="s">
        <v>26</v>
      </c>
      <c r="I104" s="15" t="s">
        <v>215</v>
      </c>
      <c r="K104" s="15" t="s">
        <v>218</v>
      </c>
      <c r="L104" s="42"/>
    </row>
    <row r="105" spans="1:12" ht="13">
      <c r="A105" s="45" t="s">
        <v>75</v>
      </c>
      <c r="B105" s="15">
        <v>30</v>
      </c>
      <c r="C105" s="42">
        <v>3.9259259259259258E-2</v>
      </c>
      <c r="D105" s="44">
        <v>0.87398148148148147</v>
      </c>
      <c r="E105" s="15" t="s">
        <v>158</v>
      </c>
      <c r="F105" s="15" t="s">
        <v>199</v>
      </c>
      <c r="H105" s="15" t="s">
        <v>25</v>
      </c>
      <c r="I105" s="15" t="s">
        <v>215</v>
      </c>
      <c r="K105" s="15" t="s">
        <v>217</v>
      </c>
      <c r="L105" s="42"/>
    </row>
    <row r="106" spans="1:12" ht="13">
      <c r="A106" s="45" t="s">
        <v>75</v>
      </c>
      <c r="B106" s="15">
        <v>31</v>
      </c>
      <c r="C106" s="42">
        <v>3.934027777777778E-2</v>
      </c>
      <c r="D106" s="44">
        <v>0.87406250000000008</v>
      </c>
      <c r="E106" s="15" t="s">
        <v>158</v>
      </c>
      <c r="F106" s="15" t="s">
        <v>199</v>
      </c>
      <c r="H106" s="15" t="s">
        <v>26</v>
      </c>
      <c r="I106" s="15" t="s">
        <v>215</v>
      </c>
      <c r="K106" s="15" t="s">
        <v>218</v>
      </c>
      <c r="L106" s="42"/>
    </row>
    <row r="107" spans="1:12" ht="13">
      <c r="A107" s="45" t="s">
        <v>75</v>
      </c>
      <c r="B107" s="15">
        <v>32</v>
      </c>
      <c r="C107" s="42">
        <v>3.9421296296296295E-2</v>
      </c>
      <c r="D107" s="44">
        <v>0.87414351851851857</v>
      </c>
      <c r="E107" s="15" t="s">
        <v>158</v>
      </c>
      <c r="F107" s="15" t="s">
        <v>199</v>
      </c>
      <c r="H107" s="15" t="s">
        <v>25</v>
      </c>
      <c r="I107" s="15" t="s">
        <v>215</v>
      </c>
      <c r="K107" s="15" t="s">
        <v>216</v>
      </c>
      <c r="L107" s="42"/>
    </row>
    <row r="108" spans="1:12" ht="13">
      <c r="A108" s="45" t="s">
        <v>75</v>
      </c>
      <c r="B108" s="15">
        <v>33</v>
      </c>
      <c r="C108" s="42">
        <v>3.9490740740740743E-2</v>
      </c>
      <c r="D108" s="44">
        <v>0.87421296296296302</v>
      </c>
      <c r="E108" s="15" t="s">
        <v>158</v>
      </c>
      <c r="F108" s="15" t="s">
        <v>199</v>
      </c>
      <c r="H108" s="15" t="s">
        <v>25</v>
      </c>
      <c r="I108" s="15" t="s">
        <v>215</v>
      </c>
      <c r="K108" s="15" t="s">
        <v>216</v>
      </c>
      <c r="L108" s="42"/>
    </row>
    <row r="109" spans="1:12" ht="13">
      <c r="A109" s="45" t="s">
        <v>75</v>
      </c>
      <c r="B109" s="15">
        <v>34</v>
      </c>
      <c r="C109" s="42">
        <v>3.9571759259259258E-2</v>
      </c>
      <c r="D109" s="44">
        <v>0.87429398148148152</v>
      </c>
      <c r="E109" s="15" t="s">
        <v>158</v>
      </c>
      <c r="F109" s="15" t="s">
        <v>199</v>
      </c>
      <c r="H109" s="15" t="s">
        <v>26</v>
      </c>
      <c r="I109" s="15" t="s">
        <v>215</v>
      </c>
      <c r="K109" s="15" t="s">
        <v>218</v>
      </c>
      <c r="L109" s="42"/>
    </row>
    <row r="110" spans="1:12" ht="13">
      <c r="A110" s="45" t="s">
        <v>75</v>
      </c>
      <c r="B110" s="15">
        <v>35</v>
      </c>
      <c r="C110" s="42">
        <v>3.9675925925925927E-2</v>
      </c>
      <c r="D110" s="44">
        <v>0.8743981481481482</v>
      </c>
      <c r="E110" s="15" t="s">
        <v>158</v>
      </c>
      <c r="F110" s="15" t="s">
        <v>199</v>
      </c>
      <c r="H110" s="15" t="s">
        <v>26</v>
      </c>
      <c r="I110" s="15" t="s">
        <v>215</v>
      </c>
      <c r="K110" s="15" t="s">
        <v>218</v>
      </c>
      <c r="L110" s="42"/>
    </row>
    <row r="111" spans="1:12" ht="13">
      <c r="A111" s="45" t="s">
        <v>75</v>
      </c>
      <c r="B111" s="15">
        <v>36</v>
      </c>
      <c r="C111" s="42">
        <v>3.9733796296296295E-2</v>
      </c>
      <c r="D111" s="44">
        <v>0.87445601851851851</v>
      </c>
      <c r="E111" s="15" t="s">
        <v>158</v>
      </c>
      <c r="F111" s="15" t="s">
        <v>199</v>
      </c>
      <c r="H111" s="15" t="s">
        <v>26</v>
      </c>
      <c r="I111" s="15" t="s">
        <v>215</v>
      </c>
      <c r="K111" s="15" t="s">
        <v>218</v>
      </c>
      <c r="L111" s="42"/>
    </row>
    <row r="112" spans="1:12" ht="13">
      <c r="A112" s="45" t="s">
        <v>75</v>
      </c>
      <c r="B112" s="15">
        <v>37</v>
      </c>
      <c r="C112" s="42">
        <v>3.9803240740740743E-2</v>
      </c>
      <c r="D112" s="44">
        <v>0.87452546296296296</v>
      </c>
      <c r="E112" s="15" t="s">
        <v>158</v>
      </c>
      <c r="F112" s="15" t="s">
        <v>199</v>
      </c>
      <c r="H112" s="15" t="s">
        <v>26</v>
      </c>
      <c r="I112" s="15" t="s">
        <v>215</v>
      </c>
      <c r="K112" s="15" t="s">
        <v>218</v>
      </c>
      <c r="L112" s="42"/>
    </row>
    <row r="113" spans="1:12" ht="13">
      <c r="A113" s="45" t="s">
        <v>75</v>
      </c>
      <c r="B113" s="15">
        <v>38</v>
      </c>
      <c r="C113" s="42">
        <v>3.9861111111111111E-2</v>
      </c>
      <c r="D113" s="44">
        <v>0.87458333333333338</v>
      </c>
      <c r="E113" s="15" t="s">
        <v>158</v>
      </c>
      <c r="F113" s="15" t="s">
        <v>199</v>
      </c>
      <c r="H113" s="15" t="s">
        <v>26</v>
      </c>
      <c r="I113" s="15" t="s">
        <v>215</v>
      </c>
      <c r="K113" s="15" t="s">
        <v>218</v>
      </c>
      <c r="L113" s="42"/>
    </row>
    <row r="114" spans="1:12" ht="13">
      <c r="A114" s="45" t="s">
        <v>75</v>
      </c>
      <c r="B114" s="15">
        <v>39</v>
      </c>
      <c r="C114" s="42">
        <v>3.9976851851851854E-2</v>
      </c>
      <c r="D114" s="44">
        <v>0.8746990740740741</v>
      </c>
      <c r="E114" s="15" t="s">
        <v>158</v>
      </c>
      <c r="F114" s="15" t="s">
        <v>199</v>
      </c>
      <c r="H114" s="15" t="s">
        <v>26</v>
      </c>
      <c r="I114" s="15" t="s">
        <v>215</v>
      </c>
      <c r="K114" s="15" t="s">
        <v>218</v>
      </c>
      <c r="L114" s="42"/>
    </row>
    <row r="115" spans="1:12" ht="13">
      <c r="A115" s="45" t="s">
        <v>75</v>
      </c>
      <c r="B115" s="15">
        <v>40</v>
      </c>
      <c r="C115" s="42">
        <v>4.0046296296296295E-2</v>
      </c>
      <c r="D115" s="44">
        <v>0.87476851851851856</v>
      </c>
      <c r="E115" s="15" t="s">
        <v>158</v>
      </c>
      <c r="F115" s="15" t="s">
        <v>199</v>
      </c>
      <c r="H115" s="15" t="s">
        <v>26</v>
      </c>
      <c r="I115" s="15" t="s">
        <v>215</v>
      </c>
      <c r="K115" s="15" t="s">
        <v>218</v>
      </c>
      <c r="L115" s="42"/>
    </row>
    <row r="116" spans="1:12" ht="13">
      <c r="A116" s="45" t="s">
        <v>75</v>
      </c>
      <c r="B116" s="15">
        <v>41</v>
      </c>
      <c r="C116" s="42">
        <v>4.010416666666667E-2</v>
      </c>
      <c r="D116" s="44">
        <v>0.87482638888888897</v>
      </c>
      <c r="E116" s="15" t="s">
        <v>158</v>
      </c>
      <c r="F116" s="15" t="s">
        <v>199</v>
      </c>
      <c r="H116" s="15" t="s">
        <v>26</v>
      </c>
      <c r="I116" s="15" t="s">
        <v>215</v>
      </c>
      <c r="K116" s="15" t="s">
        <v>218</v>
      </c>
      <c r="L116" s="42"/>
    </row>
    <row r="117" spans="1:12" ht="13">
      <c r="A117" s="45" t="s">
        <v>77</v>
      </c>
      <c r="B117" s="15">
        <v>1</v>
      </c>
      <c r="C117" s="42">
        <v>4.8379629629629632E-3</v>
      </c>
      <c r="D117" s="44">
        <v>0.93469907407407415</v>
      </c>
      <c r="E117" s="15" t="s">
        <v>127</v>
      </c>
      <c r="F117" s="15" t="s">
        <v>193</v>
      </c>
      <c r="H117" s="15" t="s">
        <v>25</v>
      </c>
      <c r="I117" s="15" t="s">
        <v>219</v>
      </c>
      <c r="K117" s="15" t="s">
        <v>216</v>
      </c>
      <c r="L117" s="46"/>
    </row>
    <row r="118" spans="1:12" ht="13">
      <c r="A118" s="45" t="s">
        <v>77</v>
      </c>
      <c r="B118" s="15">
        <v>2</v>
      </c>
      <c r="C118" s="42">
        <v>4.8958333333333336E-3</v>
      </c>
      <c r="D118" s="44">
        <v>0.93475694444444446</v>
      </c>
      <c r="E118" s="15" t="s">
        <v>127</v>
      </c>
      <c r="F118" s="15" t="s">
        <v>193</v>
      </c>
      <c r="H118" s="15" t="s">
        <v>25</v>
      </c>
      <c r="I118" s="15" t="s">
        <v>219</v>
      </c>
      <c r="K118" s="15" t="s">
        <v>216</v>
      </c>
      <c r="L118" s="46"/>
    </row>
    <row r="119" spans="1:12" ht="13">
      <c r="A119" s="45" t="s">
        <v>77</v>
      </c>
      <c r="B119" s="15">
        <v>3</v>
      </c>
      <c r="C119" s="42">
        <v>4.9189814814814816E-3</v>
      </c>
      <c r="D119" s="44">
        <v>0.93478009259259265</v>
      </c>
      <c r="E119" s="15" t="s">
        <v>127</v>
      </c>
      <c r="F119" s="15" t="s">
        <v>193</v>
      </c>
      <c r="H119" s="15" t="s">
        <v>25</v>
      </c>
      <c r="I119" s="15" t="s">
        <v>219</v>
      </c>
      <c r="K119" s="15" t="s">
        <v>216</v>
      </c>
      <c r="L119" s="46"/>
    </row>
    <row r="120" spans="1:12" ht="13">
      <c r="A120" s="45" t="s">
        <v>77</v>
      </c>
      <c r="B120" s="15">
        <v>4</v>
      </c>
      <c r="C120" s="42">
        <v>4.9652777777777777E-3</v>
      </c>
      <c r="D120" s="44">
        <v>0.93482638888888892</v>
      </c>
      <c r="E120" s="15" t="s">
        <v>127</v>
      </c>
      <c r="F120" s="15" t="s">
        <v>193</v>
      </c>
      <c r="H120" s="15" t="s">
        <v>25</v>
      </c>
      <c r="I120" s="15" t="s">
        <v>219</v>
      </c>
      <c r="K120" s="15" t="s">
        <v>217</v>
      </c>
      <c r="L120" s="46"/>
    </row>
    <row r="121" spans="1:12" ht="13">
      <c r="A121" s="45" t="s">
        <v>77</v>
      </c>
      <c r="B121" s="15">
        <v>5</v>
      </c>
      <c r="C121" s="42">
        <v>5.0115740740740737E-3</v>
      </c>
      <c r="D121" s="44">
        <v>0.93487268518518518</v>
      </c>
      <c r="E121" s="15" t="s">
        <v>127</v>
      </c>
      <c r="F121" s="15" t="s">
        <v>193</v>
      </c>
      <c r="H121" s="15" t="s">
        <v>26</v>
      </c>
      <c r="I121" s="15" t="s">
        <v>219</v>
      </c>
      <c r="K121" s="15" t="s">
        <v>220</v>
      </c>
      <c r="L121" s="46"/>
    </row>
    <row r="122" spans="1:12" ht="13">
      <c r="A122" s="45" t="s">
        <v>77</v>
      </c>
      <c r="B122" s="15">
        <v>6</v>
      </c>
      <c r="C122" s="42">
        <v>1.1875E-2</v>
      </c>
      <c r="D122" s="44">
        <v>0.94173611111111111</v>
      </c>
      <c r="E122" s="15" t="s">
        <v>127</v>
      </c>
      <c r="F122" s="15" t="s">
        <v>193</v>
      </c>
      <c r="H122" s="15" t="s">
        <v>25</v>
      </c>
      <c r="I122" s="15" t="s">
        <v>219</v>
      </c>
      <c r="K122" s="15" t="s">
        <v>216</v>
      </c>
      <c r="L122" s="46"/>
    </row>
    <row r="123" spans="1:12" ht="13">
      <c r="A123" s="45" t="s">
        <v>77</v>
      </c>
      <c r="B123" s="15">
        <v>7</v>
      </c>
      <c r="C123" s="42">
        <v>1.2407407407407407E-2</v>
      </c>
      <c r="D123" s="44">
        <v>0.94226851851851856</v>
      </c>
      <c r="E123" s="15" t="s">
        <v>127</v>
      </c>
      <c r="F123" s="15" t="s">
        <v>193</v>
      </c>
      <c r="H123" s="15" t="s">
        <v>25</v>
      </c>
      <c r="I123" s="15" t="s">
        <v>219</v>
      </c>
      <c r="K123" s="15" t="s">
        <v>216</v>
      </c>
      <c r="L123" s="46"/>
    </row>
    <row r="124" spans="1:12" ht="13">
      <c r="A124" s="45" t="s">
        <v>77</v>
      </c>
      <c r="B124" s="15">
        <v>8</v>
      </c>
      <c r="C124" s="42">
        <v>1.2430555555555556E-2</v>
      </c>
      <c r="D124" s="44">
        <v>0.94229166666666675</v>
      </c>
      <c r="E124" s="15" t="s">
        <v>127</v>
      </c>
      <c r="F124" s="15" t="s">
        <v>193</v>
      </c>
      <c r="H124" s="15" t="s">
        <v>25</v>
      </c>
      <c r="I124" s="15" t="s">
        <v>219</v>
      </c>
      <c r="K124" s="15" t="s">
        <v>216</v>
      </c>
      <c r="L124" s="46"/>
    </row>
    <row r="125" spans="1:12" ht="13">
      <c r="A125" s="45" t="s">
        <v>77</v>
      </c>
      <c r="B125" s="15">
        <v>9</v>
      </c>
      <c r="C125" s="42">
        <v>1.2534722222222221E-2</v>
      </c>
      <c r="D125" s="44">
        <v>0.94239583333333332</v>
      </c>
      <c r="E125" s="15" t="s">
        <v>127</v>
      </c>
      <c r="F125" s="15" t="s">
        <v>193</v>
      </c>
      <c r="H125" s="15" t="s">
        <v>25</v>
      </c>
      <c r="I125" s="15" t="s">
        <v>219</v>
      </c>
      <c r="K125" s="15" t="s">
        <v>217</v>
      </c>
      <c r="L125" s="46"/>
    </row>
    <row r="126" spans="1:12" ht="13">
      <c r="A126" s="45" t="s">
        <v>77</v>
      </c>
      <c r="B126" s="15">
        <v>10</v>
      </c>
      <c r="C126" s="42">
        <v>1.2685185185185185E-2</v>
      </c>
      <c r="D126" s="44">
        <v>0.94254629629629627</v>
      </c>
      <c r="E126" s="15" t="s">
        <v>127</v>
      </c>
      <c r="F126" s="15" t="s">
        <v>193</v>
      </c>
      <c r="H126" s="15" t="s">
        <v>26</v>
      </c>
      <c r="I126" s="15" t="s">
        <v>219</v>
      </c>
      <c r="K126" s="15" t="s">
        <v>218</v>
      </c>
      <c r="L126" s="42"/>
    </row>
    <row r="127" spans="1:12" ht="13">
      <c r="A127" s="45" t="s">
        <v>77</v>
      </c>
      <c r="B127" s="15">
        <v>11</v>
      </c>
      <c r="C127" s="42">
        <v>1.2800925925925926E-2</v>
      </c>
      <c r="D127" s="44">
        <v>0.9426620370370371</v>
      </c>
      <c r="E127" s="15" t="s">
        <v>127</v>
      </c>
      <c r="F127" s="15" t="s">
        <v>193</v>
      </c>
      <c r="H127" s="15" t="s">
        <v>25</v>
      </c>
      <c r="I127" s="15" t="s">
        <v>219</v>
      </c>
      <c r="K127" s="15" t="s">
        <v>217</v>
      </c>
      <c r="L127" s="46"/>
    </row>
    <row r="128" spans="1:12" ht="13">
      <c r="A128" s="45" t="s">
        <v>77</v>
      </c>
      <c r="B128" s="15">
        <v>12</v>
      </c>
      <c r="C128" s="42">
        <v>1.2881944444444444E-2</v>
      </c>
      <c r="D128" s="44">
        <v>0.9427430555555556</v>
      </c>
      <c r="E128" s="15" t="s">
        <v>127</v>
      </c>
      <c r="F128" s="15" t="s">
        <v>193</v>
      </c>
      <c r="H128" s="15" t="s">
        <v>26</v>
      </c>
      <c r="I128" s="15" t="s">
        <v>219</v>
      </c>
      <c r="K128" s="15" t="s">
        <v>220</v>
      </c>
      <c r="L128" s="46"/>
    </row>
    <row r="129" spans="1:12" ht="13">
      <c r="A129" s="15" t="s">
        <v>78</v>
      </c>
      <c r="B129" s="15">
        <v>1</v>
      </c>
      <c r="C129" s="46">
        <v>3.2083333333333332E-2</v>
      </c>
      <c r="D129" s="46">
        <f>SUM(L129,C129)</f>
        <v>0.82097222222222221</v>
      </c>
      <c r="E129" s="15" t="s">
        <v>127</v>
      </c>
      <c r="F129" s="15" t="s">
        <v>193</v>
      </c>
      <c r="H129" s="15" t="s">
        <v>25</v>
      </c>
      <c r="I129" s="15" t="s">
        <v>221</v>
      </c>
      <c r="L129" s="46">
        <v>0.78888888888888886</v>
      </c>
    </row>
    <row r="130" spans="1:12" ht="13">
      <c r="A130" s="15" t="s">
        <v>78</v>
      </c>
      <c r="B130" s="15">
        <v>2</v>
      </c>
      <c r="C130" s="46">
        <v>3.2187500000000001E-2</v>
      </c>
      <c r="D130" s="46">
        <f>SUM(L129,C130)</f>
        <v>0.8210763888888889</v>
      </c>
      <c r="E130" s="15" t="s">
        <v>127</v>
      </c>
      <c r="F130" s="15" t="s">
        <v>193</v>
      </c>
      <c r="H130" s="15" t="s">
        <v>25</v>
      </c>
      <c r="I130" s="15" t="s">
        <v>221</v>
      </c>
      <c r="L130" s="46">
        <v>0.78888888888888886</v>
      </c>
    </row>
    <row r="131" spans="1:12" ht="13">
      <c r="A131" s="15" t="s">
        <v>78</v>
      </c>
      <c r="B131" s="15">
        <v>3</v>
      </c>
      <c r="C131" s="46">
        <v>3.2233796296296295E-2</v>
      </c>
      <c r="D131" s="46">
        <f>SUM(C131,L129)</f>
        <v>0.82112268518518516</v>
      </c>
      <c r="E131" s="15" t="s">
        <v>127</v>
      </c>
      <c r="F131" s="15" t="s">
        <v>193</v>
      </c>
      <c r="H131" s="15" t="s">
        <v>25</v>
      </c>
      <c r="I131" s="15" t="s">
        <v>221</v>
      </c>
      <c r="L131" s="46">
        <v>0.78888888888888886</v>
      </c>
    </row>
    <row r="132" spans="1:12" ht="13">
      <c r="A132" s="15" t="s">
        <v>78</v>
      </c>
      <c r="B132" s="15">
        <v>4</v>
      </c>
      <c r="C132" s="46">
        <v>3.2280092592592589E-2</v>
      </c>
      <c r="D132" s="46">
        <f>SUM(C132,L129)</f>
        <v>0.82116898148148143</v>
      </c>
      <c r="E132" s="15" t="s">
        <v>127</v>
      </c>
      <c r="F132" s="15" t="s">
        <v>193</v>
      </c>
      <c r="H132" s="15" t="s">
        <v>26</v>
      </c>
      <c r="I132" s="15" t="s">
        <v>221</v>
      </c>
      <c r="K132" s="15" t="s">
        <v>211</v>
      </c>
      <c r="L132" s="46">
        <v>0.78888888888888886</v>
      </c>
    </row>
    <row r="133" spans="1:12" ht="13">
      <c r="A133" s="15" t="s">
        <v>78</v>
      </c>
      <c r="B133" s="15">
        <v>5</v>
      </c>
      <c r="C133" s="46">
        <v>3.2407407407407406E-2</v>
      </c>
      <c r="D133" s="46">
        <f>SUM(L129,C133)</f>
        <v>0.8212962962962963</v>
      </c>
      <c r="E133" s="15" t="s">
        <v>127</v>
      </c>
      <c r="F133" s="15" t="s">
        <v>193</v>
      </c>
      <c r="H133" s="15" t="s">
        <v>26</v>
      </c>
      <c r="I133" s="15" t="s">
        <v>221</v>
      </c>
      <c r="K133" s="15" t="s">
        <v>211</v>
      </c>
      <c r="L133" s="46">
        <v>0.78888888888888886</v>
      </c>
    </row>
    <row r="134" spans="1:12" ht="13">
      <c r="A134" s="15" t="s">
        <v>80</v>
      </c>
      <c r="B134" s="15">
        <v>1</v>
      </c>
      <c r="C134" s="25">
        <v>1.1377314814814814E-2</v>
      </c>
      <c r="D134" s="46">
        <f t="shared" ref="D134:D139" si="0">L134+C134</f>
        <v>0.89609953703703704</v>
      </c>
      <c r="E134" s="15" t="s">
        <v>127</v>
      </c>
      <c r="F134" s="15" t="s">
        <v>199</v>
      </c>
      <c r="H134" s="15" t="s">
        <v>26</v>
      </c>
      <c r="I134" s="15" t="s">
        <v>205</v>
      </c>
      <c r="K134" s="15" t="s">
        <v>222</v>
      </c>
      <c r="L134" s="46">
        <v>0.88472222222222219</v>
      </c>
    </row>
    <row r="135" spans="1:12" ht="13">
      <c r="A135" s="15" t="s">
        <v>80</v>
      </c>
      <c r="B135" s="15">
        <v>2</v>
      </c>
      <c r="C135" s="42">
        <v>1.1574074074074073E-2</v>
      </c>
      <c r="D135" s="46">
        <f t="shared" si="0"/>
        <v>0.89629629629629626</v>
      </c>
      <c r="E135" s="15" t="s">
        <v>127</v>
      </c>
      <c r="F135" s="15" t="s">
        <v>199</v>
      </c>
      <c r="H135" s="15" t="s">
        <v>25</v>
      </c>
      <c r="I135" s="15" t="s">
        <v>205</v>
      </c>
      <c r="L135" s="46">
        <v>0.88472222222222219</v>
      </c>
    </row>
    <row r="136" spans="1:12" ht="13">
      <c r="A136" s="15" t="s">
        <v>80</v>
      </c>
      <c r="B136" s="15">
        <v>3</v>
      </c>
      <c r="C136" s="42">
        <v>1.1631944444444445E-2</v>
      </c>
      <c r="D136" s="46">
        <f t="shared" si="0"/>
        <v>0.89635416666666667</v>
      </c>
      <c r="E136" s="15" t="s">
        <v>127</v>
      </c>
      <c r="F136" s="15" t="s">
        <v>199</v>
      </c>
      <c r="H136" s="15" t="s">
        <v>26</v>
      </c>
      <c r="I136" s="15" t="s">
        <v>205</v>
      </c>
      <c r="K136" s="15" t="s">
        <v>222</v>
      </c>
      <c r="L136" s="46">
        <v>0.88472222222222219</v>
      </c>
    </row>
    <row r="137" spans="1:12" ht="13">
      <c r="A137" s="15" t="s">
        <v>80</v>
      </c>
      <c r="B137" s="15">
        <v>4</v>
      </c>
      <c r="C137" s="42">
        <v>1.1828703703703704E-2</v>
      </c>
      <c r="D137" s="46">
        <f t="shared" si="0"/>
        <v>0.89655092592592589</v>
      </c>
      <c r="E137" s="15" t="s">
        <v>127</v>
      </c>
      <c r="F137" s="15" t="s">
        <v>199</v>
      </c>
      <c r="H137" s="15" t="s">
        <v>26</v>
      </c>
      <c r="I137" s="15" t="s">
        <v>205</v>
      </c>
      <c r="K137" s="15" t="s">
        <v>211</v>
      </c>
      <c r="L137" s="46">
        <v>0.88472222222222219</v>
      </c>
    </row>
    <row r="138" spans="1:12" ht="13">
      <c r="A138" s="15" t="s">
        <v>80</v>
      </c>
      <c r="B138" s="15">
        <v>5</v>
      </c>
      <c r="C138" s="42">
        <v>1.2002314814814815E-2</v>
      </c>
      <c r="D138" s="46">
        <f t="shared" si="0"/>
        <v>0.89672453703703703</v>
      </c>
      <c r="E138" s="15" t="s">
        <v>127</v>
      </c>
      <c r="F138" s="15" t="s">
        <v>199</v>
      </c>
      <c r="H138" s="15" t="s">
        <v>26</v>
      </c>
      <c r="I138" s="15" t="s">
        <v>205</v>
      </c>
      <c r="K138" s="15" t="s">
        <v>223</v>
      </c>
      <c r="L138" s="46">
        <v>0.88472222222222219</v>
      </c>
    </row>
    <row r="139" spans="1:12" ht="13">
      <c r="A139" s="15" t="s">
        <v>81</v>
      </c>
      <c r="B139" s="15">
        <v>1</v>
      </c>
      <c r="C139" s="42">
        <v>2.8935185185185185E-2</v>
      </c>
      <c r="D139" s="46">
        <f t="shared" si="0"/>
        <v>0.96504629629629635</v>
      </c>
      <c r="E139" s="15" t="s">
        <v>127</v>
      </c>
      <c r="F139" s="15" t="s">
        <v>193</v>
      </c>
      <c r="H139" s="15" t="s">
        <v>25</v>
      </c>
      <c r="I139" s="15" t="s">
        <v>212</v>
      </c>
      <c r="K139" s="15"/>
      <c r="L139" s="46">
        <v>0.93611111111111112</v>
      </c>
    </row>
    <row r="140" spans="1:12" ht="13">
      <c r="A140" s="15" t="s">
        <v>81</v>
      </c>
      <c r="B140" s="15">
        <v>2</v>
      </c>
      <c r="C140" s="42">
        <v>2.9016203703703704E-2</v>
      </c>
      <c r="D140" s="46">
        <f>L139+C140</f>
        <v>0.96512731481481484</v>
      </c>
      <c r="E140" s="15" t="s">
        <v>127</v>
      </c>
      <c r="F140" s="15" t="s">
        <v>193</v>
      </c>
      <c r="H140" s="15" t="s">
        <v>25</v>
      </c>
      <c r="I140" s="15" t="s">
        <v>212</v>
      </c>
      <c r="K140" s="15"/>
      <c r="L140" s="46">
        <v>0.93611111111111112</v>
      </c>
    </row>
    <row r="141" spans="1:12" ht="13">
      <c r="A141" s="15" t="s">
        <v>81</v>
      </c>
      <c r="B141" s="15">
        <v>3</v>
      </c>
      <c r="C141" s="42">
        <v>2.9050925925925924E-2</v>
      </c>
      <c r="D141" s="42">
        <f>C141+L139</f>
        <v>0.96516203703703707</v>
      </c>
      <c r="E141" s="15" t="s">
        <v>127</v>
      </c>
      <c r="F141" s="15" t="s">
        <v>193</v>
      </c>
      <c r="H141" s="15" t="s">
        <v>25</v>
      </c>
      <c r="I141" s="15" t="s">
        <v>212</v>
      </c>
      <c r="K141" s="15"/>
      <c r="L141" s="46">
        <v>0.93611111111111112</v>
      </c>
    </row>
    <row r="142" spans="1:12" ht="13">
      <c r="A142" s="15" t="s">
        <v>81</v>
      </c>
      <c r="B142" s="15">
        <v>4</v>
      </c>
      <c r="C142" s="42">
        <v>2.9097222222222222E-2</v>
      </c>
      <c r="D142" s="46">
        <f t="shared" ref="D142:D143" si="1">L142+C142</f>
        <v>0.96520833333333333</v>
      </c>
      <c r="E142" s="15" t="s">
        <v>127</v>
      </c>
      <c r="F142" s="15" t="s">
        <v>193</v>
      </c>
      <c r="H142" s="15" t="s">
        <v>25</v>
      </c>
      <c r="I142" s="15" t="s">
        <v>212</v>
      </c>
      <c r="K142" s="15"/>
      <c r="L142" s="46">
        <v>0.93611111111111112</v>
      </c>
    </row>
    <row r="143" spans="1:12" ht="13">
      <c r="A143" s="15" t="s">
        <v>81</v>
      </c>
      <c r="B143" s="15">
        <v>5</v>
      </c>
      <c r="C143" s="42">
        <v>2.914351851851852E-2</v>
      </c>
      <c r="D143" s="46">
        <f t="shared" si="1"/>
        <v>0.9652546296296296</v>
      </c>
      <c r="E143" s="15" t="s">
        <v>127</v>
      </c>
      <c r="F143" s="15" t="s">
        <v>193</v>
      </c>
      <c r="H143" s="15" t="s">
        <v>25</v>
      </c>
      <c r="I143" s="15" t="s">
        <v>212</v>
      </c>
      <c r="K143" s="15"/>
      <c r="L143" s="46">
        <v>0.93611111111111112</v>
      </c>
    </row>
    <row r="144" spans="1:12" ht="13">
      <c r="A144" s="15" t="s">
        <v>81</v>
      </c>
      <c r="B144" s="15">
        <v>6</v>
      </c>
      <c r="C144" s="42">
        <v>2.9270833333333333E-2</v>
      </c>
      <c r="D144" s="42">
        <f t="shared" ref="D144:D151" si="2">C144+L144</f>
        <v>0.96538194444444447</v>
      </c>
      <c r="E144" s="15" t="s">
        <v>127</v>
      </c>
      <c r="F144" s="15" t="s">
        <v>193</v>
      </c>
      <c r="H144" s="15" t="s">
        <v>25</v>
      </c>
      <c r="I144" s="15" t="s">
        <v>212</v>
      </c>
      <c r="K144" s="15"/>
      <c r="L144" s="46">
        <v>0.93611111111111112</v>
      </c>
    </row>
    <row r="145" spans="1:12" ht="13">
      <c r="A145" s="15" t="s">
        <v>81</v>
      </c>
      <c r="B145" s="15">
        <v>7</v>
      </c>
      <c r="C145" s="42">
        <v>2.9386574074074075E-2</v>
      </c>
      <c r="D145" s="42">
        <f t="shared" si="2"/>
        <v>0.96549768518518519</v>
      </c>
      <c r="E145" s="15" t="s">
        <v>127</v>
      </c>
      <c r="F145" s="15" t="s">
        <v>193</v>
      </c>
      <c r="H145" s="15" t="s">
        <v>25</v>
      </c>
      <c r="I145" s="15" t="s">
        <v>212</v>
      </c>
      <c r="K145" s="15"/>
      <c r="L145" s="46">
        <v>0.93611111111111112</v>
      </c>
    </row>
    <row r="146" spans="1:12" ht="13">
      <c r="A146" s="15" t="s">
        <v>81</v>
      </c>
      <c r="B146" s="15">
        <v>8</v>
      </c>
      <c r="C146" s="42">
        <v>2.9421296296296296E-2</v>
      </c>
      <c r="D146" s="42">
        <f t="shared" si="2"/>
        <v>0.96553240740740742</v>
      </c>
      <c r="E146" s="15" t="s">
        <v>127</v>
      </c>
      <c r="F146" s="15" t="s">
        <v>193</v>
      </c>
      <c r="H146" s="15" t="s">
        <v>25</v>
      </c>
      <c r="I146" s="15" t="s">
        <v>212</v>
      </c>
      <c r="K146" s="15"/>
      <c r="L146" s="46">
        <v>0.93611111111111112</v>
      </c>
    </row>
    <row r="147" spans="1:12" ht="13">
      <c r="A147" s="15" t="s">
        <v>81</v>
      </c>
      <c r="B147" s="15">
        <v>9</v>
      </c>
      <c r="C147" s="42">
        <v>2.9490740740740741E-2</v>
      </c>
      <c r="D147" s="42">
        <f t="shared" si="2"/>
        <v>0.96560185185185188</v>
      </c>
      <c r="E147" s="15" t="s">
        <v>127</v>
      </c>
      <c r="F147" s="15" t="s">
        <v>193</v>
      </c>
      <c r="H147" s="15" t="s">
        <v>26</v>
      </c>
      <c r="I147" s="15" t="s">
        <v>212</v>
      </c>
      <c r="K147" s="15"/>
      <c r="L147" s="46">
        <v>0.93611111111111112</v>
      </c>
    </row>
    <row r="148" spans="1:12" ht="13">
      <c r="A148" s="15" t="s">
        <v>81</v>
      </c>
      <c r="B148" s="15">
        <v>10</v>
      </c>
      <c r="C148" s="42">
        <v>2.960648148148148E-2</v>
      </c>
      <c r="D148" s="42">
        <f t="shared" si="2"/>
        <v>0.9657175925925926</v>
      </c>
      <c r="E148" s="15" t="s">
        <v>127</v>
      </c>
      <c r="F148" s="15" t="s">
        <v>193</v>
      </c>
      <c r="H148" s="15" t="s">
        <v>25</v>
      </c>
      <c r="I148" s="15" t="s">
        <v>212</v>
      </c>
      <c r="K148" s="15"/>
      <c r="L148" s="46">
        <v>0.93611111111111112</v>
      </c>
    </row>
    <row r="149" spans="1:12" ht="13">
      <c r="A149" s="15" t="s">
        <v>81</v>
      </c>
      <c r="B149" s="15">
        <v>11</v>
      </c>
      <c r="C149" s="42">
        <v>4.0289351851851854E-2</v>
      </c>
      <c r="D149" s="42">
        <f t="shared" si="2"/>
        <v>0.97640046296296301</v>
      </c>
      <c r="E149" s="15" t="s">
        <v>127</v>
      </c>
      <c r="F149" s="15" t="s">
        <v>193</v>
      </c>
      <c r="H149" s="15" t="s">
        <v>25</v>
      </c>
      <c r="I149" s="15" t="s">
        <v>212</v>
      </c>
      <c r="K149" s="15"/>
      <c r="L149" s="46">
        <v>0.93611111111111112</v>
      </c>
    </row>
    <row r="150" spans="1:12" ht="13">
      <c r="A150" s="15" t="s">
        <v>81</v>
      </c>
      <c r="B150" s="15">
        <v>12</v>
      </c>
      <c r="C150" s="42">
        <v>4.0416666666666663E-2</v>
      </c>
      <c r="D150" s="42">
        <f t="shared" si="2"/>
        <v>0.97652777777777777</v>
      </c>
      <c r="E150" s="15" t="s">
        <v>127</v>
      </c>
      <c r="F150" s="15" t="s">
        <v>193</v>
      </c>
      <c r="H150" s="15" t="s">
        <v>25</v>
      </c>
      <c r="I150" s="15" t="s">
        <v>212</v>
      </c>
      <c r="K150" s="15"/>
      <c r="L150" s="46">
        <v>0.93611111111111112</v>
      </c>
    </row>
    <row r="151" spans="1:12" ht="13">
      <c r="A151" s="15" t="s">
        <v>81</v>
      </c>
      <c r="B151" s="15">
        <v>13</v>
      </c>
      <c r="C151" s="42">
        <v>4.0775462962962965E-2</v>
      </c>
      <c r="D151" s="42">
        <f t="shared" si="2"/>
        <v>0.97688657407407409</v>
      </c>
      <c r="E151" s="15" t="s">
        <v>127</v>
      </c>
      <c r="F151" s="15" t="s">
        <v>193</v>
      </c>
      <c r="H151" s="15" t="s">
        <v>25</v>
      </c>
      <c r="I151" s="15" t="s">
        <v>212</v>
      </c>
      <c r="K151" s="15"/>
      <c r="L151" s="46">
        <v>0.93611111111111112</v>
      </c>
    </row>
    <row r="152" spans="1:12" ht="13">
      <c r="A152" s="15" t="s">
        <v>81</v>
      </c>
      <c r="B152" s="15">
        <v>14</v>
      </c>
      <c r="C152" s="42">
        <v>4.085648148148148E-2</v>
      </c>
      <c r="D152" s="42">
        <f>C153+L152</f>
        <v>0.97700231481481481</v>
      </c>
      <c r="E152" s="15" t="s">
        <v>127</v>
      </c>
      <c r="F152" s="15" t="s">
        <v>193</v>
      </c>
      <c r="H152" s="15" t="s">
        <v>25</v>
      </c>
      <c r="I152" s="15" t="s">
        <v>212</v>
      </c>
      <c r="K152" s="15"/>
      <c r="L152" s="46">
        <v>0.93611111111111112</v>
      </c>
    </row>
    <row r="153" spans="1:12" ht="13">
      <c r="A153" s="15" t="s">
        <v>81</v>
      </c>
      <c r="B153" s="15">
        <v>15</v>
      </c>
      <c r="C153" s="42">
        <v>4.08912037037037E-2</v>
      </c>
      <c r="D153" s="46">
        <f>L153+C153</f>
        <v>0.97700231481481481</v>
      </c>
      <c r="E153" s="15" t="s">
        <v>127</v>
      </c>
      <c r="F153" s="15" t="s">
        <v>193</v>
      </c>
      <c r="H153" s="15" t="s">
        <v>25</v>
      </c>
      <c r="I153" s="15" t="s">
        <v>212</v>
      </c>
      <c r="K153" s="15"/>
      <c r="L153" s="46">
        <v>0.93611111111111112</v>
      </c>
    </row>
    <row r="154" spans="1:12" ht="13">
      <c r="A154" s="15" t="s">
        <v>81</v>
      </c>
      <c r="B154" s="15">
        <v>16</v>
      </c>
      <c r="C154" s="42">
        <v>4.1076388888888891E-2</v>
      </c>
      <c r="D154" s="42">
        <f>C154+L154</f>
        <v>0.97718749999999999</v>
      </c>
      <c r="E154" s="15" t="s">
        <v>127</v>
      </c>
      <c r="F154" s="15" t="s">
        <v>193</v>
      </c>
      <c r="H154" s="15" t="s">
        <v>25</v>
      </c>
      <c r="I154" s="15" t="s">
        <v>212</v>
      </c>
      <c r="K154" s="15"/>
      <c r="L154" s="46">
        <v>0.93611111111111112</v>
      </c>
    </row>
    <row r="155" spans="1:12" ht="13">
      <c r="A155" s="15" t="s">
        <v>81</v>
      </c>
      <c r="B155" s="15">
        <v>17</v>
      </c>
      <c r="C155" s="42">
        <v>4.1203703703703701E-2</v>
      </c>
      <c r="D155" s="46">
        <f t="shared" ref="D155:D156" si="3">L155+C155</f>
        <v>0.97731481481481486</v>
      </c>
      <c r="E155" s="15" t="s">
        <v>127</v>
      </c>
      <c r="F155" s="15" t="s">
        <v>193</v>
      </c>
      <c r="H155" s="15" t="s">
        <v>26</v>
      </c>
      <c r="I155" s="15" t="s">
        <v>212</v>
      </c>
      <c r="K155" s="15"/>
      <c r="L155" s="46">
        <v>0.93611111111111112</v>
      </c>
    </row>
    <row r="156" spans="1:12" ht="13">
      <c r="A156" s="15" t="s">
        <v>82</v>
      </c>
      <c r="B156" s="15">
        <v>1</v>
      </c>
      <c r="C156" s="42">
        <v>3.3194444444444443E-2</v>
      </c>
      <c r="D156" s="46">
        <f t="shared" si="3"/>
        <v>0.8290277777777777</v>
      </c>
      <c r="E156" s="15" t="s">
        <v>127</v>
      </c>
      <c r="F156" s="15" t="s">
        <v>199</v>
      </c>
      <c r="H156" s="15" t="s">
        <v>25</v>
      </c>
      <c r="I156" s="15" t="s">
        <v>221</v>
      </c>
      <c r="K156" s="15"/>
      <c r="L156" s="46">
        <v>0.79583333333333328</v>
      </c>
    </row>
    <row r="157" spans="1:12" ht="13">
      <c r="A157" s="15" t="s">
        <v>82</v>
      </c>
      <c r="B157" s="15">
        <v>2</v>
      </c>
      <c r="C157" s="42">
        <v>3.3275462962962965E-2</v>
      </c>
      <c r="D157" s="46">
        <f>L156+C157</f>
        <v>0.82910879629629619</v>
      </c>
      <c r="E157" s="15" t="s">
        <v>127</v>
      </c>
      <c r="F157" s="15" t="s">
        <v>199</v>
      </c>
      <c r="H157" s="15" t="s">
        <v>25</v>
      </c>
      <c r="I157" s="8" t="s">
        <v>221</v>
      </c>
      <c r="K157" s="15"/>
      <c r="L157" s="46"/>
    </row>
    <row r="158" spans="1:12" ht="13">
      <c r="A158" s="15" t="s">
        <v>82</v>
      </c>
      <c r="B158" s="15">
        <v>3</v>
      </c>
      <c r="C158" s="42">
        <v>3.3344907407407406E-2</v>
      </c>
      <c r="D158" s="46">
        <f>L156+C158</f>
        <v>0.82917824074074065</v>
      </c>
      <c r="E158" s="15" t="s">
        <v>127</v>
      </c>
      <c r="F158" s="15" t="s">
        <v>199</v>
      </c>
      <c r="H158" s="15" t="s">
        <v>25</v>
      </c>
      <c r="I158" s="8" t="s">
        <v>221</v>
      </c>
      <c r="K158" s="15"/>
      <c r="L158" s="46"/>
    </row>
    <row r="159" spans="1:12" ht="13">
      <c r="A159" s="15" t="s">
        <v>82</v>
      </c>
      <c r="B159" s="15">
        <v>4</v>
      </c>
      <c r="C159" s="42">
        <v>3.3680555555555554E-2</v>
      </c>
      <c r="D159" s="46">
        <f>L156+C159</f>
        <v>0.82951388888888888</v>
      </c>
      <c r="E159" s="15" t="s">
        <v>127</v>
      </c>
      <c r="F159" s="15" t="s">
        <v>199</v>
      </c>
      <c r="H159" s="15" t="s">
        <v>25</v>
      </c>
      <c r="I159" s="8" t="s">
        <v>221</v>
      </c>
      <c r="K159" s="15"/>
      <c r="L159" s="46"/>
    </row>
    <row r="160" spans="1:12" ht="13">
      <c r="A160" s="15" t="s">
        <v>82</v>
      </c>
      <c r="B160" s="15">
        <v>5</v>
      </c>
      <c r="C160" s="42">
        <v>3.3819444444444444E-2</v>
      </c>
      <c r="D160" s="46">
        <f>L156+C160</f>
        <v>0.82965277777777768</v>
      </c>
      <c r="E160" s="15" t="s">
        <v>127</v>
      </c>
      <c r="F160" s="15" t="s">
        <v>199</v>
      </c>
      <c r="H160" s="15" t="s">
        <v>25</v>
      </c>
      <c r="I160" s="8" t="s">
        <v>221</v>
      </c>
      <c r="K160" s="15"/>
      <c r="L160" s="46"/>
    </row>
    <row r="161" spans="1:12" ht="13">
      <c r="A161" s="15" t="s">
        <v>82</v>
      </c>
      <c r="B161" s="15">
        <v>6</v>
      </c>
      <c r="C161" s="42">
        <v>3.3912037037037039E-2</v>
      </c>
      <c r="D161" s="46">
        <f>L156+C161</f>
        <v>0.82974537037037033</v>
      </c>
      <c r="E161" s="15" t="s">
        <v>127</v>
      </c>
      <c r="F161" s="15" t="s">
        <v>199</v>
      </c>
      <c r="H161" s="15" t="s">
        <v>25</v>
      </c>
      <c r="I161" s="8" t="s">
        <v>221</v>
      </c>
      <c r="K161" s="15"/>
      <c r="L161" s="46"/>
    </row>
    <row r="162" spans="1:12" ht="13">
      <c r="A162" s="15" t="s">
        <v>82</v>
      </c>
      <c r="B162" s="15">
        <v>7</v>
      </c>
      <c r="C162" s="42">
        <v>3.3981481481481481E-2</v>
      </c>
      <c r="D162" s="46">
        <f>L156+C162</f>
        <v>0.82981481481481478</v>
      </c>
      <c r="E162" s="15" t="s">
        <v>127</v>
      </c>
      <c r="F162" s="15" t="s">
        <v>199</v>
      </c>
      <c r="H162" s="15" t="s">
        <v>25</v>
      </c>
      <c r="I162" s="15" t="s">
        <v>221</v>
      </c>
      <c r="K162" s="15"/>
      <c r="L162" s="46"/>
    </row>
    <row r="163" spans="1:12" ht="13">
      <c r="A163" s="15" t="s">
        <v>82</v>
      </c>
      <c r="B163" s="15">
        <v>8</v>
      </c>
      <c r="C163" s="42">
        <v>3.4062500000000002E-2</v>
      </c>
      <c r="D163" s="46">
        <f>L156+C163</f>
        <v>0.82989583333333328</v>
      </c>
      <c r="E163" s="15" t="s">
        <v>127</v>
      </c>
      <c r="F163" s="15" t="s">
        <v>199</v>
      </c>
      <c r="H163" s="15" t="s">
        <v>25</v>
      </c>
      <c r="I163" s="8" t="s">
        <v>221</v>
      </c>
      <c r="K163" s="15"/>
      <c r="L163" s="46">
        <v>0.79583333333333328</v>
      </c>
    </row>
    <row r="164" spans="1:12" ht="13">
      <c r="A164" s="15" t="s">
        <v>82</v>
      </c>
      <c r="B164" s="15">
        <v>9</v>
      </c>
      <c r="C164" s="42">
        <v>3.4201388888888892E-2</v>
      </c>
      <c r="D164" s="46">
        <f>L156+C164</f>
        <v>0.83003472222222219</v>
      </c>
      <c r="E164" s="15" t="s">
        <v>127</v>
      </c>
      <c r="F164" s="15" t="s">
        <v>199</v>
      </c>
      <c r="H164" s="15" t="s">
        <v>25</v>
      </c>
      <c r="I164" s="8" t="s">
        <v>221</v>
      </c>
      <c r="K164" s="15"/>
      <c r="L164" s="46"/>
    </row>
    <row r="165" spans="1:12" ht="13">
      <c r="A165" s="15" t="s">
        <v>82</v>
      </c>
      <c r="B165" s="15">
        <v>10</v>
      </c>
      <c r="C165" s="42">
        <v>3.4328703703703702E-2</v>
      </c>
      <c r="D165" s="46">
        <f>L156+C165</f>
        <v>0.83016203703703695</v>
      </c>
      <c r="E165" s="15" t="s">
        <v>127</v>
      </c>
      <c r="F165" s="15" t="s">
        <v>199</v>
      </c>
      <c r="H165" s="15" t="s">
        <v>26</v>
      </c>
      <c r="I165" s="8" t="s">
        <v>221</v>
      </c>
      <c r="K165" s="15"/>
      <c r="L165" s="46"/>
    </row>
    <row r="166" spans="1:12" ht="13">
      <c r="A166" s="15" t="s">
        <v>82</v>
      </c>
      <c r="B166" s="15">
        <v>11</v>
      </c>
      <c r="C166" s="42">
        <v>3.6099537037037034E-2</v>
      </c>
      <c r="D166" s="46">
        <f>L163+C166</f>
        <v>0.83193287037037034</v>
      </c>
      <c r="E166" s="15" t="s">
        <v>127</v>
      </c>
      <c r="F166" s="15" t="s">
        <v>199</v>
      </c>
      <c r="H166" s="15" t="s">
        <v>26</v>
      </c>
      <c r="I166" s="8" t="s">
        <v>221</v>
      </c>
      <c r="K166" s="15"/>
      <c r="L166" s="46"/>
    </row>
    <row r="167" spans="1:12" ht="13">
      <c r="A167" s="15" t="s">
        <v>82</v>
      </c>
      <c r="B167" s="15">
        <v>12</v>
      </c>
      <c r="C167" s="42">
        <v>3.6342592592592593E-2</v>
      </c>
      <c r="D167" s="46">
        <f>L163+C167</f>
        <v>0.83217592592592582</v>
      </c>
      <c r="E167" s="15" t="s">
        <v>127</v>
      </c>
      <c r="F167" s="15" t="s">
        <v>199</v>
      </c>
      <c r="H167" s="15" t="s">
        <v>25</v>
      </c>
      <c r="I167" s="8" t="s">
        <v>221</v>
      </c>
      <c r="K167" s="15"/>
      <c r="L167" s="46"/>
    </row>
    <row r="168" spans="1:12" ht="13">
      <c r="A168" s="15" t="s">
        <v>82</v>
      </c>
      <c r="B168" s="15">
        <v>13</v>
      </c>
      <c r="C168" s="42">
        <v>3.667824074074074E-2</v>
      </c>
      <c r="D168" s="46">
        <f>L163+C168</f>
        <v>0.83251157407407406</v>
      </c>
      <c r="E168" s="15" t="s">
        <v>127</v>
      </c>
      <c r="F168" s="15" t="s">
        <v>199</v>
      </c>
      <c r="H168" s="15" t="s">
        <v>25</v>
      </c>
      <c r="I168" s="8" t="s">
        <v>221</v>
      </c>
      <c r="K168" s="15"/>
      <c r="L168" s="46"/>
    </row>
    <row r="169" spans="1:12" ht="13">
      <c r="A169" s="15" t="s">
        <v>82</v>
      </c>
      <c r="B169" s="15">
        <v>14</v>
      </c>
      <c r="C169" s="42">
        <v>3.6793981481481483E-2</v>
      </c>
      <c r="D169" s="46">
        <f>L163+C169</f>
        <v>0.83262731481481478</v>
      </c>
      <c r="E169" s="15" t="s">
        <v>127</v>
      </c>
      <c r="F169" s="15" t="s">
        <v>199</v>
      </c>
      <c r="H169" s="15" t="s">
        <v>26</v>
      </c>
      <c r="I169" s="8" t="s">
        <v>221</v>
      </c>
      <c r="K169" s="15"/>
      <c r="L169" s="46"/>
    </row>
    <row r="170" spans="1:12" ht="13">
      <c r="A170" s="15" t="s">
        <v>82</v>
      </c>
      <c r="B170" s="15">
        <v>15</v>
      </c>
      <c r="C170" s="42">
        <v>3.6990740740740741E-2</v>
      </c>
      <c r="D170" s="46">
        <f>L163+C170</f>
        <v>0.83282407407407399</v>
      </c>
      <c r="E170" s="15" t="s">
        <v>127</v>
      </c>
      <c r="F170" s="15" t="s">
        <v>199</v>
      </c>
      <c r="H170" s="15" t="s">
        <v>26</v>
      </c>
      <c r="I170" s="8" t="s">
        <v>221</v>
      </c>
      <c r="K170" s="15"/>
      <c r="L170" s="46"/>
    </row>
    <row r="171" spans="1:12" ht="13">
      <c r="A171" s="15" t="s">
        <v>83</v>
      </c>
      <c r="B171" s="15">
        <v>1</v>
      </c>
      <c r="C171" s="42">
        <v>1.5405092592592592E-2</v>
      </c>
      <c r="D171" s="46">
        <f>L171+C171</f>
        <v>0.86123842592592592</v>
      </c>
      <c r="E171" s="15" t="s">
        <v>127</v>
      </c>
      <c r="F171" s="15" t="s">
        <v>193</v>
      </c>
      <c r="H171" s="15" t="s">
        <v>25</v>
      </c>
      <c r="I171" s="15" t="s">
        <v>200</v>
      </c>
      <c r="J171" s="15" t="s">
        <v>224</v>
      </c>
      <c r="K171" s="15"/>
      <c r="L171" s="46">
        <v>0.84583333333333333</v>
      </c>
    </row>
    <row r="172" spans="1:12" ht="13">
      <c r="A172" s="15" t="s">
        <v>83</v>
      </c>
      <c r="B172" s="15">
        <v>2</v>
      </c>
      <c r="C172" s="42">
        <v>1.545138888888889E-2</v>
      </c>
      <c r="D172" s="46">
        <f>L171+C173</f>
        <v>0.8613425925925926</v>
      </c>
      <c r="E172" s="15" t="s">
        <v>127</v>
      </c>
      <c r="F172" s="15" t="s">
        <v>193</v>
      </c>
      <c r="H172" s="15" t="s">
        <v>26</v>
      </c>
      <c r="I172" s="15" t="s">
        <v>200</v>
      </c>
      <c r="J172" s="15" t="s">
        <v>225</v>
      </c>
      <c r="K172" s="15"/>
      <c r="L172" s="46"/>
    </row>
    <row r="173" spans="1:12" ht="13">
      <c r="A173" s="15" t="s">
        <v>83</v>
      </c>
      <c r="B173" s="15">
        <v>3</v>
      </c>
      <c r="C173" s="42">
        <v>1.5509259259259259E-2</v>
      </c>
      <c r="D173" s="46">
        <f>L171+C173</f>
        <v>0.8613425925925926</v>
      </c>
      <c r="E173" s="15" t="s">
        <v>127</v>
      </c>
      <c r="F173" s="15" t="s">
        <v>193</v>
      </c>
      <c r="H173" s="15" t="s">
        <v>26</v>
      </c>
      <c r="I173" s="15" t="s">
        <v>200</v>
      </c>
      <c r="K173" s="15"/>
      <c r="L173" s="46"/>
    </row>
    <row r="174" spans="1:12" ht="13">
      <c r="A174" s="15" t="s">
        <v>83</v>
      </c>
      <c r="B174" s="15">
        <v>4</v>
      </c>
      <c r="C174" s="42">
        <v>1.5613425925925926E-2</v>
      </c>
      <c r="D174" s="46">
        <f>L171+C174</f>
        <v>0.86144675925925929</v>
      </c>
      <c r="E174" s="15" t="s">
        <v>127</v>
      </c>
      <c r="F174" s="15" t="s">
        <v>193</v>
      </c>
      <c r="H174" s="15" t="s">
        <v>25</v>
      </c>
      <c r="I174" s="15" t="s">
        <v>200</v>
      </c>
      <c r="J174" s="15" t="s">
        <v>226</v>
      </c>
      <c r="K174" s="15"/>
      <c r="L174" s="46"/>
    </row>
    <row r="175" spans="1:12" ht="13">
      <c r="A175" s="15" t="s">
        <v>83</v>
      </c>
      <c r="B175" s="15">
        <v>5</v>
      </c>
      <c r="C175" s="42">
        <v>1.5636574074074074E-2</v>
      </c>
      <c r="D175" s="46">
        <f>L171+C175</f>
        <v>0.86146990740740736</v>
      </c>
      <c r="E175" s="15" t="s">
        <v>127</v>
      </c>
      <c r="F175" s="15" t="s">
        <v>193</v>
      </c>
      <c r="H175" s="15" t="s">
        <v>26</v>
      </c>
      <c r="I175" s="15" t="s">
        <v>200</v>
      </c>
      <c r="K175" s="15"/>
      <c r="L175" s="46"/>
    </row>
    <row r="176" spans="1:12" ht="13">
      <c r="A176" s="15" t="s">
        <v>83</v>
      </c>
      <c r="B176" s="15">
        <v>6</v>
      </c>
      <c r="C176" s="42">
        <v>1.5706018518518518E-2</v>
      </c>
      <c r="D176" s="46">
        <f>L171+C176</f>
        <v>0.86153935185185182</v>
      </c>
      <c r="E176" s="15" t="s">
        <v>127</v>
      </c>
      <c r="F176" s="15" t="s">
        <v>193</v>
      </c>
      <c r="H176" s="15" t="s">
        <v>26</v>
      </c>
      <c r="I176" s="15" t="s">
        <v>200</v>
      </c>
      <c r="K176" s="15"/>
      <c r="L176" s="46"/>
    </row>
    <row r="177" spans="1:12" ht="13">
      <c r="A177" s="15" t="s">
        <v>83</v>
      </c>
      <c r="B177" s="15">
        <v>7</v>
      </c>
      <c r="C177" s="42">
        <v>3.7962962962962962E-2</v>
      </c>
      <c r="D177" s="46">
        <f>L171+C177</f>
        <v>0.8837962962962963</v>
      </c>
      <c r="E177" s="15" t="s">
        <v>127</v>
      </c>
      <c r="F177" s="15" t="s">
        <v>193</v>
      </c>
      <c r="H177" s="15" t="s">
        <v>26</v>
      </c>
      <c r="I177" s="15" t="s">
        <v>203</v>
      </c>
      <c r="K177" s="15"/>
      <c r="L177" s="46"/>
    </row>
    <row r="178" spans="1:12" ht="13">
      <c r="A178" s="15" t="s">
        <v>85</v>
      </c>
      <c r="B178" s="15">
        <v>1</v>
      </c>
      <c r="C178" s="42">
        <v>5.9837962962962961E-3</v>
      </c>
      <c r="D178" s="46">
        <f>L178+C178</f>
        <v>0.90737268518518521</v>
      </c>
      <c r="E178" s="15" t="s">
        <v>127</v>
      </c>
      <c r="F178" s="15" t="s">
        <v>199</v>
      </c>
      <c r="H178" s="15" t="s">
        <v>25</v>
      </c>
      <c r="I178" s="15" t="s">
        <v>205</v>
      </c>
      <c r="K178" s="15"/>
      <c r="L178" s="46">
        <v>0.90138888888888891</v>
      </c>
    </row>
    <row r="179" spans="1:12" ht="13">
      <c r="A179" s="15" t="s">
        <v>85</v>
      </c>
      <c r="B179" s="15">
        <v>2</v>
      </c>
      <c r="C179" s="42">
        <v>6.0185185185185185E-3</v>
      </c>
      <c r="D179" s="46">
        <f>L178+C179</f>
        <v>0.90740740740740744</v>
      </c>
      <c r="E179" s="15" t="s">
        <v>127</v>
      </c>
      <c r="F179" s="15" t="s">
        <v>199</v>
      </c>
      <c r="H179" s="15" t="s">
        <v>25</v>
      </c>
      <c r="I179" s="15" t="s">
        <v>205</v>
      </c>
      <c r="K179" s="15"/>
      <c r="L179" s="46"/>
    </row>
    <row r="180" spans="1:12" ht="13">
      <c r="A180" s="15" t="s">
        <v>85</v>
      </c>
      <c r="B180" s="15">
        <v>3</v>
      </c>
      <c r="C180" s="42">
        <v>6.053240740740741E-3</v>
      </c>
      <c r="D180" s="46">
        <f>L178+C180</f>
        <v>0.90744212962962967</v>
      </c>
      <c r="E180" s="15" t="s">
        <v>127</v>
      </c>
      <c r="F180" s="15" t="s">
        <v>199</v>
      </c>
      <c r="H180" s="15" t="s">
        <v>25</v>
      </c>
      <c r="I180" s="15" t="s">
        <v>205</v>
      </c>
      <c r="K180" s="15"/>
      <c r="L180" s="46"/>
    </row>
    <row r="181" spans="1:12" ht="13">
      <c r="A181" s="15" t="s">
        <v>85</v>
      </c>
      <c r="B181" s="15">
        <v>4</v>
      </c>
      <c r="C181" s="42">
        <v>6.1689814814814819E-3</v>
      </c>
      <c r="D181" s="46">
        <f>L178+C181</f>
        <v>0.90755787037037039</v>
      </c>
      <c r="E181" s="15" t="s">
        <v>127</v>
      </c>
      <c r="F181" s="15" t="s">
        <v>199</v>
      </c>
      <c r="H181" s="15" t="s">
        <v>26</v>
      </c>
      <c r="I181" s="15" t="s">
        <v>205</v>
      </c>
      <c r="K181" s="15"/>
      <c r="L181" s="46"/>
    </row>
    <row r="182" spans="1:12" ht="13">
      <c r="A182" s="15" t="s">
        <v>85</v>
      </c>
      <c r="B182" s="15">
        <v>5</v>
      </c>
      <c r="C182" s="42">
        <v>3.3055555555555553E-2</v>
      </c>
      <c r="D182" s="46">
        <f>L178+C182</f>
        <v>0.93444444444444441</v>
      </c>
      <c r="E182" s="15" t="s">
        <v>127</v>
      </c>
      <c r="F182" s="15" t="s">
        <v>199</v>
      </c>
      <c r="H182" s="15" t="s">
        <v>25</v>
      </c>
      <c r="I182" s="15" t="s">
        <v>208</v>
      </c>
      <c r="J182" s="15" t="s">
        <v>227</v>
      </c>
      <c r="K182" s="15"/>
      <c r="L182" s="46"/>
    </row>
    <row r="183" spans="1:12" ht="13">
      <c r="A183" s="15" t="s">
        <v>85</v>
      </c>
      <c r="B183" s="15">
        <v>6</v>
      </c>
      <c r="C183" s="42">
        <v>3.318287037037037E-2</v>
      </c>
      <c r="D183" s="46">
        <f>L178+C183</f>
        <v>0.93457175925925928</v>
      </c>
      <c r="E183" s="15" t="s">
        <v>127</v>
      </c>
      <c r="F183" s="15" t="s">
        <v>199</v>
      </c>
      <c r="H183" s="15" t="s">
        <v>25</v>
      </c>
      <c r="I183" s="15" t="s">
        <v>208</v>
      </c>
      <c r="J183" s="15" t="s">
        <v>227</v>
      </c>
      <c r="K183" s="15"/>
      <c r="L183" s="46"/>
    </row>
    <row r="184" spans="1:12" ht="13">
      <c r="A184" s="15" t="s">
        <v>85</v>
      </c>
      <c r="B184" s="15">
        <v>7</v>
      </c>
      <c r="C184" s="42">
        <v>3.3414351851851855E-2</v>
      </c>
      <c r="D184" s="46">
        <f>L178+C184</f>
        <v>0.93480324074074073</v>
      </c>
      <c r="E184" s="15" t="s">
        <v>127</v>
      </c>
      <c r="F184" s="15" t="s">
        <v>199</v>
      </c>
      <c r="H184" s="15" t="s">
        <v>25</v>
      </c>
      <c r="I184" s="15" t="s">
        <v>208</v>
      </c>
      <c r="J184" s="15" t="s">
        <v>227</v>
      </c>
      <c r="K184" s="15"/>
      <c r="L184" s="46"/>
    </row>
    <row r="185" spans="1:12" ht="13">
      <c r="A185" s="15" t="s">
        <v>85</v>
      </c>
      <c r="B185" s="15">
        <v>8</v>
      </c>
      <c r="C185" s="42">
        <v>3.3553240740740738E-2</v>
      </c>
      <c r="D185" s="46">
        <f>L178+C185</f>
        <v>0.93494212962962964</v>
      </c>
      <c r="E185" s="15" t="s">
        <v>127</v>
      </c>
      <c r="F185" s="15" t="s">
        <v>199</v>
      </c>
      <c r="H185" s="15" t="s">
        <v>26</v>
      </c>
      <c r="I185" s="15" t="s">
        <v>208</v>
      </c>
      <c r="K185" s="15"/>
      <c r="L185" s="46"/>
    </row>
    <row r="186" spans="1:12" ht="13">
      <c r="A186" s="15" t="s">
        <v>85</v>
      </c>
      <c r="B186" s="15">
        <v>9</v>
      </c>
      <c r="C186" s="42">
        <v>3.3854166666666664E-2</v>
      </c>
      <c r="D186" s="46">
        <f>L178+C186</f>
        <v>0.93524305555555554</v>
      </c>
      <c r="E186" s="15" t="s">
        <v>127</v>
      </c>
      <c r="F186" s="15" t="s">
        <v>199</v>
      </c>
      <c r="H186" s="15" t="s">
        <v>25</v>
      </c>
      <c r="I186" s="15" t="s">
        <v>208</v>
      </c>
      <c r="J186" s="15" t="s">
        <v>228</v>
      </c>
      <c r="K186" s="15"/>
      <c r="L186" s="46"/>
    </row>
    <row r="187" spans="1:12" ht="13">
      <c r="A187" s="15" t="s">
        <v>85</v>
      </c>
      <c r="B187" s="15">
        <v>10</v>
      </c>
      <c r="C187" s="42">
        <v>3.4039351851851848E-2</v>
      </c>
      <c r="D187" s="46">
        <f>L178+C187</f>
        <v>0.93542824074074071</v>
      </c>
      <c r="E187" s="15" t="s">
        <v>127</v>
      </c>
      <c r="F187" s="15" t="s">
        <v>199</v>
      </c>
      <c r="H187" s="15" t="s">
        <v>26</v>
      </c>
      <c r="I187" s="15" t="s">
        <v>208</v>
      </c>
      <c r="J187" s="15" t="s">
        <v>229</v>
      </c>
      <c r="K187" s="15"/>
      <c r="L187" s="46"/>
    </row>
    <row r="188" spans="1:12" ht="13">
      <c r="A188" s="15" t="s">
        <v>86</v>
      </c>
      <c r="B188" s="15">
        <v>1</v>
      </c>
      <c r="C188" s="42">
        <v>3.2430555555555553E-2</v>
      </c>
      <c r="D188" s="46">
        <f>L188+C188</f>
        <v>0.9761805555555555</v>
      </c>
      <c r="E188" s="15" t="s">
        <v>127</v>
      </c>
      <c r="F188" s="15" t="s">
        <v>193</v>
      </c>
      <c r="H188" s="15" t="s">
        <v>25</v>
      </c>
      <c r="I188" s="15" t="s">
        <v>212</v>
      </c>
      <c r="J188" s="15" t="s">
        <v>230</v>
      </c>
      <c r="K188" s="15"/>
      <c r="L188" s="46">
        <v>0.94374999999999998</v>
      </c>
    </row>
    <row r="189" spans="1:12" ht="13">
      <c r="A189" s="15" t="s">
        <v>86</v>
      </c>
      <c r="B189" s="15">
        <v>2</v>
      </c>
      <c r="C189" s="42">
        <v>3.3750000000000002E-2</v>
      </c>
      <c r="D189" s="46">
        <f>L188+C189</f>
        <v>0.97750000000000004</v>
      </c>
      <c r="E189" s="15" t="s">
        <v>127</v>
      </c>
      <c r="F189" s="15" t="s">
        <v>193</v>
      </c>
      <c r="H189" s="15" t="s">
        <v>25</v>
      </c>
      <c r="I189" s="15" t="s">
        <v>212</v>
      </c>
      <c r="J189" s="15" t="s">
        <v>231</v>
      </c>
      <c r="K189" s="15"/>
      <c r="L189" s="46"/>
    </row>
    <row r="190" spans="1:12" ht="13">
      <c r="A190" s="15" t="s">
        <v>86</v>
      </c>
      <c r="B190" s="15">
        <v>3</v>
      </c>
      <c r="C190" s="42">
        <v>3.3784722222222223E-2</v>
      </c>
      <c r="D190" s="46">
        <f>L188+C190</f>
        <v>0.97753472222222215</v>
      </c>
      <c r="E190" s="15" t="s">
        <v>127</v>
      </c>
      <c r="F190" s="15" t="s">
        <v>193</v>
      </c>
      <c r="H190" s="15" t="s">
        <v>25</v>
      </c>
      <c r="I190" s="15" t="s">
        <v>212</v>
      </c>
      <c r="J190" s="15" t="s">
        <v>232</v>
      </c>
      <c r="K190" s="15"/>
      <c r="L190" s="46"/>
    </row>
    <row r="191" spans="1:12" ht="13">
      <c r="A191" s="15" t="s">
        <v>86</v>
      </c>
      <c r="B191" s="15">
        <v>4</v>
      </c>
      <c r="C191" s="42">
        <v>3.3819444444444444E-2</v>
      </c>
      <c r="D191" s="46">
        <f>L188+C191</f>
        <v>0.97756944444444438</v>
      </c>
      <c r="E191" s="15" t="s">
        <v>127</v>
      </c>
      <c r="F191" s="15" t="s">
        <v>193</v>
      </c>
      <c r="H191" s="15" t="s">
        <v>26</v>
      </c>
      <c r="I191" s="15" t="s">
        <v>212</v>
      </c>
      <c r="K191" s="15"/>
      <c r="L191" s="46"/>
    </row>
    <row r="192" spans="1:12" ht="13">
      <c r="A192" s="15" t="s">
        <v>87</v>
      </c>
      <c r="B192" s="15">
        <v>1</v>
      </c>
      <c r="C192" s="42">
        <v>2.6666666666666668E-2</v>
      </c>
      <c r="D192" s="46">
        <f>L188+C192</f>
        <v>0.97041666666666659</v>
      </c>
      <c r="E192" s="15" t="s">
        <v>158</v>
      </c>
      <c r="F192" s="15" t="s">
        <v>199</v>
      </c>
      <c r="H192" s="15" t="s">
        <v>25</v>
      </c>
      <c r="I192" s="15" t="s">
        <v>233</v>
      </c>
      <c r="K192" s="15" t="s">
        <v>216</v>
      </c>
      <c r="L192" s="46"/>
    </row>
    <row r="193" spans="1:12" ht="13">
      <c r="A193" s="15" t="s">
        <v>87</v>
      </c>
      <c r="B193" s="15">
        <v>2</v>
      </c>
      <c r="C193" s="42">
        <v>2.673611111111111E-2</v>
      </c>
      <c r="D193" s="46">
        <v>0.82534722222222223</v>
      </c>
      <c r="E193" s="15" t="s">
        <v>158</v>
      </c>
      <c r="F193" s="15" t="s">
        <v>199</v>
      </c>
      <c r="H193" s="15" t="s">
        <v>25</v>
      </c>
      <c r="I193" s="15" t="s">
        <v>233</v>
      </c>
      <c r="K193" s="15" t="s">
        <v>216</v>
      </c>
      <c r="L193" s="46"/>
    </row>
    <row r="194" spans="1:12" ht="13">
      <c r="A194" s="15" t="s">
        <v>87</v>
      </c>
      <c r="B194" s="15">
        <v>3</v>
      </c>
      <c r="C194" s="42">
        <v>2.6793981481481481E-2</v>
      </c>
      <c r="D194" s="46">
        <v>0.82540509259259265</v>
      </c>
      <c r="E194" s="15" t="s">
        <v>158</v>
      </c>
      <c r="F194" s="15" t="s">
        <v>199</v>
      </c>
      <c r="H194" s="15" t="s">
        <v>26</v>
      </c>
      <c r="I194" s="15" t="s">
        <v>233</v>
      </c>
      <c r="K194" s="15" t="s">
        <v>218</v>
      </c>
      <c r="L194" s="46"/>
    </row>
    <row r="195" spans="1:12" ht="13">
      <c r="A195" s="15" t="s">
        <v>87</v>
      </c>
      <c r="B195" s="15">
        <v>4</v>
      </c>
      <c r="C195" s="42">
        <v>2.6886574074074073E-2</v>
      </c>
      <c r="D195" s="46">
        <v>0.82549768518518518</v>
      </c>
      <c r="E195" s="15" t="s">
        <v>158</v>
      </c>
      <c r="F195" s="15" t="s">
        <v>199</v>
      </c>
      <c r="H195" s="15" t="s">
        <v>25</v>
      </c>
      <c r="I195" s="15" t="s">
        <v>233</v>
      </c>
      <c r="K195" s="15" t="s">
        <v>216</v>
      </c>
      <c r="L195" s="46"/>
    </row>
    <row r="196" spans="1:12" ht="13">
      <c r="A196" s="15" t="s">
        <v>87</v>
      </c>
      <c r="B196" s="15">
        <v>5</v>
      </c>
      <c r="C196" s="42">
        <v>2.6932870370370371E-2</v>
      </c>
      <c r="D196" s="46">
        <v>0.82554398148148156</v>
      </c>
      <c r="E196" s="15" t="s">
        <v>158</v>
      </c>
      <c r="F196" s="15" t="s">
        <v>199</v>
      </c>
      <c r="H196" s="15" t="s">
        <v>25</v>
      </c>
      <c r="I196" s="15" t="s">
        <v>233</v>
      </c>
      <c r="K196" s="15" t="s">
        <v>217</v>
      </c>
      <c r="L196" s="46"/>
    </row>
    <row r="197" spans="1:12" ht="13">
      <c r="A197" s="15" t="s">
        <v>87</v>
      </c>
      <c r="B197" s="15">
        <v>6</v>
      </c>
      <c r="C197" s="42">
        <v>2.6990740740740742E-2</v>
      </c>
      <c r="D197" s="46">
        <v>0.82560185185185186</v>
      </c>
      <c r="E197" s="15" t="s">
        <v>158</v>
      </c>
      <c r="F197" s="15" t="s">
        <v>199</v>
      </c>
      <c r="H197" s="15" t="s">
        <v>26</v>
      </c>
      <c r="I197" s="15" t="s">
        <v>233</v>
      </c>
      <c r="K197" s="15" t="s">
        <v>218</v>
      </c>
      <c r="L197" s="46"/>
    </row>
    <row r="198" spans="1:12" ht="13">
      <c r="A198" s="15" t="s">
        <v>87</v>
      </c>
      <c r="B198" s="15">
        <v>7</v>
      </c>
      <c r="C198" s="42">
        <v>2.7037037037037037E-2</v>
      </c>
      <c r="D198" s="46">
        <v>0.82564814814814824</v>
      </c>
      <c r="E198" s="15" t="s">
        <v>158</v>
      </c>
      <c r="F198" s="15" t="s">
        <v>199</v>
      </c>
      <c r="H198" s="15" t="s">
        <v>26</v>
      </c>
      <c r="I198" s="15" t="s">
        <v>233</v>
      </c>
      <c r="K198" s="15" t="s">
        <v>218</v>
      </c>
      <c r="L198" s="46"/>
    </row>
    <row r="199" spans="1:12" ht="13">
      <c r="A199" s="15" t="s">
        <v>87</v>
      </c>
      <c r="B199" s="15">
        <v>8</v>
      </c>
      <c r="C199" s="42">
        <v>2.7141203703703702E-2</v>
      </c>
      <c r="D199" s="46">
        <v>0.82575231481481481</v>
      </c>
      <c r="E199" s="15" t="s">
        <v>158</v>
      </c>
      <c r="F199" s="15" t="s">
        <v>199</v>
      </c>
      <c r="H199" s="15" t="s">
        <v>26</v>
      </c>
      <c r="I199" s="15" t="s">
        <v>233</v>
      </c>
      <c r="K199" s="15" t="s">
        <v>218</v>
      </c>
      <c r="L199" s="46"/>
    </row>
    <row r="200" spans="1:12" ht="13">
      <c r="A200" s="15" t="s">
        <v>87</v>
      </c>
      <c r="B200" s="15">
        <v>9</v>
      </c>
      <c r="C200" s="42">
        <v>2.7233796296296298E-2</v>
      </c>
      <c r="D200" s="46">
        <v>0.82584490740740746</v>
      </c>
      <c r="E200" s="15" t="s">
        <v>158</v>
      </c>
      <c r="F200" s="15" t="s">
        <v>199</v>
      </c>
      <c r="H200" s="15" t="s">
        <v>26</v>
      </c>
      <c r="I200" s="15" t="s">
        <v>233</v>
      </c>
      <c r="K200" s="15" t="s">
        <v>218</v>
      </c>
      <c r="L200" s="46"/>
    </row>
    <row r="201" spans="1:12" ht="13">
      <c r="A201" s="15" t="s">
        <v>87</v>
      </c>
      <c r="B201" s="15">
        <v>10</v>
      </c>
      <c r="C201" s="42">
        <v>2.7303240740740739E-2</v>
      </c>
      <c r="D201" s="46">
        <v>0.82591435185185191</v>
      </c>
      <c r="E201" s="15" t="s">
        <v>158</v>
      </c>
      <c r="F201" s="15" t="s">
        <v>199</v>
      </c>
      <c r="H201" s="15" t="s">
        <v>26</v>
      </c>
      <c r="I201" s="15" t="s">
        <v>233</v>
      </c>
      <c r="K201" s="15" t="s">
        <v>218</v>
      </c>
      <c r="L201" s="46"/>
    </row>
    <row r="202" spans="1:12" ht="13">
      <c r="A202" s="15" t="s">
        <v>87</v>
      </c>
      <c r="B202" s="15">
        <v>11</v>
      </c>
      <c r="C202" s="42">
        <v>2.7337962962962963E-2</v>
      </c>
      <c r="D202" s="46">
        <v>0.82594907407407414</v>
      </c>
      <c r="E202" s="15" t="s">
        <v>158</v>
      </c>
      <c r="F202" s="15" t="s">
        <v>199</v>
      </c>
      <c r="H202" s="15" t="s">
        <v>26</v>
      </c>
      <c r="I202" s="15" t="s">
        <v>233</v>
      </c>
      <c r="K202" s="15" t="s">
        <v>218</v>
      </c>
      <c r="L202" s="46"/>
    </row>
    <row r="203" spans="1:12" ht="13">
      <c r="A203" s="15" t="s">
        <v>87</v>
      </c>
      <c r="B203" s="15">
        <v>12</v>
      </c>
      <c r="C203" s="42">
        <v>3.8680555555555558E-2</v>
      </c>
      <c r="D203" s="46">
        <v>0.83729166666666677</v>
      </c>
      <c r="E203" s="15" t="s">
        <v>158</v>
      </c>
      <c r="F203" s="15" t="s">
        <v>199</v>
      </c>
      <c r="H203" s="15" t="s">
        <v>25</v>
      </c>
      <c r="I203" s="15" t="s">
        <v>233</v>
      </c>
      <c r="K203" s="15" t="s">
        <v>216</v>
      </c>
      <c r="L203" s="46"/>
    </row>
    <row r="204" spans="1:12" ht="13">
      <c r="A204" s="15" t="s">
        <v>87</v>
      </c>
      <c r="B204" s="15">
        <v>13</v>
      </c>
      <c r="C204" s="42">
        <v>3.8761574074074073E-2</v>
      </c>
      <c r="D204" s="46">
        <v>0.83737268518518526</v>
      </c>
      <c r="E204" s="15" t="s">
        <v>158</v>
      </c>
      <c r="F204" s="15" t="s">
        <v>199</v>
      </c>
      <c r="H204" s="15" t="s">
        <v>25</v>
      </c>
      <c r="I204" s="15" t="s">
        <v>233</v>
      </c>
      <c r="K204" s="15" t="s">
        <v>217</v>
      </c>
      <c r="L204" s="46"/>
    </row>
    <row r="205" spans="1:12" ht="13">
      <c r="A205" s="15" t="s">
        <v>87</v>
      </c>
      <c r="B205" s="15">
        <v>14</v>
      </c>
      <c r="C205" s="42">
        <v>3.8854166666666669E-2</v>
      </c>
      <c r="D205" s="46">
        <v>0.83746527777777779</v>
      </c>
      <c r="E205" s="15" t="s">
        <v>158</v>
      </c>
      <c r="F205" s="15" t="s">
        <v>199</v>
      </c>
      <c r="H205" s="15" t="s">
        <v>26</v>
      </c>
      <c r="I205" s="15" t="s">
        <v>233</v>
      </c>
      <c r="K205" s="15" t="s">
        <v>218</v>
      </c>
      <c r="L205" s="46"/>
    </row>
    <row r="206" spans="1:12" ht="13">
      <c r="A206" s="15" t="s">
        <v>87</v>
      </c>
      <c r="B206" s="15">
        <v>15</v>
      </c>
      <c r="C206" s="42">
        <v>3.8912037037037037E-2</v>
      </c>
      <c r="D206" s="46">
        <v>0.83752314814814821</v>
      </c>
      <c r="E206" s="15" t="s">
        <v>158</v>
      </c>
      <c r="F206" s="15" t="s">
        <v>199</v>
      </c>
      <c r="H206" s="15" t="s">
        <v>26</v>
      </c>
      <c r="I206" s="15" t="s">
        <v>233</v>
      </c>
      <c r="K206" s="15" t="s">
        <v>218</v>
      </c>
      <c r="L206" s="46"/>
    </row>
    <row r="207" spans="1:12" ht="13">
      <c r="A207" s="15" t="s">
        <v>87</v>
      </c>
      <c r="B207" s="15">
        <v>16</v>
      </c>
      <c r="C207" s="42">
        <v>3.9004629629629632E-2</v>
      </c>
      <c r="D207" s="46">
        <v>0.83761574074074074</v>
      </c>
      <c r="E207" s="15" t="s">
        <v>158</v>
      </c>
      <c r="F207" s="15" t="s">
        <v>199</v>
      </c>
      <c r="H207" s="15" t="s">
        <v>26</v>
      </c>
      <c r="I207" s="15" t="s">
        <v>233</v>
      </c>
      <c r="K207" s="15" t="s">
        <v>218</v>
      </c>
      <c r="L207" s="46"/>
    </row>
    <row r="208" spans="1:12" ht="13">
      <c r="A208" s="15" t="s">
        <v>87</v>
      </c>
      <c r="B208" s="15">
        <v>17</v>
      </c>
      <c r="C208" s="42">
        <v>3.9050925925925926E-2</v>
      </c>
      <c r="D208" s="46">
        <v>0.83766203703703712</v>
      </c>
      <c r="E208" s="15" t="s">
        <v>158</v>
      </c>
      <c r="F208" s="15" t="s">
        <v>199</v>
      </c>
      <c r="H208" s="15" t="s">
        <v>25</v>
      </c>
      <c r="I208" s="15" t="s">
        <v>233</v>
      </c>
      <c r="K208" s="15" t="s">
        <v>217</v>
      </c>
      <c r="L208" s="46"/>
    </row>
    <row r="209" spans="1:12" ht="13">
      <c r="A209" s="15" t="s">
        <v>87</v>
      </c>
      <c r="B209" s="15">
        <v>18</v>
      </c>
      <c r="C209" s="42">
        <v>3.9108796296296294E-2</v>
      </c>
      <c r="D209" s="46">
        <v>0.83771990740740743</v>
      </c>
      <c r="E209" s="15" t="s">
        <v>158</v>
      </c>
      <c r="F209" s="15" t="s">
        <v>199</v>
      </c>
      <c r="H209" s="15" t="s">
        <v>26</v>
      </c>
      <c r="I209" s="15" t="s">
        <v>233</v>
      </c>
      <c r="K209" s="15" t="s">
        <v>218</v>
      </c>
      <c r="L209" s="46"/>
    </row>
    <row r="210" spans="1:12" ht="13">
      <c r="A210" s="15" t="s">
        <v>87</v>
      </c>
      <c r="B210" s="15">
        <v>19</v>
      </c>
      <c r="C210" s="42">
        <v>3.9155092592592596E-2</v>
      </c>
      <c r="D210" s="46">
        <v>0.8377662037037038</v>
      </c>
      <c r="E210" s="15" t="s">
        <v>158</v>
      </c>
      <c r="F210" s="15" t="s">
        <v>199</v>
      </c>
      <c r="H210" s="15" t="s">
        <v>26</v>
      </c>
      <c r="I210" s="15" t="s">
        <v>233</v>
      </c>
      <c r="K210" s="15" t="s">
        <v>218</v>
      </c>
      <c r="L210" s="46"/>
    </row>
    <row r="211" spans="1:12" ht="13">
      <c r="A211" s="15" t="s">
        <v>87</v>
      </c>
      <c r="B211" s="15">
        <v>20</v>
      </c>
      <c r="C211" s="42">
        <v>3.920138888888889E-2</v>
      </c>
      <c r="D211" s="46">
        <v>0.83781250000000007</v>
      </c>
      <c r="E211" s="15" t="s">
        <v>158</v>
      </c>
      <c r="F211" s="15" t="s">
        <v>199</v>
      </c>
      <c r="H211" s="15" t="s">
        <v>26</v>
      </c>
      <c r="I211" s="15" t="s">
        <v>233</v>
      </c>
      <c r="K211" s="15" t="s">
        <v>218</v>
      </c>
      <c r="L211" s="46"/>
    </row>
    <row r="212" spans="1:12" ht="13">
      <c r="A212" s="15" t="s">
        <v>87</v>
      </c>
      <c r="B212" s="15">
        <v>21</v>
      </c>
      <c r="C212" s="42">
        <v>3.9259259259259258E-2</v>
      </c>
      <c r="D212" s="46">
        <v>0.83787037037037038</v>
      </c>
      <c r="E212" s="15" t="s">
        <v>158</v>
      </c>
      <c r="F212" s="15" t="s">
        <v>199</v>
      </c>
      <c r="H212" s="15" t="s">
        <v>26</v>
      </c>
      <c r="I212" s="15" t="s">
        <v>233</v>
      </c>
      <c r="K212" s="15" t="s">
        <v>218</v>
      </c>
      <c r="L212" s="46"/>
    </row>
    <row r="213" spans="1:12" ht="13">
      <c r="A213" s="15" t="s">
        <v>87</v>
      </c>
      <c r="B213" s="15">
        <v>22</v>
      </c>
      <c r="C213" s="42">
        <v>3.9351851851851853E-2</v>
      </c>
      <c r="D213" s="46">
        <v>0.83796296296296302</v>
      </c>
      <c r="E213" s="15" t="s">
        <v>158</v>
      </c>
      <c r="F213" s="15" t="s">
        <v>199</v>
      </c>
      <c r="H213" s="15" t="s">
        <v>26</v>
      </c>
      <c r="I213" s="15" t="s">
        <v>233</v>
      </c>
      <c r="K213" s="15" t="s">
        <v>218</v>
      </c>
      <c r="L213" s="46"/>
    </row>
    <row r="214" spans="1:12" ht="13">
      <c r="A214" s="15" t="s">
        <v>87</v>
      </c>
      <c r="B214" s="15">
        <v>23</v>
      </c>
      <c r="C214" s="42">
        <v>3.9432870370370368E-2</v>
      </c>
      <c r="D214" s="46">
        <v>0.83804398148148151</v>
      </c>
      <c r="E214" s="15" t="s">
        <v>158</v>
      </c>
      <c r="F214" s="15" t="s">
        <v>199</v>
      </c>
      <c r="H214" s="15" t="s">
        <v>25</v>
      </c>
      <c r="I214" s="15" t="s">
        <v>233</v>
      </c>
      <c r="K214" s="15" t="s">
        <v>216</v>
      </c>
      <c r="L214" s="46"/>
    </row>
    <row r="215" spans="1:12" ht="13">
      <c r="A215" s="15" t="s">
        <v>87</v>
      </c>
      <c r="B215" s="15">
        <v>24</v>
      </c>
      <c r="C215" s="42">
        <v>3.9467592592592596E-2</v>
      </c>
      <c r="D215" s="46">
        <v>0.83807870370370374</v>
      </c>
      <c r="E215" s="15" t="s">
        <v>158</v>
      </c>
      <c r="F215" s="15" t="s">
        <v>199</v>
      </c>
      <c r="H215" s="15" t="s">
        <v>26</v>
      </c>
      <c r="I215" s="15" t="s">
        <v>233</v>
      </c>
      <c r="K215" s="15" t="s">
        <v>218</v>
      </c>
      <c r="L215" s="46"/>
    </row>
    <row r="216" spans="1:12" ht="13">
      <c r="A216" s="15" t="s">
        <v>87</v>
      </c>
      <c r="B216" s="15">
        <v>25</v>
      </c>
      <c r="C216" s="42">
        <v>3.9525462962962964E-2</v>
      </c>
      <c r="D216" s="46">
        <v>0.83813657407407416</v>
      </c>
      <c r="E216" s="15" t="s">
        <v>158</v>
      </c>
      <c r="F216" s="15" t="s">
        <v>199</v>
      </c>
      <c r="H216" s="15" t="s">
        <v>26</v>
      </c>
      <c r="I216" s="15" t="s">
        <v>233</v>
      </c>
      <c r="K216" s="15" t="s">
        <v>218</v>
      </c>
      <c r="L216" s="46"/>
    </row>
    <row r="217" spans="1:12" ht="13">
      <c r="A217" s="15" t="s">
        <v>87</v>
      </c>
      <c r="B217" s="15">
        <v>26</v>
      </c>
      <c r="C217" s="42">
        <v>3.9571759259259258E-2</v>
      </c>
      <c r="D217" s="46">
        <v>0.83818287037037043</v>
      </c>
      <c r="E217" s="15" t="s">
        <v>158</v>
      </c>
      <c r="F217" s="15" t="s">
        <v>199</v>
      </c>
      <c r="H217" s="15" t="s">
        <v>26</v>
      </c>
      <c r="I217" s="15" t="s">
        <v>233</v>
      </c>
      <c r="K217" s="15" t="s">
        <v>218</v>
      </c>
      <c r="L217" s="46"/>
    </row>
    <row r="218" spans="1:12" ht="13">
      <c r="A218" s="15" t="s">
        <v>87</v>
      </c>
      <c r="B218" s="15">
        <v>27</v>
      </c>
      <c r="C218" s="42">
        <v>3.8935185185185184E-2</v>
      </c>
      <c r="D218" s="46">
        <v>0.83754629629629629</v>
      </c>
      <c r="E218" s="15" t="s">
        <v>158</v>
      </c>
      <c r="F218" s="15" t="s">
        <v>199</v>
      </c>
      <c r="H218" s="15" t="s">
        <v>26</v>
      </c>
      <c r="I218" s="15" t="s">
        <v>233</v>
      </c>
      <c r="K218" s="15" t="s">
        <v>218</v>
      </c>
      <c r="L218" s="46"/>
    </row>
    <row r="219" spans="1:12" ht="13">
      <c r="A219" s="15" t="s">
        <v>87</v>
      </c>
      <c r="B219" s="15">
        <v>28</v>
      </c>
      <c r="C219" s="42">
        <v>3.9027777777777779E-2</v>
      </c>
      <c r="D219" s="46">
        <v>0.83763888888888893</v>
      </c>
      <c r="E219" s="15" t="s">
        <v>158</v>
      </c>
      <c r="F219" s="15" t="s">
        <v>199</v>
      </c>
      <c r="H219" s="15" t="s">
        <v>26</v>
      </c>
      <c r="I219" s="15" t="s">
        <v>233</v>
      </c>
      <c r="K219" s="15" t="s">
        <v>218</v>
      </c>
      <c r="L219" s="46"/>
    </row>
    <row r="220" spans="1:12" ht="13">
      <c r="A220" s="15" t="s">
        <v>87</v>
      </c>
      <c r="B220" s="15">
        <v>29</v>
      </c>
      <c r="C220" s="42">
        <v>3.9085648148148147E-2</v>
      </c>
      <c r="D220" s="46">
        <v>0.83769675925925935</v>
      </c>
      <c r="E220" s="15" t="s">
        <v>158</v>
      </c>
      <c r="F220" s="15" t="s">
        <v>199</v>
      </c>
      <c r="H220" s="15" t="s">
        <v>26</v>
      </c>
      <c r="I220" s="15" t="s">
        <v>233</v>
      </c>
      <c r="K220" s="15" t="s">
        <v>218</v>
      </c>
      <c r="L220" s="46"/>
    </row>
    <row r="221" spans="1:12" ht="13">
      <c r="A221" s="15" t="s">
        <v>87</v>
      </c>
      <c r="B221" s="15">
        <v>30</v>
      </c>
      <c r="C221" s="42">
        <v>3.9143518518518522E-2</v>
      </c>
      <c r="D221" s="46">
        <v>0.83775462962962965</v>
      </c>
      <c r="E221" s="15" t="s">
        <v>158</v>
      </c>
      <c r="F221" s="15" t="s">
        <v>199</v>
      </c>
      <c r="H221" s="15" t="s">
        <v>25</v>
      </c>
      <c r="I221" s="15" t="s">
        <v>233</v>
      </c>
      <c r="K221" s="15" t="s">
        <v>217</v>
      </c>
      <c r="L221" s="46"/>
    </row>
    <row r="222" spans="1:12" ht="13">
      <c r="A222" s="15" t="s">
        <v>87</v>
      </c>
      <c r="B222" s="15">
        <v>31</v>
      </c>
      <c r="C222" s="42">
        <v>3.9872685185185185E-2</v>
      </c>
      <c r="D222" s="46">
        <v>0.83848379629629632</v>
      </c>
      <c r="E222" s="15" t="s">
        <v>158</v>
      </c>
      <c r="F222" s="15" t="s">
        <v>199</v>
      </c>
      <c r="H222" s="15" t="s">
        <v>26</v>
      </c>
      <c r="I222" s="15" t="s">
        <v>233</v>
      </c>
      <c r="K222" s="15" t="s">
        <v>218</v>
      </c>
      <c r="L222" s="46"/>
    </row>
    <row r="223" spans="1:12" ht="13">
      <c r="A223" s="15" t="s">
        <v>87</v>
      </c>
      <c r="B223" s="15">
        <v>32</v>
      </c>
      <c r="C223" s="42">
        <v>3.9976851851851854E-2</v>
      </c>
      <c r="D223" s="46">
        <v>0.83858796296296301</v>
      </c>
      <c r="E223" s="15" t="s">
        <v>158</v>
      </c>
      <c r="F223" s="15" t="s">
        <v>199</v>
      </c>
      <c r="H223" s="15" t="s">
        <v>26</v>
      </c>
      <c r="I223" s="15" t="s">
        <v>233</v>
      </c>
      <c r="K223" s="15" t="s">
        <v>218</v>
      </c>
      <c r="L223" s="46"/>
    </row>
    <row r="224" spans="1:12" ht="13">
      <c r="A224" s="15" t="s">
        <v>87</v>
      </c>
      <c r="B224" s="15">
        <v>33</v>
      </c>
      <c r="C224" s="42">
        <v>4.0092592592592589E-2</v>
      </c>
      <c r="D224" s="46">
        <v>0.83870370370370373</v>
      </c>
      <c r="E224" s="15" t="s">
        <v>158</v>
      </c>
      <c r="F224" s="15" t="s">
        <v>199</v>
      </c>
      <c r="H224" s="15" t="s">
        <v>26</v>
      </c>
      <c r="I224" s="15" t="s">
        <v>233</v>
      </c>
      <c r="K224" s="15" t="s">
        <v>218</v>
      </c>
      <c r="L224" s="46"/>
    </row>
    <row r="225" spans="1:12" ht="13">
      <c r="A225" s="15" t="s">
        <v>87</v>
      </c>
      <c r="B225" s="15">
        <v>34</v>
      </c>
      <c r="C225" s="42">
        <v>4.0138888888888891E-2</v>
      </c>
      <c r="D225" s="46">
        <v>0.83875000000000011</v>
      </c>
      <c r="E225" s="15" t="s">
        <v>158</v>
      </c>
      <c r="F225" s="15" t="s">
        <v>199</v>
      </c>
      <c r="H225" s="15" t="s">
        <v>26</v>
      </c>
      <c r="I225" s="15" t="s">
        <v>233</v>
      </c>
      <c r="K225" s="15" t="s">
        <v>218</v>
      </c>
      <c r="L225" s="46"/>
    </row>
    <row r="226" spans="1:12" ht="13">
      <c r="A226" s="15" t="s">
        <v>87</v>
      </c>
      <c r="B226" s="15">
        <v>35</v>
      </c>
      <c r="C226" s="42">
        <v>4.0243055555555553E-2</v>
      </c>
      <c r="D226" s="46">
        <v>0.83885416666666668</v>
      </c>
      <c r="E226" s="15" t="s">
        <v>158</v>
      </c>
      <c r="F226" s="15" t="s">
        <v>199</v>
      </c>
      <c r="H226" s="15" t="s">
        <v>26</v>
      </c>
      <c r="I226" s="15" t="s">
        <v>233</v>
      </c>
      <c r="K226" s="15" t="s">
        <v>218</v>
      </c>
      <c r="L226" s="46"/>
    </row>
    <row r="227" spans="1:12" ht="13">
      <c r="A227" s="15" t="s">
        <v>87</v>
      </c>
      <c r="B227" s="15">
        <v>36</v>
      </c>
      <c r="C227" s="42">
        <v>4.0347222222222222E-2</v>
      </c>
      <c r="D227" s="46">
        <v>0.83895833333333336</v>
      </c>
      <c r="E227" s="15" t="s">
        <v>158</v>
      </c>
      <c r="F227" s="15" t="s">
        <v>199</v>
      </c>
      <c r="H227" s="15" t="s">
        <v>26</v>
      </c>
      <c r="I227" s="15" t="s">
        <v>233</v>
      </c>
      <c r="K227" s="15" t="s">
        <v>218</v>
      </c>
      <c r="L227" s="46"/>
    </row>
    <row r="228" spans="1:12" ht="13">
      <c r="A228" s="15" t="s">
        <v>87</v>
      </c>
      <c r="B228" s="15">
        <v>37</v>
      </c>
      <c r="C228" s="42">
        <v>4.0416666666666663E-2</v>
      </c>
      <c r="D228" s="46">
        <v>0.83902777777777782</v>
      </c>
      <c r="E228" s="15" t="s">
        <v>158</v>
      </c>
      <c r="F228" s="15" t="s">
        <v>199</v>
      </c>
      <c r="H228" s="15" t="s">
        <v>26</v>
      </c>
      <c r="I228" s="15" t="s">
        <v>233</v>
      </c>
      <c r="K228" s="15" t="s">
        <v>218</v>
      </c>
      <c r="L228" s="46"/>
    </row>
    <row r="229" spans="1:12" ht="13">
      <c r="A229" s="15" t="s">
        <v>87</v>
      </c>
      <c r="B229" s="15">
        <v>38</v>
      </c>
      <c r="C229" s="42">
        <v>4.0543981481481479E-2</v>
      </c>
      <c r="D229" s="46">
        <v>0.83915509259259269</v>
      </c>
      <c r="E229" s="15" t="s">
        <v>158</v>
      </c>
      <c r="F229" s="15" t="s">
        <v>199</v>
      </c>
      <c r="H229" s="15" t="s">
        <v>26</v>
      </c>
      <c r="I229" s="15" t="s">
        <v>233</v>
      </c>
      <c r="K229" s="15" t="s">
        <v>218</v>
      </c>
      <c r="L229" s="46"/>
    </row>
    <row r="230" spans="1:12" ht="13">
      <c r="A230" s="15" t="s">
        <v>87</v>
      </c>
      <c r="B230" s="15">
        <v>39</v>
      </c>
      <c r="C230" s="42">
        <v>4.0625000000000001E-2</v>
      </c>
      <c r="D230" s="46">
        <v>0.83923611111111118</v>
      </c>
      <c r="E230" s="15" t="s">
        <v>158</v>
      </c>
      <c r="F230" s="15" t="s">
        <v>199</v>
      </c>
      <c r="H230" s="15" t="s">
        <v>26</v>
      </c>
      <c r="I230" s="15" t="s">
        <v>233</v>
      </c>
      <c r="K230" s="15" t="s">
        <v>218</v>
      </c>
      <c r="L230" s="46"/>
    </row>
    <row r="231" spans="1:12" ht="13">
      <c r="A231" s="15" t="s">
        <v>89</v>
      </c>
      <c r="B231" s="15">
        <v>1</v>
      </c>
      <c r="C231" s="42">
        <v>1.005787037037037E-2</v>
      </c>
      <c r="D231" s="42">
        <v>0.90311342592592592</v>
      </c>
      <c r="E231" s="15" t="s">
        <v>127</v>
      </c>
      <c r="F231" s="15" t="s">
        <v>199</v>
      </c>
      <c r="H231" s="15" t="s">
        <v>25</v>
      </c>
      <c r="I231" s="15" t="s">
        <v>234</v>
      </c>
      <c r="K231" s="15" t="s">
        <v>216</v>
      </c>
      <c r="L231" s="46"/>
    </row>
    <row r="232" spans="1:12" ht="13">
      <c r="A232" s="15" t="s">
        <v>89</v>
      </c>
      <c r="B232" s="15">
        <v>2</v>
      </c>
      <c r="C232" s="42">
        <v>1.6493055555555556E-2</v>
      </c>
      <c r="D232" s="42">
        <v>0.90954861111111118</v>
      </c>
      <c r="E232" s="15" t="s">
        <v>127</v>
      </c>
      <c r="F232" s="15" t="s">
        <v>199</v>
      </c>
      <c r="H232" s="15" t="s">
        <v>25</v>
      </c>
      <c r="I232" s="15" t="s">
        <v>234</v>
      </c>
      <c r="K232" s="15" t="s">
        <v>216</v>
      </c>
      <c r="L232" s="46"/>
    </row>
    <row r="233" spans="1:12" ht="13">
      <c r="A233" s="15" t="s">
        <v>89</v>
      </c>
      <c r="B233" s="15">
        <v>3</v>
      </c>
      <c r="C233" s="42">
        <v>1.6527777777777777E-2</v>
      </c>
      <c r="D233" s="42">
        <v>0.90958333333333341</v>
      </c>
      <c r="E233" s="15" t="s">
        <v>127</v>
      </c>
      <c r="F233" s="15" t="s">
        <v>199</v>
      </c>
      <c r="H233" s="15" t="s">
        <v>25</v>
      </c>
      <c r="I233" s="15" t="s">
        <v>234</v>
      </c>
      <c r="K233" s="15" t="s">
        <v>216</v>
      </c>
      <c r="L233" s="46"/>
    </row>
    <row r="234" spans="1:12" ht="13">
      <c r="A234" s="15" t="s">
        <v>89</v>
      </c>
      <c r="B234" s="15">
        <v>4</v>
      </c>
      <c r="C234" s="42">
        <v>2.0405092592592593E-2</v>
      </c>
      <c r="D234" s="46">
        <v>0.9134606481481482</v>
      </c>
      <c r="E234" s="15" t="s">
        <v>127</v>
      </c>
      <c r="F234" s="15" t="s">
        <v>199</v>
      </c>
      <c r="H234" s="15" t="s">
        <v>26</v>
      </c>
      <c r="I234" s="15" t="s">
        <v>234</v>
      </c>
      <c r="K234" s="15" t="s">
        <v>235</v>
      </c>
    </row>
    <row r="235" spans="1:12" ht="13">
      <c r="A235" s="15" t="s">
        <v>91</v>
      </c>
      <c r="B235" s="15">
        <v>1</v>
      </c>
      <c r="C235" s="46">
        <v>1.3761574074074074E-2</v>
      </c>
      <c r="D235" s="46">
        <f>L235+C235</f>
        <v>0.80542824074074071</v>
      </c>
      <c r="E235" s="15" t="s">
        <v>127</v>
      </c>
      <c r="F235" s="15" t="s">
        <v>199</v>
      </c>
      <c r="G235" s="15"/>
      <c r="H235" s="15" t="s">
        <v>26</v>
      </c>
      <c r="I235" s="15" t="s">
        <v>236</v>
      </c>
      <c r="J235" s="15"/>
      <c r="K235" s="15" t="s">
        <v>237</v>
      </c>
      <c r="L235" s="46">
        <v>0.79166666666666663</v>
      </c>
    </row>
    <row r="236" spans="1:12" ht="13">
      <c r="A236" s="15" t="s">
        <v>91</v>
      </c>
      <c r="B236" s="15">
        <v>2</v>
      </c>
      <c r="C236" s="46">
        <v>3.667824074074074E-2</v>
      </c>
      <c r="D236" s="46">
        <f>L235+C236</f>
        <v>0.8283449074074074</v>
      </c>
      <c r="E236" s="15" t="s">
        <v>127</v>
      </c>
      <c r="F236" s="15" t="s">
        <v>199</v>
      </c>
      <c r="G236" s="15"/>
      <c r="H236" s="15" t="s">
        <v>25</v>
      </c>
      <c r="I236" s="15" t="s">
        <v>238</v>
      </c>
      <c r="J236" s="15"/>
      <c r="K236" s="15" t="s">
        <v>239</v>
      </c>
      <c r="L236" s="42"/>
    </row>
    <row r="237" spans="1:12" ht="13">
      <c r="A237" s="15" t="s">
        <v>91</v>
      </c>
      <c r="B237" s="15">
        <v>3</v>
      </c>
      <c r="C237" s="46">
        <v>3.6620370370370373E-2</v>
      </c>
      <c r="D237" s="46">
        <f>L235+C237</f>
        <v>0.82828703703703699</v>
      </c>
      <c r="E237" s="15" t="s">
        <v>127</v>
      </c>
      <c r="F237" s="15" t="s">
        <v>199</v>
      </c>
      <c r="G237" s="15"/>
      <c r="H237" s="15" t="s">
        <v>25</v>
      </c>
      <c r="I237" s="15" t="s">
        <v>238</v>
      </c>
      <c r="J237" s="15"/>
      <c r="K237" s="15" t="s">
        <v>239</v>
      </c>
      <c r="L237" s="42"/>
    </row>
    <row r="238" spans="1:12" ht="13">
      <c r="A238" s="15" t="s">
        <v>91</v>
      </c>
      <c r="B238" s="15">
        <v>4</v>
      </c>
      <c r="C238" s="46">
        <v>3.6701388888888888E-2</v>
      </c>
      <c r="D238" s="46">
        <f>L235+C238</f>
        <v>0.82836805555555548</v>
      </c>
      <c r="E238" s="15" t="s">
        <v>127</v>
      </c>
      <c r="F238" s="15" t="s">
        <v>199</v>
      </c>
      <c r="G238" s="15"/>
      <c r="H238" s="15" t="s">
        <v>25</v>
      </c>
      <c r="I238" s="15" t="s">
        <v>238</v>
      </c>
      <c r="J238" s="15"/>
      <c r="K238" s="15" t="s">
        <v>226</v>
      </c>
      <c r="L238" s="42"/>
    </row>
    <row r="239" spans="1:12" ht="13">
      <c r="A239" s="15" t="s">
        <v>91</v>
      </c>
      <c r="B239" s="15">
        <v>5</v>
      </c>
      <c r="C239" s="46">
        <v>3.6805555555555557E-2</v>
      </c>
      <c r="D239" s="46">
        <f>L235+C239</f>
        <v>0.82847222222222217</v>
      </c>
      <c r="E239" s="15" t="s">
        <v>127</v>
      </c>
      <c r="F239" s="15" t="s">
        <v>199</v>
      </c>
      <c r="G239" s="15"/>
      <c r="H239" s="15" t="s">
        <v>25</v>
      </c>
      <c r="I239" s="15" t="s">
        <v>238</v>
      </c>
      <c r="J239" s="15"/>
      <c r="K239" s="15" t="s">
        <v>240</v>
      </c>
      <c r="L239" s="42"/>
    </row>
    <row r="240" spans="1:12" ht="13">
      <c r="A240" s="15" t="s">
        <v>91</v>
      </c>
      <c r="B240" s="15">
        <v>6</v>
      </c>
      <c r="C240" s="46">
        <v>3.6886574074074072E-2</v>
      </c>
      <c r="D240" s="46">
        <f>L235+C240</f>
        <v>0.82855324074074066</v>
      </c>
      <c r="E240" s="15" t="s">
        <v>127</v>
      </c>
      <c r="F240" s="15" t="s">
        <v>199</v>
      </c>
      <c r="G240" s="15"/>
      <c r="H240" s="15" t="s">
        <v>25</v>
      </c>
      <c r="I240" s="15" t="s">
        <v>238</v>
      </c>
      <c r="J240" s="15"/>
      <c r="K240" s="15" t="s">
        <v>241</v>
      </c>
      <c r="L240" s="42"/>
    </row>
    <row r="241" spans="1:12" ht="13">
      <c r="A241" s="15" t="s">
        <v>91</v>
      </c>
      <c r="B241" s="15">
        <v>7</v>
      </c>
      <c r="C241" s="46">
        <v>3.6921296296296299E-2</v>
      </c>
      <c r="D241" s="46">
        <f>L235+C241</f>
        <v>0.82858796296296289</v>
      </c>
      <c r="E241" s="15" t="s">
        <v>127</v>
      </c>
      <c r="F241" s="15" t="s">
        <v>199</v>
      </c>
      <c r="G241" s="15"/>
      <c r="H241" s="15" t="s">
        <v>25</v>
      </c>
      <c r="I241" s="15" t="s">
        <v>238</v>
      </c>
      <c r="J241" s="15"/>
      <c r="K241" s="15" t="s">
        <v>242</v>
      </c>
      <c r="L241" s="42"/>
    </row>
    <row r="242" spans="1:12" ht="13">
      <c r="A242" s="15" t="s">
        <v>93</v>
      </c>
      <c r="B242" s="15" t="s">
        <v>31</v>
      </c>
      <c r="C242" s="15" t="s">
        <v>31</v>
      </c>
      <c r="D242" s="15" t="s">
        <v>31</v>
      </c>
      <c r="E242" s="15" t="s">
        <v>31</v>
      </c>
      <c r="F242" s="15" t="s">
        <v>31</v>
      </c>
      <c r="G242" s="15" t="s">
        <v>31</v>
      </c>
      <c r="H242" s="15" t="s">
        <v>31</v>
      </c>
      <c r="I242" s="15" t="s">
        <v>31</v>
      </c>
      <c r="J242" s="15" t="s">
        <v>31</v>
      </c>
      <c r="K242" s="15" t="s">
        <v>31</v>
      </c>
    </row>
    <row r="243" spans="1:12" ht="13">
      <c r="A243" s="15" t="s">
        <v>94</v>
      </c>
      <c r="B243" s="15">
        <v>1</v>
      </c>
      <c r="C243" s="42">
        <v>8.3217592592592596E-3</v>
      </c>
      <c r="D243" s="46">
        <v>0.8492939814814815</v>
      </c>
      <c r="E243" s="15" t="s">
        <v>127</v>
      </c>
      <c r="F243" s="15" t="s">
        <v>193</v>
      </c>
      <c r="H243" s="15" t="s">
        <v>25</v>
      </c>
      <c r="I243" s="15" t="s">
        <v>215</v>
      </c>
      <c r="K243" s="15" t="s">
        <v>216</v>
      </c>
      <c r="L243" s="46"/>
    </row>
    <row r="244" spans="1:12" ht="13">
      <c r="A244" s="15" t="s">
        <v>94</v>
      </c>
      <c r="B244" s="15">
        <v>2</v>
      </c>
      <c r="C244" s="42">
        <v>8.3680555555555557E-3</v>
      </c>
      <c r="D244" s="46">
        <v>0.84934027777777776</v>
      </c>
      <c r="E244" s="15" t="s">
        <v>127</v>
      </c>
      <c r="F244" s="15" t="s">
        <v>193</v>
      </c>
      <c r="H244" s="15" t="s">
        <v>26</v>
      </c>
      <c r="I244" s="15" t="s">
        <v>215</v>
      </c>
      <c r="K244" s="15" t="s">
        <v>243</v>
      </c>
      <c r="L244" s="46"/>
    </row>
    <row r="245" spans="1:12" ht="13">
      <c r="A245" s="15" t="s">
        <v>94</v>
      </c>
      <c r="B245" s="15">
        <v>3</v>
      </c>
      <c r="C245" s="42">
        <v>1.3738425925925926E-2</v>
      </c>
      <c r="D245" s="46">
        <v>0.85471064814814812</v>
      </c>
      <c r="E245" s="15" t="s">
        <v>127</v>
      </c>
      <c r="F245" s="15" t="s">
        <v>193</v>
      </c>
      <c r="H245" s="15" t="s">
        <v>25</v>
      </c>
      <c r="I245" s="15" t="s">
        <v>215</v>
      </c>
      <c r="K245" s="15" t="s">
        <v>216</v>
      </c>
      <c r="L245" s="46"/>
    </row>
    <row r="246" spans="1:12" ht="13">
      <c r="A246" s="15" t="s">
        <v>94</v>
      </c>
      <c r="B246" s="15">
        <v>4</v>
      </c>
      <c r="C246" s="42">
        <v>1.40625E-2</v>
      </c>
      <c r="D246" s="46">
        <v>0.85503472222222221</v>
      </c>
      <c r="E246" s="15" t="s">
        <v>127</v>
      </c>
      <c r="F246" s="15" t="s">
        <v>193</v>
      </c>
      <c r="H246" s="15" t="s">
        <v>25</v>
      </c>
      <c r="I246" s="15" t="s">
        <v>215</v>
      </c>
      <c r="K246" s="15" t="s">
        <v>216</v>
      </c>
      <c r="L246" s="46"/>
    </row>
    <row r="247" spans="1:12" ht="13">
      <c r="A247" s="15" t="s">
        <v>94</v>
      </c>
      <c r="B247" s="15">
        <v>5</v>
      </c>
      <c r="C247" s="42">
        <v>1.4652777777777778E-2</v>
      </c>
      <c r="D247" s="46">
        <v>0.85562499999999997</v>
      </c>
      <c r="E247" s="15" t="s">
        <v>127</v>
      </c>
      <c r="F247" s="15" t="s">
        <v>193</v>
      </c>
      <c r="H247" s="15" t="s">
        <v>26</v>
      </c>
      <c r="I247" s="15" t="s">
        <v>215</v>
      </c>
      <c r="K247" s="15" t="s">
        <v>243</v>
      </c>
      <c r="L247" s="46"/>
    </row>
    <row r="248" spans="1:12" ht="14">
      <c r="A248" s="1" t="s">
        <v>95</v>
      </c>
      <c r="B248" s="15">
        <v>1</v>
      </c>
      <c r="C248" s="42">
        <v>1.3726851851851851E-2</v>
      </c>
      <c r="D248" s="46">
        <v>0.90122685185185181</v>
      </c>
      <c r="E248" s="15" t="s">
        <v>158</v>
      </c>
      <c r="F248" s="15" t="s">
        <v>199</v>
      </c>
      <c r="H248" s="15" t="s">
        <v>25</v>
      </c>
      <c r="I248" s="15" t="s">
        <v>244</v>
      </c>
      <c r="K248" s="15" t="s">
        <v>216</v>
      </c>
      <c r="L248" s="46"/>
    </row>
    <row r="249" spans="1:12" ht="14">
      <c r="A249" s="1" t="s">
        <v>95</v>
      </c>
      <c r="B249" s="15">
        <v>2</v>
      </c>
      <c r="C249" s="42">
        <v>1.3773148148148149E-2</v>
      </c>
      <c r="D249" s="46">
        <v>0.90127314814814807</v>
      </c>
      <c r="E249" s="15" t="s">
        <v>158</v>
      </c>
      <c r="F249" s="15" t="s">
        <v>199</v>
      </c>
      <c r="H249" s="15" t="s">
        <v>25</v>
      </c>
      <c r="I249" s="15" t="s">
        <v>244</v>
      </c>
      <c r="K249" s="15" t="s">
        <v>216</v>
      </c>
      <c r="L249" s="46"/>
    </row>
    <row r="250" spans="1:12" ht="14">
      <c r="A250" s="1" t="s">
        <v>95</v>
      </c>
      <c r="B250" s="15">
        <v>3</v>
      </c>
      <c r="C250" s="42">
        <v>1.3819444444444445E-2</v>
      </c>
      <c r="D250" s="46">
        <v>0.90131944444444445</v>
      </c>
      <c r="E250" s="15" t="s">
        <v>158</v>
      </c>
      <c r="F250" s="15" t="s">
        <v>199</v>
      </c>
      <c r="H250" s="15" t="s">
        <v>26</v>
      </c>
      <c r="I250" s="15" t="s">
        <v>244</v>
      </c>
      <c r="K250" s="15" t="s">
        <v>243</v>
      </c>
      <c r="L250" s="46"/>
    </row>
    <row r="251" spans="1:12" ht="14">
      <c r="A251" s="1" t="s">
        <v>95</v>
      </c>
      <c r="B251" s="15">
        <v>4</v>
      </c>
      <c r="C251" s="42">
        <v>3.1412037037037037E-2</v>
      </c>
      <c r="D251" s="46">
        <v>0.91891203703703694</v>
      </c>
      <c r="E251" s="15" t="s">
        <v>158</v>
      </c>
      <c r="F251" s="15" t="s">
        <v>199</v>
      </c>
      <c r="H251" s="15" t="s">
        <v>26</v>
      </c>
      <c r="I251" s="15" t="s">
        <v>244</v>
      </c>
      <c r="K251" s="15" t="s">
        <v>243</v>
      </c>
      <c r="L251" s="46"/>
    </row>
    <row r="252" spans="1:12" ht="14">
      <c r="A252" s="1" t="s">
        <v>95</v>
      </c>
      <c r="B252" s="15">
        <v>5</v>
      </c>
      <c r="C252" s="42">
        <v>3.3032407407407406E-2</v>
      </c>
      <c r="D252" s="46">
        <v>0.92053240740740738</v>
      </c>
      <c r="E252" s="15" t="s">
        <v>158</v>
      </c>
      <c r="F252" s="15" t="s">
        <v>199</v>
      </c>
      <c r="H252" s="15" t="s">
        <v>26</v>
      </c>
      <c r="I252" s="15" t="s">
        <v>244</v>
      </c>
      <c r="K252" s="15" t="s">
        <v>243</v>
      </c>
      <c r="L252" s="46"/>
    </row>
    <row r="253" spans="1:12" ht="14">
      <c r="A253" s="1" t="s">
        <v>96</v>
      </c>
      <c r="B253" s="15">
        <v>1</v>
      </c>
      <c r="C253" s="42">
        <v>2.4421296296296296E-3</v>
      </c>
      <c r="D253" s="46">
        <v>0.93855324074074076</v>
      </c>
      <c r="E253" s="15" t="s">
        <v>127</v>
      </c>
      <c r="F253" s="15" t="s">
        <v>193</v>
      </c>
      <c r="H253" s="15" t="s">
        <v>25</v>
      </c>
      <c r="I253" s="15" t="s">
        <v>219</v>
      </c>
      <c r="K253" s="15" t="s">
        <v>216</v>
      </c>
      <c r="L253" s="46"/>
    </row>
    <row r="254" spans="1:12" ht="14">
      <c r="A254" s="1" t="s">
        <v>96</v>
      </c>
      <c r="B254" s="15">
        <v>2</v>
      </c>
      <c r="C254" s="42">
        <v>2.4652777777777776E-3</v>
      </c>
      <c r="D254" s="46">
        <v>0.93857638888888895</v>
      </c>
      <c r="E254" s="15" t="s">
        <v>127</v>
      </c>
      <c r="F254" s="15" t="s">
        <v>193</v>
      </c>
      <c r="H254" s="15" t="s">
        <v>25</v>
      </c>
      <c r="I254" s="15" t="s">
        <v>219</v>
      </c>
      <c r="K254" s="15" t="s">
        <v>216</v>
      </c>
      <c r="L254" s="46"/>
    </row>
    <row r="255" spans="1:12" ht="14">
      <c r="A255" s="1" t="s">
        <v>96</v>
      </c>
      <c r="B255" s="15">
        <v>3</v>
      </c>
      <c r="C255" s="42">
        <v>2.5578703703703705E-3</v>
      </c>
      <c r="D255" s="46">
        <v>0.93866898148148148</v>
      </c>
      <c r="E255" s="15" t="s">
        <v>127</v>
      </c>
      <c r="F255" s="15" t="s">
        <v>193</v>
      </c>
      <c r="H255" s="15" t="s">
        <v>26</v>
      </c>
      <c r="I255" s="15" t="s">
        <v>219</v>
      </c>
      <c r="K255" s="15" t="s">
        <v>245</v>
      </c>
      <c r="L255" s="46"/>
    </row>
    <row r="256" spans="1:12" ht="14">
      <c r="A256" s="1" t="s">
        <v>96</v>
      </c>
      <c r="B256" s="15">
        <v>4</v>
      </c>
      <c r="C256" s="42">
        <v>2.627314814814815E-3</v>
      </c>
      <c r="D256" s="46">
        <v>0.93873842592592593</v>
      </c>
      <c r="E256" s="15" t="s">
        <v>127</v>
      </c>
      <c r="F256" s="15" t="s">
        <v>193</v>
      </c>
      <c r="H256" s="15" t="s">
        <v>26</v>
      </c>
      <c r="I256" s="15" t="s">
        <v>219</v>
      </c>
      <c r="K256" s="15" t="s">
        <v>245</v>
      </c>
      <c r="L256" s="46"/>
    </row>
    <row r="257" spans="1:12" ht="14">
      <c r="A257" s="1" t="s">
        <v>96</v>
      </c>
      <c r="B257" s="15">
        <v>5</v>
      </c>
      <c r="C257" s="42">
        <v>3.3912037037037036E-3</v>
      </c>
      <c r="D257" s="46">
        <v>0.93950231481481483</v>
      </c>
      <c r="E257" s="15" t="s">
        <v>127</v>
      </c>
      <c r="F257" s="15" t="s">
        <v>193</v>
      </c>
      <c r="H257" s="15" t="s">
        <v>26</v>
      </c>
      <c r="I257" s="15" t="s">
        <v>219</v>
      </c>
      <c r="K257" s="15" t="s">
        <v>245</v>
      </c>
      <c r="L257" s="46"/>
    </row>
    <row r="258" spans="1:12" ht="14">
      <c r="A258" s="1" t="s">
        <v>96</v>
      </c>
      <c r="B258" s="15">
        <v>6</v>
      </c>
      <c r="C258" s="42">
        <v>1.1006944444444444E-2</v>
      </c>
      <c r="D258" s="46">
        <v>0.94711805555555562</v>
      </c>
      <c r="E258" s="15" t="s">
        <v>127</v>
      </c>
      <c r="F258" s="15" t="s">
        <v>193</v>
      </c>
      <c r="H258" s="15" t="s">
        <v>26</v>
      </c>
      <c r="I258" s="15" t="s">
        <v>219</v>
      </c>
      <c r="K258" s="15" t="s">
        <v>245</v>
      </c>
      <c r="L258" s="46"/>
    </row>
    <row r="259" spans="1:12" ht="14">
      <c r="A259" s="1" t="s">
        <v>96</v>
      </c>
      <c r="B259" s="15">
        <v>7</v>
      </c>
      <c r="C259" s="42">
        <v>3.8055555555555558E-2</v>
      </c>
      <c r="D259" s="46">
        <v>0.97416666666666663</v>
      </c>
      <c r="E259" s="15" t="s">
        <v>127</v>
      </c>
      <c r="F259" s="15" t="s">
        <v>193</v>
      </c>
      <c r="H259" s="15" t="s">
        <v>25</v>
      </c>
      <c r="I259" s="15" t="s">
        <v>219</v>
      </c>
      <c r="K259" s="15" t="s">
        <v>216</v>
      </c>
      <c r="L259" s="46"/>
    </row>
    <row r="260" spans="1:12" ht="14">
      <c r="A260" s="1" t="s">
        <v>96</v>
      </c>
      <c r="B260" s="15">
        <v>8</v>
      </c>
      <c r="C260" s="42">
        <v>3.8275462962962963E-2</v>
      </c>
      <c r="D260" s="46">
        <v>0.97438657407407403</v>
      </c>
      <c r="E260" s="15" t="s">
        <v>127</v>
      </c>
      <c r="F260" s="15" t="s">
        <v>193</v>
      </c>
      <c r="H260" s="15" t="s">
        <v>26</v>
      </c>
      <c r="I260" s="15" t="s">
        <v>219</v>
      </c>
      <c r="K260" s="15" t="s">
        <v>243</v>
      </c>
      <c r="L260" s="46"/>
    </row>
    <row r="261" spans="1:12" ht="14">
      <c r="A261" s="1" t="s">
        <v>96</v>
      </c>
      <c r="B261" s="15">
        <v>9</v>
      </c>
      <c r="C261" s="42">
        <v>3.847222222222222E-2</v>
      </c>
      <c r="D261" s="46">
        <v>0.97458333333333336</v>
      </c>
      <c r="E261" s="15" t="s">
        <v>127</v>
      </c>
      <c r="F261" s="15" t="s">
        <v>193</v>
      </c>
      <c r="H261" s="15" t="s">
        <v>25</v>
      </c>
      <c r="I261" s="15" t="s">
        <v>219</v>
      </c>
      <c r="K261" s="15" t="s">
        <v>216</v>
      </c>
      <c r="L261" s="46"/>
    </row>
    <row r="262" spans="1:12" ht="14">
      <c r="A262" s="1" t="s">
        <v>96</v>
      </c>
      <c r="B262" s="15">
        <v>10</v>
      </c>
      <c r="C262" s="42">
        <v>3.8668981481481485E-2</v>
      </c>
      <c r="D262" s="46">
        <v>0.97478009259259257</v>
      </c>
      <c r="E262" s="15" t="s">
        <v>127</v>
      </c>
      <c r="F262" s="15" t="s">
        <v>193</v>
      </c>
      <c r="H262" s="15" t="s">
        <v>25</v>
      </c>
      <c r="I262" s="15" t="s">
        <v>219</v>
      </c>
      <c r="K262" s="15" t="s">
        <v>216</v>
      </c>
      <c r="L262" s="46"/>
    </row>
    <row r="263" spans="1:12" ht="14">
      <c r="A263" s="1" t="s">
        <v>96</v>
      </c>
      <c r="B263" s="15">
        <v>11</v>
      </c>
      <c r="C263" s="42">
        <v>3.8703703703703705E-2</v>
      </c>
      <c r="D263" s="46">
        <v>0.9748148148148148</v>
      </c>
      <c r="E263" s="15" t="s">
        <v>127</v>
      </c>
      <c r="F263" s="15" t="s">
        <v>193</v>
      </c>
      <c r="H263" s="15" t="s">
        <v>25</v>
      </c>
      <c r="I263" s="15" t="s">
        <v>219</v>
      </c>
      <c r="K263" s="15" t="s">
        <v>216</v>
      </c>
      <c r="L263" s="46"/>
    </row>
    <row r="264" spans="1:12" ht="14">
      <c r="A264" s="1" t="s">
        <v>96</v>
      </c>
      <c r="B264" s="15">
        <v>12</v>
      </c>
      <c r="C264" s="42">
        <v>3.8946759259259257E-2</v>
      </c>
      <c r="D264" s="46">
        <v>0.97505787037037039</v>
      </c>
      <c r="E264" s="15" t="s">
        <v>127</v>
      </c>
      <c r="F264" s="15" t="s">
        <v>193</v>
      </c>
      <c r="H264" s="15" t="s">
        <v>26</v>
      </c>
      <c r="I264" s="15" t="s">
        <v>219</v>
      </c>
      <c r="K264" s="15" t="s">
        <v>245</v>
      </c>
      <c r="L264" s="46"/>
    </row>
    <row r="265" spans="1:12" ht="14">
      <c r="A265" s="1" t="s">
        <v>98</v>
      </c>
      <c r="B265" s="15">
        <v>1</v>
      </c>
      <c r="C265" s="46">
        <v>3.484953703703704E-2</v>
      </c>
      <c r="D265" s="46">
        <f>L265+C265</f>
        <v>0.87929398148148152</v>
      </c>
      <c r="E265" s="15" t="s">
        <v>130</v>
      </c>
      <c r="F265" s="15" t="s">
        <v>246</v>
      </c>
      <c r="H265" s="15" t="s">
        <v>25</v>
      </c>
      <c r="I265" s="15" t="s">
        <v>203</v>
      </c>
      <c r="K265" s="15" t="s">
        <v>216</v>
      </c>
      <c r="L265" s="46">
        <v>0.84444444444444444</v>
      </c>
    </row>
    <row r="266" spans="1:12" ht="14">
      <c r="A266" s="1" t="s">
        <v>98</v>
      </c>
      <c r="B266" s="15">
        <v>2</v>
      </c>
      <c r="C266" s="46">
        <v>3.4907407407407408E-2</v>
      </c>
      <c r="D266" s="46">
        <f>L265+C266</f>
        <v>0.87935185185185183</v>
      </c>
      <c r="E266" s="15" t="s">
        <v>130</v>
      </c>
      <c r="F266" s="15" t="s">
        <v>246</v>
      </c>
      <c r="H266" s="15" t="s">
        <v>25</v>
      </c>
      <c r="I266" s="15" t="s">
        <v>203</v>
      </c>
      <c r="K266" s="15" t="s">
        <v>216</v>
      </c>
      <c r="L266" s="46"/>
    </row>
    <row r="267" spans="1:12" ht="14">
      <c r="A267" s="1" t="s">
        <v>98</v>
      </c>
      <c r="B267" s="15">
        <v>3</v>
      </c>
      <c r="C267" s="46">
        <v>3.5000000000000003E-2</v>
      </c>
      <c r="D267" s="46">
        <f>L265+C267</f>
        <v>0.87944444444444447</v>
      </c>
      <c r="E267" s="15" t="s">
        <v>130</v>
      </c>
      <c r="F267" s="15" t="s">
        <v>246</v>
      </c>
      <c r="H267" s="15" t="s">
        <v>26</v>
      </c>
      <c r="I267" s="15" t="s">
        <v>203</v>
      </c>
      <c r="K267" s="15" t="s">
        <v>245</v>
      </c>
      <c r="L267" s="46"/>
    </row>
    <row r="268" spans="1:12" ht="14">
      <c r="A268" s="1" t="s">
        <v>98</v>
      </c>
      <c r="B268" s="15">
        <v>4</v>
      </c>
      <c r="C268" s="46">
        <v>3.7905092592592594E-2</v>
      </c>
      <c r="D268" s="46">
        <f>L265+C268</f>
        <v>0.882349537037037</v>
      </c>
      <c r="E268" s="15" t="s">
        <v>130</v>
      </c>
      <c r="F268" s="15" t="s">
        <v>246</v>
      </c>
      <c r="H268" s="15" t="s">
        <v>26</v>
      </c>
      <c r="I268" s="15" t="s">
        <v>203</v>
      </c>
      <c r="K268" s="15" t="s">
        <v>245</v>
      </c>
      <c r="L268" s="46"/>
    </row>
    <row r="269" spans="1:12" ht="14">
      <c r="A269" s="1" t="s">
        <v>99</v>
      </c>
      <c r="B269" s="15">
        <v>1</v>
      </c>
      <c r="C269" s="42">
        <v>1.8206018518518517E-2</v>
      </c>
      <c r="D269" s="46">
        <v>0.81751157407407415</v>
      </c>
      <c r="E269" s="15" t="s">
        <v>132</v>
      </c>
      <c r="F269" s="15" t="s">
        <v>199</v>
      </c>
      <c r="H269" s="15" t="s">
        <v>26</v>
      </c>
      <c r="I269" s="15" t="s">
        <v>247</v>
      </c>
      <c r="K269" s="15" t="s">
        <v>248</v>
      </c>
      <c r="L269" s="46"/>
    </row>
    <row r="270" spans="1:12" ht="14">
      <c r="A270" s="1" t="s">
        <v>99</v>
      </c>
      <c r="B270" s="15">
        <v>2</v>
      </c>
      <c r="C270" s="42">
        <v>1.8356481481481481E-2</v>
      </c>
      <c r="D270" s="46">
        <v>0.8176620370370371</v>
      </c>
      <c r="E270" s="15" t="s">
        <v>132</v>
      </c>
      <c r="F270" s="15" t="s">
        <v>199</v>
      </c>
      <c r="H270" s="15" t="s">
        <v>26</v>
      </c>
      <c r="I270" s="15" t="s">
        <v>247</v>
      </c>
      <c r="K270" s="15" t="s">
        <v>245</v>
      </c>
      <c r="L270" s="46"/>
    </row>
    <row r="271" spans="1:12" ht="14">
      <c r="A271" s="1" t="s">
        <v>99</v>
      </c>
      <c r="B271" s="15">
        <v>3</v>
      </c>
      <c r="C271" s="42">
        <v>1.8981481481481481E-2</v>
      </c>
      <c r="D271" s="46">
        <v>0.81828703703703709</v>
      </c>
      <c r="E271" s="15" t="s">
        <v>132</v>
      </c>
      <c r="F271" s="15" t="s">
        <v>199</v>
      </c>
      <c r="H271" s="15" t="s">
        <v>26</v>
      </c>
      <c r="I271" s="15" t="s">
        <v>247</v>
      </c>
      <c r="K271" s="15" t="s">
        <v>245</v>
      </c>
      <c r="L271" s="46"/>
    </row>
    <row r="272" spans="1:12" ht="14">
      <c r="A272" s="1" t="s">
        <v>102</v>
      </c>
      <c r="B272" s="15">
        <v>1</v>
      </c>
      <c r="C272" s="42">
        <v>1.4467592592592592E-3</v>
      </c>
      <c r="D272" s="46">
        <v>0.84936342592592595</v>
      </c>
      <c r="E272" s="15" t="s">
        <v>130</v>
      </c>
      <c r="F272" s="15" t="s">
        <v>193</v>
      </c>
      <c r="H272" s="15" t="s">
        <v>26</v>
      </c>
      <c r="I272" s="15" t="s">
        <v>249</v>
      </c>
      <c r="K272" s="15" t="s">
        <v>243</v>
      </c>
      <c r="L272" s="46"/>
    </row>
    <row r="273" spans="1:12" ht="13">
      <c r="A273" s="1"/>
      <c r="B273" s="15">
        <v>2</v>
      </c>
      <c r="C273" s="42">
        <v>1.5046296296296296E-3</v>
      </c>
      <c r="D273" s="46">
        <v>0.84942129629629626</v>
      </c>
      <c r="E273" s="15" t="s">
        <v>130</v>
      </c>
      <c r="F273" s="15" t="s">
        <v>193</v>
      </c>
      <c r="H273" s="15" t="s">
        <v>26</v>
      </c>
      <c r="I273" s="15" t="s">
        <v>249</v>
      </c>
      <c r="K273" s="15" t="s">
        <v>243</v>
      </c>
      <c r="L273" s="46"/>
    </row>
    <row r="274" spans="1:12" ht="13">
      <c r="A274" s="1"/>
      <c r="B274" s="15">
        <v>3</v>
      </c>
      <c r="C274" s="42">
        <v>2.087962962962963E-2</v>
      </c>
      <c r="D274" s="46">
        <v>0.86879629629629629</v>
      </c>
      <c r="E274" s="15" t="s">
        <v>130</v>
      </c>
      <c r="F274" s="15" t="s">
        <v>193</v>
      </c>
      <c r="H274" s="15" t="s">
        <v>25</v>
      </c>
      <c r="I274" s="15" t="s">
        <v>249</v>
      </c>
      <c r="K274" s="15" t="s">
        <v>216</v>
      </c>
      <c r="L274" s="46"/>
    </row>
    <row r="275" spans="1:12" ht="13">
      <c r="A275" s="1"/>
      <c r="B275" s="15">
        <v>4</v>
      </c>
      <c r="C275" s="42">
        <v>2.0914351851851851E-2</v>
      </c>
      <c r="D275" s="46">
        <v>0.86883101851851852</v>
      </c>
      <c r="E275" s="15" t="s">
        <v>130</v>
      </c>
      <c r="F275" s="15" t="s">
        <v>193</v>
      </c>
      <c r="H275" s="15" t="s">
        <v>26</v>
      </c>
      <c r="I275" s="15" t="s">
        <v>249</v>
      </c>
      <c r="K275" s="15" t="s">
        <v>243</v>
      </c>
      <c r="L275" s="46"/>
    </row>
    <row r="276" spans="1:12" ht="13">
      <c r="A276" s="1"/>
      <c r="B276" s="15">
        <v>5</v>
      </c>
      <c r="C276" s="42">
        <v>2.0949074074074075E-2</v>
      </c>
      <c r="D276" s="46">
        <v>0.86886574074074074</v>
      </c>
      <c r="E276" s="15" t="s">
        <v>130</v>
      </c>
      <c r="F276" s="15" t="s">
        <v>193</v>
      </c>
      <c r="H276" s="15" t="s">
        <v>26</v>
      </c>
      <c r="I276" s="15" t="s">
        <v>249</v>
      </c>
      <c r="K276" s="15" t="s">
        <v>243</v>
      </c>
      <c r="L276" s="46"/>
    </row>
    <row r="277" spans="1:12" ht="13">
      <c r="A277" s="1"/>
      <c r="B277" s="15">
        <v>6</v>
      </c>
      <c r="C277" s="42">
        <v>2.1099537037037038E-2</v>
      </c>
      <c r="D277" s="46">
        <v>0.86901620370370369</v>
      </c>
      <c r="E277" s="15" t="s">
        <v>130</v>
      </c>
      <c r="F277" s="15" t="s">
        <v>193</v>
      </c>
      <c r="H277" s="15" t="s">
        <v>26</v>
      </c>
      <c r="I277" s="15" t="s">
        <v>249</v>
      </c>
      <c r="K277" s="15" t="s">
        <v>243</v>
      </c>
      <c r="L277" s="46"/>
    </row>
    <row r="278" spans="1:12" ht="13">
      <c r="A278" s="1"/>
      <c r="B278" s="15">
        <v>7</v>
      </c>
      <c r="C278" s="42">
        <v>2.1145833333333332E-2</v>
      </c>
      <c r="D278" s="46">
        <v>0.86906249999999996</v>
      </c>
      <c r="E278" s="15" t="s">
        <v>130</v>
      </c>
      <c r="F278" s="15" t="s">
        <v>193</v>
      </c>
      <c r="H278" s="15" t="s">
        <v>26</v>
      </c>
      <c r="I278" s="15" t="s">
        <v>249</v>
      </c>
      <c r="K278" s="15" t="s">
        <v>243</v>
      </c>
      <c r="L278" s="46"/>
    </row>
    <row r="279" spans="1:12" ht="14">
      <c r="A279" s="1" t="s">
        <v>103</v>
      </c>
      <c r="B279" s="15" t="s">
        <v>31</v>
      </c>
      <c r="C279" s="15" t="s">
        <v>31</v>
      </c>
      <c r="D279" s="15" t="s">
        <v>31</v>
      </c>
      <c r="E279" s="15" t="s">
        <v>31</v>
      </c>
      <c r="F279" s="15" t="s">
        <v>31</v>
      </c>
      <c r="H279" s="15" t="s">
        <v>31</v>
      </c>
      <c r="I279" s="15" t="s">
        <v>194</v>
      </c>
      <c r="K279" s="15" t="s">
        <v>31</v>
      </c>
      <c r="L279" s="46">
        <v>0.89583333333333337</v>
      </c>
    </row>
    <row r="280" spans="1:12" ht="13">
      <c r="A280" s="15" t="s">
        <v>104</v>
      </c>
      <c r="B280" s="15" t="s">
        <v>31</v>
      </c>
      <c r="C280" s="15" t="s">
        <v>31</v>
      </c>
      <c r="D280" s="15" t="s">
        <v>31</v>
      </c>
      <c r="E280" s="15" t="s">
        <v>31</v>
      </c>
      <c r="F280" s="15" t="s">
        <v>31</v>
      </c>
      <c r="H280" s="15" t="s">
        <v>31</v>
      </c>
      <c r="I280" s="15"/>
      <c r="K280" s="15" t="s">
        <v>31</v>
      </c>
      <c r="L280" s="46"/>
    </row>
    <row r="281" spans="1:12" ht="13">
      <c r="A281" s="15" t="s">
        <v>105</v>
      </c>
      <c r="B281" s="15">
        <v>1</v>
      </c>
      <c r="C281" s="46">
        <v>2.6689814814814816E-2</v>
      </c>
      <c r="D281" s="46">
        <f>L281+C281</f>
        <v>0.86557870370370371</v>
      </c>
      <c r="E281" s="15" t="s">
        <v>130</v>
      </c>
      <c r="F281" s="15" t="s">
        <v>246</v>
      </c>
      <c r="H281" s="15" t="s">
        <v>25</v>
      </c>
      <c r="I281" s="15" t="s">
        <v>203</v>
      </c>
      <c r="K281" s="15" t="s">
        <v>227</v>
      </c>
      <c r="L281" s="46">
        <v>0.83888888888888891</v>
      </c>
    </row>
    <row r="282" spans="1:12" ht="13">
      <c r="B282" s="15">
        <v>2</v>
      </c>
      <c r="C282" s="46">
        <v>2.673611111111111E-2</v>
      </c>
      <c r="D282" s="46">
        <f>L281+C282</f>
        <v>0.86562499999999998</v>
      </c>
      <c r="E282" s="15" t="s">
        <v>130</v>
      </c>
      <c r="F282" s="15" t="s">
        <v>246</v>
      </c>
      <c r="H282" s="15" t="s">
        <v>26</v>
      </c>
      <c r="I282" s="15" t="s">
        <v>203</v>
      </c>
      <c r="K282" s="15" t="s">
        <v>250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 Sheet</vt:lpstr>
      <vt:lpstr>Trial Info</vt:lpstr>
      <vt:lpstr>Experiment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 Dixon</cp:lastModifiedBy>
  <dcterms:modified xsi:type="dcterms:W3CDTF">2024-04-25T14:57:02Z</dcterms:modified>
</cp:coreProperties>
</file>