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hley\Downloads\Scripts\IRR\"/>
    </mc:Choice>
  </mc:AlternateContent>
  <xr:revisionPtr revIDLastSave="0" documentId="13_ncr:1_{661EBA15-71A4-4D0B-B6CB-B9EC25FFB4E1}" xr6:coauthVersionLast="47" xr6:coauthVersionMax="47" xr10:uidLastSave="{00000000-0000-0000-0000-000000000000}"/>
  <bookViews>
    <workbookView xWindow="26955" yWindow="1935" windowWidth="18750" windowHeight="16995" tabRatio="684" firstSheet="7" activeTab="10" xr2:uid="{00000000-000D-0000-FFFF-FFFF00000000}"/>
  </bookViews>
  <sheets>
    <sheet name="Assumptions" sheetId="1" r:id="rId1"/>
    <sheet name="Income Statement" sheetId="2" r:id="rId2"/>
    <sheet name="Balance Sheet" sheetId="3" r:id="rId3"/>
    <sheet name="Cash Flow Statement" sheetId="4" r:id="rId4"/>
    <sheet name="PPE Schedule" sheetId="5" r:id="rId5"/>
    <sheet name="Debt Schedule" sheetId="6" r:id="rId6"/>
    <sheet name="DCF" sheetId="7" r:id="rId7"/>
    <sheet name="LBO Modelling" sheetId="8" r:id="rId8"/>
    <sheet name="FCFE Valuation" sheetId="9" r:id="rId9"/>
    <sheet name="WSO Cover Page" sheetId="10" r:id="rId10"/>
    <sheet name="PE Returns analysis" sheetId="11" r:id="rId11"/>
    <sheet name="WACC Calculation" sheetId="12" r:id="rId12"/>
    <sheet name="Football Field" sheetId="13" state="hidden" r:id="rId13"/>
    <sheet name="Charts" sheetId="14" state="hidden" r:id="rId14"/>
  </sheets>
  <definedNames>
    <definedName name="_xlnm.Print_Area" localSheetId="0">Assumptions!$A$1:$R$75</definedName>
    <definedName name="_xlnm.Print_Area" localSheetId="2">'Balance Sheet'!$A$1:$R$46</definedName>
    <definedName name="_xlnm.Print_Area" localSheetId="6">DCF!$A$1:$M$41,DCF!$O$43:$U$50</definedName>
    <definedName name="_xlnm.Print_Area" localSheetId="5">'Debt Schedule'!$A$1:$Q$40</definedName>
    <definedName name="_xlnm.Print_Area" localSheetId="1">'Income Statement'!$A$1:$Q$100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4" l="1"/>
  <c r="C17" i="13"/>
  <c r="E16" i="13"/>
  <c r="D16" i="13"/>
  <c r="C16" i="13"/>
  <c r="E15" i="13"/>
  <c r="D15" i="13"/>
  <c r="C15" i="13"/>
  <c r="D14" i="13"/>
  <c r="C14" i="13"/>
  <c r="E9" i="13"/>
  <c r="E14" i="13" s="1"/>
  <c r="E8" i="13"/>
  <c r="E7" i="13"/>
  <c r="C5" i="12"/>
  <c r="K43" i="11"/>
  <c r="L43" i="11" s="1"/>
  <c r="D43" i="11"/>
  <c r="E43" i="11" s="1"/>
  <c r="F43" i="11" s="1"/>
  <c r="G43" i="11" s="1"/>
  <c r="H43" i="11" s="1"/>
  <c r="I43" i="11" s="1"/>
  <c r="M31" i="11"/>
  <c r="L31" i="11"/>
  <c r="K31" i="11"/>
  <c r="J31" i="11"/>
  <c r="I31" i="11"/>
  <c r="E29" i="11"/>
  <c r="E31" i="11" s="1"/>
  <c r="D29" i="11"/>
  <c r="D31" i="11" s="1"/>
  <c r="E24" i="11"/>
  <c r="F24" i="11" s="1"/>
  <c r="F29" i="11" s="1"/>
  <c r="F31" i="11" s="1"/>
  <c r="G20" i="11"/>
  <c r="F20" i="11"/>
  <c r="E20" i="11"/>
  <c r="D20" i="11"/>
  <c r="D14" i="11"/>
  <c r="E14" i="11" s="1"/>
  <c r="F14" i="11" s="1"/>
  <c r="G14" i="11" s="1"/>
  <c r="H14" i="11" s="1"/>
  <c r="I14" i="11" s="1"/>
  <c r="J14" i="11" s="1"/>
  <c r="K14" i="11" s="1"/>
  <c r="L14" i="11" s="1"/>
  <c r="M14" i="11" s="1"/>
  <c r="A13" i="11"/>
  <c r="C5" i="11"/>
  <c r="C7" i="11" s="1"/>
  <c r="P37" i="9"/>
  <c r="P38" i="9" s="1"/>
  <c r="P35" i="9"/>
  <c r="P34" i="9" s="1"/>
  <c r="U33" i="9"/>
  <c r="T33" i="9"/>
  <c r="R33" i="9"/>
  <c r="Q33" i="9"/>
  <c r="C15" i="9"/>
  <c r="C14" i="9"/>
  <c r="G5" i="9"/>
  <c r="H5" i="9" s="1"/>
  <c r="I5" i="9" s="1"/>
  <c r="J5" i="9" s="1"/>
  <c r="K5" i="9" s="1"/>
  <c r="A4" i="9"/>
  <c r="L57" i="8"/>
  <c r="K57" i="8"/>
  <c r="H57" i="8"/>
  <c r="G57" i="8"/>
  <c r="F57" i="8"/>
  <c r="E57" i="8"/>
  <c r="D57" i="8"/>
  <c r="C57" i="8"/>
  <c r="L56" i="8"/>
  <c r="L19" i="8" s="1"/>
  <c r="K56" i="8"/>
  <c r="J56" i="8"/>
  <c r="J19" i="8" s="1"/>
  <c r="C48" i="8"/>
  <c r="B42" i="8"/>
  <c r="B54" i="8" s="1"/>
  <c r="J41" i="8"/>
  <c r="K41" i="8" s="1"/>
  <c r="L41" i="8" s="1"/>
  <c r="E41" i="8"/>
  <c r="F41" i="8" s="1"/>
  <c r="G41" i="8" s="1"/>
  <c r="H41" i="8" s="1"/>
  <c r="I41" i="8" s="1"/>
  <c r="D41" i="8"/>
  <c r="C34" i="8"/>
  <c r="B28" i="8"/>
  <c r="D27" i="8"/>
  <c r="E27" i="8" s="1"/>
  <c r="F27" i="8" s="1"/>
  <c r="G27" i="8" s="1"/>
  <c r="H27" i="8" s="1"/>
  <c r="I27" i="8" s="1"/>
  <c r="J27" i="8" s="1"/>
  <c r="K27" i="8" s="1"/>
  <c r="L27" i="8" s="1"/>
  <c r="H20" i="8"/>
  <c r="G20" i="8"/>
  <c r="F20" i="8"/>
  <c r="E20" i="8"/>
  <c r="D20" i="8"/>
  <c r="C20" i="8"/>
  <c r="K19" i="8"/>
  <c r="I7" i="8"/>
  <c r="P49" i="7"/>
  <c r="P50" i="7" s="1"/>
  <c r="P47" i="7"/>
  <c r="P46" i="7" s="1"/>
  <c r="T45" i="7"/>
  <c r="U45" i="7" s="1"/>
  <c r="R45" i="7"/>
  <c r="Q45" i="7" s="1"/>
  <c r="M14" i="7"/>
  <c r="L14" i="7"/>
  <c r="K14" i="7"/>
  <c r="J14" i="7"/>
  <c r="I14" i="7"/>
  <c r="H14" i="7"/>
  <c r="G14" i="7"/>
  <c r="F14" i="7"/>
  <c r="E14" i="7"/>
  <c r="D14" i="7"/>
  <c r="L5" i="7"/>
  <c r="M5" i="7" s="1"/>
  <c r="K5" i="7"/>
  <c r="H5" i="7"/>
  <c r="I5" i="7" s="1"/>
  <c r="J5" i="7" s="1"/>
  <c r="G5" i="7"/>
  <c r="A4" i="7"/>
  <c r="G12" i="6"/>
  <c r="D12" i="6"/>
  <c r="G7" i="6"/>
  <c r="G22" i="4" s="1"/>
  <c r="G23" i="4" s="1"/>
  <c r="F7" i="6"/>
  <c r="F22" i="4" s="1"/>
  <c r="F23" i="4" s="1"/>
  <c r="G5" i="6"/>
  <c r="F5" i="6"/>
  <c r="F12" i="6" s="1"/>
  <c r="E5" i="6"/>
  <c r="E7" i="6" s="1"/>
  <c r="E22" i="4" s="1"/>
  <c r="E23" i="4" s="1"/>
  <c r="D5" i="6"/>
  <c r="D7" i="6" s="1"/>
  <c r="C4" i="6"/>
  <c r="B4" i="6"/>
  <c r="G8" i="5"/>
  <c r="E8" i="5"/>
  <c r="D8" i="5"/>
  <c r="G6" i="5"/>
  <c r="F6" i="5"/>
  <c r="F19" i="4" s="1"/>
  <c r="F20" i="4" s="1"/>
  <c r="E6" i="5"/>
  <c r="D6" i="5"/>
  <c r="C6" i="5"/>
  <c r="C5" i="5" s="1"/>
  <c r="H5" i="5"/>
  <c r="G5" i="5"/>
  <c r="F5" i="5"/>
  <c r="F8" i="5" s="1"/>
  <c r="E5" i="5"/>
  <c r="D5" i="5"/>
  <c r="C4" i="5"/>
  <c r="B4" i="5"/>
  <c r="H26" i="4"/>
  <c r="M23" i="4"/>
  <c r="K23" i="4"/>
  <c r="J23" i="4"/>
  <c r="M22" i="4"/>
  <c r="L22" i="4"/>
  <c r="L23" i="4" s="1"/>
  <c r="K22" i="4"/>
  <c r="J22" i="4"/>
  <c r="I22" i="4"/>
  <c r="I23" i="4" s="1"/>
  <c r="H22" i="4"/>
  <c r="H23" i="4" s="1"/>
  <c r="G19" i="4"/>
  <c r="G20" i="4" s="1"/>
  <c r="E19" i="4"/>
  <c r="E20" i="4" s="1"/>
  <c r="D19" i="4"/>
  <c r="D20" i="4" s="1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G13" i="4"/>
  <c r="F13" i="4"/>
  <c r="E13" i="4"/>
  <c r="D13" i="4"/>
  <c r="G12" i="4"/>
  <c r="F12" i="4"/>
  <c r="E12" i="4"/>
  <c r="D12" i="4"/>
  <c r="G11" i="4"/>
  <c r="F11" i="4"/>
  <c r="E11" i="4"/>
  <c r="E10" i="4" s="1"/>
  <c r="D11" i="4"/>
  <c r="D10" i="4" s="1"/>
  <c r="G10" i="4"/>
  <c r="F10" i="4"/>
  <c r="C4" i="4"/>
  <c r="G49" i="3"/>
  <c r="F49" i="3"/>
  <c r="E49" i="3"/>
  <c r="D49" i="3"/>
  <c r="C49" i="3"/>
  <c r="J45" i="3"/>
  <c r="G45" i="3"/>
  <c r="F45" i="3"/>
  <c r="E45" i="3"/>
  <c r="D45" i="3"/>
  <c r="C45" i="3"/>
  <c r="J44" i="3"/>
  <c r="G44" i="3"/>
  <c r="F44" i="3"/>
  <c r="E44" i="3"/>
  <c r="D44" i="3"/>
  <c r="C44" i="3"/>
  <c r="K43" i="3"/>
  <c r="J43" i="3"/>
  <c r="C34" i="3"/>
  <c r="C35" i="3" s="1"/>
  <c r="C37" i="3" s="1"/>
  <c r="C13" i="3" s="1"/>
  <c r="D26" i="4" s="1"/>
  <c r="H26" i="3"/>
  <c r="G23" i="3"/>
  <c r="F23" i="3"/>
  <c r="E23" i="3"/>
  <c r="D23" i="3"/>
  <c r="C23" i="3"/>
  <c r="H12" i="3"/>
  <c r="H11" i="3"/>
  <c r="G8" i="3"/>
  <c r="H8" i="3" s="1"/>
  <c r="F8" i="3"/>
  <c r="E8" i="3"/>
  <c r="D8" i="3"/>
  <c r="C8" i="3"/>
  <c r="C4" i="3"/>
  <c r="C42" i="3" s="1"/>
  <c r="E107" i="2"/>
  <c r="G104" i="2"/>
  <c r="G107" i="2" s="1"/>
  <c r="F104" i="2"/>
  <c r="F107" i="2" s="1"/>
  <c r="E104" i="2"/>
  <c r="D104" i="2"/>
  <c r="D107" i="2" s="1"/>
  <c r="C104" i="2"/>
  <c r="B103" i="2"/>
  <c r="Q92" i="2"/>
  <c r="Q7" i="4" s="1"/>
  <c r="Q15" i="4" s="1"/>
  <c r="P92" i="2"/>
  <c r="P7" i="4" s="1"/>
  <c r="P15" i="4" s="1"/>
  <c r="O92" i="2"/>
  <c r="O7" i="4" s="1"/>
  <c r="O15" i="4" s="1"/>
  <c r="G92" i="2"/>
  <c r="G7" i="4" s="1"/>
  <c r="G15" i="4" s="1"/>
  <c r="F92" i="2"/>
  <c r="F7" i="4" s="1"/>
  <c r="F15" i="4" s="1"/>
  <c r="D92" i="2"/>
  <c r="D7" i="4" s="1"/>
  <c r="D15" i="4" s="1"/>
  <c r="G87" i="2"/>
  <c r="F87" i="2"/>
  <c r="E87" i="2"/>
  <c r="D87" i="2"/>
  <c r="C87" i="2"/>
  <c r="C84" i="2"/>
  <c r="D83" i="2"/>
  <c r="C83" i="2"/>
  <c r="G82" i="2"/>
  <c r="F82" i="2"/>
  <c r="F8" i="4" s="1"/>
  <c r="E82" i="2"/>
  <c r="D82" i="2"/>
  <c r="C82" i="2"/>
  <c r="C8" i="4" s="1"/>
  <c r="F77" i="2"/>
  <c r="D77" i="2"/>
  <c r="G74" i="2"/>
  <c r="F74" i="2"/>
  <c r="E74" i="2"/>
  <c r="D74" i="2"/>
  <c r="G70" i="2"/>
  <c r="F70" i="2"/>
  <c r="F79" i="2" s="1"/>
  <c r="G68" i="2"/>
  <c r="F68" i="2"/>
  <c r="E68" i="2"/>
  <c r="D68" i="2"/>
  <c r="C68" i="2"/>
  <c r="G65" i="2"/>
  <c r="G64" i="2"/>
  <c r="G43" i="3" s="1"/>
  <c r="F64" i="2"/>
  <c r="F43" i="3" s="1"/>
  <c r="E64" i="2"/>
  <c r="E43" i="3" s="1"/>
  <c r="D64" i="2"/>
  <c r="D43" i="3" s="1"/>
  <c r="C64" i="2"/>
  <c r="C74" i="2" s="1"/>
  <c r="H62" i="2"/>
  <c r="I62" i="2" s="1"/>
  <c r="J62" i="2" s="1"/>
  <c r="G62" i="2"/>
  <c r="F62" i="2"/>
  <c r="E62" i="2"/>
  <c r="D62" i="2"/>
  <c r="C62" i="2"/>
  <c r="G58" i="2"/>
  <c r="G45" i="2" s="1"/>
  <c r="F58" i="2"/>
  <c r="F45" i="2" s="1"/>
  <c r="D58" i="2"/>
  <c r="C58" i="2"/>
  <c r="F56" i="2"/>
  <c r="G56" i="2" s="1"/>
  <c r="D56" i="2"/>
  <c r="F55" i="2"/>
  <c r="G55" i="2" s="1"/>
  <c r="D55" i="2"/>
  <c r="C55" i="2"/>
  <c r="C45" i="2" s="1"/>
  <c r="C49" i="2" s="1"/>
  <c r="Q53" i="2"/>
  <c r="P53" i="2"/>
  <c r="O53" i="2"/>
  <c r="F53" i="2"/>
  <c r="E53" i="2"/>
  <c r="E46" i="2"/>
  <c r="D46" i="2"/>
  <c r="C46" i="2"/>
  <c r="E45" i="2"/>
  <c r="D45" i="2"/>
  <c r="J43" i="2"/>
  <c r="J53" i="2" s="1"/>
  <c r="I43" i="2"/>
  <c r="I53" i="2" s="1"/>
  <c r="H43" i="2"/>
  <c r="H53" i="2" s="1"/>
  <c r="G43" i="2"/>
  <c r="G53" i="2" s="1"/>
  <c r="L40" i="2"/>
  <c r="D36" i="2"/>
  <c r="E36" i="2" s="1"/>
  <c r="F36" i="2" s="1"/>
  <c r="G36" i="2" s="1"/>
  <c r="Q32" i="2"/>
  <c r="Q43" i="2" s="1"/>
  <c r="P32" i="2"/>
  <c r="P43" i="2" s="1"/>
  <c r="O32" i="2"/>
  <c r="O43" i="2" s="1"/>
  <c r="N32" i="2"/>
  <c r="N43" i="2" s="1"/>
  <c r="N53" i="2" s="1"/>
  <c r="M32" i="2"/>
  <c r="M43" i="2" s="1"/>
  <c r="M53" i="2" s="1"/>
  <c r="L32" i="2"/>
  <c r="L43" i="2" s="1"/>
  <c r="L53" i="2" s="1"/>
  <c r="K32" i="2"/>
  <c r="K43" i="2" s="1"/>
  <c r="K53" i="2" s="1"/>
  <c r="J32" i="2"/>
  <c r="I32" i="2"/>
  <c r="H32" i="2"/>
  <c r="G32" i="2"/>
  <c r="F32" i="2"/>
  <c r="F43" i="2" s="1"/>
  <c r="E32" i="2"/>
  <c r="E43" i="2" s="1"/>
  <c r="D32" i="2"/>
  <c r="D43" i="2" s="1"/>
  <c r="D42" i="2" s="1"/>
  <c r="E42" i="2" s="1"/>
  <c r="F42" i="2" s="1"/>
  <c r="G42" i="2" s="1"/>
  <c r="H42" i="2" s="1"/>
  <c r="I42" i="2" s="1"/>
  <c r="J42" i="2" s="1"/>
  <c r="D25" i="2"/>
  <c r="E25" i="2" s="1"/>
  <c r="F25" i="2" s="1"/>
  <c r="G25" i="2" s="1"/>
  <c r="D24" i="2"/>
  <c r="E20" i="2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D20" i="2"/>
  <c r="D14" i="2"/>
  <c r="E14" i="2" s="1"/>
  <c r="D13" i="2"/>
  <c r="C10" i="2"/>
  <c r="E9" i="2"/>
  <c r="E35" i="2" s="1"/>
  <c r="E39" i="2" s="1"/>
  <c r="D9" i="2"/>
  <c r="C9" i="2"/>
  <c r="C35" i="2" s="1"/>
  <c r="C39" i="2" s="1"/>
  <c r="G7" i="2"/>
  <c r="F7" i="2"/>
  <c r="E7" i="2"/>
  <c r="D7" i="2"/>
  <c r="D4" i="2"/>
  <c r="E4" i="2" s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B69" i="1"/>
  <c r="N70" i="1" s="1"/>
  <c r="M87" i="2" s="1"/>
  <c r="R65" i="1"/>
  <c r="Q65" i="1"/>
  <c r="P65" i="1"/>
  <c r="O65" i="1"/>
  <c r="N65" i="1"/>
  <c r="M65" i="1"/>
  <c r="L65" i="1"/>
  <c r="K65" i="1"/>
  <c r="J65" i="1"/>
  <c r="I65" i="1"/>
  <c r="R64" i="1"/>
  <c r="Q64" i="1"/>
  <c r="P64" i="1"/>
  <c r="O64" i="1"/>
  <c r="N64" i="1"/>
  <c r="M64" i="1"/>
  <c r="L64" i="1"/>
  <c r="K64" i="1"/>
  <c r="J64" i="1"/>
  <c r="I64" i="1"/>
  <c r="Q62" i="1"/>
  <c r="P77" i="2" s="1"/>
  <c r="P62" i="1"/>
  <c r="O77" i="2" s="1"/>
  <c r="O62" i="1"/>
  <c r="N77" i="2" s="1"/>
  <c r="N62" i="1"/>
  <c r="M77" i="2" s="1"/>
  <c r="M62" i="1"/>
  <c r="L77" i="2" s="1"/>
  <c r="L62" i="1"/>
  <c r="K77" i="2" s="1"/>
  <c r="I62" i="1"/>
  <c r="H77" i="2" s="1"/>
  <c r="G61" i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F61" i="1"/>
  <c r="E61" i="1"/>
  <c r="B61" i="1"/>
  <c r="K62" i="1" s="1"/>
  <c r="J77" i="2" s="1"/>
  <c r="R56" i="1"/>
  <c r="Q56" i="1"/>
  <c r="P56" i="1"/>
  <c r="O56" i="1"/>
  <c r="N56" i="1"/>
  <c r="M56" i="1"/>
  <c r="L56" i="1"/>
  <c r="K56" i="1"/>
  <c r="J56" i="1"/>
  <c r="I56" i="1"/>
  <c r="R55" i="1"/>
  <c r="Q55" i="1"/>
  <c r="P55" i="1"/>
  <c r="O55" i="1"/>
  <c r="N55" i="1"/>
  <c r="M55" i="1"/>
  <c r="L55" i="1"/>
  <c r="K55" i="1"/>
  <c r="J55" i="1"/>
  <c r="I55" i="1"/>
  <c r="M53" i="1"/>
  <c r="L74" i="2" s="1"/>
  <c r="L53" i="1"/>
  <c r="K74" i="2" s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B52" i="1"/>
  <c r="R53" i="1" s="1"/>
  <c r="Q74" i="2" s="1"/>
  <c r="R48" i="1"/>
  <c r="Q48" i="1"/>
  <c r="P48" i="1"/>
  <c r="O48" i="1"/>
  <c r="N48" i="1"/>
  <c r="M48" i="1"/>
  <c r="L48" i="1"/>
  <c r="K48" i="1"/>
  <c r="J48" i="1"/>
  <c r="I48" i="1"/>
  <c r="R47" i="1"/>
  <c r="Q47" i="1"/>
  <c r="P47" i="1"/>
  <c r="O47" i="1"/>
  <c r="N47" i="1"/>
  <c r="M47" i="1"/>
  <c r="L47" i="1"/>
  <c r="K47" i="1"/>
  <c r="J47" i="1"/>
  <c r="I47" i="1"/>
  <c r="O45" i="1"/>
  <c r="N68" i="2" s="1"/>
  <c r="J45" i="1"/>
  <c r="I68" i="2" s="1"/>
  <c r="I45" i="1"/>
  <c r="H68" i="2" s="1"/>
  <c r="E44" i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B44" i="1"/>
  <c r="Q45" i="1" s="1"/>
  <c r="P68" i="2" s="1"/>
  <c r="R40" i="1"/>
  <c r="Q40" i="1"/>
  <c r="P40" i="1"/>
  <c r="O40" i="1"/>
  <c r="N40" i="1"/>
  <c r="M40" i="1"/>
  <c r="L40" i="1"/>
  <c r="K40" i="1"/>
  <c r="J40" i="1"/>
  <c r="I40" i="1"/>
  <c r="N37" i="1"/>
  <c r="M50" i="2" s="1"/>
  <c r="I37" i="1"/>
  <c r="H50" i="2" s="1"/>
  <c r="F36" i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E36" i="1"/>
  <c r="B36" i="1"/>
  <c r="P37" i="1" s="1"/>
  <c r="O50" i="2" s="1"/>
  <c r="R32" i="1"/>
  <c r="Q32" i="1"/>
  <c r="P32" i="1"/>
  <c r="O32" i="1"/>
  <c r="N32" i="1"/>
  <c r="M32" i="1"/>
  <c r="L32" i="1"/>
  <c r="K32" i="1"/>
  <c r="J32" i="1"/>
  <c r="I32" i="1"/>
  <c r="Q29" i="1"/>
  <c r="P40" i="2" s="1"/>
  <c r="P29" i="1"/>
  <c r="O40" i="2" s="1"/>
  <c r="M29" i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B28" i="1"/>
  <c r="O29" i="1" s="1"/>
  <c r="N40" i="2" s="1"/>
  <c r="R24" i="1"/>
  <c r="Q24" i="1"/>
  <c r="P24" i="1"/>
  <c r="O24" i="1"/>
  <c r="N24" i="1"/>
  <c r="M24" i="1"/>
  <c r="L24" i="1"/>
  <c r="K24" i="1"/>
  <c r="J24" i="1"/>
  <c r="I24" i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B20" i="1"/>
  <c r="N21" i="1" s="1"/>
  <c r="M29" i="2" s="1"/>
  <c r="R16" i="1"/>
  <c r="Q16" i="1"/>
  <c r="P16" i="1"/>
  <c r="O16" i="1"/>
  <c r="N16" i="1"/>
  <c r="M16" i="1"/>
  <c r="L16" i="1"/>
  <c r="K16" i="1"/>
  <c r="J16" i="1"/>
  <c r="I16" i="1"/>
  <c r="R13" i="1"/>
  <c r="Q18" i="2" s="1"/>
  <c r="Q13" i="1"/>
  <c r="P18" i="2" s="1"/>
  <c r="E12" i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B12" i="1"/>
  <c r="M13" i="1" s="1"/>
  <c r="L18" i="2" s="1"/>
  <c r="E13" i="2" l="1"/>
  <c r="F14" i="2"/>
  <c r="G14" i="2" s="1"/>
  <c r="E4" i="5"/>
  <c r="E4" i="3"/>
  <c r="E42" i="3" s="1"/>
  <c r="E4" i="4"/>
  <c r="E4" i="6"/>
  <c r="F4" i="2"/>
  <c r="K42" i="2"/>
  <c r="L42" i="2" s="1"/>
  <c r="M42" i="2" s="1"/>
  <c r="N42" i="2" s="1"/>
  <c r="O42" i="2" s="1"/>
  <c r="P42" i="2" s="1"/>
  <c r="Q42" i="2" s="1"/>
  <c r="G47" i="2"/>
  <c r="G46" i="2"/>
  <c r="G9" i="2"/>
  <c r="F47" i="2"/>
  <c r="F46" i="2"/>
  <c r="F9" i="2"/>
  <c r="N13" i="1"/>
  <c r="M18" i="2" s="1"/>
  <c r="O21" i="1"/>
  <c r="N29" i="2" s="1"/>
  <c r="Q37" i="1"/>
  <c r="P50" i="2" s="1"/>
  <c r="R45" i="1"/>
  <c r="Q68" i="2" s="1"/>
  <c r="I53" i="1"/>
  <c r="H74" i="2" s="1"/>
  <c r="O70" i="1"/>
  <c r="N87" i="2" s="1"/>
  <c r="D28" i="2"/>
  <c r="D53" i="2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70" i="1"/>
  <c r="Q87" i="2" s="1"/>
  <c r="G79" i="2"/>
  <c r="G71" i="2"/>
  <c r="O13" i="1"/>
  <c r="N18" i="2" s="1"/>
  <c r="P21" i="1"/>
  <c r="O29" i="2" s="1"/>
  <c r="R37" i="1"/>
  <c r="Q50" i="2" s="1"/>
  <c r="J53" i="1"/>
  <c r="I74" i="2" s="1"/>
  <c r="P70" i="1"/>
  <c r="O87" i="2" s="1"/>
  <c r="E24" i="2"/>
  <c r="D31" i="2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G8" i="4"/>
  <c r="G84" i="2"/>
  <c r="H84" i="2" s="1"/>
  <c r="I84" i="2" s="1"/>
  <c r="J84" i="2" s="1"/>
  <c r="K84" i="2" s="1"/>
  <c r="L84" i="2" s="1"/>
  <c r="M84" i="2" s="1"/>
  <c r="N84" i="2" s="1"/>
  <c r="O84" i="2" s="1"/>
  <c r="P84" i="2" s="1"/>
  <c r="G83" i="2"/>
  <c r="L5" i="9"/>
  <c r="M5" i="9" s="1"/>
  <c r="K10" i="9"/>
  <c r="P13" i="1"/>
  <c r="O18" i="2" s="1"/>
  <c r="Q21" i="1"/>
  <c r="P29" i="2" s="1"/>
  <c r="R29" i="1"/>
  <c r="Q40" i="2" s="1"/>
  <c r="K53" i="1"/>
  <c r="J74" i="2" s="1"/>
  <c r="Q70" i="1"/>
  <c r="P87" i="2" s="1"/>
  <c r="C43" i="3"/>
  <c r="C70" i="2"/>
  <c r="C107" i="2"/>
  <c r="C77" i="2"/>
  <c r="F89" i="2"/>
  <c r="F80" i="2"/>
  <c r="F94" i="2"/>
  <c r="K45" i="1"/>
  <c r="J68" i="2" s="1"/>
  <c r="N53" i="1"/>
  <c r="M74" i="2" s="1"/>
  <c r="D47" i="2"/>
  <c r="L10" i="9"/>
  <c r="I29" i="1"/>
  <c r="H40" i="2" s="1"/>
  <c r="I21" i="1"/>
  <c r="H29" i="2" s="1"/>
  <c r="J29" i="1"/>
  <c r="I40" i="2" s="1"/>
  <c r="K37" i="1"/>
  <c r="J50" i="2" s="1"/>
  <c r="L45" i="1"/>
  <c r="K68" i="2" s="1"/>
  <c r="O53" i="1"/>
  <c r="N74" i="2" s="1"/>
  <c r="R62" i="1"/>
  <c r="Q77" i="2" s="1"/>
  <c r="I70" i="1"/>
  <c r="H87" i="2" s="1"/>
  <c r="E47" i="2"/>
  <c r="C15" i="3"/>
  <c r="K45" i="3"/>
  <c r="J37" i="1"/>
  <c r="I50" i="2" s="1"/>
  <c r="I13" i="1"/>
  <c r="H18" i="2" s="1"/>
  <c r="J21" i="1"/>
  <c r="I29" i="2" s="1"/>
  <c r="K29" i="1"/>
  <c r="J40" i="2" s="1"/>
  <c r="L37" i="1"/>
  <c r="K50" i="2" s="1"/>
  <c r="M45" i="1"/>
  <c r="L68" i="2" s="1"/>
  <c r="P53" i="1"/>
  <c r="O74" i="2" s="1"/>
  <c r="J70" i="1"/>
  <c r="I87" i="2" s="1"/>
  <c r="D11" i="2"/>
  <c r="D35" i="2"/>
  <c r="E37" i="2" s="1"/>
  <c r="C13" i="2"/>
  <c r="F71" i="2"/>
  <c r="D4" i="4"/>
  <c r="D4" i="5"/>
  <c r="D4" i="6"/>
  <c r="D4" i="3"/>
  <c r="D42" i="3" s="1"/>
  <c r="J13" i="1"/>
  <c r="I18" i="2" s="1"/>
  <c r="K21" i="1"/>
  <c r="J29" i="2" s="1"/>
  <c r="L29" i="1"/>
  <c r="K40" i="2" s="1"/>
  <c r="M37" i="1"/>
  <c r="L50" i="2" s="1"/>
  <c r="N45" i="1"/>
  <c r="M68" i="2" s="1"/>
  <c r="Q53" i="1"/>
  <c r="P74" i="2" s="1"/>
  <c r="K70" i="1"/>
  <c r="J87" i="2" s="1"/>
  <c r="D17" i="2"/>
  <c r="R21" i="1"/>
  <c r="Q29" i="2" s="1"/>
  <c r="K13" i="1"/>
  <c r="J18" i="2" s="1"/>
  <c r="L13" i="1"/>
  <c r="K18" i="2" s="1"/>
  <c r="M21" i="1"/>
  <c r="L29" i="2" s="1"/>
  <c r="N29" i="1"/>
  <c r="M40" i="2" s="1"/>
  <c r="O37" i="1"/>
  <c r="N50" i="2" s="1"/>
  <c r="P45" i="1"/>
  <c r="O68" i="2" s="1"/>
  <c r="J62" i="1"/>
  <c r="I77" i="2" s="1"/>
  <c r="M70" i="1"/>
  <c r="L87" i="2" s="1"/>
  <c r="D10" i="2"/>
  <c r="E11" i="2"/>
  <c r="K62" i="2"/>
  <c r="D8" i="4"/>
  <c r="D84" i="2"/>
  <c r="L21" i="1"/>
  <c r="K29" i="2" s="1"/>
  <c r="L70" i="1"/>
  <c r="K87" i="2" s="1"/>
  <c r="E10" i="2"/>
  <c r="C24" i="2"/>
  <c r="C28" i="2" s="1"/>
  <c r="E8" i="4"/>
  <c r="E84" i="2"/>
  <c r="E83" i="2"/>
  <c r="E77" i="2"/>
  <c r="F83" i="2"/>
  <c r="K20" i="8"/>
  <c r="P22" i="4"/>
  <c r="P23" i="4" s="1"/>
  <c r="D65" i="2"/>
  <c r="G77" i="2"/>
  <c r="K44" i="3"/>
  <c r="L20" i="8"/>
  <c r="Q22" i="4"/>
  <c r="Q23" i="4" s="1"/>
  <c r="E65" i="2"/>
  <c r="F65" i="2"/>
  <c r="F84" i="2"/>
  <c r="C7" i="6"/>
  <c r="C5" i="6" s="1"/>
  <c r="C12" i="6" s="1"/>
  <c r="C92" i="2" s="1"/>
  <c r="C7" i="4" s="1"/>
  <c r="D22" i="4"/>
  <c r="D23" i="4" s="1"/>
  <c r="C51" i="3"/>
  <c r="J10" i="9"/>
  <c r="I10" i="9"/>
  <c r="H10" i="9"/>
  <c r="G10" i="9"/>
  <c r="F10" i="9"/>
  <c r="E10" i="9"/>
  <c r="D10" i="9"/>
  <c r="M10" i="9"/>
  <c r="D70" i="2"/>
  <c r="G24" i="11"/>
  <c r="E70" i="2"/>
  <c r="L43" i="3"/>
  <c r="E12" i="6"/>
  <c r="E92" i="2" s="1"/>
  <c r="E7" i="4" s="1"/>
  <c r="E15" i="4" s="1"/>
  <c r="E2" i="14"/>
  <c r="E49" i="2" l="1"/>
  <c r="D49" i="2"/>
  <c r="D50" i="2" s="1"/>
  <c r="F35" i="2"/>
  <c r="F11" i="2"/>
  <c r="F13" i="2"/>
  <c r="F24" i="2"/>
  <c r="F10" i="2"/>
  <c r="D26" i="2"/>
  <c r="F49" i="2"/>
  <c r="F50" i="2" s="1"/>
  <c r="D29" i="2"/>
  <c r="G35" i="2"/>
  <c r="G24" i="2"/>
  <c r="G13" i="2"/>
  <c r="G10" i="2"/>
  <c r="G11" i="2"/>
  <c r="F4" i="5"/>
  <c r="F4" i="6"/>
  <c r="F4" i="3"/>
  <c r="F42" i="3" s="1"/>
  <c r="F4" i="4"/>
  <c r="G4" i="2"/>
  <c r="C20" i="3"/>
  <c r="E26" i="2"/>
  <c r="E28" i="2"/>
  <c r="E29" i="2" s="1"/>
  <c r="F2" i="14"/>
  <c r="F103" i="2"/>
  <c r="F105" i="2" s="1"/>
  <c r="F106" i="2" s="1"/>
  <c r="F90" i="2"/>
  <c r="L62" i="2"/>
  <c r="G49" i="2"/>
  <c r="E17" i="2"/>
  <c r="E18" i="2" s="1"/>
  <c r="E15" i="2"/>
  <c r="F95" i="2"/>
  <c r="F99" i="2"/>
  <c r="G29" i="11"/>
  <c r="G31" i="11" s="1"/>
  <c r="H24" i="11"/>
  <c r="H29" i="11" s="1"/>
  <c r="D37" i="2"/>
  <c r="D39" i="2"/>
  <c r="D79" i="2"/>
  <c r="D71" i="2"/>
  <c r="L44" i="3"/>
  <c r="D18" i="2"/>
  <c r="L45" i="3"/>
  <c r="C79" i="2"/>
  <c r="C71" i="2"/>
  <c r="G94" i="2"/>
  <c r="G80" i="2"/>
  <c r="G89" i="2"/>
  <c r="M43" i="3"/>
  <c r="E79" i="2"/>
  <c r="E71" i="2"/>
  <c r="C17" i="2"/>
  <c r="D15" i="2"/>
  <c r="D20" i="3" l="1"/>
  <c r="C19" i="3"/>
  <c r="C28" i="3" s="1"/>
  <c r="C29" i="3" s="1"/>
  <c r="G26" i="2"/>
  <c r="G28" i="2"/>
  <c r="F17" i="2"/>
  <c r="F18" i="2" s="1"/>
  <c r="F15" i="2"/>
  <c r="M44" i="3"/>
  <c r="E89" i="2"/>
  <c r="E80" i="2"/>
  <c r="E94" i="2"/>
  <c r="H49" i="2"/>
  <c r="G50" i="2"/>
  <c r="G39" i="2"/>
  <c r="G37" i="2"/>
  <c r="N43" i="3"/>
  <c r="F39" i="2"/>
  <c r="F40" i="2" s="1"/>
  <c r="F37" i="2"/>
  <c r="C8" i="7"/>
  <c r="G103" i="2"/>
  <c r="G105" i="2" s="1"/>
  <c r="G106" i="2" s="1"/>
  <c r="G90" i="2"/>
  <c r="D4" i="8"/>
  <c r="M62" i="2"/>
  <c r="F26" i="2"/>
  <c r="F28" i="2"/>
  <c r="F29" i="2" s="1"/>
  <c r="E50" i="2"/>
  <c r="G4" i="5"/>
  <c r="G4" i="6"/>
  <c r="G4" i="3"/>
  <c r="G4" i="4"/>
  <c r="H4" i="2"/>
  <c r="D40" i="2"/>
  <c r="E40" i="2"/>
  <c r="C89" i="2"/>
  <c r="C80" i="2"/>
  <c r="C94" i="2"/>
  <c r="G2" i="14"/>
  <c r="G15" i="2"/>
  <c r="G17" i="2"/>
  <c r="D89" i="2"/>
  <c r="D80" i="2"/>
  <c r="D94" i="2"/>
  <c r="G95" i="2"/>
  <c r="G99" i="2"/>
  <c r="M45" i="3"/>
  <c r="F6" i="4"/>
  <c r="F17" i="4" s="1"/>
  <c r="F25" i="4" s="1"/>
  <c r="F100" i="2"/>
  <c r="D10" i="8" l="1"/>
  <c r="D9" i="8"/>
  <c r="D8" i="8"/>
  <c r="H23" i="3" s="1"/>
  <c r="N44" i="3"/>
  <c r="G40" i="2"/>
  <c r="H39" i="2"/>
  <c r="C90" i="2"/>
  <c r="C103" i="2"/>
  <c r="C105" i="2" s="1"/>
  <c r="C106" i="2" s="1"/>
  <c r="D95" i="2"/>
  <c r="D99" i="2"/>
  <c r="H4" i="5"/>
  <c r="H4" i="6"/>
  <c r="I4" i="3"/>
  <c r="H4" i="4"/>
  <c r="C14" i="8"/>
  <c r="C28" i="8"/>
  <c r="C42" i="8" s="1"/>
  <c r="C54" i="8" s="1"/>
  <c r="I4" i="2"/>
  <c r="E103" i="2"/>
  <c r="E105" i="2" s="1"/>
  <c r="E106" i="2" s="1"/>
  <c r="E90" i="2"/>
  <c r="G18" i="2"/>
  <c r="H17" i="2"/>
  <c r="E20" i="3"/>
  <c r="E95" i="2"/>
  <c r="E99" i="2"/>
  <c r="D103" i="2"/>
  <c r="D105" i="2" s="1"/>
  <c r="D106" i="2" s="1"/>
  <c r="D90" i="2"/>
  <c r="C99" i="2"/>
  <c r="C95" i="2"/>
  <c r="G6" i="4"/>
  <c r="G17" i="4" s="1"/>
  <c r="G25" i="4" s="1"/>
  <c r="G100" i="2"/>
  <c r="N62" i="2"/>
  <c r="H2" i="14"/>
  <c r="O43" i="3"/>
  <c r="G29" i="2"/>
  <c r="H28" i="2"/>
  <c r="I49" i="2"/>
  <c r="H45" i="2"/>
  <c r="C6" i="9"/>
  <c r="G42" i="3"/>
  <c r="C15" i="11"/>
  <c r="C6" i="7"/>
  <c r="N45" i="3"/>
  <c r="O62" i="2" l="1"/>
  <c r="F20" i="3"/>
  <c r="H47" i="2"/>
  <c r="D21" i="3"/>
  <c r="D6" i="4"/>
  <c r="D17" i="4" s="1"/>
  <c r="D25" i="4" s="1"/>
  <c r="D27" i="4" s="1"/>
  <c r="D100" i="2"/>
  <c r="I45" i="2"/>
  <c r="J49" i="2"/>
  <c r="I17" i="2"/>
  <c r="H13" i="2"/>
  <c r="D6" i="9"/>
  <c r="I42" i="3"/>
  <c r="D6" i="7"/>
  <c r="D15" i="11"/>
  <c r="H24" i="2"/>
  <c r="I28" i="2"/>
  <c r="I4" i="5"/>
  <c r="I4" i="6"/>
  <c r="J4" i="3"/>
  <c r="D28" i="8"/>
  <c r="D42" i="8" s="1"/>
  <c r="D54" i="8" s="1"/>
  <c r="D14" i="8"/>
  <c r="I4" i="4"/>
  <c r="J4" i="2"/>
  <c r="G9" i="8"/>
  <c r="C29" i="8"/>
  <c r="G10" i="8"/>
  <c r="C43" i="8"/>
  <c r="O44" i="3"/>
  <c r="C110" i="2"/>
  <c r="C109" i="2"/>
  <c r="C100" i="2"/>
  <c r="C6" i="4"/>
  <c r="I39" i="2"/>
  <c r="H35" i="2"/>
  <c r="P43" i="3"/>
  <c r="O45" i="3"/>
  <c r="E100" i="2"/>
  <c r="E6" i="4"/>
  <c r="E17" i="4" s="1"/>
  <c r="E25" i="4" s="1"/>
  <c r="C24" i="9"/>
  <c r="C36" i="7"/>
  <c r="C37" i="11" s="1"/>
  <c r="E26" i="4" l="1"/>
  <c r="D13" i="3"/>
  <c r="I24" i="2"/>
  <c r="J28" i="2"/>
  <c r="C46" i="8"/>
  <c r="D43" i="8" s="1"/>
  <c r="C50" i="8"/>
  <c r="H26" i="2"/>
  <c r="P44" i="3"/>
  <c r="C36" i="8"/>
  <c r="C56" i="8" s="1"/>
  <c r="C32" i="8"/>
  <c r="E21" i="3"/>
  <c r="D19" i="3"/>
  <c r="D109" i="2" s="1"/>
  <c r="D28" i="3"/>
  <c r="G11" i="8"/>
  <c r="C8" i="12" s="1"/>
  <c r="C9" i="12" s="1"/>
  <c r="C11" i="12" s="1"/>
  <c r="C26" i="7" s="1"/>
  <c r="J39" i="2"/>
  <c r="I35" i="2"/>
  <c r="P45" i="3"/>
  <c r="J4" i="5"/>
  <c r="J4" i="6"/>
  <c r="K4" i="3"/>
  <c r="E28" i="8"/>
  <c r="E42" i="8" s="1"/>
  <c r="E54" i="8" s="1"/>
  <c r="E14" i="8"/>
  <c r="J4" i="4"/>
  <c r="K4" i="2"/>
  <c r="H15" i="2"/>
  <c r="H9" i="2"/>
  <c r="H25" i="2" s="1"/>
  <c r="I13" i="2"/>
  <c r="J17" i="2"/>
  <c r="G20" i="3"/>
  <c r="Q43" i="3"/>
  <c r="H36" i="2"/>
  <c r="H37" i="2"/>
  <c r="E6" i="9"/>
  <c r="J42" i="3"/>
  <c r="E6" i="7"/>
  <c r="E15" i="11"/>
  <c r="J45" i="2"/>
  <c r="K49" i="2"/>
  <c r="P62" i="2"/>
  <c r="E27" i="4"/>
  <c r="I47" i="2"/>
  <c r="E13" i="3" l="1"/>
  <c r="F26" i="4"/>
  <c r="F27" i="4" s="1"/>
  <c r="R43" i="3"/>
  <c r="C58" i="8"/>
  <c r="I23" i="3" s="1"/>
  <c r="D29" i="8"/>
  <c r="F6" i="9"/>
  <c r="K42" i="3"/>
  <c r="F6" i="7"/>
  <c r="F15" i="11"/>
  <c r="Q44" i="3"/>
  <c r="J47" i="2"/>
  <c r="J13" i="2"/>
  <c r="K17" i="2"/>
  <c r="I15" i="2"/>
  <c r="I9" i="2"/>
  <c r="Q45" i="3"/>
  <c r="Q62" i="2"/>
  <c r="K45" i="2"/>
  <c r="L49" i="2"/>
  <c r="I37" i="2"/>
  <c r="C19" i="8"/>
  <c r="H92" i="2"/>
  <c r="H7" i="4" s="1"/>
  <c r="H15" i="4" s="1"/>
  <c r="H6" i="2"/>
  <c r="H10" i="2"/>
  <c r="H11" i="2"/>
  <c r="H14" i="2"/>
  <c r="K39" i="2"/>
  <c r="J35" i="2"/>
  <c r="D46" i="8"/>
  <c r="E43" i="8" s="1"/>
  <c r="D50" i="8"/>
  <c r="M22" i="7"/>
  <c r="L22" i="7"/>
  <c r="K22" i="7"/>
  <c r="J22" i="7"/>
  <c r="I22" i="7"/>
  <c r="H22" i="7"/>
  <c r="G22" i="7"/>
  <c r="E22" i="7"/>
  <c r="F22" i="7"/>
  <c r="D22" i="7"/>
  <c r="J24" i="2"/>
  <c r="K28" i="2"/>
  <c r="K4" i="5"/>
  <c r="K4" i="6"/>
  <c r="L4" i="3"/>
  <c r="F28" i="8"/>
  <c r="F42" i="8" s="1"/>
  <c r="F54" i="8" s="1"/>
  <c r="F14" i="8"/>
  <c r="K4" i="4"/>
  <c r="L4" i="2"/>
  <c r="I25" i="2"/>
  <c r="I26" i="2"/>
  <c r="D15" i="3"/>
  <c r="D51" i="3"/>
  <c r="F21" i="3"/>
  <c r="E28" i="3"/>
  <c r="E19" i="3"/>
  <c r="E109" i="2" s="1"/>
  <c r="J25" i="2" l="1"/>
  <c r="J26" i="2"/>
  <c r="L39" i="2"/>
  <c r="K35" i="2"/>
  <c r="K47" i="2"/>
  <c r="R44" i="3"/>
  <c r="L4" i="6"/>
  <c r="M4" i="3"/>
  <c r="G28" i="8"/>
  <c r="G42" i="8" s="1"/>
  <c r="G54" i="8" s="1"/>
  <c r="G14" i="8"/>
  <c r="L4" i="4"/>
  <c r="L4" i="5"/>
  <c r="M4" i="2"/>
  <c r="H64" i="2"/>
  <c r="H61" i="2"/>
  <c r="H7" i="2"/>
  <c r="H67" i="2"/>
  <c r="H86" i="2"/>
  <c r="H46" i="2"/>
  <c r="R45" i="3"/>
  <c r="I6" i="2"/>
  <c r="I11" i="2"/>
  <c r="L42" i="3"/>
  <c r="G6" i="7"/>
  <c r="G15" i="11"/>
  <c r="G6" i="9"/>
  <c r="I14" i="2"/>
  <c r="D36" i="8"/>
  <c r="D56" i="8" s="1"/>
  <c r="D32" i="8"/>
  <c r="L17" i="2"/>
  <c r="K13" i="2"/>
  <c r="G21" i="3"/>
  <c r="F28" i="3"/>
  <c r="F19" i="3"/>
  <c r="F109" i="2" s="1"/>
  <c r="K24" i="2"/>
  <c r="L28" i="2"/>
  <c r="I36" i="2"/>
  <c r="J15" i="2"/>
  <c r="J9" i="2"/>
  <c r="E50" i="8"/>
  <c r="E46" i="8"/>
  <c r="F43" i="8" s="1"/>
  <c r="F13" i="3"/>
  <c r="G26" i="4"/>
  <c r="G27" i="4" s="1"/>
  <c r="G13" i="3" s="1"/>
  <c r="D29" i="3"/>
  <c r="D110" i="2"/>
  <c r="J37" i="2"/>
  <c r="L45" i="2"/>
  <c r="M49" i="2"/>
  <c r="E51" i="3"/>
  <c r="E15" i="3"/>
  <c r="G28" i="3" l="1"/>
  <c r="G19" i="3"/>
  <c r="G109" i="2" s="1"/>
  <c r="F46" i="8"/>
  <c r="G43" i="8" s="1"/>
  <c r="F50" i="8"/>
  <c r="D19" i="8"/>
  <c r="I92" i="2"/>
  <c r="I7" i="4" s="1"/>
  <c r="I15" i="4" s="1"/>
  <c r="H6" i="5"/>
  <c r="H82" i="2"/>
  <c r="K15" i="2"/>
  <c r="K9" i="2"/>
  <c r="K14" i="2" s="1"/>
  <c r="I12" i="3"/>
  <c r="I26" i="3"/>
  <c r="H12" i="4" s="1"/>
  <c r="L13" i="2"/>
  <c r="M17" i="2"/>
  <c r="J6" i="2"/>
  <c r="J10" i="2"/>
  <c r="J11" i="2"/>
  <c r="M45" i="2"/>
  <c r="N49" i="2"/>
  <c r="L47" i="2"/>
  <c r="J14" i="2"/>
  <c r="I7" i="2"/>
  <c r="I61" i="2"/>
  <c r="I64" i="2" s="1"/>
  <c r="I67" i="2"/>
  <c r="I86" i="2"/>
  <c r="I46" i="2"/>
  <c r="D58" i="8"/>
  <c r="J23" i="3" s="1"/>
  <c r="E29" i="8"/>
  <c r="J36" i="2"/>
  <c r="M4" i="6"/>
  <c r="N4" i="3"/>
  <c r="H28" i="8"/>
  <c r="H42" i="8" s="1"/>
  <c r="H54" i="8" s="1"/>
  <c r="H14" i="8"/>
  <c r="M4" i="4"/>
  <c r="M4" i="5"/>
  <c r="N4" i="2"/>
  <c r="K37" i="2"/>
  <c r="E29" i="3"/>
  <c r="E110" i="2"/>
  <c r="M28" i="2"/>
  <c r="L24" i="2"/>
  <c r="I11" i="3"/>
  <c r="H11" i="4" s="1"/>
  <c r="H65" i="2"/>
  <c r="H70" i="2"/>
  <c r="H73" i="2"/>
  <c r="H76" i="2"/>
  <c r="I10" i="2"/>
  <c r="M39" i="2"/>
  <c r="L35" i="2"/>
  <c r="F15" i="3"/>
  <c r="F51" i="3"/>
  <c r="H6" i="7"/>
  <c r="H15" i="11"/>
  <c r="M42" i="3"/>
  <c r="H6" i="9"/>
  <c r="K26" i="2"/>
  <c r="G15" i="3"/>
  <c r="G51" i="3"/>
  <c r="J11" i="3" l="1"/>
  <c r="I11" i="4" s="1"/>
  <c r="I65" i="2"/>
  <c r="I73" i="2"/>
  <c r="I70" i="2"/>
  <c r="I76" i="2"/>
  <c r="I6" i="7"/>
  <c r="I15" i="11"/>
  <c r="I6" i="9"/>
  <c r="N42" i="3"/>
  <c r="N28" i="2"/>
  <c r="M24" i="2"/>
  <c r="N45" i="2"/>
  <c r="O49" i="2"/>
  <c r="I13" i="4"/>
  <c r="H13" i="4"/>
  <c r="L26" i="2"/>
  <c r="E32" i="8"/>
  <c r="E36" i="8"/>
  <c r="E56" i="8" s="1"/>
  <c r="M47" i="2"/>
  <c r="K6" i="2"/>
  <c r="K11" i="2"/>
  <c r="K10" i="2"/>
  <c r="F29" i="3"/>
  <c r="F110" i="2"/>
  <c r="H8" i="5"/>
  <c r="H8" i="4"/>
  <c r="H83" i="2"/>
  <c r="D10" i="7"/>
  <c r="H19" i="4"/>
  <c r="H9" i="5"/>
  <c r="L37" i="2"/>
  <c r="L36" i="2"/>
  <c r="K36" i="2"/>
  <c r="N39" i="2"/>
  <c r="M35" i="2"/>
  <c r="I6" i="5"/>
  <c r="I19" i="4" s="1"/>
  <c r="I82" i="2"/>
  <c r="J7" i="2"/>
  <c r="J61" i="2"/>
  <c r="J64" i="2" s="1"/>
  <c r="J86" i="2"/>
  <c r="J67" i="2"/>
  <c r="J46" i="2"/>
  <c r="J12" i="3"/>
  <c r="J26" i="3"/>
  <c r="I12" i="4" s="1"/>
  <c r="G29" i="3"/>
  <c r="G110" i="2"/>
  <c r="M13" i="2"/>
  <c r="N17" i="2"/>
  <c r="L14" i="2"/>
  <c r="L9" i="2"/>
  <c r="L15" i="2"/>
  <c r="G46" i="8"/>
  <c r="H43" i="8" s="1"/>
  <c r="G50" i="8"/>
  <c r="H10" i="4"/>
  <c r="D18" i="7" s="1"/>
  <c r="I28" i="8"/>
  <c r="I42" i="8" s="1"/>
  <c r="I54" i="8" s="1"/>
  <c r="I14" i="8"/>
  <c r="N4" i="4"/>
  <c r="N4" i="5"/>
  <c r="O4" i="3"/>
  <c r="N4" i="6"/>
  <c r="O4" i="2"/>
  <c r="K25" i="2"/>
  <c r="H79" i="2"/>
  <c r="H71" i="2"/>
  <c r="J73" i="2" l="1"/>
  <c r="J70" i="2"/>
  <c r="J65" i="2"/>
  <c r="J76" i="2"/>
  <c r="K11" i="3"/>
  <c r="J11" i="4" s="1"/>
  <c r="M26" i="2"/>
  <c r="N35" i="2"/>
  <c r="O39" i="2"/>
  <c r="N47" i="2"/>
  <c r="K64" i="2"/>
  <c r="K7" i="2"/>
  <c r="K67" i="2"/>
  <c r="K86" i="2"/>
  <c r="K61" i="2"/>
  <c r="K46" i="2"/>
  <c r="O28" i="2"/>
  <c r="N24" i="2"/>
  <c r="I8" i="3"/>
  <c r="I5" i="5"/>
  <c r="J6" i="5"/>
  <c r="J19" i="4" s="1"/>
  <c r="J82" i="2"/>
  <c r="E19" i="8"/>
  <c r="J92" i="2"/>
  <c r="J7" i="4" s="1"/>
  <c r="J15" i="4" s="1"/>
  <c r="K26" i="3"/>
  <c r="J12" i="4" s="1"/>
  <c r="K12" i="3"/>
  <c r="J13" i="4" s="1"/>
  <c r="E58" i="8"/>
  <c r="K23" i="3" s="1"/>
  <c r="F29" i="8"/>
  <c r="L11" i="2"/>
  <c r="L6" i="2"/>
  <c r="L10" i="2"/>
  <c r="L25" i="2"/>
  <c r="H46" i="8"/>
  <c r="I43" i="8" s="1"/>
  <c r="H50" i="8"/>
  <c r="D16" i="7"/>
  <c r="H20" i="4"/>
  <c r="H94" i="2"/>
  <c r="H80" i="2"/>
  <c r="H89" i="2"/>
  <c r="J28" i="8"/>
  <c r="J42" i="8" s="1"/>
  <c r="J54" i="8" s="1"/>
  <c r="J14" i="8"/>
  <c r="O4" i="4"/>
  <c r="P4" i="3"/>
  <c r="O4" i="6"/>
  <c r="O4" i="5"/>
  <c r="P4" i="2"/>
  <c r="I79" i="2"/>
  <c r="I71" i="2"/>
  <c r="O17" i="2"/>
  <c r="N13" i="2"/>
  <c r="I8" i="5"/>
  <c r="E10" i="7"/>
  <c r="I8" i="4"/>
  <c r="I83" i="2"/>
  <c r="J6" i="7"/>
  <c r="J15" i="11"/>
  <c r="O42" i="3"/>
  <c r="J6" i="9"/>
  <c r="M14" i="2"/>
  <c r="M9" i="2"/>
  <c r="M25" i="2" s="1"/>
  <c r="M15" i="2"/>
  <c r="E16" i="7"/>
  <c r="I20" i="4"/>
  <c r="M37" i="2"/>
  <c r="M36" i="2"/>
  <c r="O45" i="2"/>
  <c r="P49" i="2"/>
  <c r="I10" i="4"/>
  <c r="E18" i="7" s="1"/>
  <c r="K73" i="2" l="1"/>
  <c r="K70" i="2"/>
  <c r="K65" i="2"/>
  <c r="K76" i="2"/>
  <c r="L11" i="3"/>
  <c r="K11" i="4" s="1"/>
  <c r="K28" i="8"/>
  <c r="K42" i="8" s="1"/>
  <c r="K54" i="8" s="1"/>
  <c r="K14" i="8"/>
  <c r="P4" i="4"/>
  <c r="P4" i="5"/>
  <c r="P4" i="6"/>
  <c r="Q4" i="3"/>
  <c r="Q4" i="2"/>
  <c r="J8" i="5"/>
  <c r="J8" i="4"/>
  <c r="J83" i="2"/>
  <c r="F10" i="7"/>
  <c r="I46" i="8"/>
  <c r="J43" i="8" s="1"/>
  <c r="I50" i="8"/>
  <c r="I9" i="5"/>
  <c r="L64" i="2"/>
  <c r="L7" i="2"/>
  <c r="L86" i="2"/>
  <c r="L67" i="2"/>
  <c r="L61" i="2"/>
  <c r="L46" i="2"/>
  <c r="N26" i="2"/>
  <c r="N37" i="2"/>
  <c r="N36" i="2"/>
  <c r="F16" i="7"/>
  <c r="J20" i="4"/>
  <c r="Q49" i="2"/>
  <c r="Q45" i="2" s="1"/>
  <c r="P45" i="2"/>
  <c r="P28" i="2"/>
  <c r="O24" i="2"/>
  <c r="F36" i="8"/>
  <c r="F56" i="8" s="1"/>
  <c r="F32" i="8"/>
  <c r="O47" i="2"/>
  <c r="D5" i="8"/>
  <c r="D11" i="8" s="1"/>
  <c r="D12" i="8" s="1"/>
  <c r="H90" i="2"/>
  <c r="D8" i="7"/>
  <c r="J10" i="4"/>
  <c r="F18" i="7" s="1"/>
  <c r="I94" i="2"/>
  <c r="I89" i="2"/>
  <c r="I80" i="2"/>
  <c r="N14" i="2"/>
  <c r="N15" i="2"/>
  <c r="N9" i="2"/>
  <c r="N25" i="2" s="1"/>
  <c r="K6" i="5"/>
  <c r="K19" i="4" s="1"/>
  <c r="K82" i="2"/>
  <c r="H99" i="2"/>
  <c r="H95" i="2"/>
  <c r="L26" i="3"/>
  <c r="K12" i="4" s="1"/>
  <c r="L12" i="3"/>
  <c r="K6" i="7"/>
  <c r="K15" i="11"/>
  <c r="K6" i="9"/>
  <c r="P42" i="3"/>
  <c r="O35" i="2"/>
  <c r="P39" i="2"/>
  <c r="P17" i="2"/>
  <c r="O13" i="2"/>
  <c r="M11" i="2"/>
  <c r="M6" i="2"/>
  <c r="M10" i="2"/>
  <c r="J71" i="2"/>
  <c r="J79" i="2"/>
  <c r="O37" i="2" l="1"/>
  <c r="F19" i="8"/>
  <c r="K92" i="2"/>
  <c r="K7" i="4" s="1"/>
  <c r="K15" i="4" s="1"/>
  <c r="Q4" i="5"/>
  <c r="Q4" i="4"/>
  <c r="Q4" i="6"/>
  <c r="L14" i="8"/>
  <c r="L28" i="8"/>
  <c r="L42" i="8" s="1"/>
  <c r="L54" i="8" s="1"/>
  <c r="R4" i="3"/>
  <c r="M26" i="3"/>
  <c r="L12" i="4" s="1"/>
  <c r="M12" i="3"/>
  <c r="L15" i="11"/>
  <c r="L6" i="9"/>
  <c r="Q42" i="3"/>
  <c r="L6" i="7"/>
  <c r="J80" i="2"/>
  <c r="J94" i="2"/>
  <c r="J89" i="2"/>
  <c r="E8" i="7"/>
  <c r="I90" i="2"/>
  <c r="P24" i="2"/>
  <c r="Q28" i="2"/>
  <c r="Q24" i="2" s="1"/>
  <c r="L6" i="5"/>
  <c r="L19" i="4" s="1"/>
  <c r="L82" i="2"/>
  <c r="O26" i="2"/>
  <c r="J22" i="13"/>
  <c r="D4" i="13"/>
  <c r="D12" i="7"/>
  <c r="D20" i="7" s="1"/>
  <c r="B3" i="14"/>
  <c r="C6" i="11"/>
  <c r="K22" i="13"/>
  <c r="J6" i="13"/>
  <c r="J8" i="3"/>
  <c r="J5" i="5"/>
  <c r="J9" i="5" s="1"/>
  <c r="H19" i="3"/>
  <c r="D13" i="8"/>
  <c r="C18" i="11"/>
  <c r="C20" i="11" s="1"/>
  <c r="Q47" i="2"/>
  <c r="L73" i="2"/>
  <c r="L70" i="2"/>
  <c r="L65" i="2"/>
  <c r="L76" i="2"/>
  <c r="M11" i="3"/>
  <c r="L11" i="4" s="1"/>
  <c r="M7" i="2"/>
  <c r="M86" i="2"/>
  <c r="M67" i="2"/>
  <c r="M61" i="2"/>
  <c r="M64" i="2" s="1"/>
  <c r="M46" i="2"/>
  <c r="J45" i="8"/>
  <c r="J57" i="8" s="1"/>
  <c r="Q17" i="2"/>
  <c r="Q13" i="2" s="1"/>
  <c r="P13" i="2"/>
  <c r="K8" i="5"/>
  <c r="G10" i="7"/>
  <c r="K8" i="4"/>
  <c r="K83" i="2"/>
  <c r="H6" i="4"/>
  <c r="H17" i="4" s="1"/>
  <c r="H25" i="4" s="1"/>
  <c r="H27" i="4" s="1"/>
  <c r="H100" i="2"/>
  <c r="K13" i="4"/>
  <c r="K10" i="4" s="1"/>
  <c r="G18" i="7" s="1"/>
  <c r="G16" i="7"/>
  <c r="K20" i="4"/>
  <c r="F58" i="8"/>
  <c r="L23" i="3" s="1"/>
  <c r="G29" i="8"/>
  <c r="I99" i="2"/>
  <c r="I95" i="2"/>
  <c r="P47" i="2"/>
  <c r="O15" i="2"/>
  <c r="O9" i="2"/>
  <c r="O25" i="2" s="1"/>
  <c r="O14" i="2"/>
  <c r="P35" i="2"/>
  <c r="Q39" i="2"/>
  <c r="Q35" i="2" s="1"/>
  <c r="N11" i="2"/>
  <c r="N6" i="2"/>
  <c r="K71" i="2"/>
  <c r="K79" i="2"/>
  <c r="M73" i="2" l="1"/>
  <c r="M70" i="2"/>
  <c r="M65" i="2"/>
  <c r="M76" i="2"/>
  <c r="N11" i="3"/>
  <c r="M11" i="4" s="1"/>
  <c r="K89" i="2"/>
  <c r="K80" i="2"/>
  <c r="K94" i="2"/>
  <c r="F6" i="13"/>
  <c r="D6" i="13"/>
  <c r="Q26" i="2"/>
  <c r="H16" i="7"/>
  <c r="L20" i="4"/>
  <c r="I6" i="4"/>
  <c r="I17" i="4" s="1"/>
  <c r="I25" i="4" s="1"/>
  <c r="I27" i="4" s="1"/>
  <c r="I100" i="2"/>
  <c r="P15" i="2"/>
  <c r="P9" i="2"/>
  <c r="P14" i="2"/>
  <c r="P26" i="2"/>
  <c r="P25" i="2"/>
  <c r="M6" i="9"/>
  <c r="R42" i="3"/>
  <c r="M6" i="7"/>
  <c r="M15" i="11"/>
  <c r="L71" i="2"/>
  <c r="L79" i="2"/>
  <c r="J20" i="8"/>
  <c r="O22" i="4"/>
  <c r="O23" i="4" s="1"/>
  <c r="B4" i="14"/>
  <c r="E12" i="7"/>
  <c r="E20" i="7" s="1"/>
  <c r="Q36" i="2"/>
  <c r="Q37" i="2"/>
  <c r="F22" i="13"/>
  <c r="D22" i="13"/>
  <c r="F24" i="13"/>
  <c r="F23" i="13"/>
  <c r="D24" i="13"/>
  <c r="D23" i="13"/>
  <c r="J99" i="2"/>
  <c r="J95" i="2"/>
  <c r="L13" i="4"/>
  <c r="N64" i="2"/>
  <c r="N7" i="2"/>
  <c r="N67" i="2"/>
  <c r="N86" i="2"/>
  <c r="N61" i="2"/>
  <c r="N46" i="2"/>
  <c r="Q15" i="2"/>
  <c r="Q9" i="2"/>
  <c r="Q14" i="2" s="1"/>
  <c r="C3" i="14"/>
  <c r="D3" i="14"/>
  <c r="E3" i="14"/>
  <c r="F3" i="14"/>
  <c r="G3" i="14"/>
  <c r="H3" i="14"/>
  <c r="J46" i="8"/>
  <c r="K43" i="8" s="1"/>
  <c r="K46" i="8" s="1"/>
  <c r="L43" i="8" s="1"/>
  <c r="L46" i="8" s="1"/>
  <c r="F8" i="7"/>
  <c r="F12" i="7" s="1"/>
  <c r="F20" i="7" s="1"/>
  <c r="J90" i="2"/>
  <c r="P37" i="2"/>
  <c r="N12" i="3"/>
  <c r="M13" i="4" s="1"/>
  <c r="N26" i="3"/>
  <c r="M12" i="4" s="1"/>
  <c r="N10" i="2"/>
  <c r="O11" i="2"/>
  <c r="O6" i="2"/>
  <c r="O10" i="2" s="1"/>
  <c r="I13" i="3"/>
  <c r="I26" i="4"/>
  <c r="M6" i="5"/>
  <c r="M19" i="4" s="1"/>
  <c r="M82" i="2"/>
  <c r="H28" i="3"/>
  <c r="H15" i="3" s="1"/>
  <c r="I19" i="3"/>
  <c r="O36" i="2"/>
  <c r="L10" i="4"/>
  <c r="H18" i="7" s="1"/>
  <c r="G32" i="8"/>
  <c r="G36" i="8"/>
  <c r="G56" i="8" s="1"/>
  <c r="D24" i="7"/>
  <c r="C16" i="8"/>
  <c r="C23" i="8" s="1"/>
  <c r="D8" i="9" s="1"/>
  <c r="D12" i="9" s="1"/>
  <c r="K5" i="5"/>
  <c r="K9" i="5" s="1"/>
  <c r="K8" i="3"/>
  <c r="L8" i="5"/>
  <c r="H10" i="7"/>
  <c r="L8" i="4"/>
  <c r="L83" i="2"/>
  <c r="M20" i="4" l="1"/>
  <c r="I16" i="7"/>
  <c r="L8" i="3"/>
  <c r="L5" i="5"/>
  <c r="L9" i="5" s="1"/>
  <c r="O12" i="3"/>
  <c r="O26" i="3"/>
  <c r="N12" i="4" s="1"/>
  <c r="D21" i="13"/>
  <c r="D17" i="13"/>
  <c r="N73" i="2"/>
  <c r="N70" i="2"/>
  <c r="N65" i="2"/>
  <c r="N76" i="2"/>
  <c r="O11" i="3"/>
  <c r="N11" i="4" s="1"/>
  <c r="K99" i="2"/>
  <c r="K95" i="2"/>
  <c r="L92" i="2"/>
  <c r="L7" i="4" s="1"/>
  <c r="L15" i="4" s="1"/>
  <c r="G19" i="8"/>
  <c r="D16" i="8"/>
  <c r="D23" i="8" s="1"/>
  <c r="E8" i="9" s="1"/>
  <c r="E12" i="9" s="1"/>
  <c r="E24" i="7"/>
  <c r="C4" i="14"/>
  <c r="D4" i="14"/>
  <c r="E4" i="14"/>
  <c r="F4" i="14"/>
  <c r="G4" i="14"/>
  <c r="H4" i="14"/>
  <c r="P11" i="2"/>
  <c r="P6" i="2"/>
  <c r="G8" i="7"/>
  <c r="G12" i="7" s="1"/>
  <c r="G20" i="7" s="1"/>
  <c r="K90" i="2"/>
  <c r="G58" i="8"/>
  <c r="M23" i="3" s="1"/>
  <c r="H29" i="8"/>
  <c r="O64" i="2"/>
  <c r="O7" i="2"/>
  <c r="O67" i="2"/>
  <c r="O86" i="2"/>
  <c r="O61" i="2"/>
  <c r="O46" i="2"/>
  <c r="F21" i="13"/>
  <c r="E6" i="13"/>
  <c r="E17" i="13" s="1"/>
  <c r="N13" i="4"/>
  <c r="J6" i="4"/>
  <c r="J17" i="4" s="1"/>
  <c r="J25" i="4" s="1"/>
  <c r="J100" i="2"/>
  <c r="Q10" i="2"/>
  <c r="Q11" i="2"/>
  <c r="Q6" i="2"/>
  <c r="M10" i="4"/>
  <c r="I18" i="7" s="1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H29" i="3"/>
  <c r="P36" i="2"/>
  <c r="I28" i="3"/>
  <c r="J19" i="3"/>
  <c r="L89" i="2"/>
  <c r="L80" i="2"/>
  <c r="L94" i="2"/>
  <c r="J13" i="3"/>
  <c r="J15" i="3" s="1"/>
  <c r="J26" i="4"/>
  <c r="M8" i="5"/>
  <c r="I10" i="7"/>
  <c r="M8" i="4"/>
  <c r="M83" i="2"/>
  <c r="E16" i="8"/>
  <c r="E23" i="8" s="1"/>
  <c r="F8" i="9" s="1"/>
  <c r="F12" i="9" s="1"/>
  <c r="F24" i="7"/>
  <c r="Q25" i="2"/>
  <c r="M71" i="2"/>
  <c r="M79" i="2"/>
  <c r="N6" i="5"/>
  <c r="N19" i="4" s="1"/>
  <c r="N82" i="2"/>
  <c r="O73" i="2" l="1"/>
  <c r="O70" i="2"/>
  <c r="O65" i="2"/>
  <c r="O76" i="2"/>
  <c r="P11" i="3"/>
  <c r="O11" i="4" s="1"/>
  <c r="N71" i="2"/>
  <c r="N79" i="2"/>
  <c r="M89" i="2"/>
  <c r="M80" i="2"/>
  <c r="H8" i="7"/>
  <c r="H12" i="7" s="1"/>
  <c r="H20" i="7" s="1"/>
  <c r="L90" i="2"/>
  <c r="J27" i="4"/>
  <c r="N8" i="5"/>
  <c r="J10" i="7"/>
  <c r="N8" i="4"/>
  <c r="N83" i="2"/>
  <c r="L99" i="2"/>
  <c r="L95" i="2"/>
  <c r="F16" i="8"/>
  <c r="F23" i="8" s="1"/>
  <c r="G8" i="9" s="1"/>
  <c r="G12" i="9" s="1"/>
  <c r="G24" i="7"/>
  <c r="P7" i="2"/>
  <c r="P67" i="2"/>
  <c r="P86" i="2"/>
  <c r="P61" i="2"/>
  <c r="P64" i="2" s="1"/>
  <c r="P46" i="2"/>
  <c r="I15" i="3"/>
  <c r="I29" i="3" s="1"/>
  <c r="P10" i="2"/>
  <c r="M5" i="5"/>
  <c r="M9" i="5" s="1"/>
  <c r="M8" i="3"/>
  <c r="H32" i="8"/>
  <c r="H36" i="8"/>
  <c r="H56" i="8" s="1"/>
  <c r="K6" i="4"/>
  <c r="K17" i="4" s="1"/>
  <c r="K25" i="4" s="1"/>
  <c r="K100" i="2"/>
  <c r="O6" i="5"/>
  <c r="O19" i="4" s="1"/>
  <c r="O82" i="2"/>
  <c r="N10" i="4"/>
  <c r="J18" i="7" s="1"/>
  <c r="J16" i="7"/>
  <c r="N20" i="4"/>
  <c r="J28" i="3"/>
  <c r="J29" i="3" s="1"/>
  <c r="K19" i="3"/>
  <c r="Q64" i="2"/>
  <c r="Q7" i="2"/>
  <c r="Q86" i="2"/>
  <c r="Q67" i="2"/>
  <c r="Q61" i="2"/>
  <c r="Q46" i="2"/>
  <c r="P12" i="3"/>
  <c r="P26" i="3"/>
  <c r="O12" i="4" s="1"/>
  <c r="P73" i="2" l="1"/>
  <c r="P70" i="2"/>
  <c r="P65" i="2"/>
  <c r="P76" i="2"/>
  <c r="Q11" i="3"/>
  <c r="P11" i="4" s="1"/>
  <c r="H58" i="8"/>
  <c r="N23" i="3" s="1"/>
  <c r="I29" i="8"/>
  <c r="I8" i="7"/>
  <c r="M90" i="2"/>
  <c r="Q70" i="2"/>
  <c r="Q65" i="2"/>
  <c r="Q73" i="2"/>
  <c r="Q76" i="2"/>
  <c r="R11" i="3"/>
  <c r="N5" i="5"/>
  <c r="N9" i="5" s="1"/>
  <c r="N8" i="3"/>
  <c r="N89" i="2"/>
  <c r="N80" i="2"/>
  <c r="L19" i="3"/>
  <c r="K28" i="3"/>
  <c r="L6" i="4"/>
  <c r="L17" i="4" s="1"/>
  <c r="L25" i="4" s="1"/>
  <c r="L100" i="2"/>
  <c r="O10" i="4"/>
  <c r="K18" i="7" s="1"/>
  <c r="O8" i="5"/>
  <c r="K10" i="7"/>
  <c r="O8" i="4"/>
  <c r="O83" i="2"/>
  <c r="P6" i="5"/>
  <c r="P19" i="4" s="1"/>
  <c r="P82" i="2"/>
  <c r="O79" i="2"/>
  <c r="O71" i="2"/>
  <c r="K16" i="7"/>
  <c r="O20" i="4"/>
  <c r="Q26" i="3"/>
  <c r="P12" i="4" s="1"/>
  <c r="Q12" i="3"/>
  <c r="R26" i="3"/>
  <c r="Q12" i="4" s="1"/>
  <c r="R12" i="3"/>
  <c r="K26" i="4"/>
  <c r="K13" i="3"/>
  <c r="K15" i="3" s="1"/>
  <c r="K29" i="3" s="1"/>
  <c r="Q6" i="5"/>
  <c r="Q19" i="4" s="1"/>
  <c r="Q82" i="2"/>
  <c r="K27" i="4"/>
  <c r="H19" i="8"/>
  <c r="M92" i="2"/>
  <c r="O13" i="4"/>
  <c r="G16" i="8"/>
  <c r="G23" i="8" s="1"/>
  <c r="H8" i="9" s="1"/>
  <c r="H12" i="9" s="1"/>
  <c r="H24" i="7"/>
  <c r="O89" i="2" l="1"/>
  <c r="O80" i="2"/>
  <c r="O94" i="2"/>
  <c r="Q79" i="2"/>
  <c r="Q71" i="2"/>
  <c r="M10" i="7"/>
  <c r="Q8" i="4"/>
  <c r="Q83" i="2"/>
  <c r="Q8" i="5"/>
  <c r="L10" i="7"/>
  <c r="P8" i="4"/>
  <c r="P8" i="5"/>
  <c r="P83" i="2"/>
  <c r="M19" i="3"/>
  <c r="L28" i="3"/>
  <c r="I31" i="8"/>
  <c r="I57" i="8" s="1"/>
  <c r="I32" i="8"/>
  <c r="I36" i="8"/>
  <c r="I56" i="8" s="1"/>
  <c r="L26" i="4"/>
  <c r="L27" i="4" s="1"/>
  <c r="L13" i="3"/>
  <c r="L15" i="3" s="1"/>
  <c r="L29" i="3" s="1"/>
  <c r="C8" i="11"/>
  <c r="C9" i="11" s="1"/>
  <c r="I12" i="7"/>
  <c r="I20" i="7" s="1"/>
  <c r="J8" i="7"/>
  <c r="J12" i="7" s="1"/>
  <c r="J20" i="7" s="1"/>
  <c r="N90" i="2"/>
  <c r="Q13" i="4"/>
  <c r="O5" i="5"/>
  <c r="O9" i="5" s="1"/>
  <c r="O8" i="3"/>
  <c r="M16" i="7"/>
  <c r="Q20" i="4"/>
  <c r="P13" i="4"/>
  <c r="P10" i="4" s="1"/>
  <c r="L18" i="7" s="1"/>
  <c r="Q11" i="4"/>
  <c r="Q10" i="4" s="1"/>
  <c r="M18" i="7" s="1"/>
  <c r="P20" i="4"/>
  <c r="L16" i="7"/>
  <c r="P79" i="2"/>
  <c r="P71" i="2"/>
  <c r="M7" i="4"/>
  <c r="M15" i="4" s="1"/>
  <c r="M94" i="2"/>
  <c r="M26" i="4" l="1"/>
  <c r="M13" i="3"/>
  <c r="I16" i="8"/>
  <c r="J24" i="7"/>
  <c r="H16" i="8"/>
  <c r="H23" i="8" s="1"/>
  <c r="I8" i="9" s="1"/>
  <c r="I12" i="9" s="1"/>
  <c r="I24" i="7"/>
  <c r="I58" i="8"/>
  <c r="O23" i="3" s="1"/>
  <c r="J29" i="8"/>
  <c r="J32" i="8" s="1"/>
  <c r="I19" i="8"/>
  <c r="N92" i="2"/>
  <c r="M99" i="2"/>
  <c r="M95" i="2"/>
  <c r="N22" i="4"/>
  <c r="N23" i="4" s="1"/>
  <c r="I20" i="8"/>
  <c r="Q89" i="2"/>
  <c r="Q80" i="2"/>
  <c r="Q94" i="2"/>
  <c r="P5" i="5"/>
  <c r="P9" i="5" s="1"/>
  <c r="P8" i="3"/>
  <c r="O99" i="2"/>
  <c r="O95" i="2"/>
  <c r="N19" i="3"/>
  <c r="M28" i="3"/>
  <c r="P89" i="2"/>
  <c r="P80" i="2"/>
  <c r="P94" i="2"/>
  <c r="K8" i="7"/>
  <c r="K12" i="7" s="1"/>
  <c r="K20" i="7" s="1"/>
  <c r="O90" i="2"/>
  <c r="N7" i="4" l="1"/>
  <c r="N15" i="4" s="1"/>
  <c r="N94" i="2"/>
  <c r="J58" i="8"/>
  <c r="P23" i="3" s="1"/>
  <c r="K29" i="8"/>
  <c r="K32" i="8" s="1"/>
  <c r="M6" i="4"/>
  <c r="M17" i="4" s="1"/>
  <c r="M25" i="4" s="1"/>
  <c r="M27" i="4" s="1"/>
  <c r="M100" i="2"/>
  <c r="O100" i="2"/>
  <c r="O6" i="4"/>
  <c r="O17" i="4" s="1"/>
  <c r="O25" i="4" s="1"/>
  <c r="J16" i="8"/>
  <c r="J23" i="8" s="1"/>
  <c r="K8" i="9" s="1"/>
  <c r="K12" i="9" s="1"/>
  <c r="K24" i="7"/>
  <c r="I23" i="8"/>
  <c r="J8" i="9" s="1"/>
  <c r="J12" i="9" s="1"/>
  <c r="Q5" i="5"/>
  <c r="Q9" i="5" s="1"/>
  <c r="R8" i="3" s="1"/>
  <c r="Q8" i="3"/>
  <c r="Q95" i="2"/>
  <c r="Q99" i="2"/>
  <c r="P95" i="2"/>
  <c r="P99" i="2"/>
  <c r="M8" i="7"/>
  <c r="M12" i="7" s="1"/>
  <c r="M20" i="7" s="1"/>
  <c r="Q90" i="2"/>
  <c r="L8" i="7"/>
  <c r="L12" i="7" s="1"/>
  <c r="L20" i="7" s="1"/>
  <c r="P90" i="2"/>
  <c r="C10" i="11"/>
  <c r="C11" i="11" s="1"/>
  <c r="H19" i="11" s="1"/>
  <c r="H20" i="11" s="1"/>
  <c r="M15" i="3"/>
  <c r="M29" i="3" s="1"/>
  <c r="N28" i="3"/>
  <c r="H27" i="11" l="1"/>
  <c r="H31" i="11" s="1"/>
  <c r="C36" i="11" s="1"/>
  <c r="C38" i="11" s="1"/>
  <c r="C22" i="11"/>
  <c r="N26" i="4"/>
  <c r="N13" i="3"/>
  <c r="N15" i="3" s="1"/>
  <c r="N29" i="3" s="1"/>
  <c r="L16" i="8"/>
  <c r="L23" i="8" s="1"/>
  <c r="M8" i="9" s="1"/>
  <c r="C30" i="7"/>
  <c r="C31" i="7" s="1"/>
  <c r="M24" i="7"/>
  <c r="C33" i="7" s="1"/>
  <c r="Q6" i="4"/>
  <c r="Q17" i="4" s="1"/>
  <c r="Q25" i="4" s="1"/>
  <c r="Q100" i="2"/>
  <c r="K58" i="8"/>
  <c r="Q23" i="3" s="1"/>
  <c r="L29" i="8"/>
  <c r="L32" i="8" s="1"/>
  <c r="L58" i="8" s="1"/>
  <c r="R23" i="3" s="1"/>
  <c r="K16" i="8"/>
  <c r="K23" i="8" s="1"/>
  <c r="L8" i="9" s="1"/>
  <c r="L12" i="9" s="1"/>
  <c r="L24" i="7"/>
  <c r="P6" i="4"/>
  <c r="P17" i="4" s="1"/>
  <c r="P25" i="4" s="1"/>
  <c r="P100" i="2"/>
  <c r="N99" i="2"/>
  <c r="N95" i="2"/>
  <c r="C35" i="7" l="1"/>
  <c r="P45" i="7"/>
  <c r="C41" i="7"/>
  <c r="C40" i="7"/>
  <c r="C38" i="7"/>
  <c r="C18" i="9"/>
  <c r="C19" i="9" s="1"/>
  <c r="M12" i="9"/>
  <c r="C21" i="9" s="1"/>
  <c r="N6" i="4"/>
  <c r="N17" i="4" s="1"/>
  <c r="N25" i="4" s="1"/>
  <c r="N27" i="4" s="1"/>
  <c r="N100" i="2"/>
  <c r="O19" i="3"/>
  <c r="C39" i="11"/>
  <c r="B44" i="11"/>
  <c r="O28" i="3" l="1"/>
  <c r="P19" i="3"/>
  <c r="C23" i="9"/>
  <c r="C26" i="9" s="1"/>
  <c r="O26" i="4"/>
  <c r="O27" i="4" s="1"/>
  <c r="O13" i="3"/>
  <c r="O15" i="3" s="1"/>
  <c r="O29" i="3" s="1"/>
  <c r="P26" i="4" l="1"/>
  <c r="P27" i="4" s="1"/>
  <c r="P13" i="3"/>
  <c r="P15" i="3" s="1"/>
  <c r="P33" i="9"/>
  <c r="C29" i="9"/>
  <c r="C28" i="9"/>
  <c r="P28" i="3"/>
  <c r="Q19" i="3"/>
  <c r="Q28" i="3" l="1"/>
  <c r="R19" i="3"/>
  <c r="R28" i="3" s="1"/>
  <c r="P29" i="3"/>
  <c r="Q26" i="4"/>
  <c r="Q27" i="4" s="1"/>
  <c r="R13" i="3" s="1"/>
  <c r="R15" i="3" s="1"/>
  <c r="R29" i="3" s="1"/>
  <c r="Q13" i="3"/>
  <c r="Q15" i="3" s="1"/>
  <c r="Q2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M1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Assumed growth will reach to 10% in the next 5 years following an increasing trend for healthy drinks</t>
        </r>
      </text>
    </comment>
    <comment ref="M2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Assumed growth will reach to a moderate level of 8% in the next 5 years.</t>
        </r>
      </text>
    </comment>
    <comment ref="M30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Assumed a slow growth in the next 5 years and then a gradual decline after 5 years with increasing shift of focus towards health drinks</t>
        </r>
      </text>
    </comment>
    <comment ref="I4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Assumed at average of last 5 years level to continue in future</t>
        </r>
      </text>
    </comment>
    <comment ref="I54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Assumed that 2011 level to continue in future</t>
        </r>
      </text>
    </comment>
    <comment ref="I6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Assumed that 2011 level to continue in future</t>
        </r>
      </text>
    </comment>
    <comment ref="I7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Assumed a slight increase in the capex to cater to the increased demand in the forecast period and greadually declining to 1% in perpetuity (maintenance capex)</t>
        </r>
      </text>
    </comment>
    <comment ref="N7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Maintenance capex of 1% assumed after 5 years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2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Based on inflation in UAE
http://www.indexmundi.com/united_arab_emirates/inflation_rate_(consumer_prices).html</t>
        </r>
      </text>
    </comment>
    <comment ref="E2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Based on inflation in UAE
http://www.indexmundi.com/united_arab_emirates/inflation_rate_(consumer_prices).html</t>
        </r>
      </text>
    </comment>
    <comment ref="F2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Based on inflation in UAE
http://www.indexmundi.com/united_arab_emirates/inflation_rate_(consumer_prices).html</t>
        </r>
      </text>
    </comment>
    <comment ref="G2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Based on inflation in UAE
http://www.indexmundi.com/united_arab_emirates/inflation_rate_(consumer_prices).html</t>
        </r>
      </text>
    </comment>
    <comment ref="H2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Based on inflation in UAE
http://www.indexmundi.com/united_arab_emirates/inflation_rate_(consumer_prices).html</t>
        </r>
      </text>
    </comment>
    <comment ref="I2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Based on inflation in UAE
http://www.indexmundi.com/united_arab_emirates/inflation_rate_(consumer_prices).html</t>
        </r>
      </text>
    </comment>
    <comment ref="J21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Based on inflation in UAE
http://www.indexmundi.com/united_arab_emirates/inflation_rate_(consumer_prices).html</t>
        </r>
      </text>
    </comment>
    <comment ref="K21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Assumed inflation at 2% and gradually declined to 1%</t>
        </r>
      </text>
    </comment>
    <comment ref="E56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As per the reserach report (Pg.42)</t>
        </r>
      </text>
    </comment>
    <comment ref="E58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Assumed market share</t>
        </r>
      </text>
    </comment>
    <comment ref="H62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Based on average on last year's discount offered</t>
        </r>
      </text>
    </comment>
    <comment ref="Q84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 xml:space="preserve">Gradually increased to 95% of capex in the perpetuity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2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Balancing Figure</t>
        </r>
      </text>
    </comment>
    <comment ref="C32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Assumed a current ration of 3:1 (average of processed food industry and Dairy/Juice in GCC)</t>
        </r>
      </text>
    </comment>
    <comment ref="I43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Days Assumed based on last years policy</t>
        </r>
      </text>
    </comment>
    <comment ref="I4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Days Assumed based on last years policy</t>
        </r>
      </text>
    </comment>
    <comment ref="I45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Days Assumed based on last years policy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Assumed full depreciation of assets sold and zero salvage value</t>
        </r>
      </text>
    </comment>
    <comment ref="H7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Assumed full depreciation of assets sold and zero salvage value</t>
        </r>
      </text>
    </comment>
    <comment ref="C8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Assumed same as 2008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7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Assumed a repayment of $5m based on trend between 2008-2011</t>
        </r>
      </text>
    </comment>
    <comment ref="C10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Assumed a 1% spread to sovereing bonds yield of 5%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9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Assumed Interest rate &amp; tenure</t>
        </r>
      </text>
    </comment>
    <comment ref="F9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Assumed Interest rate &amp; tenure</t>
        </r>
      </text>
    </comment>
    <comment ref="E10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Assumed Interest rate &amp; tenure</t>
        </r>
      </text>
    </comment>
    <comment ref="F10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Assumed Interest rate &amp; tenure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7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Assumed a hurdle rate of 15% as the proposal is evaluated from the perspective of a private equity player</t>
        </r>
      </text>
    </comment>
  </commentList>
</comments>
</file>

<file path=xl/sharedStrings.xml><?xml version="1.0" encoding="utf-8"?>
<sst xmlns="http://schemas.openxmlformats.org/spreadsheetml/2006/main" count="322" uniqueCount="210">
  <si>
    <t>Select Case</t>
  </si>
  <si>
    <t>Base Case</t>
  </si>
  <si>
    <t>Downside case</t>
  </si>
  <si>
    <t>Upside case</t>
  </si>
  <si>
    <t>Inputs</t>
  </si>
  <si>
    <t>Juices/Sports Energy Drinks Volume Growth</t>
  </si>
  <si>
    <t>Actual</t>
  </si>
  <si>
    <t>Base</t>
  </si>
  <si>
    <t>Downside</t>
  </si>
  <si>
    <t>Upside</t>
  </si>
  <si>
    <t>Water Volume Growth</t>
  </si>
  <si>
    <t>Carbonates Volume Growth</t>
  </si>
  <si>
    <t>Confectionery Volume Growth</t>
  </si>
  <si>
    <t>COGS as % of Gross Sales</t>
  </si>
  <si>
    <t>Selling expenses as % of Net Sales</t>
  </si>
  <si>
    <t>General and Administrative as % of Net Sales</t>
  </si>
  <si>
    <t>Capex as a % of Gross Sales</t>
  </si>
  <si>
    <t>Income Statement</t>
  </si>
  <si>
    <t>(YE 31-Dec, USDm)</t>
  </si>
  <si>
    <t>Gross Sales</t>
  </si>
  <si>
    <t>% growth</t>
  </si>
  <si>
    <t>Beverages</t>
  </si>
  <si>
    <t>% of Gross Sales</t>
  </si>
  <si>
    <t>% Growth</t>
  </si>
  <si>
    <t>Juices/Sports Energy Drinks</t>
  </si>
  <si>
    <t>% of Beverage Sales</t>
  </si>
  <si>
    <t>Juices/Sports Energy Drinks Volumes (mLtrs)</t>
  </si>
  <si>
    <t>Price per litre ($)</t>
  </si>
  <si>
    <t>Water</t>
  </si>
  <si>
    <t>Water Volumes (mLtrs)</t>
  </si>
  <si>
    <t>Carbonates</t>
  </si>
  <si>
    <t>Carbonates Volumes (mLtrs)</t>
  </si>
  <si>
    <t>Confectionery</t>
  </si>
  <si>
    <t>Confectionery Volumes (mKgs)</t>
  </si>
  <si>
    <t>Price per KG ($)</t>
  </si>
  <si>
    <t>Market Size</t>
  </si>
  <si>
    <t>Market Share in Confectionery Ind.(%)</t>
  </si>
  <si>
    <t>Discounts and Rebates</t>
  </si>
  <si>
    <t>Net Sales</t>
  </si>
  <si>
    <t>Cost of Goods Sold</t>
  </si>
  <si>
    <t>Gross Profit</t>
  </si>
  <si>
    <t>% of Net Sales</t>
  </si>
  <si>
    <t>Selling Expenses</t>
  </si>
  <si>
    <t>General &amp; Administrative Expenses</t>
  </si>
  <si>
    <t>EBIT</t>
  </si>
  <si>
    <t>% margin</t>
  </si>
  <si>
    <t>Depreciation &amp; Amortisation</t>
  </si>
  <si>
    <t>% of Gross sales</t>
  </si>
  <si>
    <t>% of Capex</t>
  </si>
  <si>
    <t>Capital Expenditure</t>
  </si>
  <si>
    <t>EBITDA</t>
  </si>
  <si>
    <t>Interest Expense</t>
  </si>
  <si>
    <t>EBT</t>
  </si>
  <si>
    <t>Taxes</t>
  </si>
  <si>
    <t>PAT (Carried over to Retained Earnings)</t>
  </si>
  <si>
    <t>Capex</t>
  </si>
  <si>
    <t>EBITDA-Capex</t>
  </si>
  <si>
    <t>EBITDA-Capex / EBITDA</t>
  </si>
  <si>
    <t>Capex / Net Sales</t>
  </si>
  <si>
    <t>ROE</t>
  </si>
  <si>
    <t>ROA</t>
  </si>
  <si>
    <t>Balance Sheet</t>
  </si>
  <si>
    <t>2011 (Adj.)</t>
  </si>
  <si>
    <t>Assets</t>
  </si>
  <si>
    <t>Fixed Assets</t>
  </si>
  <si>
    <t>Transaction GW (as per LBO)</t>
  </si>
  <si>
    <t>Current Assets</t>
  </si>
  <si>
    <t>Accounts Receivables</t>
  </si>
  <si>
    <t>Inventory</t>
  </si>
  <si>
    <t>Cash</t>
  </si>
  <si>
    <t>Total Assets</t>
  </si>
  <si>
    <t>Liabilities</t>
  </si>
  <si>
    <t>Shareholders' Funds</t>
  </si>
  <si>
    <t>Equity Share Capital</t>
  </si>
  <si>
    <t>Retained Earnings</t>
  </si>
  <si>
    <t>Long Term Debt</t>
  </si>
  <si>
    <t>Current Liabilities</t>
  </si>
  <si>
    <t>Accounts Payables</t>
  </si>
  <si>
    <t>Total Liabilities</t>
  </si>
  <si>
    <t>Check</t>
  </si>
  <si>
    <t>Current Ratio</t>
  </si>
  <si>
    <t>Industry Average - GCC</t>
  </si>
  <si>
    <t>Assumed Current Ratio of Company</t>
  </si>
  <si>
    <t>Assumed Current Assets</t>
  </si>
  <si>
    <t>Balance Cash</t>
  </si>
  <si>
    <t>Days Payable Calculation</t>
  </si>
  <si>
    <t>Accounts Receivables Days</t>
  </si>
  <si>
    <t>Accounts Payables Days</t>
  </si>
  <si>
    <t>Inventory Days</t>
  </si>
  <si>
    <t>WC</t>
  </si>
  <si>
    <t>Net Debt</t>
  </si>
  <si>
    <t>Cash Flow Statement</t>
  </si>
  <si>
    <t>Net Profit</t>
  </si>
  <si>
    <t>Add: Interest</t>
  </si>
  <si>
    <t>Add: Depreciation &amp; Amortisation</t>
  </si>
  <si>
    <t>Changes in working capital</t>
  </si>
  <si>
    <t>Change in Accounts receivables</t>
  </si>
  <si>
    <t>Change in Accounts payables</t>
  </si>
  <si>
    <t>Change in Accounts inventory</t>
  </si>
  <si>
    <t>Less: Interest Expenses</t>
  </si>
  <si>
    <t>Less: Taxes</t>
  </si>
  <si>
    <t>Cash Flow from Operating Activities</t>
  </si>
  <si>
    <t>Cash Flow from Investing Activities</t>
  </si>
  <si>
    <t>Debt Repayment</t>
  </si>
  <si>
    <t>Cash Flow from Financing Activities</t>
  </si>
  <si>
    <t>Net Change in cash during the year</t>
  </si>
  <si>
    <t>Add: Opening Cash Flow</t>
  </si>
  <si>
    <t>Closing Cash Flow</t>
  </si>
  <si>
    <t>PPE Schedule</t>
  </si>
  <si>
    <t>Opening Balance</t>
  </si>
  <si>
    <t>(+) Additions</t>
  </si>
  <si>
    <t>(-) Sale</t>
  </si>
  <si>
    <t>(-) Depreciation</t>
  </si>
  <si>
    <t>Closing Balance</t>
  </si>
  <si>
    <t>Debt Schedule</t>
  </si>
  <si>
    <t>(-) Repayment</t>
  </si>
  <si>
    <t>Interest Rate</t>
  </si>
  <si>
    <t>LBO financed after 2011</t>
  </si>
  <si>
    <t>Juice Co.</t>
  </si>
  <si>
    <t xml:space="preserve">Discounted Cash Flow </t>
  </si>
  <si>
    <t>D&amp;A</t>
  </si>
  <si>
    <t>NWC Change</t>
  </si>
  <si>
    <t>FCF</t>
  </si>
  <si>
    <t>Factor</t>
  </si>
  <si>
    <t>Discounted FCF</t>
  </si>
  <si>
    <t>WACC</t>
  </si>
  <si>
    <t>PGR</t>
  </si>
  <si>
    <t>Terminal value</t>
  </si>
  <si>
    <t>Discounted TV</t>
  </si>
  <si>
    <t>PV of CF</t>
  </si>
  <si>
    <t>EV</t>
  </si>
  <si>
    <t>Minority Interest</t>
  </si>
  <si>
    <t>Equity Value</t>
  </si>
  <si>
    <t>1 Year Fwd EV/EBITDA</t>
  </si>
  <si>
    <t>1 Year Fwd EV/EBIT</t>
  </si>
  <si>
    <t>Sensitivity Table</t>
  </si>
  <si>
    <t>LBO Modelling</t>
  </si>
  <si>
    <t>($m)</t>
  </si>
  <si>
    <t>LTM EBITDA (2011A)</t>
  </si>
  <si>
    <t>EBITDA FY+1 (2012)</t>
  </si>
  <si>
    <t>Assumed Valuation (FY+1 EV/EBITDA)</t>
  </si>
  <si>
    <t>Assumed Leverage Level (LTM EBITDA)</t>
  </si>
  <si>
    <t>LBO Net Debt (Total)</t>
  </si>
  <si>
    <t>Senior Debt</t>
  </si>
  <si>
    <t>7 years</t>
  </si>
  <si>
    <t>Sub Debt</t>
  </si>
  <si>
    <t>8 years</t>
  </si>
  <si>
    <t>Enterprise Value</t>
  </si>
  <si>
    <t>Average Cost of debt</t>
  </si>
  <si>
    <t>Equity Value in BS</t>
  </si>
  <si>
    <t>Free Cash Flow before Financing</t>
  </si>
  <si>
    <t>Less:</t>
  </si>
  <si>
    <t>Interest Payments</t>
  </si>
  <si>
    <t>Repayments</t>
  </si>
  <si>
    <t>Cash utilised to make repayments</t>
  </si>
  <si>
    <t>Cash Available to equity holders</t>
  </si>
  <si>
    <t>Subordinated Debt</t>
  </si>
  <si>
    <t>Cash Outflow &amp; Debt</t>
  </si>
  <si>
    <t>Interest</t>
  </si>
  <si>
    <t>Repayment</t>
  </si>
  <si>
    <t>Debt Outstanding</t>
  </si>
  <si>
    <t>IRR Valuation</t>
  </si>
  <si>
    <t>Free Cash Flow to Equity</t>
  </si>
  <si>
    <t>COE</t>
  </si>
  <si>
    <t>Welcome to WallStreetOasis' free financial model templates! Download more free templates, master your finance career, and get top interviewing/networking/modeling tips at WallStreetOasis.com. You can find other services and information at WSO below:</t>
  </si>
  <si>
    <t>FREE RESOURCES</t>
  </si>
  <si>
    <t>PREMIUM RESOURCES &amp; SERVICES</t>
  </si>
  <si>
    <t>Join the WSO Community! &gt;&gt;</t>
  </si>
  <si>
    <t>Interview &amp; Prep Courses (IB, PE, HF, Consulting) &gt;&gt;</t>
  </si>
  <si>
    <t>Top FAQs &amp; Resources &gt;&gt;</t>
  </si>
  <si>
    <t>Resume Review Service &gt;&gt;</t>
  </si>
  <si>
    <t>Industry Reports &amp; Company Database &gt;&gt;</t>
  </si>
  <si>
    <t>Find a Mentor &gt;&gt;</t>
  </si>
  <si>
    <t>WSO Templates (Resume, Networking, Models, etc) &gt;&gt;</t>
  </si>
  <si>
    <t>GMAT/Series 7 Exam Prep Courses &gt;&gt;</t>
  </si>
  <si>
    <t>The Talent Oasis - Land a Job! &gt;&gt;</t>
  </si>
  <si>
    <t>IRR Returns Analysis</t>
  </si>
  <si>
    <t>Returns in 5 years</t>
  </si>
  <si>
    <t>Entry Multiple (FY1 EBITDA)</t>
  </si>
  <si>
    <t>EBITDA FY1</t>
  </si>
  <si>
    <t>EXIT Multiple (5 years)</t>
  </si>
  <si>
    <t>EBITDA FY1 (EXIT)</t>
  </si>
  <si>
    <t>Enterprise Value (EXIT) $m</t>
  </si>
  <si>
    <t>Less: Net Debt</t>
  </si>
  <si>
    <t>Equity Value (EXIT) $m</t>
  </si>
  <si>
    <t>Equity Investment</t>
  </si>
  <si>
    <t>Equity inflow at the time of sale</t>
  </si>
  <si>
    <t>Total Cashflows</t>
  </si>
  <si>
    <t>IRR</t>
  </si>
  <si>
    <t>Entry Equity Value</t>
  </si>
  <si>
    <t>Enterprise value</t>
  </si>
  <si>
    <t>EV/EBITDA FY+1</t>
  </si>
  <si>
    <t>5 year Exit scenario (Exit Multiple = 12.0x FY+1 EBITDA)</t>
  </si>
  <si>
    <t>Entry Price</t>
  </si>
  <si>
    <t>Target capital structure</t>
  </si>
  <si>
    <t>Debt</t>
  </si>
  <si>
    <t>Equity</t>
  </si>
  <si>
    <t>Cost of Equity</t>
  </si>
  <si>
    <t>pre-tax Cost of Debt</t>
  </si>
  <si>
    <t>Post tax cost of debt</t>
  </si>
  <si>
    <t>FY1</t>
  </si>
  <si>
    <t>Trading Comps FY+1 EBITDA</t>
  </si>
  <si>
    <t>FY+1 EBITDA</t>
  </si>
  <si>
    <t>DCF</t>
  </si>
  <si>
    <t>10-12% WACC, 1.5-2.5% PGR</t>
  </si>
  <si>
    <t>FCFE</t>
  </si>
  <si>
    <t>14-16% CoE, 1.5-2.5% PGR</t>
  </si>
  <si>
    <t>LBO (5 year exit)</t>
  </si>
  <si>
    <t>5 Year exit, Exit Multiple = 12x, Returns: 20-25%</t>
  </si>
  <si>
    <t>FY2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</si>
</sst>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;\(#,##0\);\-\-"/>
    <numFmt numFmtId="165" formatCode="0&quot;A&quot;"/>
    <numFmt numFmtId="166" formatCode="0&quot;E&quot;"/>
    <numFmt numFmtId="167" formatCode="#,##0.0;\(#,##0.0\);\-\-"/>
    <numFmt numFmtId="168" formatCode="0%;\(0%\)"/>
    <numFmt numFmtId="169" formatCode="0&quot; days&quot;"/>
    <numFmt numFmtId="170" formatCode="0.0%"/>
    <numFmt numFmtId="171" formatCode="0.0"/>
    <numFmt numFmtId="172" formatCode="0.0\x"/>
    <numFmt numFmtId="173" formatCode="#,##0.0"/>
    <numFmt numFmtId="174" formatCode="0.0;\(0.0\)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sz val="10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3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8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dashed">
        <color theme="0" tint="-0.14990691854609822"/>
      </right>
      <top/>
      <bottom/>
      <diagonal/>
    </border>
    <border>
      <left/>
      <right style="dashed">
        <color theme="0" tint="-0.14990691854609822"/>
      </right>
      <top/>
      <bottom style="thin">
        <color theme="0" tint="-0.24994659260841701"/>
      </bottom>
      <diagonal/>
    </border>
    <border>
      <left style="thin">
        <color theme="0"/>
      </left>
      <right style="dashed">
        <color theme="0" tint="-0.14990691854609822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dashed">
        <color theme="0" tint="-0.14990691854609822"/>
      </right>
      <top style="thin">
        <color auto="1"/>
      </top>
      <bottom/>
      <diagonal/>
    </border>
    <border>
      <left/>
      <right style="dashed">
        <color theme="0" tint="-0.14990691854609822"/>
      </right>
      <top/>
      <bottom style="thin">
        <color auto="1"/>
      </bottom>
      <diagonal/>
    </border>
    <border>
      <left/>
      <right style="dashed">
        <color theme="0" tint="-0.14990691854609822"/>
      </right>
      <top style="thin">
        <color auto="1"/>
      </top>
      <bottom style="double">
        <color auto="1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dashed">
        <color theme="0" tint="-0.14990691854609822"/>
      </right>
      <top style="thin">
        <color theme="0" tint="-0.14990691854609822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9" fontId="6" fillId="0" borderId="0"/>
    <xf numFmtId="0" fontId="1" fillId="0" borderId="0"/>
    <xf numFmtId="0" fontId="26" fillId="0" borderId="0"/>
  </cellStyleXfs>
  <cellXfs count="226">
    <xf numFmtId="0" fontId="0" fillId="0" borderId="0" xfId="0"/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/>
    <xf numFmtId="164" fontId="8" fillId="0" borderId="0" xfId="0" applyNumberFormat="1" applyFont="1"/>
    <xf numFmtId="167" fontId="7" fillId="0" borderId="0" xfId="0" applyNumberFormat="1" applyFont="1"/>
    <xf numFmtId="167" fontId="8" fillId="0" borderId="0" xfId="0" applyNumberFormat="1" applyFont="1"/>
    <xf numFmtId="9" fontId="8" fillId="0" borderId="0" xfId="0" applyNumberFormat="1" applyFont="1"/>
    <xf numFmtId="9" fontId="8" fillId="2" borderId="0" xfId="0" applyNumberFormat="1" applyFont="1" applyFill="1"/>
    <xf numFmtId="9" fontId="8" fillId="3" borderId="0" xfId="0" applyNumberFormat="1" applyFont="1" applyFill="1"/>
    <xf numFmtId="9" fontId="8" fillId="4" borderId="0" xfId="0" applyNumberFormat="1" applyFont="1" applyFill="1"/>
    <xf numFmtId="167" fontId="7" fillId="3" borderId="0" xfId="0" applyNumberFormat="1" applyFont="1" applyFill="1"/>
    <xf numFmtId="9" fontId="7" fillId="0" borderId="0" xfId="0" applyNumberFormat="1" applyFont="1"/>
    <xf numFmtId="164" fontId="7" fillId="0" borderId="0" xfId="0" applyNumberFormat="1" applyFont="1" applyAlignment="1">
      <alignment horizontal="left" indent="1"/>
    </xf>
    <xf numFmtId="164" fontId="8" fillId="0" borderId="0" xfId="0" applyNumberFormat="1" applyFont="1" applyAlignment="1">
      <alignment horizontal="left" indent="1"/>
    </xf>
    <xf numFmtId="164" fontId="7" fillId="0" borderId="0" xfId="0" applyNumberFormat="1" applyFont="1" applyAlignment="1">
      <alignment horizontal="left" indent="2"/>
    </xf>
    <xf numFmtId="164" fontId="8" fillId="0" borderId="0" xfId="0" applyNumberFormat="1" applyFont="1" applyAlignment="1">
      <alignment horizontal="left" indent="2"/>
    </xf>
    <xf numFmtId="164" fontId="9" fillId="0" borderId="0" xfId="0" applyNumberFormat="1" applyFont="1" applyAlignment="1">
      <alignment horizontal="left" indent="1"/>
    </xf>
    <xf numFmtId="164" fontId="9" fillId="0" borderId="0" xfId="0" applyNumberFormat="1" applyFont="1"/>
    <xf numFmtId="164" fontId="7" fillId="0" borderId="15" xfId="0" applyNumberFormat="1" applyFont="1" applyBorder="1"/>
    <xf numFmtId="167" fontId="7" fillId="0" borderId="15" xfId="0" applyNumberFormat="1" applyFont="1" applyBorder="1"/>
    <xf numFmtId="167" fontId="9" fillId="0" borderId="0" xfId="0" applyNumberFormat="1" applyFont="1"/>
    <xf numFmtId="164" fontId="7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168" fontId="8" fillId="0" borderId="0" xfId="0" applyNumberFormat="1" applyFont="1"/>
    <xf numFmtId="164" fontId="8" fillId="0" borderId="0" xfId="0" applyNumberFormat="1" applyFont="1" applyAlignment="1">
      <alignment horizontal="left" indent="3"/>
    </xf>
    <xf numFmtId="164" fontId="8" fillId="0" borderId="0" xfId="0" applyNumberFormat="1" applyFont="1" applyAlignment="1">
      <alignment horizontal="left"/>
    </xf>
    <xf numFmtId="164" fontId="9" fillId="0" borderId="1" xfId="0" applyNumberFormat="1" applyFont="1" applyBorder="1" applyAlignment="1">
      <alignment horizontal="left"/>
    </xf>
    <xf numFmtId="167" fontId="9" fillId="0" borderId="1" xfId="0" applyNumberFormat="1" applyFont="1" applyBorder="1"/>
    <xf numFmtId="164" fontId="9" fillId="5" borderId="0" xfId="0" applyNumberFormat="1" applyFont="1" applyFill="1"/>
    <xf numFmtId="164" fontId="7" fillId="0" borderId="1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167" fontId="7" fillId="0" borderId="3" xfId="0" applyNumberFormat="1" applyFont="1" applyBorder="1"/>
    <xf numFmtId="164" fontId="7" fillId="0" borderId="4" xfId="0" applyNumberFormat="1" applyFont="1" applyBorder="1" applyAlignment="1">
      <alignment horizontal="left"/>
    </xf>
    <xf numFmtId="167" fontId="7" fillId="0" borderId="5" xfId="0" applyNumberFormat="1" applyFont="1" applyBorder="1"/>
    <xf numFmtId="164" fontId="7" fillId="0" borderId="4" xfId="0" applyNumberFormat="1" applyFont="1" applyBorder="1" applyAlignment="1">
      <alignment horizontal="left" indent="2"/>
    </xf>
    <xf numFmtId="164" fontId="8" fillId="0" borderId="4" xfId="0" applyNumberFormat="1" applyFont="1" applyBorder="1" applyAlignment="1">
      <alignment horizontal="left" indent="2"/>
    </xf>
    <xf numFmtId="9" fontId="8" fillId="0" borderId="5" xfId="0" applyNumberFormat="1" applyFont="1" applyBorder="1"/>
    <xf numFmtId="164" fontId="7" fillId="0" borderId="6" xfId="0" applyNumberFormat="1" applyFont="1" applyBorder="1" applyAlignment="1">
      <alignment horizontal="left"/>
    </xf>
    <xf numFmtId="164" fontId="7" fillId="5" borderId="6" xfId="0" applyNumberFormat="1" applyFont="1" applyFill="1" applyBorder="1" applyAlignment="1">
      <alignment horizontal="left"/>
    </xf>
    <xf numFmtId="167" fontId="7" fillId="5" borderId="7" xfId="0" applyNumberFormat="1" applyFont="1" applyFill="1" applyBorder="1"/>
    <xf numFmtId="164" fontId="10" fillId="0" borderId="0" xfId="0" applyNumberFormat="1" applyFont="1"/>
    <xf numFmtId="164" fontId="10" fillId="0" borderId="0" xfId="0" applyNumberFormat="1" applyFont="1" applyAlignment="1">
      <alignment horizontal="left" indent="2"/>
    </xf>
    <xf numFmtId="167" fontId="10" fillId="0" borderId="0" xfId="0" applyNumberFormat="1" applyFont="1"/>
    <xf numFmtId="165" fontId="11" fillId="6" borderId="16" xfId="0" applyNumberFormat="1" applyFont="1" applyFill="1" applyBorder="1"/>
    <xf numFmtId="166" fontId="11" fillId="6" borderId="16" xfId="0" applyNumberFormat="1" applyFont="1" applyFill="1" applyBorder="1"/>
    <xf numFmtId="165" fontId="7" fillId="0" borderId="17" xfId="0" applyNumberFormat="1" applyFont="1" applyBorder="1"/>
    <xf numFmtId="167" fontId="7" fillId="0" borderId="17" xfId="0" applyNumberFormat="1" applyFont="1" applyBorder="1"/>
    <xf numFmtId="9" fontId="8" fillId="0" borderId="17" xfId="0" applyNumberFormat="1" applyFont="1" applyBorder="1"/>
    <xf numFmtId="9" fontId="8" fillId="3" borderId="17" xfId="0" applyNumberFormat="1" applyFont="1" applyFill="1" applyBorder="1"/>
    <xf numFmtId="9" fontId="8" fillId="2" borderId="17" xfId="0" applyNumberFormat="1" applyFont="1" applyFill="1" applyBorder="1"/>
    <xf numFmtId="167" fontId="8" fillId="0" borderId="17" xfId="0" applyNumberFormat="1" applyFont="1" applyBorder="1"/>
    <xf numFmtId="9" fontId="7" fillId="0" borderId="17" xfId="0" applyNumberFormat="1" applyFont="1" applyBorder="1"/>
    <xf numFmtId="167" fontId="7" fillId="0" borderId="18" xfId="0" applyNumberFormat="1" applyFont="1" applyBorder="1"/>
    <xf numFmtId="164" fontId="12" fillId="6" borderId="0" xfId="0" applyNumberFormat="1" applyFont="1" applyFill="1"/>
    <xf numFmtId="164" fontId="12" fillId="6" borderId="16" xfId="0" applyNumberFormat="1" applyFont="1" applyFill="1" applyBorder="1"/>
    <xf numFmtId="165" fontId="13" fillId="6" borderId="16" xfId="0" applyNumberFormat="1" applyFont="1" applyFill="1" applyBorder="1"/>
    <xf numFmtId="165" fontId="13" fillId="6" borderId="19" xfId="0" applyNumberFormat="1" applyFont="1" applyFill="1" applyBorder="1"/>
    <xf numFmtId="166" fontId="13" fillId="6" borderId="20" xfId="0" applyNumberFormat="1" applyFont="1" applyFill="1" applyBorder="1"/>
    <xf numFmtId="166" fontId="13" fillId="6" borderId="16" xfId="0" applyNumberFormat="1" applyFont="1" applyFill="1" applyBorder="1"/>
    <xf numFmtId="164" fontId="13" fillId="6" borderId="0" xfId="0" applyNumberFormat="1" applyFont="1" applyFill="1"/>
    <xf numFmtId="167" fontId="9" fillId="0" borderId="17" xfId="0" applyNumberFormat="1" applyFont="1" applyBorder="1"/>
    <xf numFmtId="164" fontId="9" fillId="0" borderId="8" xfId="0" applyNumberFormat="1" applyFont="1" applyBorder="1"/>
    <xf numFmtId="167" fontId="7" fillId="0" borderId="8" xfId="0" applyNumberFormat="1" applyFont="1" applyBorder="1"/>
    <xf numFmtId="167" fontId="9" fillId="0" borderId="8" xfId="0" applyNumberFormat="1" applyFont="1" applyBorder="1"/>
    <xf numFmtId="167" fontId="9" fillId="0" borderId="21" xfId="0" applyNumberFormat="1" applyFont="1" applyBorder="1"/>
    <xf numFmtId="164" fontId="14" fillId="6" borderId="0" xfId="0" applyNumberFormat="1" applyFont="1" applyFill="1"/>
    <xf numFmtId="165" fontId="12" fillId="6" borderId="16" xfId="0" applyNumberFormat="1" applyFont="1" applyFill="1" applyBorder="1"/>
    <xf numFmtId="164" fontId="7" fillId="2" borderId="9" xfId="0" applyNumberFormat="1" applyFont="1" applyFill="1" applyBorder="1" applyAlignment="1">
      <alignment horizontal="left"/>
    </xf>
    <xf numFmtId="9" fontId="7" fillId="2" borderId="10" xfId="0" applyNumberFormat="1" applyFont="1" applyFill="1" applyBorder="1"/>
    <xf numFmtId="167" fontId="7" fillId="2" borderId="11" xfId="0" applyNumberFormat="1" applyFont="1" applyFill="1" applyBorder="1"/>
    <xf numFmtId="167" fontId="7" fillId="2" borderId="10" xfId="0" applyNumberFormat="1" applyFont="1" applyFill="1" applyBorder="1"/>
    <xf numFmtId="167" fontId="9" fillId="5" borderId="0" xfId="0" applyNumberFormat="1" applyFont="1" applyFill="1"/>
    <xf numFmtId="167" fontId="9" fillId="5" borderId="17" xfId="0" applyNumberFormat="1" applyFont="1" applyFill="1" applyBorder="1"/>
    <xf numFmtId="169" fontId="7" fillId="0" borderId="17" xfId="0" applyNumberFormat="1" applyFont="1" applyBorder="1"/>
    <xf numFmtId="164" fontId="13" fillId="6" borderId="2" xfId="0" applyNumberFormat="1" applyFont="1" applyFill="1" applyBorder="1" applyAlignment="1">
      <alignment horizontal="left"/>
    </xf>
    <xf numFmtId="169" fontId="7" fillId="0" borderId="0" xfId="0" applyNumberFormat="1" applyFont="1"/>
    <xf numFmtId="169" fontId="7" fillId="3" borderId="0" xfId="0" applyNumberFormat="1" applyFont="1" applyFill="1"/>
    <xf numFmtId="169" fontId="7" fillId="0" borderId="5" xfId="0" applyNumberFormat="1" applyFont="1" applyBorder="1"/>
    <xf numFmtId="169" fontId="7" fillId="0" borderId="12" xfId="0" applyNumberFormat="1" applyFont="1" applyBorder="1"/>
    <xf numFmtId="169" fontId="7" fillId="0" borderId="22" xfId="0" applyNumberFormat="1" applyFont="1" applyBorder="1"/>
    <xf numFmtId="169" fontId="7" fillId="3" borderId="12" xfId="0" applyNumberFormat="1" applyFont="1" applyFill="1" applyBorder="1"/>
    <xf numFmtId="169" fontId="7" fillId="0" borderId="7" xfId="0" applyNumberFormat="1" applyFont="1" applyBorder="1"/>
    <xf numFmtId="164" fontId="9" fillId="5" borderId="1" xfId="0" applyNumberFormat="1" applyFont="1" applyFill="1" applyBorder="1" applyAlignment="1">
      <alignment horizontal="left"/>
    </xf>
    <xf numFmtId="167" fontId="7" fillId="5" borderId="1" xfId="0" applyNumberFormat="1" applyFont="1" applyFill="1" applyBorder="1"/>
    <xf numFmtId="167" fontId="9" fillId="5" borderId="1" xfId="0" applyNumberFormat="1" applyFont="1" applyFill="1" applyBorder="1"/>
    <xf numFmtId="167" fontId="9" fillId="5" borderId="23" xfId="0" applyNumberFormat="1" applyFont="1" applyFill="1" applyBorder="1"/>
    <xf numFmtId="164" fontId="9" fillId="0" borderId="24" xfId="0" applyNumberFormat="1" applyFont="1" applyBorder="1"/>
    <xf numFmtId="9" fontId="8" fillId="0" borderId="24" xfId="0" applyNumberFormat="1" applyFont="1" applyBorder="1"/>
    <xf numFmtId="167" fontId="9" fillId="0" borderId="24" xfId="0" applyNumberFormat="1" applyFont="1" applyBorder="1"/>
    <xf numFmtId="167" fontId="9" fillId="0" borderId="25" xfId="0" applyNumberFormat="1" applyFont="1" applyBorder="1"/>
    <xf numFmtId="167" fontId="7" fillId="0" borderId="24" xfId="0" applyNumberFormat="1" applyFont="1" applyBorder="1"/>
    <xf numFmtId="0" fontId="3" fillId="0" borderId="0" xfId="0" applyFont="1"/>
    <xf numFmtId="0" fontId="13" fillId="6" borderId="0" xfId="0" applyFont="1" applyFill="1"/>
    <xf numFmtId="170" fontId="13" fillId="6" borderId="0" xfId="0" applyNumberFormat="1" applyFont="1" applyFill="1"/>
    <xf numFmtId="170" fontId="15" fillId="3" borderId="0" xfId="0" applyNumberFormat="1" applyFont="1" applyFill="1"/>
    <xf numFmtId="170" fontId="7" fillId="0" borderId="0" xfId="0" applyNumberFormat="1" applyFont="1"/>
    <xf numFmtId="170" fontId="7" fillId="3" borderId="0" xfId="0" applyNumberFormat="1" applyFont="1" applyFill="1"/>
    <xf numFmtId="0" fontId="4" fillId="0" borderId="0" xfId="0" applyFont="1"/>
    <xf numFmtId="0" fontId="3" fillId="4" borderId="12" xfId="0" applyFont="1" applyFill="1" applyBorder="1"/>
    <xf numFmtId="0" fontId="3" fillId="4" borderId="0" xfId="0" applyFont="1" applyFill="1"/>
    <xf numFmtId="1" fontId="3" fillId="4" borderId="0" xfId="0" applyNumberFormat="1" applyFont="1" applyFill="1"/>
    <xf numFmtId="171" fontId="3" fillId="4" borderId="0" xfId="0" applyNumberFormat="1" applyFont="1" applyFill="1"/>
    <xf numFmtId="0" fontId="2" fillId="4" borderId="0" xfId="0" applyFont="1" applyFill="1"/>
    <xf numFmtId="0" fontId="11" fillId="6" borderId="0" xfId="0" applyFont="1" applyFill="1"/>
    <xf numFmtId="0" fontId="2" fillId="4" borderId="2" xfId="0" applyFont="1" applyFill="1" applyBorder="1"/>
    <xf numFmtId="0" fontId="2" fillId="4" borderId="8" xfId="0" applyFont="1" applyFill="1" applyBorder="1"/>
    <xf numFmtId="172" fontId="2" fillId="4" borderId="3" xfId="0" applyNumberFormat="1" applyFont="1" applyFill="1" applyBorder="1"/>
    <xf numFmtId="0" fontId="2" fillId="4" borderId="6" xfId="0" applyFont="1" applyFill="1" applyBorder="1"/>
    <xf numFmtId="0" fontId="2" fillId="4" borderId="12" xfId="0" applyFont="1" applyFill="1" applyBorder="1"/>
    <xf numFmtId="172" fontId="2" fillId="4" borderId="7" xfId="0" applyNumberFormat="1" applyFont="1" applyFill="1" applyBorder="1"/>
    <xf numFmtId="9" fontId="3" fillId="4" borderId="5" xfId="0" applyNumberFormat="1" applyFont="1" applyFill="1" applyBorder="1"/>
    <xf numFmtId="9" fontId="3" fillId="0" borderId="0" xfId="0" applyNumberFormat="1" applyFont="1"/>
    <xf numFmtId="0" fontId="2" fillId="4" borderId="24" xfId="0" applyFont="1" applyFill="1" applyBorder="1"/>
    <xf numFmtId="1" fontId="2" fillId="4" borderId="24" xfId="0" applyNumberFormat="1" applyFont="1" applyFill="1" applyBorder="1"/>
    <xf numFmtId="9" fontId="16" fillId="3" borderId="3" xfId="0" applyNumberFormat="1" applyFont="1" applyFill="1" applyBorder="1"/>
    <xf numFmtId="0" fontId="2" fillId="4" borderId="4" xfId="0" applyFont="1" applyFill="1" applyBorder="1"/>
    <xf numFmtId="9" fontId="16" fillId="3" borderId="5" xfId="0" applyNumberFormat="1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167" fontId="7" fillId="0" borderId="7" xfId="0" applyNumberFormat="1" applyFont="1" applyBorder="1"/>
    <xf numFmtId="167" fontId="9" fillId="0" borderId="5" xfId="0" applyNumberFormat="1" applyFont="1" applyBorder="1"/>
    <xf numFmtId="167" fontId="9" fillId="0" borderId="7" xfId="0" applyNumberFormat="1" applyFont="1" applyBorder="1"/>
    <xf numFmtId="1" fontId="11" fillId="4" borderId="0" xfId="0" applyNumberFormat="1" applyFont="1" applyFill="1"/>
    <xf numFmtId="167" fontId="7" fillId="0" borderId="2" xfId="0" applyNumberFormat="1" applyFont="1" applyBorder="1"/>
    <xf numFmtId="167" fontId="7" fillId="0" borderId="4" xfId="0" applyNumberFormat="1" applyFont="1" applyBorder="1"/>
    <xf numFmtId="167" fontId="7" fillId="0" borderId="6" xfId="0" applyNumberFormat="1" applyFont="1" applyBorder="1"/>
    <xf numFmtId="167" fontId="7" fillId="0" borderId="12" xfId="0" applyNumberFormat="1" applyFont="1" applyBorder="1"/>
    <xf numFmtId="167" fontId="7" fillId="2" borderId="0" xfId="0" applyNumberFormat="1" applyFont="1" applyFill="1"/>
    <xf numFmtId="167" fontId="9" fillId="2" borderId="0" xfId="0" applyNumberFormat="1" applyFont="1" applyFill="1"/>
    <xf numFmtId="0" fontId="5" fillId="4" borderId="0" xfId="0" applyFont="1" applyFill="1"/>
    <xf numFmtId="1" fontId="2" fillId="4" borderId="0" xfId="0" applyNumberFormat="1" applyFont="1" applyFill="1"/>
    <xf numFmtId="0" fontId="11" fillId="4" borderId="0" xfId="0" applyFont="1" applyFill="1"/>
    <xf numFmtId="0" fontId="5" fillId="4" borderId="12" xfId="0" applyFont="1" applyFill="1" applyBorder="1"/>
    <xf numFmtId="9" fontId="2" fillId="5" borderId="12" xfId="0" applyNumberFormat="1" applyFont="1" applyFill="1" applyBorder="1"/>
    <xf numFmtId="173" fontId="3" fillId="4" borderId="0" xfId="0" applyNumberFormat="1" applyFont="1" applyFill="1"/>
    <xf numFmtId="4" fontId="3" fillId="4" borderId="0" xfId="0" applyNumberFormat="1" applyFont="1" applyFill="1"/>
    <xf numFmtId="165" fontId="13" fillId="6" borderId="20" xfId="0" applyNumberFormat="1" applyFont="1" applyFill="1" applyBorder="1"/>
    <xf numFmtId="164" fontId="17" fillId="0" borderId="0" xfId="0" applyNumberFormat="1" applyFont="1" applyAlignment="1">
      <alignment horizontal="left" indent="1"/>
    </xf>
    <xf numFmtId="172" fontId="7" fillId="0" borderId="0" xfId="0" applyNumberFormat="1" applyFont="1"/>
    <xf numFmtId="172" fontId="8" fillId="0" borderId="0" xfId="0" applyNumberFormat="1" applyFont="1"/>
    <xf numFmtId="164" fontId="7" fillId="0" borderId="0" xfId="0" applyNumberFormat="1" applyFont="1" applyAlignment="1">
      <alignment horizontal="center"/>
    </xf>
    <xf numFmtId="164" fontId="9" fillId="0" borderId="2" xfId="0" applyNumberFormat="1" applyFont="1" applyBorder="1"/>
    <xf numFmtId="164" fontId="9" fillId="0" borderId="3" xfId="0" applyNumberFormat="1" applyFont="1" applyBorder="1"/>
    <xf numFmtId="164" fontId="9" fillId="0" borderId="6" xfId="0" applyNumberFormat="1" applyFont="1" applyBorder="1"/>
    <xf numFmtId="164" fontId="9" fillId="0" borderId="12" xfId="0" applyNumberFormat="1" applyFont="1" applyBorder="1"/>
    <xf numFmtId="164" fontId="9" fillId="0" borderId="7" xfId="0" applyNumberFormat="1" applyFont="1" applyBorder="1"/>
    <xf numFmtId="164" fontId="8" fillId="0" borderId="0" xfId="0" applyNumberFormat="1" applyFont="1" applyAlignment="1">
      <alignment horizontal="center"/>
    </xf>
    <xf numFmtId="164" fontId="13" fillId="6" borderId="0" xfId="0" applyNumberFormat="1" applyFont="1" applyFill="1" applyAlignment="1">
      <alignment horizontal="left"/>
    </xf>
    <xf numFmtId="170" fontId="8" fillId="0" borderId="0" xfId="0" applyNumberFormat="1" applyFont="1" applyAlignment="1">
      <alignment horizontal="center"/>
    </xf>
    <xf numFmtId="167" fontId="13" fillId="6" borderId="0" xfId="0" applyNumberFormat="1" applyFont="1" applyFill="1"/>
    <xf numFmtId="167" fontId="11" fillId="6" borderId="0" xfId="0" applyNumberFormat="1" applyFont="1" applyFill="1"/>
    <xf numFmtId="165" fontId="13" fillId="6" borderId="26" xfId="0" applyNumberFormat="1" applyFont="1" applyFill="1" applyBorder="1"/>
    <xf numFmtId="165" fontId="13" fillId="6" borderId="13" xfId="0" applyNumberFormat="1" applyFont="1" applyFill="1" applyBorder="1"/>
    <xf numFmtId="165" fontId="7" fillId="7" borderId="13" xfId="0" applyNumberFormat="1" applyFont="1" applyFill="1" applyBorder="1"/>
    <xf numFmtId="167" fontId="7" fillId="7" borderId="13" xfId="0" applyNumberFormat="1" applyFont="1" applyFill="1" applyBorder="1"/>
    <xf numFmtId="9" fontId="8" fillId="7" borderId="13" xfId="0" applyNumberFormat="1" applyFont="1" applyFill="1" applyBorder="1"/>
    <xf numFmtId="167" fontId="18" fillId="7" borderId="13" xfId="0" applyNumberFormat="1" applyFont="1" applyFill="1" applyBorder="1"/>
    <xf numFmtId="167" fontId="9" fillId="7" borderId="14" xfId="0" applyNumberFormat="1" applyFont="1" applyFill="1" applyBorder="1"/>
    <xf numFmtId="167" fontId="9" fillId="7" borderId="13" xfId="0" applyNumberFormat="1" applyFont="1" applyFill="1" applyBorder="1"/>
    <xf numFmtId="167" fontId="3" fillId="4" borderId="0" xfId="0" applyNumberFormat="1" applyFont="1" applyFill="1"/>
    <xf numFmtId="172" fontId="3" fillId="4" borderId="0" xfId="0" applyNumberFormat="1" applyFont="1" applyFill="1"/>
    <xf numFmtId="0" fontId="3" fillId="4" borderId="24" xfId="0" applyFont="1" applyFill="1" applyBorder="1"/>
    <xf numFmtId="174" fontId="2" fillId="4" borderId="24" xfId="0" applyNumberFormat="1" applyFont="1" applyFill="1" applyBorder="1"/>
    <xf numFmtId="174" fontId="7" fillId="0" borderId="24" xfId="0" applyNumberFormat="1" applyFont="1" applyBorder="1"/>
    <xf numFmtId="174" fontId="3" fillId="4" borderId="0" xfId="0" applyNumberFormat="1" applyFont="1" applyFill="1"/>
    <xf numFmtId="174" fontId="7" fillId="0" borderId="0" xfId="0" applyNumberFormat="1" applyFont="1"/>
    <xf numFmtId="174" fontId="2" fillId="4" borderId="0" xfId="0" applyNumberFormat="1" applyFont="1" applyFill="1"/>
    <xf numFmtId="14" fontId="11" fillId="4" borderId="0" xfId="0" applyNumberFormat="1" applyFont="1" applyFill="1"/>
    <xf numFmtId="0" fontId="2" fillId="7" borderId="9" xfId="0" applyFont="1" applyFill="1" applyBorder="1"/>
    <xf numFmtId="0" fontId="9" fillId="7" borderId="11" xfId="0" applyFont="1" applyFill="1" applyBorder="1"/>
    <xf numFmtId="9" fontId="9" fillId="7" borderId="10" xfId="0" applyNumberFormat="1" applyFont="1" applyFill="1" applyBorder="1"/>
    <xf numFmtId="0" fontId="9" fillId="0" borderId="0" xfId="0" applyFont="1"/>
    <xf numFmtId="172" fontId="9" fillId="0" borderId="0" xfId="0" applyNumberFormat="1" applyFont="1"/>
    <xf numFmtId="0" fontId="7" fillId="0" borderId="0" xfId="0" applyFont="1" applyAlignment="1">
      <alignment horizontal="right"/>
    </xf>
    <xf numFmtId="167" fontId="11" fillId="0" borderId="0" xfId="0" applyNumberFormat="1" applyFont="1"/>
    <xf numFmtId="173" fontId="7" fillId="0" borderId="0" xfId="0" applyNumberFormat="1" applyFont="1"/>
    <xf numFmtId="9" fontId="7" fillId="2" borderId="0" xfId="0" applyNumberFormat="1" applyFont="1" applyFill="1"/>
    <xf numFmtId="173" fontId="7" fillId="2" borderId="0" xfId="0" applyNumberFormat="1" applyFont="1" applyFill="1"/>
    <xf numFmtId="0" fontId="7" fillId="0" borderId="0" xfId="0" applyFont="1" applyAlignment="1">
      <alignment horizontal="left"/>
    </xf>
    <xf numFmtId="170" fontId="7" fillId="0" borderId="0" xfId="1" applyNumberFormat="1" applyFont="1"/>
    <xf numFmtId="10" fontId="7" fillId="0" borderId="0" xfId="1" applyNumberFormat="1" applyFont="1"/>
    <xf numFmtId="0" fontId="19" fillId="5" borderId="2" xfId="0" applyFont="1" applyFill="1" applyBorder="1"/>
    <xf numFmtId="0" fontId="20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9" fillId="0" borderId="0" xfId="0" applyFont="1"/>
    <xf numFmtId="0" fontId="21" fillId="3" borderId="0" xfId="0" applyFont="1" applyFill="1" applyAlignment="1">
      <alignment horizontal="left"/>
    </xf>
    <xf numFmtId="0" fontId="19" fillId="0" borderId="27" xfId="0" applyFont="1" applyBorder="1"/>
    <xf numFmtId="170" fontId="0" fillId="0" borderId="0" xfId="0" applyNumberFormat="1"/>
    <xf numFmtId="170" fontId="21" fillId="3" borderId="0" xfId="0" applyNumberFormat="1" applyFont="1" applyFill="1"/>
    <xf numFmtId="167" fontId="22" fillId="0" borderId="0" xfId="0" applyNumberFormat="1" applyFont="1"/>
    <xf numFmtId="170" fontId="2" fillId="5" borderId="5" xfId="0" applyNumberFormat="1" applyFont="1" applyFill="1" applyBorder="1" applyAlignment="1">
      <alignment horizontal="center"/>
    </xf>
    <xf numFmtId="170" fontId="8" fillId="0" borderId="0" xfId="0" applyNumberFormat="1" applyFont="1"/>
    <xf numFmtId="0" fontId="1" fillId="9" borderId="0" xfId="2" applyFill="1"/>
    <xf numFmtId="0" fontId="1" fillId="0" borderId="28" xfId="2" applyBorder="1"/>
    <xf numFmtId="0" fontId="1" fillId="0" borderId="29" xfId="2" applyBorder="1"/>
    <xf numFmtId="0" fontId="1" fillId="0" borderId="30" xfId="2" applyBorder="1"/>
    <xf numFmtId="0" fontId="1" fillId="0" borderId="31" xfId="2" applyBorder="1"/>
    <xf numFmtId="0" fontId="1" fillId="0" borderId="0" xfId="2"/>
    <xf numFmtId="0" fontId="1" fillId="0" borderId="32" xfId="2" applyBorder="1"/>
    <xf numFmtId="0" fontId="25" fillId="0" borderId="0" xfId="2" applyFont="1" applyAlignment="1">
      <alignment horizontal="center" vertical="center" wrapText="1"/>
    </xf>
    <xf numFmtId="0" fontId="25" fillId="10" borderId="0" xfId="2" applyFont="1" applyFill="1" applyAlignment="1">
      <alignment horizontal="center"/>
    </xf>
    <xf numFmtId="0" fontId="25" fillId="0" borderId="0" xfId="2" applyFont="1" applyAlignment="1">
      <alignment horizontal="center"/>
    </xf>
    <xf numFmtId="0" fontId="27" fillId="0" borderId="0" xfId="3" applyFont="1"/>
    <xf numFmtId="0" fontId="26" fillId="0" borderId="0" xfId="3"/>
    <xf numFmtId="0" fontId="28" fillId="0" borderId="0" xfId="3" applyFont="1"/>
    <xf numFmtId="0" fontId="29" fillId="0" borderId="0" xfId="3" applyFont="1" applyAlignment="1">
      <alignment wrapText="1"/>
    </xf>
    <xf numFmtId="0" fontId="24" fillId="0" borderId="31" xfId="2" applyFont="1" applyBorder="1" applyAlignment="1">
      <alignment wrapText="1"/>
    </xf>
    <xf numFmtId="0" fontId="24" fillId="0" borderId="0" xfId="2" applyFont="1" applyAlignment="1">
      <alignment wrapText="1"/>
    </xf>
    <xf numFmtId="0" fontId="26" fillId="0" borderId="0" xfId="3" applyAlignment="1">
      <alignment wrapText="1"/>
    </xf>
    <xf numFmtId="0" fontId="1" fillId="0" borderId="33" xfId="2" applyBorder="1"/>
    <xf numFmtId="0" fontId="1" fillId="0" borderId="34" xfId="2" applyBorder="1"/>
    <xf numFmtId="0" fontId="1" fillId="0" borderId="35" xfId="2" applyBorder="1"/>
    <xf numFmtId="0" fontId="23" fillId="6" borderId="0" xfId="0" applyFont="1" applyFill="1" applyAlignment="1">
      <alignment horizontal="center"/>
    </xf>
    <xf numFmtId="0" fontId="0" fillId="0" borderId="0" xfId="0"/>
    <xf numFmtId="0" fontId="13" fillId="6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 textRotation="90"/>
    </xf>
    <xf numFmtId="0" fontId="25" fillId="0" borderId="0" xfId="2" applyFont="1" applyAlignment="1">
      <alignment horizontal="center" vertical="center" wrapText="1"/>
    </xf>
    <xf numFmtId="0" fontId="1" fillId="9" borderId="0" xfId="2" applyFill="1"/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 w="25400">
              <a:noFill/>
              <a:prstDash val="solid"/>
            </a:ln>
          </c:spPr>
          <c:invertIfNegative val="0"/>
          <c:dLbls>
            <c:numFmt formatCode="#,##0" sourceLinked="0"/>
            <c:spPr>
              <a:noFill/>
              <a:ln w="25400"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'Football Field'!$C$14:$C$17</c:f>
              <c:strCache>
                <c:ptCount val="4"/>
                <c:pt idx="0">
                  <c:v>LBO (5 year exit)</c:v>
                </c:pt>
                <c:pt idx="1">
                  <c:v>FCFE</c:v>
                </c:pt>
                <c:pt idx="2">
                  <c:v>DCF</c:v>
                </c:pt>
                <c:pt idx="3">
                  <c:v>Trading Comps FY+1 EBITDA</c:v>
                </c:pt>
              </c:strCache>
            </c:strRef>
          </c:cat>
          <c:val>
            <c:numRef>
              <c:f>'Football Field'!$D$14:$D$17</c:f>
              <c:numCache>
                <c:formatCode>General</c:formatCode>
                <c:ptCount val="4"/>
                <c:pt idx="0">
                  <c:v>440</c:v>
                </c:pt>
                <c:pt idx="1">
                  <c:v>510</c:v>
                </c:pt>
                <c:pt idx="2">
                  <c:v>550</c:v>
                </c:pt>
                <c:pt idx="3">
                  <c:v>396.24249156502799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3-41E8-AEFE-5A9CA7A9AE46}"/>
            </c:ext>
          </c:extLst>
        </c:ser>
        <c:ser>
          <c:idx val="1"/>
          <c:order val="1"/>
          <c:spPr>
            <a:solidFill>
              <a:srgbClr val="4F81BD"/>
            </a:solidFill>
            <a:ln w="25400">
              <a:noFill/>
              <a:prstDash val="solid"/>
            </a:ln>
          </c:spPr>
          <c:invertIfNegative val="0"/>
          <c:cat>
            <c:strRef>
              <c:f>'Football Field'!$C$14:$C$17</c:f>
              <c:strCache>
                <c:ptCount val="4"/>
                <c:pt idx="0">
                  <c:v>LBO (5 year exit)</c:v>
                </c:pt>
                <c:pt idx="1">
                  <c:v>FCFE</c:v>
                </c:pt>
                <c:pt idx="2">
                  <c:v>DCF</c:v>
                </c:pt>
                <c:pt idx="3">
                  <c:v>Trading Comps FY+1 EBITDA</c:v>
                </c:pt>
              </c:strCache>
            </c:strRef>
          </c:cat>
          <c:val>
            <c:numRef>
              <c:f>'Football Field'!$E$14:$E$17</c:f>
              <c:numCache>
                <c:formatCode>General</c:formatCode>
                <c:ptCount val="4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79.248498313005598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3-41E8-AEFE-5A9CA7A9A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3439648"/>
        <c:axId val="1803296480"/>
      </c:barChart>
      <c:catAx>
        <c:axId val="18334396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3296480"/>
        <c:crosses val="autoZero"/>
        <c:auto val="1"/>
        <c:lblAlgn val="ctr"/>
        <c:lblOffset val="100"/>
        <c:noMultiLvlLbl val="0"/>
      </c:catAx>
      <c:valAx>
        <c:axId val="1803296480"/>
        <c:scaling>
          <c:orientation val="minMax"/>
          <c:max val="800"/>
          <c:min val="3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8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3439648"/>
        <c:crosses val="autoZero"/>
        <c:crossBetween val="between"/>
        <c:majorUnit val="100"/>
      </c:valAx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2514601</xdr:colOff>
      <xdr:row>1</xdr:row>
      <xdr:rowOff>177801</xdr:rowOff>
    </xdr:from>
    <xdr:to>
      <xdr:col>5</xdr:col>
      <xdr:colOff>2692401</xdr:colOff>
      <xdr:row>11</xdr:row>
      <xdr:rowOff>12701</xdr:rowOff>
    </xdr:to>
    <xdr:pic>
      <xdr:nvPicPr>
        <xdr:cNvPr id="2" name="Picture 1" descr="mage result for Wallstreetoasis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21564" b="23783"/>
        <a:stretch>
          <a:fillRect/>
        </a:stretch>
      </xdr:blipFill>
      <xdr:spPr bwMode="auto">
        <a:xfrm>
          <a:off x="3352801" y="393701"/>
          <a:ext cx="5753100" cy="18669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</xdr:row>
      <xdr:rowOff>101600</xdr:rowOff>
    </xdr:from>
    <xdr:to>
      <xdr:col>18</xdr:col>
      <xdr:colOff>342900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lstreetoasis.com/gmat-pill-promo-code-333-off-gmat-prep-discount" TargetMode="External"/><Relationship Id="rId3" Type="http://schemas.openxmlformats.org/officeDocument/2006/relationships/hyperlink" Target="https://www.wallstreetoasis.com/top-frequently-asked-questions" TargetMode="External"/><Relationship Id="rId7" Type="http://schemas.openxmlformats.org/officeDocument/2006/relationships/hyperlink" Target="https://www.wallstreetoasis.com/all-wso-templates" TargetMode="External"/><Relationship Id="rId2" Type="http://schemas.openxmlformats.org/officeDocument/2006/relationships/hyperlink" Target="https://www.wallstreetoasis.com/finance-interview-courses-wall-street-oasis" TargetMode="External"/><Relationship Id="rId1" Type="http://schemas.openxmlformats.org/officeDocument/2006/relationships/hyperlink" Target="https://www.wallstreetoasis.com/user/register" TargetMode="External"/><Relationship Id="rId6" Type="http://schemas.openxmlformats.org/officeDocument/2006/relationships/hyperlink" Target="https://www.wallstreetoasis.com/wall-street-mentors-finance-mock-interviews" TargetMode="External"/><Relationship Id="rId5" Type="http://schemas.openxmlformats.org/officeDocument/2006/relationships/hyperlink" Target="https://www.wallstreetoasis.com/industry-reports-wall-street-oasis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wallstreetoasis.com/best-resume-review-service-finance-pros-help-your-cv" TargetMode="External"/><Relationship Id="rId9" Type="http://schemas.openxmlformats.org/officeDocument/2006/relationships/hyperlink" Target="https://www.wallstreetoasis.com/the-talent-oasi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3"/>
  <sheetViews>
    <sheetView showGridLines="0" zoomScaleSheetLayoutView="100" workbookViewId="0">
      <selection activeCell="C3" sqref="C3"/>
    </sheetView>
  </sheetViews>
  <sheetFormatPr defaultColWidth="8.85546875" defaultRowHeight="15" x14ac:dyDescent="0.25"/>
  <cols>
    <col min="1" max="1" width="2.7109375" customWidth="1"/>
    <col min="2" max="2" width="33.85546875" bestFit="1" customWidth="1"/>
  </cols>
  <sheetData>
    <row r="2" spans="2:18" x14ac:dyDescent="0.25">
      <c r="B2" s="183" t="s">
        <v>0</v>
      </c>
      <c r="C2" s="184">
        <v>1</v>
      </c>
    </row>
    <row r="3" spans="2:18" x14ac:dyDescent="0.25">
      <c r="B3" s="185" t="s">
        <v>1</v>
      </c>
      <c r="C3" s="186">
        <v>1</v>
      </c>
    </row>
    <row r="4" spans="2:18" x14ac:dyDescent="0.25">
      <c r="B4" s="185" t="s">
        <v>2</v>
      </c>
      <c r="C4" s="186">
        <v>2</v>
      </c>
    </row>
    <row r="5" spans="2:18" x14ac:dyDescent="0.25">
      <c r="B5" s="187" t="s">
        <v>3</v>
      </c>
      <c r="C5" s="188">
        <v>3</v>
      </c>
    </row>
    <row r="9" spans="2:18" x14ac:dyDescent="0.25">
      <c r="B9" s="217" t="s">
        <v>4</v>
      </c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</row>
    <row r="11" spans="2:18" x14ac:dyDescent="0.25">
      <c r="B11" s="189" t="s">
        <v>5</v>
      </c>
    </row>
    <row r="12" spans="2:18" x14ac:dyDescent="0.25">
      <c r="B12" s="190">
        <f>$C$2</f>
        <v>1</v>
      </c>
      <c r="D12" s="191">
        <v>2007</v>
      </c>
      <c r="E12" s="191">
        <f t="shared" ref="E12:R12" si="0">+D12+1</f>
        <v>2008</v>
      </c>
      <c r="F12" s="191">
        <f t="shared" si="0"/>
        <v>2009</v>
      </c>
      <c r="G12" s="191">
        <f t="shared" si="0"/>
        <v>2010</v>
      </c>
      <c r="H12" s="191">
        <f t="shared" si="0"/>
        <v>2011</v>
      </c>
      <c r="I12" s="191">
        <f t="shared" si="0"/>
        <v>2012</v>
      </c>
      <c r="J12" s="191">
        <f t="shared" si="0"/>
        <v>2013</v>
      </c>
      <c r="K12" s="191">
        <f t="shared" si="0"/>
        <v>2014</v>
      </c>
      <c r="L12" s="191">
        <f t="shared" si="0"/>
        <v>2015</v>
      </c>
      <c r="M12" s="191">
        <f t="shared" si="0"/>
        <v>2016</v>
      </c>
      <c r="N12" s="191">
        <f t="shared" si="0"/>
        <v>2017</v>
      </c>
      <c r="O12" s="191">
        <f t="shared" si="0"/>
        <v>2018</v>
      </c>
      <c r="P12" s="191">
        <f t="shared" si="0"/>
        <v>2019</v>
      </c>
      <c r="Q12" s="191">
        <f t="shared" si="0"/>
        <v>2020</v>
      </c>
      <c r="R12" s="191">
        <f t="shared" si="0"/>
        <v>2021</v>
      </c>
    </row>
    <row r="13" spans="2:18" x14ac:dyDescent="0.25">
      <c r="B13" t="s">
        <v>6</v>
      </c>
      <c r="D13" s="192"/>
      <c r="E13" s="192"/>
      <c r="F13" s="192"/>
      <c r="G13" s="192"/>
      <c r="H13" s="192"/>
      <c r="I13" s="192">
        <f t="shared" ref="I13:R13" si="1">CHOOSE($B12,I14,I15,I16)</f>
        <v>0.05</v>
      </c>
      <c r="J13" s="192">
        <f t="shared" si="1"/>
        <v>0.06</v>
      </c>
      <c r="K13" s="192">
        <f t="shared" si="1"/>
        <v>7.0000000000000007E-2</v>
      </c>
      <c r="L13" s="192">
        <f t="shared" si="1"/>
        <v>0.08</v>
      </c>
      <c r="M13" s="192">
        <f t="shared" si="1"/>
        <v>0.1</v>
      </c>
      <c r="N13" s="192">
        <f t="shared" si="1"/>
        <v>0.08</v>
      </c>
      <c r="O13" s="192">
        <f t="shared" si="1"/>
        <v>0.06</v>
      </c>
      <c r="P13" s="192">
        <f t="shared" si="1"/>
        <v>0.04</v>
      </c>
      <c r="Q13" s="192">
        <f t="shared" si="1"/>
        <v>0.03</v>
      </c>
      <c r="R13" s="192">
        <f t="shared" si="1"/>
        <v>0.01</v>
      </c>
    </row>
    <row r="14" spans="2:18" x14ac:dyDescent="0.25">
      <c r="B14" t="s">
        <v>7</v>
      </c>
      <c r="D14" s="193"/>
      <c r="E14" s="193"/>
      <c r="F14" s="193"/>
      <c r="G14" s="193"/>
      <c r="H14" s="193"/>
      <c r="I14" s="193">
        <v>0.05</v>
      </c>
      <c r="J14" s="193">
        <v>0.06</v>
      </c>
      <c r="K14" s="193">
        <v>7.0000000000000007E-2</v>
      </c>
      <c r="L14" s="193">
        <v>0.08</v>
      </c>
      <c r="M14" s="193">
        <v>0.1</v>
      </c>
      <c r="N14" s="193">
        <v>0.08</v>
      </c>
      <c r="O14" s="193">
        <v>0.06</v>
      </c>
      <c r="P14" s="193">
        <v>0.04</v>
      </c>
      <c r="Q14" s="193">
        <v>0.03</v>
      </c>
      <c r="R14" s="193">
        <v>0.01</v>
      </c>
    </row>
    <row r="15" spans="2:18" x14ac:dyDescent="0.25">
      <c r="B15" t="s">
        <v>8</v>
      </c>
      <c r="D15" s="193"/>
      <c r="E15" s="193"/>
      <c r="F15" s="193"/>
      <c r="G15" s="193"/>
      <c r="H15" s="193"/>
      <c r="I15" s="193">
        <v>0.02</v>
      </c>
      <c r="J15" s="193">
        <v>0.02</v>
      </c>
      <c r="K15" s="193">
        <v>0.02</v>
      </c>
      <c r="L15" s="193">
        <v>0.02</v>
      </c>
      <c r="M15" s="193">
        <v>0.02</v>
      </c>
      <c r="N15" s="193">
        <v>0.02</v>
      </c>
      <c r="O15" s="193">
        <v>0.01</v>
      </c>
      <c r="P15" s="193">
        <v>0.01</v>
      </c>
      <c r="Q15" s="193">
        <v>0.01</v>
      </c>
      <c r="R15" s="193">
        <v>0.01</v>
      </c>
    </row>
    <row r="16" spans="2:18" x14ac:dyDescent="0.25">
      <c r="B16" t="s">
        <v>9</v>
      </c>
      <c r="D16" s="193"/>
      <c r="E16" s="193"/>
      <c r="F16" s="193"/>
      <c r="G16" s="193"/>
      <c r="H16" s="193"/>
      <c r="I16" s="193">
        <f t="shared" ref="I16:R16" si="2">+I14+1%</f>
        <v>6.0000000000000005E-2</v>
      </c>
      <c r="J16" s="193">
        <f t="shared" si="2"/>
        <v>6.9999999999999993E-2</v>
      </c>
      <c r="K16" s="193">
        <f t="shared" si="2"/>
        <v>0.08</v>
      </c>
      <c r="L16" s="193">
        <f t="shared" si="2"/>
        <v>0.09</v>
      </c>
      <c r="M16" s="193">
        <f t="shared" si="2"/>
        <v>0.11</v>
      </c>
      <c r="N16" s="193">
        <f t="shared" si="2"/>
        <v>0.09</v>
      </c>
      <c r="O16" s="193">
        <f t="shared" si="2"/>
        <v>6.9999999999999993E-2</v>
      </c>
      <c r="P16" s="193">
        <f t="shared" si="2"/>
        <v>0.05</v>
      </c>
      <c r="Q16" s="193">
        <f t="shared" si="2"/>
        <v>0.04</v>
      </c>
      <c r="R16" s="193">
        <f t="shared" si="2"/>
        <v>0.02</v>
      </c>
    </row>
    <row r="19" spans="2:18" x14ac:dyDescent="0.25">
      <c r="B19" s="189" t="s">
        <v>10</v>
      </c>
    </row>
    <row r="20" spans="2:18" x14ac:dyDescent="0.25">
      <c r="B20" s="190">
        <f>$C$2</f>
        <v>1</v>
      </c>
      <c r="D20" s="191">
        <v>2007</v>
      </c>
      <c r="E20" s="191">
        <f t="shared" ref="E20:R20" si="3">+D20+1</f>
        <v>2008</v>
      </c>
      <c r="F20" s="191">
        <f t="shared" si="3"/>
        <v>2009</v>
      </c>
      <c r="G20" s="191">
        <f t="shared" si="3"/>
        <v>2010</v>
      </c>
      <c r="H20" s="191">
        <f t="shared" si="3"/>
        <v>2011</v>
      </c>
      <c r="I20" s="191">
        <f t="shared" si="3"/>
        <v>2012</v>
      </c>
      <c r="J20" s="191">
        <f t="shared" si="3"/>
        <v>2013</v>
      </c>
      <c r="K20" s="191">
        <f t="shared" si="3"/>
        <v>2014</v>
      </c>
      <c r="L20" s="191">
        <f t="shared" si="3"/>
        <v>2015</v>
      </c>
      <c r="M20" s="191">
        <f t="shared" si="3"/>
        <v>2016</v>
      </c>
      <c r="N20" s="191">
        <f t="shared" si="3"/>
        <v>2017</v>
      </c>
      <c r="O20" s="191">
        <f t="shared" si="3"/>
        <v>2018</v>
      </c>
      <c r="P20" s="191">
        <f t="shared" si="3"/>
        <v>2019</v>
      </c>
      <c r="Q20" s="191">
        <f t="shared" si="3"/>
        <v>2020</v>
      </c>
      <c r="R20" s="191">
        <f t="shared" si="3"/>
        <v>2021</v>
      </c>
    </row>
    <row r="21" spans="2:18" x14ac:dyDescent="0.25">
      <c r="B21" t="s">
        <v>6</v>
      </c>
      <c r="D21" s="192"/>
      <c r="E21" s="192"/>
      <c r="F21" s="192"/>
      <c r="G21" s="192"/>
      <c r="H21" s="192"/>
      <c r="I21" s="192">
        <f t="shared" ref="I21:R21" si="4">CHOOSE($B20,I22,I23,I24)</f>
        <v>0.04</v>
      </c>
      <c r="J21" s="192">
        <f t="shared" si="4"/>
        <v>0.05</v>
      </c>
      <c r="K21" s="192">
        <f t="shared" si="4"/>
        <v>0.06</v>
      </c>
      <c r="L21" s="192">
        <f t="shared" si="4"/>
        <v>7.0000000000000007E-2</v>
      </c>
      <c r="M21" s="192">
        <f t="shared" si="4"/>
        <v>0.08</v>
      </c>
      <c r="N21" s="192">
        <f t="shared" si="4"/>
        <v>7.0000000000000007E-2</v>
      </c>
      <c r="O21" s="192">
        <f t="shared" si="4"/>
        <v>0.06</v>
      </c>
      <c r="P21" s="192">
        <f t="shared" si="4"/>
        <v>0.05</v>
      </c>
      <c r="Q21" s="192">
        <f t="shared" si="4"/>
        <v>0.03</v>
      </c>
      <c r="R21" s="192">
        <f t="shared" si="4"/>
        <v>0.01</v>
      </c>
    </row>
    <row r="22" spans="2:18" x14ac:dyDescent="0.25">
      <c r="B22" t="s">
        <v>7</v>
      </c>
      <c r="D22" s="193"/>
      <c r="E22" s="193"/>
      <c r="F22" s="193"/>
      <c r="G22" s="193"/>
      <c r="H22" s="193"/>
      <c r="I22" s="193">
        <v>0.04</v>
      </c>
      <c r="J22" s="193">
        <v>0.05</v>
      </c>
      <c r="K22" s="193">
        <v>0.06</v>
      </c>
      <c r="L22" s="193">
        <v>7.0000000000000007E-2</v>
      </c>
      <c r="M22" s="193">
        <v>0.08</v>
      </c>
      <c r="N22" s="193">
        <v>7.0000000000000007E-2</v>
      </c>
      <c r="O22" s="193">
        <v>0.06</v>
      </c>
      <c r="P22" s="193">
        <v>0.05</v>
      </c>
      <c r="Q22" s="193">
        <v>0.03</v>
      </c>
      <c r="R22" s="193">
        <v>0.01</v>
      </c>
    </row>
    <row r="23" spans="2:18" x14ac:dyDescent="0.25">
      <c r="B23" t="s">
        <v>8</v>
      </c>
      <c r="D23" s="193"/>
      <c r="E23" s="193"/>
      <c r="F23" s="193"/>
      <c r="G23" s="193"/>
      <c r="H23" s="193"/>
      <c r="I23" s="193">
        <v>0.02</v>
      </c>
      <c r="J23" s="193">
        <v>0.02</v>
      </c>
      <c r="K23" s="193">
        <v>0.02</v>
      </c>
      <c r="L23" s="193">
        <v>0.02</v>
      </c>
      <c r="M23" s="193">
        <v>0.02</v>
      </c>
      <c r="N23" s="193">
        <v>0.02</v>
      </c>
      <c r="O23" s="193">
        <v>0.01</v>
      </c>
      <c r="P23" s="193">
        <v>0.01</v>
      </c>
      <c r="Q23" s="193">
        <v>0.01</v>
      </c>
      <c r="R23" s="193">
        <v>0.01</v>
      </c>
    </row>
    <row r="24" spans="2:18" x14ac:dyDescent="0.25">
      <c r="B24" t="s">
        <v>9</v>
      </c>
      <c r="D24" s="193"/>
      <c r="E24" s="193"/>
      <c r="F24" s="193"/>
      <c r="G24" s="193"/>
      <c r="H24" s="193"/>
      <c r="I24" s="193">
        <f t="shared" ref="I24:R24" si="5">+I22+1%</f>
        <v>0.05</v>
      </c>
      <c r="J24" s="193">
        <f t="shared" si="5"/>
        <v>6.0000000000000005E-2</v>
      </c>
      <c r="K24" s="193">
        <f t="shared" si="5"/>
        <v>6.9999999999999993E-2</v>
      </c>
      <c r="L24" s="193">
        <f t="shared" si="5"/>
        <v>0.08</v>
      </c>
      <c r="M24" s="193">
        <f t="shared" si="5"/>
        <v>0.09</v>
      </c>
      <c r="N24" s="193">
        <f t="shared" si="5"/>
        <v>0.08</v>
      </c>
      <c r="O24" s="193">
        <f t="shared" si="5"/>
        <v>6.9999999999999993E-2</v>
      </c>
      <c r="P24" s="193">
        <f t="shared" si="5"/>
        <v>6.0000000000000005E-2</v>
      </c>
      <c r="Q24" s="193">
        <f t="shared" si="5"/>
        <v>0.04</v>
      </c>
      <c r="R24" s="193">
        <f t="shared" si="5"/>
        <v>0.02</v>
      </c>
    </row>
    <row r="27" spans="2:18" x14ac:dyDescent="0.25">
      <c r="B27" s="189" t="s">
        <v>11</v>
      </c>
    </row>
    <row r="28" spans="2:18" x14ac:dyDescent="0.25">
      <c r="B28" s="190">
        <f>$C$2</f>
        <v>1</v>
      </c>
      <c r="D28" s="191">
        <v>2007</v>
      </c>
      <c r="E28" s="191">
        <f t="shared" ref="E28:R28" si="6">+D28+1</f>
        <v>2008</v>
      </c>
      <c r="F28" s="191">
        <f t="shared" si="6"/>
        <v>2009</v>
      </c>
      <c r="G28" s="191">
        <f t="shared" si="6"/>
        <v>2010</v>
      </c>
      <c r="H28" s="191">
        <f t="shared" si="6"/>
        <v>2011</v>
      </c>
      <c r="I28" s="191">
        <f t="shared" si="6"/>
        <v>2012</v>
      </c>
      <c r="J28" s="191">
        <f t="shared" si="6"/>
        <v>2013</v>
      </c>
      <c r="K28" s="191">
        <f t="shared" si="6"/>
        <v>2014</v>
      </c>
      <c r="L28" s="191">
        <f t="shared" si="6"/>
        <v>2015</v>
      </c>
      <c r="M28" s="191">
        <f t="shared" si="6"/>
        <v>2016</v>
      </c>
      <c r="N28" s="191">
        <f t="shared" si="6"/>
        <v>2017</v>
      </c>
      <c r="O28" s="191">
        <f t="shared" si="6"/>
        <v>2018</v>
      </c>
      <c r="P28" s="191">
        <f t="shared" si="6"/>
        <v>2019</v>
      </c>
      <c r="Q28" s="191">
        <f t="shared" si="6"/>
        <v>2020</v>
      </c>
      <c r="R28" s="191">
        <f t="shared" si="6"/>
        <v>2021</v>
      </c>
    </row>
    <row r="29" spans="2:18" x14ac:dyDescent="0.25">
      <c r="B29" t="s">
        <v>6</v>
      </c>
      <c r="D29" s="192"/>
      <c r="E29" s="192"/>
      <c r="F29" s="192"/>
      <c r="G29" s="192"/>
      <c r="H29" s="192"/>
      <c r="I29" s="192">
        <f t="shared" ref="I29:R29" si="7">CHOOSE($B28,I30,I31,I32)</f>
        <v>4.4999999999999998E-2</v>
      </c>
      <c r="J29" s="192">
        <f t="shared" si="7"/>
        <v>0.05</v>
      </c>
      <c r="K29" s="192">
        <f t="shared" si="7"/>
        <v>5.5E-2</v>
      </c>
      <c r="L29" s="192">
        <f t="shared" si="7"/>
        <v>0.06</v>
      </c>
      <c r="M29" s="192">
        <f t="shared" si="7"/>
        <v>0.06</v>
      </c>
      <c r="N29" s="192">
        <f t="shared" si="7"/>
        <v>0.05</v>
      </c>
      <c r="O29" s="192">
        <f t="shared" si="7"/>
        <v>0.04</v>
      </c>
      <c r="P29" s="192">
        <f t="shared" si="7"/>
        <v>0.03</v>
      </c>
      <c r="Q29" s="192">
        <f t="shared" si="7"/>
        <v>0.02</v>
      </c>
      <c r="R29" s="192">
        <f t="shared" si="7"/>
        <v>0.01</v>
      </c>
    </row>
    <row r="30" spans="2:18" x14ac:dyDescent="0.25">
      <c r="B30" t="s">
        <v>7</v>
      </c>
      <c r="D30" s="193"/>
      <c r="E30" s="193"/>
      <c r="F30" s="193"/>
      <c r="G30" s="193"/>
      <c r="H30" s="193"/>
      <c r="I30" s="193">
        <v>4.4999999999999998E-2</v>
      </c>
      <c r="J30" s="193">
        <v>0.05</v>
      </c>
      <c r="K30" s="193">
        <v>5.5E-2</v>
      </c>
      <c r="L30" s="193">
        <v>0.06</v>
      </c>
      <c r="M30" s="193">
        <v>0.06</v>
      </c>
      <c r="N30" s="193">
        <v>0.05</v>
      </c>
      <c r="O30" s="193">
        <v>0.04</v>
      </c>
      <c r="P30" s="193">
        <v>0.03</v>
      </c>
      <c r="Q30" s="193">
        <v>0.02</v>
      </c>
      <c r="R30" s="193">
        <v>0.01</v>
      </c>
    </row>
    <row r="31" spans="2:18" x14ac:dyDescent="0.25">
      <c r="B31" t="s">
        <v>8</v>
      </c>
      <c r="D31" s="193"/>
      <c r="E31" s="193"/>
      <c r="F31" s="193"/>
      <c r="G31" s="193"/>
      <c r="H31" s="193"/>
      <c r="I31" s="193">
        <v>0.02</v>
      </c>
      <c r="J31" s="193">
        <v>0.02</v>
      </c>
      <c r="K31" s="193">
        <v>0.02</v>
      </c>
      <c r="L31" s="193">
        <v>0.02</v>
      </c>
      <c r="M31" s="193">
        <v>0.02</v>
      </c>
      <c r="N31" s="193">
        <v>0.02</v>
      </c>
      <c r="O31" s="193">
        <v>0.01</v>
      </c>
      <c r="P31" s="193">
        <v>0.01</v>
      </c>
      <c r="Q31" s="193">
        <v>0.01</v>
      </c>
      <c r="R31" s="193">
        <v>0.01</v>
      </c>
    </row>
    <row r="32" spans="2:18" x14ac:dyDescent="0.25">
      <c r="B32" t="s">
        <v>9</v>
      </c>
      <c r="D32" s="193"/>
      <c r="E32" s="193"/>
      <c r="F32" s="193"/>
      <c r="G32" s="193"/>
      <c r="H32" s="193"/>
      <c r="I32" s="193">
        <f t="shared" ref="I32:R32" si="8">+I30+1%</f>
        <v>5.5E-2</v>
      </c>
      <c r="J32" s="193">
        <f t="shared" si="8"/>
        <v>6.0000000000000005E-2</v>
      </c>
      <c r="K32" s="193">
        <f t="shared" si="8"/>
        <v>6.5000000000000002E-2</v>
      </c>
      <c r="L32" s="193">
        <f t="shared" si="8"/>
        <v>6.9999999999999993E-2</v>
      </c>
      <c r="M32" s="193">
        <f t="shared" si="8"/>
        <v>6.9999999999999993E-2</v>
      </c>
      <c r="N32" s="193">
        <f t="shared" si="8"/>
        <v>6.0000000000000005E-2</v>
      </c>
      <c r="O32" s="193">
        <f t="shared" si="8"/>
        <v>0.05</v>
      </c>
      <c r="P32" s="193">
        <f t="shared" si="8"/>
        <v>0.04</v>
      </c>
      <c r="Q32" s="193">
        <f t="shared" si="8"/>
        <v>0.03</v>
      </c>
      <c r="R32" s="193">
        <f t="shared" si="8"/>
        <v>0.02</v>
      </c>
    </row>
    <row r="35" spans="2:18" x14ac:dyDescent="0.25">
      <c r="B35" s="189" t="s">
        <v>12</v>
      </c>
    </row>
    <row r="36" spans="2:18" x14ac:dyDescent="0.25">
      <c r="B36" s="190">
        <f>$C$2</f>
        <v>1</v>
      </c>
      <c r="D36" s="191">
        <v>2007</v>
      </c>
      <c r="E36" s="191">
        <f t="shared" ref="E36:R36" si="9">+D36+1</f>
        <v>2008</v>
      </c>
      <c r="F36" s="191">
        <f t="shared" si="9"/>
        <v>2009</v>
      </c>
      <c r="G36" s="191">
        <f t="shared" si="9"/>
        <v>2010</v>
      </c>
      <c r="H36" s="191">
        <f t="shared" si="9"/>
        <v>2011</v>
      </c>
      <c r="I36" s="191">
        <f t="shared" si="9"/>
        <v>2012</v>
      </c>
      <c r="J36" s="191">
        <f t="shared" si="9"/>
        <v>2013</v>
      </c>
      <c r="K36" s="191">
        <f t="shared" si="9"/>
        <v>2014</v>
      </c>
      <c r="L36" s="191">
        <f t="shared" si="9"/>
        <v>2015</v>
      </c>
      <c r="M36" s="191">
        <f t="shared" si="9"/>
        <v>2016</v>
      </c>
      <c r="N36" s="191">
        <f t="shared" si="9"/>
        <v>2017</v>
      </c>
      <c r="O36" s="191">
        <f t="shared" si="9"/>
        <v>2018</v>
      </c>
      <c r="P36" s="191">
        <f t="shared" si="9"/>
        <v>2019</v>
      </c>
      <c r="Q36" s="191">
        <f t="shared" si="9"/>
        <v>2020</v>
      </c>
      <c r="R36" s="191">
        <f t="shared" si="9"/>
        <v>2021</v>
      </c>
    </row>
    <row r="37" spans="2:18" x14ac:dyDescent="0.25">
      <c r="B37" t="s">
        <v>6</v>
      </c>
      <c r="D37" s="192"/>
      <c r="E37" s="192"/>
      <c r="F37" s="192"/>
      <c r="G37" s="192"/>
      <c r="H37" s="192"/>
      <c r="I37" s="192">
        <f t="shared" ref="I37:R37" si="10">CHOOSE($B36,I38,I39,I40)</f>
        <v>0.1</v>
      </c>
      <c r="J37" s="192">
        <f t="shared" si="10"/>
        <v>0.11</v>
      </c>
      <c r="K37" s="192">
        <f t="shared" si="10"/>
        <v>0.12</v>
      </c>
      <c r="L37" s="192">
        <f t="shared" si="10"/>
        <v>0.14000000000000001</v>
      </c>
      <c r="M37" s="192">
        <f t="shared" si="10"/>
        <v>0.15</v>
      </c>
      <c r="N37" s="192">
        <f t="shared" si="10"/>
        <v>0.12</v>
      </c>
      <c r="O37" s="192">
        <f t="shared" si="10"/>
        <v>0.08</v>
      </c>
      <c r="P37" s="192">
        <f t="shared" si="10"/>
        <v>0.05</v>
      </c>
      <c r="Q37" s="192">
        <f t="shared" si="10"/>
        <v>0.03</v>
      </c>
      <c r="R37" s="192">
        <f t="shared" si="10"/>
        <v>0.01</v>
      </c>
    </row>
    <row r="38" spans="2:18" x14ac:dyDescent="0.25">
      <c r="B38" t="s">
        <v>7</v>
      </c>
      <c r="D38" s="193"/>
      <c r="E38" s="193"/>
      <c r="F38" s="193"/>
      <c r="G38" s="193"/>
      <c r="H38" s="193"/>
      <c r="I38" s="193">
        <v>0.1</v>
      </c>
      <c r="J38" s="193">
        <v>0.11</v>
      </c>
      <c r="K38" s="193">
        <v>0.12</v>
      </c>
      <c r="L38" s="193">
        <v>0.14000000000000001</v>
      </c>
      <c r="M38" s="193">
        <v>0.15</v>
      </c>
      <c r="N38" s="193">
        <v>0.12</v>
      </c>
      <c r="O38" s="193">
        <v>0.08</v>
      </c>
      <c r="P38" s="193">
        <v>0.05</v>
      </c>
      <c r="Q38" s="193">
        <v>0.03</v>
      </c>
      <c r="R38" s="193">
        <v>0.01</v>
      </c>
    </row>
    <row r="39" spans="2:18" x14ac:dyDescent="0.25">
      <c r="B39" t="s">
        <v>8</v>
      </c>
      <c r="D39" s="193"/>
      <c r="E39" s="193"/>
      <c r="F39" s="193"/>
      <c r="G39" s="193"/>
      <c r="H39" s="193"/>
      <c r="I39" s="193">
        <v>0.05</v>
      </c>
      <c r="J39" s="193">
        <v>0.04</v>
      </c>
      <c r="K39" s="193">
        <v>0.03</v>
      </c>
      <c r="L39" s="193">
        <v>0.02</v>
      </c>
      <c r="M39" s="193">
        <v>0.02</v>
      </c>
      <c r="N39" s="193">
        <v>0.02</v>
      </c>
      <c r="O39" s="193">
        <v>0.02</v>
      </c>
      <c r="P39" s="193">
        <v>0.02</v>
      </c>
      <c r="Q39" s="193">
        <v>0.01</v>
      </c>
      <c r="R39" s="193">
        <v>0.01</v>
      </c>
    </row>
    <row r="40" spans="2:18" x14ac:dyDescent="0.25">
      <c r="B40" t="s">
        <v>9</v>
      </c>
      <c r="D40" s="193"/>
      <c r="E40" s="193"/>
      <c r="F40" s="193"/>
      <c r="G40" s="193"/>
      <c r="H40" s="193"/>
      <c r="I40" s="193">
        <f t="shared" ref="I40:R40" si="11">+I38+1%</f>
        <v>0.11</v>
      </c>
      <c r="J40" s="193">
        <f t="shared" si="11"/>
        <v>0.12</v>
      </c>
      <c r="K40" s="193">
        <f t="shared" si="11"/>
        <v>0.13</v>
      </c>
      <c r="L40" s="193">
        <f t="shared" si="11"/>
        <v>0.15000000000000002</v>
      </c>
      <c r="M40" s="193">
        <f t="shared" si="11"/>
        <v>0.16</v>
      </c>
      <c r="N40" s="193">
        <f t="shared" si="11"/>
        <v>0.13</v>
      </c>
      <c r="O40" s="193">
        <f t="shared" si="11"/>
        <v>0.09</v>
      </c>
      <c r="P40" s="193">
        <f t="shared" si="11"/>
        <v>6.0000000000000005E-2</v>
      </c>
      <c r="Q40" s="193">
        <f t="shared" si="11"/>
        <v>0.04</v>
      </c>
      <c r="R40" s="193">
        <f t="shared" si="11"/>
        <v>0.02</v>
      </c>
    </row>
    <row r="43" spans="2:18" x14ac:dyDescent="0.25">
      <c r="B43" s="189" t="s">
        <v>13</v>
      </c>
    </row>
    <row r="44" spans="2:18" x14ac:dyDescent="0.25">
      <c r="B44" s="190">
        <f>$C$2</f>
        <v>1</v>
      </c>
      <c r="D44" s="191">
        <v>2007</v>
      </c>
      <c r="E44" s="191">
        <f t="shared" ref="E44:R44" si="12">+D44+1</f>
        <v>2008</v>
      </c>
      <c r="F44" s="191">
        <f t="shared" si="12"/>
        <v>2009</v>
      </c>
      <c r="G44" s="191">
        <f t="shared" si="12"/>
        <v>2010</v>
      </c>
      <c r="H44" s="191">
        <f t="shared" si="12"/>
        <v>2011</v>
      </c>
      <c r="I44" s="191">
        <f t="shared" si="12"/>
        <v>2012</v>
      </c>
      <c r="J44" s="191">
        <f t="shared" si="12"/>
        <v>2013</v>
      </c>
      <c r="K44" s="191">
        <f t="shared" si="12"/>
        <v>2014</v>
      </c>
      <c r="L44" s="191">
        <f t="shared" si="12"/>
        <v>2015</v>
      </c>
      <c r="M44" s="191">
        <f t="shared" si="12"/>
        <v>2016</v>
      </c>
      <c r="N44" s="191">
        <f t="shared" si="12"/>
        <v>2017</v>
      </c>
      <c r="O44" s="191">
        <f t="shared" si="12"/>
        <v>2018</v>
      </c>
      <c r="P44" s="191">
        <f t="shared" si="12"/>
        <v>2019</v>
      </c>
      <c r="Q44" s="191">
        <f t="shared" si="12"/>
        <v>2020</v>
      </c>
      <c r="R44" s="191">
        <f t="shared" si="12"/>
        <v>2021</v>
      </c>
    </row>
    <row r="45" spans="2:18" x14ac:dyDescent="0.25">
      <c r="B45" t="s">
        <v>6</v>
      </c>
      <c r="D45" s="192"/>
      <c r="E45" s="192"/>
      <c r="F45" s="192"/>
      <c r="G45" s="192"/>
      <c r="H45" s="192"/>
      <c r="I45" s="192">
        <f t="shared" ref="I45:R45" si="13">CHOOSE($B44,I46,I47,I48)</f>
        <v>0.71</v>
      </c>
      <c r="J45" s="192">
        <f t="shared" si="13"/>
        <v>0.71</v>
      </c>
      <c r="K45" s="192">
        <f t="shared" si="13"/>
        <v>0.71</v>
      </c>
      <c r="L45" s="192">
        <f t="shared" si="13"/>
        <v>0.71</v>
      </c>
      <c r="M45" s="192">
        <f t="shared" si="13"/>
        <v>0.71</v>
      </c>
      <c r="N45" s="192">
        <f t="shared" si="13"/>
        <v>0.71</v>
      </c>
      <c r="O45" s="192">
        <f t="shared" si="13"/>
        <v>0.71</v>
      </c>
      <c r="P45" s="192">
        <f t="shared" si="13"/>
        <v>0.71</v>
      </c>
      <c r="Q45" s="192">
        <f t="shared" si="13"/>
        <v>0.71</v>
      </c>
      <c r="R45" s="192">
        <f t="shared" si="13"/>
        <v>0.71</v>
      </c>
    </row>
    <row r="46" spans="2:18" x14ac:dyDescent="0.25">
      <c r="B46" t="s">
        <v>7</v>
      </c>
      <c r="D46" s="193"/>
      <c r="E46" s="193"/>
      <c r="F46" s="193"/>
      <c r="G46" s="193"/>
      <c r="H46" s="193"/>
      <c r="I46" s="193">
        <v>0.71</v>
      </c>
      <c r="J46" s="193">
        <v>0.71</v>
      </c>
      <c r="K46" s="193">
        <v>0.71</v>
      </c>
      <c r="L46" s="193">
        <v>0.71</v>
      </c>
      <c r="M46" s="193">
        <v>0.71</v>
      </c>
      <c r="N46" s="193">
        <v>0.71</v>
      </c>
      <c r="O46" s="193">
        <v>0.71</v>
      </c>
      <c r="P46" s="193">
        <v>0.71</v>
      </c>
      <c r="Q46" s="193">
        <v>0.71</v>
      </c>
      <c r="R46" s="193">
        <v>0.71</v>
      </c>
    </row>
    <row r="47" spans="2:18" x14ac:dyDescent="0.25">
      <c r="B47" t="s">
        <v>8</v>
      </c>
      <c r="D47" s="193"/>
      <c r="E47" s="193"/>
      <c r="F47" s="193"/>
      <c r="G47" s="193"/>
      <c r="H47" s="193"/>
      <c r="I47" s="193">
        <f t="shared" ref="I47:R47" si="14">+I46+1%</f>
        <v>0.72</v>
      </c>
      <c r="J47" s="193">
        <f t="shared" si="14"/>
        <v>0.72</v>
      </c>
      <c r="K47" s="193">
        <f t="shared" si="14"/>
        <v>0.72</v>
      </c>
      <c r="L47" s="193">
        <f t="shared" si="14"/>
        <v>0.72</v>
      </c>
      <c r="M47" s="193">
        <f t="shared" si="14"/>
        <v>0.72</v>
      </c>
      <c r="N47" s="193">
        <f t="shared" si="14"/>
        <v>0.72</v>
      </c>
      <c r="O47" s="193">
        <f t="shared" si="14"/>
        <v>0.72</v>
      </c>
      <c r="P47" s="193">
        <f t="shared" si="14"/>
        <v>0.72</v>
      </c>
      <c r="Q47" s="193">
        <f t="shared" si="14"/>
        <v>0.72</v>
      </c>
      <c r="R47" s="193">
        <f t="shared" si="14"/>
        <v>0.72</v>
      </c>
    </row>
    <row r="48" spans="2:18" x14ac:dyDescent="0.25">
      <c r="B48" t="s">
        <v>9</v>
      </c>
      <c r="D48" s="193"/>
      <c r="E48" s="193"/>
      <c r="F48" s="193"/>
      <c r="G48" s="193"/>
      <c r="H48" s="193"/>
      <c r="I48" s="193">
        <f t="shared" ref="I48:R48" si="15">+I46-1%</f>
        <v>0.7</v>
      </c>
      <c r="J48" s="193">
        <f t="shared" si="15"/>
        <v>0.7</v>
      </c>
      <c r="K48" s="193">
        <f t="shared" si="15"/>
        <v>0.7</v>
      </c>
      <c r="L48" s="193">
        <f t="shared" si="15"/>
        <v>0.7</v>
      </c>
      <c r="M48" s="193">
        <f t="shared" si="15"/>
        <v>0.7</v>
      </c>
      <c r="N48" s="193">
        <f t="shared" si="15"/>
        <v>0.7</v>
      </c>
      <c r="O48" s="193">
        <f t="shared" si="15"/>
        <v>0.7</v>
      </c>
      <c r="P48" s="193">
        <f t="shared" si="15"/>
        <v>0.7</v>
      </c>
      <c r="Q48" s="193">
        <f t="shared" si="15"/>
        <v>0.7</v>
      </c>
      <c r="R48" s="193">
        <f t="shared" si="15"/>
        <v>0.7</v>
      </c>
    </row>
    <row r="51" spans="2:18" x14ac:dyDescent="0.25">
      <c r="B51" s="189" t="s">
        <v>14</v>
      </c>
    </row>
    <row r="52" spans="2:18" x14ac:dyDescent="0.25">
      <c r="B52" s="190">
        <f>$C$2</f>
        <v>1</v>
      </c>
      <c r="D52" s="191">
        <v>2007</v>
      </c>
      <c r="E52" s="191">
        <f t="shared" ref="E52:R52" si="16">+D52+1</f>
        <v>2008</v>
      </c>
      <c r="F52" s="191">
        <f t="shared" si="16"/>
        <v>2009</v>
      </c>
      <c r="G52" s="191">
        <f t="shared" si="16"/>
        <v>2010</v>
      </c>
      <c r="H52" s="191">
        <f t="shared" si="16"/>
        <v>2011</v>
      </c>
      <c r="I52" s="191">
        <f t="shared" si="16"/>
        <v>2012</v>
      </c>
      <c r="J52" s="191">
        <f t="shared" si="16"/>
        <v>2013</v>
      </c>
      <c r="K52" s="191">
        <f t="shared" si="16"/>
        <v>2014</v>
      </c>
      <c r="L52" s="191">
        <f t="shared" si="16"/>
        <v>2015</v>
      </c>
      <c r="M52" s="191">
        <f t="shared" si="16"/>
        <v>2016</v>
      </c>
      <c r="N52" s="191">
        <f t="shared" si="16"/>
        <v>2017</v>
      </c>
      <c r="O52" s="191">
        <f t="shared" si="16"/>
        <v>2018</v>
      </c>
      <c r="P52" s="191">
        <f t="shared" si="16"/>
        <v>2019</v>
      </c>
      <c r="Q52" s="191">
        <f t="shared" si="16"/>
        <v>2020</v>
      </c>
      <c r="R52" s="191">
        <f t="shared" si="16"/>
        <v>2021</v>
      </c>
    </row>
    <row r="53" spans="2:18" x14ac:dyDescent="0.25">
      <c r="B53" t="s">
        <v>6</v>
      </c>
      <c r="D53" s="192"/>
      <c r="E53" s="192"/>
      <c r="F53" s="192"/>
      <c r="G53" s="192"/>
      <c r="H53" s="192"/>
      <c r="I53" s="192">
        <f t="shared" ref="I53:R53" si="17">CHOOSE($B52,I54,I55,I56)</f>
        <v>0.03</v>
      </c>
      <c r="J53" s="192">
        <f t="shared" si="17"/>
        <v>0.03</v>
      </c>
      <c r="K53" s="192">
        <f t="shared" si="17"/>
        <v>0.03</v>
      </c>
      <c r="L53" s="192">
        <f t="shared" si="17"/>
        <v>0.03</v>
      </c>
      <c r="M53" s="192">
        <f t="shared" si="17"/>
        <v>0.03</v>
      </c>
      <c r="N53" s="192">
        <f t="shared" si="17"/>
        <v>0.03</v>
      </c>
      <c r="O53" s="192">
        <f t="shared" si="17"/>
        <v>0.03</v>
      </c>
      <c r="P53" s="192">
        <f t="shared" si="17"/>
        <v>0.03</v>
      </c>
      <c r="Q53" s="192">
        <f t="shared" si="17"/>
        <v>0.03</v>
      </c>
      <c r="R53" s="192">
        <f t="shared" si="17"/>
        <v>0.03</v>
      </c>
    </row>
    <row r="54" spans="2:18" x14ac:dyDescent="0.25">
      <c r="B54" t="s">
        <v>7</v>
      </c>
      <c r="D54" s="193"/>
      <c r="E54" s="193"/>
      <c r="F54" s="193"/>
      <c r="G54" s="193"/>
      <c r="H54" s="193"/>
      <c r="I54" s="193">
        <v>0.03</v>
      </c>
      <c r="J54" s="193">
        <v>0.03</v>
      </c>
      <c r="K54" s="193">
        <v>0.03</v>
      </c>
      <c r="L54" s="193">
        <v>0.03</v>
      </c>
      <c r="M54" s="193">
        <v>0.03</v>
      </c>
      <c r="N54" s="193">
        <v>0.03</v>
      </c>
      <c r="O54" s="193">
        <v>0.03</v>
      </c>
      <c r="P54" s="193">
        <v>0.03</v>
      </c>
      <c r="Q54" s="193">
        <v>0.03</v>
      </c>
      <c r="R54" s="193">
        <v>0.03</v>
      </c>
    </row>
    <row r="55" spans="2:18" x14ac:dyDescent="0.25">
      <c r="B55" t="s">
        <v>8</v>
      </c>
      <c r="D55" s="193"/>
      <c r="E55" s="193"/>
      <c r="F55" s="193"/>
      <c r="G55" s="193"/>
      <c r="H55" s="193"/>
      <c r="I55" s="193">
        <f t="shared" ref="I55:R55" si="18">+I54+0.5%</f>
        <v>3.4999999999999996E-2</v>
      </c>
      <c r="J55" s="193">
        <f t="shared" si="18"/>
        <v>3.4999999999999996E-2</v>
      </c>
      <c r="K55" s="193">
        <f t="shared" si="18"/>
        <v>3.4999999999999996E-2</v>
      </c>
      <c r="L55" s="193">
        <f t="shared" si="18"/>
        <v>3.4999999999999996E-2</v>
      </c>
      <c r="M55" s="193">
        <f t="shared" si="18"/>
        <v>3.4999999999999996E-2</v>
      </c>
      <c r="N55" s="193">
        <f t="shared" si="18"/>
        <v>3.4999999999999996E-2</v>
      </c>
      <c r="O55" s="193">
        <f t="shared" si="18"/>
        <v>3.4999999999999996E-2</v>
      </c>
      <c r="P55" s="193">
        <f t="shared" si="18"/>
        <v>3.4999999999999996E-2</v>
      </c>
      <c r="Q55" s="193">
        <f t="shared" si="18"/>
        <v>3.4999999999999996E-2</v>
      </c>
      <c r="R55" s="193">
        <f t="shared" si="18"/>
        <v>3.4999999999999996E-2</v>
      </c>
    </row>
    <row r="56" spans="2:18" x14ac:dyDescent="0.25">
      <c r="B56" t="s">
        <v>9</v>
      </c>
      <c r="D56" s="193"/>
      <c r="E56" s="193"/>
      <c r="F56" s="193"/>
      <c r="G56" s="193"/>
      <c r="H56" s="193"/>
      <c r="I56" s="193">
        <f t="shared" ref="I56:R56" si="19">I54-0.5%</f>
        <v>2.4999999999999998E-2</v>
      </c>
      <c r="J56" s="193">
        <f t="shared" si="19"/>
        <v>2.4999999999999998E-2</v>
      </c>
      <c r="K56" s="193">
        <f t="shared" si="19"/>
        <v>2.4999999999999998E-2</v>
      </c>
      <c r="L56" s="193">
        <f t="shared" si="19"/>
        <v>2.4999999999999998E-2</v>
      </c>
      <c r="M56" s="193">
        <f t="shared" si="19"/>
        <v>2.4999999999999998E-2</v>
      </c>
      <c r="N56" s="193">
        <f t="shared" si="19"/>
        <v>2.4999999999999998E-2</v>
      </c>
      <c r="O56" s="193">
        <f t="shared" si="19"/>
        <v>2.4999999999999998E-2</v>
      </c>
      <c r="P56" s="193">
        <f t="shared" si="19"/>
        <v>2.4999999999999998E-2</v>
      </c>
      <c r="Q56" s="193">
        <f t="shared" si="19"/>
        <v>2.4999999999999998E-2</v>
      </c>
      <c r="R56" s="193">
        <f t="shared" si="19"/>
        <v>2.4999999999999998E-2</v>
      </c>
    </row>
    <row r="60" spans="2:18" x14ac:dyDescent="0.25">
      <c r="B60" s="189" t="s">
        <v>15</v>
      </c>
    </row>
    <row r="61" spans="2:18" x14ac:dyDescent="0.25">
      <c r="B61" s="190">
        <f>$C$2</f>
        <v>1</v>
      </c>
      <c r="D61" s="191">
        <v>2007</v>
      </c>
      <c r="E61" s="191">
        <f t="shared" ref="E61:R61" si="20">+D61+1</f>
        <v>2008</v>
      </c>
      <c r="F61" s="191">
        <f t="shared" si="20"/>
        <v>2009</v>
      </c>
      <c r="G61" s="191">
        <f t="shared" si="20"/>
        <v>2010</v>
      </c>
      <c r="H61" s="191">
        <f t="shared" si="20"/>
        <v>2011</v>
      </c>
      <c r="I61" s="191">
        <f t="shared" si="20"/>
        <v>2012</v>
      </c>
      <c r="J61" s="191">
        <f t="shared" si="20"/>
        <v>2013</v>
      </c>
      <c r="K61" s="191">
        <f t="shared" si="20"/>
        <v>2014</v>
      </c>
      <c r="L61" s="191">
        <f t="shared" si="20"/>
        <v>2015</v>
      </c>
      <c r="M61" s="191">
        <f t="shared" si="20"/>
        <v>2016</v>
      </c>
      <c r="N61" s="191">
        <f t="shared" si="20"/>
        <v>2017</v>
      </c>
      <c r="O61" s="191">
        <f t="shared" si="20"/>
        <v>2018</v>
      </c>
      <c r="P61" s="191">
        <f t="shared" si="20"/>
        <v>2019</v>
      </c>
      <c r="Q61" s="191">
        <f t="shared" si="20"/>
        <v>2020</v>
      </c>
      <c r="R61" s="191">
        <f t="shared" si="20"/>
        <v>2021</v>
      </c>
    </row>
    <row r="62" spans="2:18" x14ac:dyDescent="0.25">
      <c r="B62" t="s">
        <v>6</v>
      </c>
      <c r="D62" s="192"/>
      <c r="E62" s="192"/>
      <c r="F62" s="192"/>
      <c r="G62" s="192"/>
      <c r="H62" s="192"/>
      <c r="I62" s="192">
        <f t="shared" ref="I62:R62" si="21">CHOOSE($B61,I63,I64,I65)</f>
        <v>0.12</v>
      </c>
      <c r="J62" s="192">
        <f t="shared" si="21"/>
        <v>0.12</v>
      </c>
      <c r="K62" s="192">
        <f t="shared" si="21"/>
        <v>0.12</v>
      </c>
      <c r="L62" s="192">
        <f t="shared" si="21"/>
        <v>0.12</v>
      </c>
      <c r="M62" s="192">
        <f t="shared" si="21"/>
        <v>0.12</v>
      </c>
      <c r="N62" s="192">
        <f t="shared" si="21"/>
        <v>0.12</v>
      </c>
      <c r="O62" s="192">
        <f t="shared" si="21"/>
        <v>0.12</v>
      </c>
      <c r="P62" s="192">
        <f t="shared" si="21"/>
        <v>0.12</v>
      </c>
      <c r="Q62" s="192">
        <f t="shared" si="21"/>
        <v>0.12</v>
      </c>
      <c r="R62" s="192">
        <f t="shared" si="21"/>
        <v>0.12</v>
      </c>
    </row>
    <row r="63" spans="2:18" x14ac:dyDescent="0.25">
      <c r="B63" t="s">
        <v>7</v>
      </c>
      <c r="D63" s="193"/>
      <c r="E63" s="193"/>
      <c r="F63" s="193"/>
      <c r="G63" s="193"/>
      <c r="H63" s="193"/>
      <c r="I63" s="193">
        <v>0.12</v>
      </c>
      <c r="J63" s="193">
        <v>0.12</v>
      </c>
      <c r="K63" s="193">
        <v>0.12</v>
      </c>
      <c r="L63" s="193">
        <v>0.12</v>
      </c>
      <c r="M63" s="193">
        <v>0.12</v>
      </c>
      <c r="N63" s="193">
        <v>0.12</v>
      </c>
      <c r="O63" s="193">
        <v>0.12</v>
      </c>
      <c r="P63" s="193">
        <v>0.12</v>
      </c>
      <c r="Q63" s="193">
        <v>0.12</v>
      </c>
      <c r="R63" s="193">
        <v>0.12</v>
      </c>
    </row>
    <row r="64" spans="2:18" x14ac:dyDescent="0.25">
      <c r="B64" t="s">
        <v>8</v>
      </c>
      <c r="D64" s="193"/>
      <c r="E64" s="193"/>
      <c r="F64" s="193"/>
      <c r="G64" s="193"/>
      <c r="H64" s="193"/>
      <c r="I64" s="193">
        <f t="shared" ref="I64:R64" si="22">+I63+0.5%</f>
        <v>0.125</v>
      </c>
      <c r="J64" s="193">
        <f t="shared" si="22"/>
        <v>0.125</v>
      </c>
      <c r="K64" s="193">
        <f t="shared" si="22"/>
        <v>0.125</v>
      </c>
      <c r="L64" s="193">
        <f t="shared" si="22"/>
        <v>0.125</v>
      </c>
      <c r="M64" s="193">
        <f t="shared" si="22"/>
        <v>0.125</v>
      </c>
      <c r="N64" s="193">
        <f t="shared" si="22"/>
        <v>0.125</v>
      </c>
      <c r="O64" s="193">
        <f t="shared" si="22"/>
        <v>0.125</v>
      </c>
      <c r="P64" s="193">
        <f t="shared" si="22"/>
        <v>0.125</v>
      </c>
      <c r="Q64" s="193">
        <f t="shared" si="22"/>
        <v>0.125</v>
      </c>
      <c r="R64" s="193">
        <f t="shared" si="22"/>
        <v>0.125</v>
      </c>
    </row>
    <row r="65" spans="2:18" x14ac:dyDescent="0.25">
      <c r="B65" t="s">
        <v>9</v>
      </c>
      <c r="D65" s="193"/>
      <c r="E65" s="193"/>
      <c r="F65" s="193"/>
      <c r="G65" s="193"/>
      <c r="H65" s="193"/>
      <c r="I65" s="193">
        <f t="shared" ref="I65:R65" si="23">I63-0.5%</f>
        <v>0.11499999999999999</v>
      </c>
      <c r="J65" s="193">
        <f t="shared" si="23"/>
        <v>0.11499999999999999</v>
      </c>
      <c r="K65" s="193">
        <f t="shared" si="23"/>
        <v>0.11499999999999999</v>
      </c>
      <c r="L65" s="193">
        <f t="shared" si="23"/>
        <v>0.11499999999999999</v>
      </c>
      <c r="M65" s="193">
        <f t="shared" si="23"/>
        <v>0.11499999999999999</v>
      </c>
      <c r="N65" s="193">
        <f t="shared" si="23"/>
        <v>0.11499999999999999</v>
      </c>
      <c r="O65" s="193">
        <f t="shared" si="23"/>
        <v>0.11499999999999999</v>
      </c>
      <c r="P65" s="193">
        <f t="shared" si="23"/>
        <v>0.11499999999999999</v>
      </c>
      <c r="Q65" s="193">
        <f t="shared" si="23"/>
        <v>0.11499999999999999</v>
      </c>
      <c r="R65" s="193">
        <f t="shared" si="23"/>
        <v>0.11499999999999999</v>
      </c>
    </row>
    <row r="68" spans="2:18" x14ac:dyDescent="0.25">
      <c r="B68" s="189" t="s">
        <v>16</v>
      </c>
    </row>
    <row r="69" spans="2:18" x14ac:dyDescent="0.25">
      <c r="B69" s="190">
        <f>$C$2</f>
        <v>1</v>
      </c>
      <c r="D69" s="191">
        <v>2007</v>
      </c>
      <c r="E69" s="191">
        <f t="shared" ref="E69:R69" si="24">+D69+1</f>
        <v>2008</v>
      </c>
      <c r="F69" s="191">
        <f t="shared" si="24"/>
        <v>2009</v>
      </c>
      <c r="G69" s="191">
        <f t="shared" si="24"/>
        <v>2010</v>
      </c>
      <c r="H69" s="191">
        <f t="shared" si="24"/>
        <v>2011</v>
      </c>
      <c r="I69" s="191">
        <f t="shared" si="24"/>
        <v>2012</v>
      </c>
      <c r="J69" s="191">
        <f t="shared" si="24"/>
        <v>2013</v>
      </c>
      <c r="K69" s="191">
        <f t="shared" si="24"/>
        <v>2014</v>
      </c>
      <c r="L69" s="191">
        <f t="shared" si="24"/>
        <v>2015</v>
      </c>
      <c r="M69" s="191">
        <f t="shared" si="24"/>
        <v>2016</v>
      </c>
      <c r="N69" s="191">
        <f t="shared" si="24"/>
        <v>2017</v>
      </c>
      <c r="O69" s="191">
        <f t="shared" si="24"/>
        <v>2018</v>
      </c>
      <c r="P69" s="191">
        <f t="shared" si="24"/>
        <v>2019</v>
      </c>
      <c r="Q69" s="191">
        <f t="shared" si="24"/>
        <v>2020</v>
      </c>
      <c r="R69" s="191">
        <f t="shared" si="24"/>
        <v>2021</v>
      </c>
    </row>
    <row r="70" spans="2:18" x14ac:dyDescent="0.25">
      <c r="B70" t="s">
        <v>6</v>
      </c>
      <c r="D70" s="192"/>
      <c r="E70" s="192"/>
      <c r="F70" s="192"/>
      <c r="G70" s="192"/>
      <c r="H70" s="192"/>
      <c r="I70" s="192">
        <f t="shared" ref="I70:R70" si="25">CHOOSE($B69,I71,I72,I73)</f>
        <v>0.02</v>
      </c>
      <c r="J70" s="192">
        <f t="shared" si="25"/>
        <v>0.02</v>
      </c>
      <c r="K70" s="192">
        <f t="shared" si="25"/>
        <v>0.02</v>
      </c>
      <c r="L70" s="192">
        <f t="shared" si="25"/>
        <v>0.02</v>
      </c>
      <c r="M70" s="192">
        <f t="shared" si="25"/>
        <v>0.02</v>
      </c>
      <c r="N70" s="192">
        <f t="shared" si="25"/>
        <v>0.01</v>
      </c>
      <c r="O70" s="192">
        <f t="shared" si="25"/>
        <v>0.01</v>
      </c>
      <c r="P70" s="192">
        <f t="shared" si="25"/>
        <v>0.01</v>
      </c>
      <c r="Q70" s="192">
        <f t="shared" si="25"/>
        <v>0.01</v>
      </c>
      <c r="R70" s="192">
        <f t="shared" si="25"/>
        <v>0.01</v>
      </c>
    </row>
    <row r="71" spans="2:18" x14ac:dyDescent="0.25">
      <c r="B71" t="s">
        <v>7</v>
      </c>
      <c r="D71" s="193"/>
      <c r="E71" s="193"/>
      <c r="F71" s="193"/>
      <c r="G71" s="193"/>
      <c r="H71" s="193"/>
      <c r="I71" s="193">
        <v>0.02</v>
      </c>
      <c r="J71" s="193">
        <v>0.02</v>
      </c>
      <c r="K71" s="193">
        <v>0.02</v>
      </c>
      <c r="L71" s="193">
        <v>0.02</v>
      </c>
      <c r="M71" s="193">
        <v>0.02</v>
      </c>
      <c r="N71" s="193">
        <v>0.01</v>
      </c>
      <c r="O71" s="193">
        <v>0.01</v>
      </c>
      <c r="P71" s="193">
        <v>0.01</v>
      </c>
      <c r="Q71" s="193">
        <v>0.01</v>
      </c>
      <c r="R71" s="193">
        <v>0.01</v>
      </c>
    </row>
    <row r="72" spans="2:18" x14ac:dyDescent="0.25">
      <c r="B72" t="s">
        <v>8</v>
      </c>
      <c r="D72" s="193"/>
      <c r="E72" s="193"/>
      <c r="F72" s="193"/>
      <c r="G72" s="193"/>
      <c r="H72" s="193"/>
      <c r="I72" s="193">
        <v>0.01</v>
      </c>
      <c r="J72" s="193">
        <v>0.01</v>
      </c>
      <c r="K72" s="193">
        <v>0.01</v>
      </c>
      <c r="L72" s="193">
        <v>0.01</v>
      </c>
      <c r="M72" s="193">
        <v>0.01</v>
      </c>
      <c r="N72" s="193">
        <v>0.01</v>
      </c>
      <c r="O72" s="193">
        <v>0.01</v>
      </c>
      <c r="P72" s="193">
        <v>0.01</v>
      </c>
      <c r="Q72" s="193">
        <v>0.01</v>
      </c>
      <c r="R72" s="193">
        <v>0.01</v>
      </c>
    </row>
    <row r="73" spans="2:18" x14ac:dyDescent="0.25">
      <c r="B73" t="s">
        <v>9</v>
      </c>
      <c r="D73" s="193"/>
      <c r="E73" s="193"/>
      <c r="F73" s="193"/>
      <c r="G73" s="193"/>
      <c r="H73" s="193"/>
      <c r="I73" s="193">
        <v>0.03</v>
      </c>
      <c r="J73" s="193">
        <v>0.03</v>
      </c>
      <c r="K73" s="193">
        <v>0.03</v>
      </c>
      <c r="L73" s="193">
        <v>0.02</v>
      </c>
      <c r="M73" s="193">
        <v>0.02</v>
      </c>
      <c r="N73" s="193">
        <v>0.01</v>
      </c>
      <c r="O73" s="193">
        <v>0.01</v>
      </c>
      <c r="P73" s="193">
        <v>0.01</v>
      </c>
      <c r="Q73" s="193">
        <v>0.01</v>
      </c>
      <c r="R73" s="193">
        <v>0.01</v>
      </c>
    </row>
  </sheetData>
  <mergeCells count="1">
    <mergeCell ref="B9:R9"/>
  </mergeCells>
  <pageMargins left="0.75" right="0.75" top="1" bottom="1" header="0.3" footer="0.3"/>
  <pageSetup scale="4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"/>
  <sheetViews>
    <sheetView showGridLines="0" zoomScaleSheetLayoutView="85" workbookViewId="0">
      <pane xSplit="2" ySplit="5" topLeftCell="C57" activePane="bottomRight" state="frozen"/>
      <selection pane="topRight" activeCell="C1" sqref="C1"/>
      <selection pane="bottomLeft" activeCell="A6" sqref="A6"/>
      <selection pane="bottomRight" activeCell="C110" sqref="C110"/>
    </sheetView>
  </sheetViews>
  <sheetFormatPr defaultColWidth="8.85546875" defaultRowHeight="12.75" x14ac:dyDescent="0.2"/>
  <cols>
    <col min="1" max="1" width="2.7109375" style="2" customWidth="1"/>
    <col min="2" max="2" width="42.28515625" style="2" customWidth="1"/>
    <col min="3" max="3" width="9.28515625" style="6" bestFit="1" customWidth="1"/>
    <col min="4" max="5" width="9.42578125" style="6" bestFit="1" customWidth="1"/>
    <col min="6" max="17" width="9.28515625" style="6" bestFit="1" customWidth="1"/>
    <col min="18" max="19" width="8.85546875" style="6" customWidth="1"/>
    <col min="20" max="16384" width="8.85546875" style="6"/>
  </cols>
  <sheetData>
    <row r="1" spans="1:17" s="2" customFormat="1" x14ac:dyDescent="0.2"/>
    <row r="2" spans="1:17" s="2" customFormat="1" x14ac:dyDescent="0.2">
      <c r="B2" s="61" t="s">
        <v>17</v>
      </c>
    </row>
    <row r="3" spans="1:17" s="2" customFormat="1" x14ac:dyDescent="0.2">
      <c r="B3" s="5"/>
    </row>
    <row r="4" spans="1:17" s="2" customFormat="1" x14ac:dyDescent="0.2">
      <c r="B4" s="55" t="s">
        <v>18</v>
      </c>
      <c r="C4" s="57">
        <v>2007</v>
      </c>
      <c r="D4" s="57">
        <f t="shared" ref="D4:Q4" si="0">+C4+1</f>
        <v>2008</v>
      </c>
      <c r="E4" s="57">
        <f t="shared" si="0"/>
        <v>2009</v>
      </c>
      <c r="F4" s="57">
        <f t="shared" si="0"/>
        <v>2010</v>
      </c>
      <c r="G4" s="58">
        <f t="shared" si="0"/>
        <v>2011</v>
      </c>
      <c r="H4" s="59">
        <f t="shared" si="0"/>
        <v>2012</v>
      </c>
      <c r="I4" s="60">
        <f t="shared" si="0"/>
        <v>2013</v>
      </c>
      <c r="J4" s="60">
        <f t="shared" si="0"/>
        <v>2014</v>
      </c>
      <c r="K4" s="60">
        <f t="shared" si="0"/>
        <v>2015</v>
      </c>
      <c r="L4" s="60">
        <f t="shared" si="0"/>
        <v>2016</v>
      </c>
      <c r="M4" s="60">
        <f t="shared" si="0"/>
        <v>2017</v>
      </c>
      <c r="N4" s="60">
        <f t="shared" si="0"/>
        <v>2018</v>
      </c>
      <c r="O4" s="60">
        <f t="shared" si="0"/>
        <v>2019</v>
      </c>
      <c r="P4" s="60">
        <f t="shared" si="0"/>
        <v>2020</v>
      </c>
      <c r="Q4" s="60">
        <f t="shared" si="0"/>
        <v>2021</v>
      </c>
    </row>
    <row r="5" spans="1:17" s="2" customFormat="1" ht="5.0999999999999996" customHeight="1" x14ac:dyDescent="0.2">
      <c r="B5" s="5"/>
      <c r="C5" s="3"/>
      <c r="D5" s="3"/>
      <c r="E5" s="3"/>
      <c r="F5" s="3"/>
      <c r="G5" s="47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B6" s="19" t="s">
        <v>19</v>
      </c>
      <c r="C6" s="22">
        <v>212.63800000000001</v>
      </c>
      <c r="D6" s="22">
        <v>260.48200000000003</v>
      </c>
      <c r="E6" s="22">
        <v>273.50599999999997</v>
      </c>
      <c r="F6" s="22">
        <v>277.60899999999998</v>
      </c>
      <c r="G6" s="62">
        <v>291.48899999999998</v>
      </c>
      <c r="H6" s="22">
        <f t="shared" ref="H6:Q6" si="1">+H9+H45</f>
        <v>308.60898117018746</v>
      </c>
      <c r="I6" s="22">
        <f t="shared" si="1"/>
        <v>331.0081842554917</v>
      </c>
      <c r="J6" s="22">
        <f t="shared" si="1"/>
        <v>362.51112477322846</v>
      </c>
      <c r="K6" s="22">
        <f t="shared" si="1"/>
        <v>399.52298795291426</v>
      </c>
      <c r="L6" s="22">
        <f t="shared" si="1"/>
        <v>444.66890018218101</v>
      </c>
      <c r="M6" s="22">
        <f t="shared" si="1"/>
        <v>486.50462728897151</v>
      </c>
      <c r="N6" s="22">
        <f t="shared" si="1"/>
        <v>522.25520195999081</v>
      </c>
      <c r="O6" s="22">
        <f t="shared" si="1"/>
        <v>550.46246161646002</v>
      </c>
      <c r="P6" s="22">
        <f t="shared" si="1"/>
        <v>571.5559195603737</v>
      </c>
      <c r="Q6" s="22">
        <f t="shared" si="1"/>
        <v>583.04419354353718</v>
      </c>
    </row>
    <row r="7" spans="1:17" s="7" customFormat="1" x14ac:dyDescent="0.2">
      <c r="A7" s="5"/>
      <c r="B7" s="5" t="s">
        <v>20</v>
      </c>
      <c r="D7" s="8">
        <f t="shared" ref="D7:Q7" si="2">+D6/C6-1</f>
        <v>0.22500211627272648</v>
      </c>
      <c r="E7" s="8">
        <f t="shared" si="2"/>
        <v>4.9999616096313426E-2</v>
      </c>
      <c r="F7" s="8">
        <f t="shared" si="2"/>
        <v>1.5001499053037159E-2</v>
      </c>
      <c r="G7" s="49">
        <f t="shared" si="2"/>
        <v>4.9998379015089522E-2</v>
      </c>
      <c r="H7" s="8">
        <f t="shared" si="2"/>
        <v>5.873285499688663E-2</v>
      </c>
      <c r="I7" s="8">
        <f t="shared" si="2"/>
        <v>7.2581176997411623E-2</v>
      </c>
      <c r="J7" s="8">
        <f t="shared" si="2"/>
        <v>9.5172693655879215E-2</v>
      </c>
      <c r="K7" s="8">
        <f t="shared" si="2"/>
        <v>0.10209855822449265</v>
      </c>
      <c r="L7" s="8">
        <f t="shared" si="2"/>
        <v>0.1129995359230429</v>
      </c>
      <c r="M7" s="8">
        <f t="shared" si="2"/>
        <v>9.4082871749408215E-2</v>
      </c>
      <c r="N7" s="8">
        <f t="shared" si="2"/>
        <v>7.3484552182448981E-2</v>
      </c>
      <c r="O7" s="8">
        <f t="shared" si="2"/>
        <v>5.4010490562102831E-2</v>
      </c>
      <c r="P7" s="8">
        <f t="shared" si="2"/>
        <v>3.8319521156759073E-2</v>
      </c>
      <c r="Q7" s="8">
        <f t="shared" si="2"/>
        <v>2.0100000000000007E-2</v>
      </c>
    </row>
    <row r="8" spans="1:17" x14ac:dyDescent="0.2">
      <c r="G8" s="48"/>
    </row>
    <row r="9" spans="1:17" x14ac:dyDescent="0.2">
      <c r="B9" s="18" t="s">
        <v>21</v>
      </c>
      <c r="C9" s="22">
        <f>+C6-C45</f>
        <v>192.30742148760331</v>
      </c>
      <c r="D9" s="22">
        <f>+D6-D45</f>
        <v>238.11836363636365</v>
      </c>
      <c r="E9" s="22">
        <f>+E6-E45</f>
        <v>248.90599999999998</v>
      </c>
      <c r="F9" s="22">
        <f>+F6-F45</f>
        <v>250.54899999999998</v>
      </c>
      <c r="G9" s="62">
        <f>+G6-G45</f>
        <v>261.72299999999996</v>
      </c>
      <c r="H9" s="22">
        <f t="shared" ref="H9:Q9" si="3">+H13+H24+H35</f>
        <v>275.64864288018748</v>
      </c>
      <c r="I9" s="22">
        <f t="shared" si="3"/>
        <v>294.01903130356072</v>
      </c>
      <c r="J9" s="22">
        <f t="shared" si="3"/>
        <v>320.11179035393627</v>
      </c>
      <c r="K9" s="22">
        <f t="shared" si="3"/>
        <v>350.2210418901613</v>
      </c>
      <c r="L9" s="22">
        <f t="shared" si="3"/>
        <v>386.95111192651615</v>
      </c>
      <c r="M9" s="22">
        <f t="shared" si="3"/>
        <v>420.8264016770853</v>
      </c>
      <c r="N9" s="22">
        <f t="shared" si="3"/>
        <v>450.32966352790197</v>
      </c>
      <c r="O9" s="22">
        <f t="shared" si="3"/>
        <v>474.0343844785225</v>
      </c>
      <c r="P9" s="22">
        <f t="shared" si="3"/>
        <v>492.04779091377719</v>
      </c>
      <c r="Q9" s="22">
        <f t="shared" si="3"/>
        <v>501.93795151114415</v>
      </c>
    </row>
    <row r="10" spans="1:17" s="7" customFormat="1" x14ac:dyDescent="0.2">
      <c r="A10" s="5"/>
      <c r="B10" s="15" t="s">
        <v>22</v>
      </c>
      <c r="C10" s="8">
        <f t="shared" ref="C10:Q10" si="4">+C9/C6</f>
        <v>0.90438878040427062</v>
      </c>
      <c r="D10" s="8">
        <f t="shared" si="4"/>
        <v>0.91414517562197628</v>
      </c>
      <c r="E10" s="8">
        <f t="shared" si="4"/>
        <v>0.91005681776633784</v>
      </c>
      <c r="F10" s="8">
        <f t="shared" si="4"/>
        <v>0.90252477405271436</v>
      </c>
      <c r="G10" s="49">
        <f t="shared" si="4"/>
        <v>0.89788293897882931</v>
      </c>
      <c r="H10" s="8">
        <f t="shared" si="4"/>
        <v>0.89319708660123709</v>
      </c>
      <c r="I10" s="8">
        <f t="shared" si="4"/>
        <v>0.88825305623446293</v>
      </c>
      <c r="J10" s="8">
        <f t="shared" si="4"/>
        <v>0.88303990823504963</v>
      </c>
      <c r="K10" s="8">
        <f t="shared" si="4"/>
        <v>0.87659797421077701</v>
      </c>
      <c r="L10" s="8">
        <f t="shared" si="4"/>
        <v>0.87020052845607632</v>
      </c>
      <c r="M10" s="8">
        <f t="shared" si="4"/>
        <v>0.86499979254488157</v>
      </c>
      <c r="N10" s="8">
        <f t="shared" si="4"/>
        <v>0.86227894301070274</v>
      </c>
      <c r="O10" s="8">
        <f t="shared" si="4"/>
        <v>0.86115660473285915</v>
      </c>
      <c r="P10" s="8">
        <f t="shared" si="4"/>
        <v>0.86089177642014081</v>
      </c>
      <c r="Q10" s="8">
        <f t="shared" si="4"/>
        <v>0.86089177642014092</v>
      </c>
    </row>
    <row r="11" spans="1:17" s="7" customFormat="1" x14ac:dyDescent="0.2">
      <c r="A11" s="5"/>
      <c r="B11" s="15" t="s">
        <v>23</v>
      </c>
      <c r="C11" s="8"/>
      <c r="D11" s="8">
        <f t="shared" ref="D11:Q11" si="5">+D9/C9-1</f>
        <v>0.23821723464641975</v>
      </c>
      <c r="E11" s="8">
        <f t="shared" si="5"/>
        <v>4.5303672505117687E-2</v>
      </c>
      <c r="F11" s="8">
        <f t="shared" si="5"/>
        <v>6.6008854748378365E-3</v>
      </c>
      <c r="G11" s="49">
        <f t="shared" si="5"/>
        <v>4.4598062654410908E-2</v>
      </c>
      <c r="H11" s="8">
        <f t="shared" si="5"/>
        <v>5.3207562500000138E-2</v>
      </c>
      <c r="I11" s="8">
        <f t="shared" si="5"/>
        <v>6.6644218637992969E-2</v>
      </c>
      <c r="J11" s="8">
        <f t="shared" si="5"/>
        <v>8.8745136444708717E-2</v>
      </c>
      <c r="K11" s="8">
        <f t="shared" si="5"/>
        <v>9.4058552179331789E-2</v>
      </c>
      <c r="L11" s="8">
        <f t="shared" si="5"/>
        <v>0.10487682247223273</v>
      </c>
      <c r="M11" s="8">
        <f t="shared" si="5"/>
        <v>8.7544107527987247E-2</v>
      </c>
      <c r="N11" s="8">
        <f t="shared" si="5"/>
        <v>7.0107915599495918E-2</v>
      </c>
      <c r="O11" s="8">
        <f t="shared" si="5"/>
        <v>5.2638595390134268E-2</v>
      </c>
      <c r="P11" s="8">
        <f t="shared" si="5"/>
        <v>3.8000210586139227E-2</v>
      </c>
      <c r="Q11" s="8">
        <f t="shared" si="5"/>
        <v>2.0100000000000007E-2</v>
      </c>
    </row>
    <row r="12" spans="1:17" x14ac:dyDescent="0.2">
      <c r="B12" s="14"/>
      <c r="G12" s="48"/>
    </row>
    <row r="13" spans="1:17" x14ac:dyDescent="0.2">
      <c r="B13" s="16" t="s">
        <v>24</v>
      </c>
      <c r="C13" s="6">
        <f>+C$9*C14</f>
        <v>96.153710743801653</v>
      </c>
      <c r="D13" s="6">
        <f>+D$9*D14</f>
        <v>119.05918181818183</v>
      </c>
      <c r="E13" s="6">
        <f>+E$9*E14</f>
        <v>124.45299999999999</v>
      </c>
      <c r="F13" s="6">
        <f>+F$9*F14</f>
        <v>125.27449999999999</v>
      </c>
      <c r="G13" s="48">
        <f>+G$9*G14</f>
        <v>130.86149999999998</v>
      </c>
      <c r="H13" s="6">
        <f t="shared" ref="H13:Q13" si="6">+H17*H20</f>
        <v>138.31831542374999</v>
      </c>
      <c r="I13" s="6">
        <f t="shared" si="6"/>
        <v>148.23313825530292</v>
      </c>
      <c r="J13" s="6">
        <f t="shared" si="6"/>
        <v>162.32884972170703</v>
      </c>
      <c r="K13" s="6">
        <f t="shared" si="6"/>
        <v>178.82146085343248</v>
      </c>
      <c r="L13" s="6">
        <f t="shared" si="6"/>
        <v>200.24427186367373</v>
      </c>
      <c r="M13" s="6">
        <f t="shared" si="6"/>
        <v>219.72403463057191</v>
      </c>
      <c r="N13" s="6">
        <f t="shared" si="6"/>
        <v>236.16818138232392</v>
      </c>
      <c r="O13" s="6">
        <f t="shared" si="6"/>
        <v>248.56228754126829</v>
      </c>
      <c r="P13" s="6">
        <f t="shared" si="6"/>
        <v>258.57934772918139</v>
      </c>
      <c r="Q13" s="6">
        <f t="shared" si="6"/>
        <v>263.77679261853797</v>
      </c>
    </row>
    <row r="14" spans="1:17" s="7" customFormat="1" x14ac:dyDescent="0.2">
      <c r="A14" s="5"/>
      <c r="B14" s="17" t="s">
        <v>25</v>
      </c>
      <c r="C14" s="10">
        <v>0.5</v>
      </c>
      <c r="D14" s="8">
        <f>+C14</f>
        <v>0.5</v>
      </c>
      <c r="E14" s="8">
        <f>+D14</f>
        <v>0.5</v>
      </c>
      <c r="F14" s="8">
        <f>+E14</f>
        <v>0.5</v>
      </c>
      <c r="G14" s="49">
        <f>+F14</f>
        <v>0.5</v>
      </c>
      <c r="H14" s="8">
        <f t="shared" ref="H14:Q14" si="7">+H13/H9</f>
        <v>0.50179211469534046</v>
      </c>
      <c r="I14" s="8">
        <f t="shared" si="7"/>
        <v>0.50416171224732464</v>
      </c>
      <c r="J14" s="8">
        <f t="shared" si="7"/>
        <v>0.50710050242831028</v>
      </c>
      <c r="K14" s="8">
        <f t="shared" si="7"/>
        <v>0.51059599357115637</v>
      </c>
      <c r="L14" s="8">
        <f t="shared" si="7"/>
        <v>0.51749243170982562</v>
      </c>
      <c r="M14" s="8">
        <f t="shared" si="7"/>
        <v>0.52212511799384154</v>
      </c>
      <c r="N14" s="8">
        <f t="shared" si="7"/>
        <v>0.52443398805260177</v>
      </c>
      <c r="O14" s="8">
        <f t="shared" si="7"/>
        <v>0.52435497440698864</v>
      </c>
      <c r="P14" s="8">
        <f t="shared" si="7"/>
        <v>0.5255167333420524</v>
      </c>
      <c r="Q14" s="8">
        <f t="shared" si="7"/>
        <v>0.5255167333420524</v>
      </c>
    </row>
    <row r="15" spans="1:17" s="7" customFormat="1" x14ac:dyDescent="0.2">
      <c r="A15" s="5"/>
      <c r="B15" s="17" t="s">
        <v>23</v>
      </c>
      <c r="C15" s="8"/>
      <c r="D15" s="8">
        <f t="shared" ref="D15:Q15" si="8">+D13/C13-1</f>
        <v>0.23821723464641975</v>
      </c>
      <c r="E15" s="8">
        <f t="shared" si="8"/>
        <v>4.5303672505117687E-2</v>
      </c>
      <c r="F15" s="8">
        <f t="shared" si="8"/>
        <v>6.6008854748378365E-3</v>
      </c>
      <c r="G15" s="49">
        <f t="shared" si="8"/>
        <v>4.4598062654410908E-2</v>
      </c>
      <c r="H15" s="8">
        <f t="shared" si="8"/>
        <v>5.6982500000000158E-2</v>
      </c>
      <c r="I15" s="8">
        <f t="shared" si="8"/>
        <v>7.1681200000000223E-2</v>
      </c>
      <c r="J15" s="8">
        <f t="shared" si="8"/>
        <v>9.5091499999999884E-2</v>
      </c>
      <c r="K15" s="8">
        <f t="shared" si="8"/>
        <v>0.10160000000000013</v>
      </c>
      <c r="L15" s="8">
        <f t="shared" si="8"/>
        <v>0.11980000000000013</v>
      </c>
      <c r="M15" s="8">
        <f t="shared" si="8"/>
        <v>9.7280000000000033E-2</v>
      </c>
      <c r="N15" s="8">
        <f t="shared" si="8"/>
        <v>7.4840000000000018E-2</v>
      </c>
      <c r="O15" s="8">
        <f t="shared" si="8"/>
        <v>5.2480000000000082E-2</v>
      </c>
      <c r="P15" s="8">
        <f t="shared" si="8"/>
        <v>4.0300000000000002E-2</v>
      </c>
      <c r="Q15" s="8">
        <f t="shared" si="8"/>
        <v>2.0100000000000007E-2</v>
      </c>
    </row>
    <row r="16" spans="1:17" x14ac:dyDescent="0.2">
      <c r="B16" s="16"/>
      <c r="G16" s="48"/>
    </row>
    <row r="17" spans="1:17" x14ac:dyDescent="0.2">
      <c r="B17" s="26" t="s">
        <v>26</v>
      </c>
      <c r="C17" s="6">
        <f>+C13/C20</f>
        <v>24.038427685950413</v>
      </c>
      <c r="D17" s="6">
        <f>+D13/D20</f>
        <v>26.516285337810316</v>
      </c>
      <c r="E17" s="6">
        <f>+E13/E20</f>
        <v>27.29181808271635</v>
      </c>
      <c r="F17" s="6">
        <f>+F13/F20</f>
        <v>27.232863704951004</v>
      </c>
      <c r="G17" s="48">
        <f>+G13/G20</f>
        <v>28.20064105747057</v>
      </c>
      <c r="H17" s="6">
        <f t="shared" ref="H17:Q17" si="9">+G17*(1+H18)</f>
        <v>29.610673110344099</v>
      </c>
      <c r="I17" s="6">
        <f t="shared" si="9"/>
        <v>31.387313496964747</v>
      </c>
      <c r="J17" s="6">
        <f t="shared" si="9"/>
        <v>33.584425441752281</v>
      </c>
      <c r="K17" s="6">
        <f t="shared" si="9"/>
        <v>36.271179477092467</v>
      </c>
      <c r="L17" s="6">
        <f t="shared" si="9"/>
        <v>39.898297424801719</v>
      </c>
      <c r="M17" s="6">
        <f t="shared" si="9"/>
        <v>43.090161218785859</v>
      </c>
      <c r="N17" s="6">
        <f t="shared" si="9"/>
        <v>45.675570891913011</v>
      </c>
      <c r="O17" s="6">
        <f t="shared" si="9"/>
        <v>47.502593727589534</v>
      </c>
      <c r="P17" s="6">
        <f t="shared" si="9"/>
        <v>48.927671539417219</v>
      </c>
      <c r="Q17" s="6">
        <f t="shared" si="9"/>
        <v>49.416948254811395</v>
      </c>
    </row>
    <row r="18" spans="1:17" x14ac:dyDescent="0.2">
      <c r="B18" s="26" t="s">
        <v>23</v>
      </c>
      <c r="C18" s="8"/>
      <c r="D18" s="8">
        <f>D17/C17-1</f>
        <v>0.1030790234798975</v>
      </c>
      <c r="E18" s="8">
        <f>E17/D17-1</f>
        <v>2.9247412864432443E-2</v>
      </c>
      <c r="F18" s="25">
        <f>F17/E17-1</f>
        <v>-2.1601484220167277E-3</v>
      </c>
      <c r="G18" s="49">
        <f>G17/F17-1</f>
        <v>3.5537112916392388E-2</v>
      </c>
      <c r="H18" s="8">
        <f>Assumptions!I13</f>
        <v>0.05</v>
      </c>
      <c r="I18" s="8">
        <f>Assumptions!J13</f>
        <v>0.06</v>
      </c>
      <c r="J18" s="8">
        <f>Assumptions!K13</f>
        <v>7.0000000000000007E-2</v>
      </c>
      <c r="K18" s="8">
        <f>Assumptions!L13</f>
        <v>0.08</v>
      </c>
      <c r="L18" s="8">
        <f>Assumptions!M13</f>
        <v>0.1</v>
      </c>
      <c r="M18" s="8">
        <f>Assumptions!N13</f>
        <v>0.08</v>
      </c>
      <c r="N18" s="8">
        <f>Assumptions!O13</f>
        <v>0.06</v>
      </c>
      <c r="O18" s="8">
        <f>Assumptions!P13</f>
        <v>0.04</v>
      </c>
      <c r="P18" s="8">
        <f>Assumptions!Q13</f>
        <v>0.03</v>
      </c>
      <c r="Q18" s="8">
        <f>Assumptions!R13</f>
        <v>0.01</v>
      </c>
    </row>
    <row r="19" spans="1:17" x14ac:dyDescent="0.2">
      <c r="B19" s="26"/>
      <c r="G19" s="48"/>
    </row>
    <row r="20" spans="1:17" x14ac:dyDescent="0.2">
      <c r="B20" s="26" t="s">
        <v>27</v>
      </c>
      <c r="C20" s="12">
        <v>4</v>
      </c>
      <c r="D20" s="6">
        <f>C20*(1+D21)</f>
        <v>4.4900399999999996</v>
      </c>
      <c r="E20" s="6">
        <f>D20*(1+E21)</f>
        <v>4.5600846239999999</v>
      </c>
      <c r="F20" s="6">
        <f>E20*(1+F21)</f>
        <v>4.6001221669987196</v>
      </c>
      <c r="G20" s="48">
        <f>F20*(1+G21)</f>
        <v>4.6403732359599585</v>
      </c>
      <c r="H20" s="6">
        <f t="shared" ref="H20:Q20" si="10">+G20*(1+H21)</f>
        <v>4.6712317179790928</v>
      </c>
      <c r="I20" s="6">
        <f t="shared" si="10"/>
        <v>4.7227086915112224</v>
      </c>
      <c r="J20" s="6">
        <f t="shared" si="10"/>
        <v>4.8334562103271601</v>
      </c>
      <c r="K20" s="6">
        <f t="shared" si="10"/>
        <v>4.9301253345337033</v>
      </c>
      <c r="L20" s="6">
        <f t="shared" si="10"/>
        <v>5.0188675905553097</v>
      </c>
      <c r="M20" s="6">
        <f t="shared" si="10"/>
        <v>5.0991694720041947</v>
      </c>
      <c r="N20" s="6">
        <f t="shared" si="10"/>
        <v>5.1705578446122535</v>
      </c>
      <c r="O20" s="6">
        <f t="shared" si="10"/>
        <v>5.2326045387476006</v>
      </c>
      <c r="P20" s="6">
        <f t="shared" si="10"/>
        <v>5.2849305841350764</v>
      </c>
      <c r="Q20" s="6">
        <f t="shared" si="10"/>
        <v>5.3377798899764271</v>
      </c>
    </row>
    <row r="21" spans="1:17" x14ac:dyDescent="0.2">
      <c r="B21" s="26" t="s">
        <v>23</v>
      </c>
      <c r="C21" s="8"/>
      <c r="D21" s="10">
        <v>0.12250999999999999</v>
      </c>
      <c r="E21" s="10">
        <v>1.5599999999999999E-2</v>
      </c>
      <c r="F21" s="10">
        <v>8.7799999999999996E-3</v>
      </c>
      <c r="G21" s="50">
        <v>8.7500000000000008E-3</v>
      </c>
      <c r="H21" s="196">
        <v>6.6499999999999997E-3</v>
      </c>
      <c r="I21" s="196">
        <v>1.102E-2</v>
      </c>
      <c r="J21" s="196">
        <v>2.3449999999999999E-2</v>
      </c>
      <c r="K21" s="97">
        <v>0.02</v>
      </c>
      <c r="L21" s="97">
        <v>1.7999999999999999E-2</v>
      </c>
      <c r="M21" s="97">
        <v>1.6E-2</v>
      </c>
      <c r="N21" s="97">
        <v>1.4E-2</v>
      </c>
      <c r="O21" s="97">
        <v>1.2E-2</v>
      </c>
      <c r="P21" s="97">
        <v>0.01</v>
      </c>
      <c r="Q21" s="97">
        <v>0.01</v>
      </c>
    </row>
    <row r="22" spans="1:17" x14ac:dyDescent="0.2">
      <c r="B22" s="14"/>
      <c r="G22" s="48"/>
    </row>
    <row r="23" spans="1:17" x14ac:dyDescent="0.2">
      <c r="B23" s="14"/>
      <c r="G23" s="48"/>
    </row>
    <row r="24" spans="1:17" x14ac:dyDescent="0.2">
      <c r="B24" s="16" t="s">
        <v>28</v>
      </c>
      <c r="C24" s="6">
        <f>+C$9*C25</f>
        <v>48.076855371900827</v>
      </c>
      <c r="D24" s="6">
        <f>+D$9*D25</f>
        <v>59.529590909090913</v>
      </c>
      <c r="E24" s="6">
        <f>+E$9*E25</f>
        <v>62.226499999999994</v>
      </c>
      <c r="F24" s="6">
        <f>+F$9*F25</f>
        <v>62.637249999999995</v>
      </c>
      <c r="G24" s="48">
        <f>+G$9*G25</f>
        <v>65.430749999999989</v>
      </c>
      <c r="H24" s="6">
        <f t="shared" ref="H24:Q24" si="11">+H28*H31</f>
        <v>68.500499066999993</v>
      </c>
      <c r="I24" s="6">
        <f t="shared" si="11"/>
        <v>72.718143295054247</v>
      </c>
      <c r="J24" s="6">
        <f t="shared" si="11"/>
        <v>78.888786780642661</v>
      </c>
      <c r="K24" s="6">
        <f t="shared" si="11"/>
        <v>86.099221892393402</v>
      </c>
      <c r="L24" s="6">
        <f t="shared" si="11"/>
        <v>94.660928517373009</v>
      </c>
      <c r="M24" s="6">
        <f t="shared" si="11"/>
        <v>102.90778860980656</v>
      </c>
      <c r="N24" s="6">
        <f t="shared" si="11"/>
        <v>110.60940750936449</v>
      </c>
      <c r="O24" s="6">
        <f t="shared" si="11"/>
        <v>117.53355641945072</v>
      </c>
      <c r="P24" s="6">
        <f t="shared" si="11"/>
        <v>122.27015874315457</v>
      </c>
      <c r="Q24" s="6">
        <f t="shared" si="11"/>
        <v>124.72778893389197</v>
      </c>
    </row>
    <row r="25" spans="1:17" s="7" customFormat="1" x14ac:dyDescent="0.2">
      <c r="A25" s="5"/>
      <c r="B25" s="17" t="s">
        <v>25</v>
      </c>
      <c r="C25" s="10">
        <v>0.25</v>
      </c>
      <c r="D25" s="8">
        <f>+C25</f>
        <v>0.25</v>
      </c>
      <c r="E25" s="8">
        <f>+D25</f>
        <v>0.25</v>
      </c>
      <c r="F25" s="8">
        <f>+E25</f>
        <v>0.25</v>
      </c>
      <c r="G25" s="49">
        <f>+F25</f>
        <v>0.25</v>
      </c>
      <c r="H25" s="8">
        <f t="shared" ref="H25:Q25" si="12">+H24/H9</f>
        <v>0.24850657108721624</v>
      </c>
      <c r="I25" s="8">
        <f t="shared" si="12"/>
        <v>0.24732461355529128</v>
      </c>
      <c r="J25" s="8">
        <f t="shared" si="12"/>
        <v>0.24644136566609473</v>
      </c>
      <c r="K25" s="8">
        <f t="shared" si="12"/>
        <v>0.2458425154231493</v>
      </c>
      <c r="L25" s="8">
        <f t="shared" si="12"/>
        <v>0.24463278589919021</v>
      </c>
      <c r="M25" s="8">
        <f t="shared" si="12"/>
        <v>0.24453738691226715</v>
      </c>
      <c r="N25" s="8">
        <f t="shared" si="12"/>
        <v>0.24561874659298619</v>
      </c>
      <c r="O25" s="8">
        <f t="shared" si="12"/>
        <v>0.24794310342855713</v>
      </c>
      <c r="P25" s="8">
        <f t="shared" si="12"/>
        <v>0.24849244524823055</v>
      </c>
      <c r="Q25" s="8">
        <f t="shared" si="12"/>
        <v>0.24849244524823053</v>
      </c>
    </row>
    <row r="26" spans="1:17" s="7" customFormat="1" x14ac:dyDescent="0.2">
      <c r="A26" s="5"/>
      <c r="B26" s="17" t="s">
        <v>23</v>
      </c>
      <c r="C26" s="8"/>
      <c r="D26" s="8">
        <f t="shared" ref="D26:Q26" si="13">+D24/C24-1</f>
        <v>0.23821723464641975</v>
      </c>
      <c r="E26" s="8">
        <f t="shared" si="13"/>
        <v>4.5303672505117687E-2</v>
      </c>
      <c r="F26" s="8">
        <f t="shared" si="13"/>
        <v>6.6008854748378365E-3</v>
      </c>
      <c r="G26" s="49">
        <f t="shared" si="13"/>
        <v>4.4598062654410908E-2</v>
      </c>
      <c r="H26" s="8">
        <f t="shared" si="13"/>
        <v>4.6915999999999958E-2</v>
      </c>
      <c r="I26" s="8">
        <f t="shared" si="13"/>
        <v>6.1571000000000042E-2</v>
      </c>
      <c r="J26" s="8">
        <f t="shared" si="13"/>
        <v>8.485699999999996E-2</v>
      </c>
      <c r="K26" s="8">
        <f t="shared" si="13"/>
        <v>9.1399999999999926E-2</v>
      </c>
      <c r="L26" s="8">
        <f t="shared" si="13"/>
        <v>9.9439999999999973E-2</v>
      </c>
      <c r="M26" s="8">
        <f t="shared" si="13"/>
        <v>8.7120000000000086E-2</v>
      </c>
      <c r="N26" s="8">
        <f t="shared" si="13"/>
        <v>7.4840000000000018E-2</v>
      </c>
      <c r="O26" s="8">
        <f t="shared" si="13"/>
        <v>6.2600000000000211E-2</v>
      </c>
      <c r="P26" s="8">
        <f t="shared" si="13"/>
        <v>4.029999999999978E-2</v>
      </c>
      <c r="Q26" s="8">
        <f t="shared" si="13"/>
        <v>2.0100000000000007E-2</v>
      </c>
    </row>
    <row r="27" spans="1:17" x14ac:dyDescent="0.2">
      <c r="B27" s="16"/>
      <c r="G27" s="48"/>
    </row>
    <row r="28" spans="1:17" x14ac:dyDescent="0.2">
      <c r="B28" s="26" t="s">
        <v>29</v>
      </c>
      <c r="C28" s="6">
        <f>+C24/C31</f>
        <v>96.153710743801653</v>
      </c>
      <c r="D28" s="6">
        <f>+D24/D31</f>
        <v>106.06514135124127</v>
      </c>
      <c r="E28" s="6">
        <f>+E24/E31</f>
        <v>109.1672723308654</v>
      </c>
      <c r="F28" s="6">
        <f>+F24/F31</f>
        <v>108.93145481980402</v>
      </c>
      <c r="G28" s="48">
        <f>+G24/G31</f>
        <v>112.80256422988228</v>
      </c>
      <c r="H28" s="6">
        <f t="shared" ref="H28:Q28" si="14">+G28*(1+H29)</f>
        <v>117.31466679907757</v>
      </c>
      <c r="I28" s="6">
        <f t="shared" si="14"/>
        <v>123.18040013903145</v>
      </c>
      <c r="J28" s="6">
        <f t="shared" si="14"/>
        <v>130.57122414737333</v>
      </c>
      <c r="K28" s="6">
        <f t="shared" si="14"/>
        <v>139.71120983768947</v>
      </c>
      <c r="L28" s="6">
        <f t="shared" si="14"/>
        <v>150.88810662470465</v>
      </c>
      <c r="M28" s="6">
        <f t="shared" si="14"/>
        <v>161.45027408843399</v>
      </c>
      <c r="N28" s="6">
        <f t="shared" si="14"/>
        <v>171.13729053374004</v>
      </c>
      <c r="O28" s="6">
        <f t="shared" si="14"/>
        <v>179.69415506042705</v>
      </c>
      <c r="P28" s="6">
        <f t="shared" si="14"/>
        <v>185.08497971223986</v>
      </c>
      <c r="Q28" s="6">
        <f t="shared" si="14"/>
        <v>186.93582950936226</v>
      </c>
    </row>
    <row r="29" spans="1:17" s="7" customFormat="1" x14ac:dyDescent="0.2">
      <c r="A29" s="5"/>
      <c r="B29" s="26" t="s">
        <v>23</v>
      </c>
      <c r="C29" s="8"/>
      <c r="D29" s="8">
        <f>D28/C28-1</f>
        <v>0.1030790234798975</v>
      </c>
      <c r="E29" s="8">
        <f>E28/D28-1</f>
        <v>2.9247412864432443E-2</v>
      </c>
      <c r="F29" s="25">
        <f>F28/E28-1</f>
        <v>-2.1601484220167277E-3</v>
      </c>
      <c r="G29" s="49">
        <f>G28/F28-1</f>
        <v>3.5537112916392388E-2</v>
      </c>
      <c r="H29" s="8">
        <f>Assumptions!I21</f>
        <v>0.04</v>
      </c>
      <c r="I29" s="8">
        <f>Assumptions!J21</f>
        <v>0.05</v>
      </c>
      <c r="J29" s="8">
        <f>Assumptions!K21</f>
        <v>0.06</v>
      </c>
      <c r="K29" s="8">
        <f>Assumptions!L21</f>
        <v>7.0000000000000007E-2</v>
      </c>
      <c r="L29" s="8">
        <f>Assumptions!M21</f>
        <v>0.08</v>
      </c>
      <c r="M29" s="8">
        <f>Assumptions!N21</f>
        <v>7.0000000000000007E-2</v>
      </c>
      <c r="N29" s="8">
        <f>Assumptions!O21</f>
        <v>0.06</v>
      </c>
      <c r="O29" s="8">
        <f>Assumptions!P21</f>
        <v>0.05</v>
      </c>
      <c r="P29" s="8">
        <f>Assumptions!Q21</f>
        <v>0.03</v>
      </c>
      <c r="Q29" s="8">
        <f>Assumptions!R21</f>
        <v>0.01</v>
      </c>
    </row>
    <row r="30" spans="1:17" x14ac:dyDescent="0.2">
      <c r="B30" s="26"/>
      <c r="G30" s="48"/>
    </row>
    <row r="31" spans="1:17" x14ac:dyDescent="0.2">
      <c r="B31" s="26" t="s">
        <v>27</v>
      </c>
      <c r="C31" s="12">
        <v>0.5</v>
      </c>
      <c r="D31" s="6">
        <f>C31*(1+D32)</f>
        <v>0.56125499999999995</v>
      </c>
      <c r="E31" s="6">
        <f>D31*(1+E32)</f>
        <v>0.57001057799999999</v>
      </c>
      <c r="F31" s="6">
        <f>E31*(1+F32)</f>
        <v>0.57501527087483995</v>
      </c>
      <c r="G31" s="48">
        <f>F31*(1+G32)</f>
        <v>0.58004665449499482</v>
      </c>
      <c r="H31" s="6">
        <f t="shared" ref="H31:Q31" si="15">+G31*(1+H32)</f>
        <v>0.58390396474738659</v>
      </c>
      <c r="I31" s="6">
        <f t="shared" si="15"/>
        <v>0.5903385864389028</v>
      </c>
      <c r="J31" s="6">
        <f t="shared" si="15"/>
        <v>0.60418202629089501</v>
      </c>
      <c r="K31" s="6">
        <f t="shared" si="15"/>
        <v>0.61626566681671291</v>
      </c>
      <c r="L31" s="6">
        <f t="shared" si="15"/>
        <v>0.62735844881941372</v>
      </c>
      <c r="M31" s="6">
        <f t="shared" si="15"/>
        <v>0.63739618400052434</v>
      </c>
      <c r="N31" s="6">
        <f t="shared" si="15"/>
        <v>0.64631973057653169</v>
      </c>
      <c r="O31" s="6">
        <f t="shared" si="15"/>
        <v>0.65407556734345007</v>
      </c>
      <c r="P31" s="6">
        <f t="shared" si="15"/>
        <v>0.66061632301688455</v>
      </c>
      <c r="Q31" s="6">
        <f t="shared" si="15"/>
        <v>0.66722248624705338</v>
      </c>
    </row>
    <row r="32" spans="1:17" s="7" customFormat="1" x14ac:dyDescent="0.2">
      <c r="A32" s="5"/>
      <c r="B32" s="26" t="s">
        <v>23</v>
      </c>
      <c r="C32" s="8"/>
      <c r="D32" s="9">
        <f t="shared" ref="D32:Q32" si="16">+D21</f>
        <v>0.12250999999999999</v>
      </c>
      <c r="E32" s="9">
        <f t="shared" si="16"/>
        <v>1.5599999999999999E-2</v>
      </c>
      <c r="F32" s="9">
        <f t="shared" si="16"/>
        <v>8.7799999999999996E-3</v>
      </c>
      <c r="G32" s="51">
        <f t="shared" si="16"/>
        <v>8.7500000000000008E-3</v>
      </c>
      <c r="H32" s="196">
        <f t="shared" si="16"/>
        <v>6.6499999999999997E-3</v>
      </c>
      <c r="I32" s="196">
        <f t="shared" si="16"/>
        <v>1.102E-2</v>
      </c>
      <c r="J32" s="196">
        <f t="shared" si="16"/>
        <v>2.3449999999999999E-2</v>
      </c>
      <c r="K32" s="97">
        <f t="shared" si="16"/>
        <v>0.02</v>
      </c>
      <c r="L32" s="97">
        <f t="shared" si="16"/>
        <v>1.7999999999999999E-2</v>
      </c>
      <c r="M32" s="97">
        <f t="shared" si="16"/>
        <v>1.6E-2</v>
      </c>
      <c r="N32" s="97">
        <f t="shared" si="16"/>
        <v>1.4E-2</v>
      </c>
      <c r="O32" s="97">
        <f t="shared" si="16"/>
        <v>1.2E-2</v>
      </c>
      <c r="P32" s="97">
        <f t="shared" si="16"/>
        <v>0.01</v>
      </c>
      <c r="Q32" s="97">
        <f t="shared" si="16"/>
        <v>0.01</v>
      </c>
    </row>
    <row r="33" spans="1:17" x14ac:dyDescent="0.2">
      <c r="B33" s="16"/>
      <c r="G33" s="48"/>
    </row>
    <row r="34" spans="1:17" x14ac:dyDescent="0.2">
      <c r="B34" s="16"/>
      <c r="G34" s="48"/>
    </row>
    <row r="35" spans="1:17" x14ac:dyDescent="0.2">
      <c r="B35" s="16" t="s">
        <v>30</v>
      </c>
      <c r="C35" s="6">
        <f>+C$9*C36</f>
        <v>48.076855371900827</v>
      </c>
      <c r="D35" s="6">
        <f>+D$9*D36</f>
        <v>59.529590909090913</v>
      </c>
      <c r="E35" s="6">
        <f>+E$9*E36</f>
        <v>62.226499999999994</v>
      </c>
      <c r="F35" s="6">
        <f>+F$9*F36</f>
        <v>62.637249999999995</v>
      </c>
      <c r="G35" s="48">
        <f>+G$9*G36</f>
        <v>65.430749999999989</v>
      </c>
      <c r="H35" s="6">
        <f t="shared" ref="H35:Q35" si="17">+H39*H42</f>
        <v>68.829828389437495</v>
      </c>
      <c r="I35" s="6">
        <f t="shared" si="17"/>
        <v>73.067749753203543</v>
      </c>
      <c r="J35" s="6">
        <f t="shared" si="17"/>
        <v>78.894153851586552</v>
      </c>
      <c r="K35" s="6">
        <f t="shared" si="17"/>
        <v>85.300359144335388</v>
      </c>
      <c r="L35" s="6">
        <f t="shared" si="17"/>
        <v>92.045911545469437</v>
      </c>
      <c r="M35" s="6">
        <f t="shared" si="17"/>
        <v>98.194578436706806</v>
      </c>
      <c r="N35" s="6">
        <f t="shared" si="17"/>
        <v>103.55207463621353</v>
      </c>
      <c r="O35" s="6">
        <f t="shared" si="17"/>
        <v>107.93854051780355</v>
      </c>
      <c r="P35" s="6">
        <f t="shared" si="17"/>
        <v>111.1982844414412</v>
      </c>
      <c r="Q35" s="6">
        <f t="shared" si="17"/>
        <v>113.43336995871418</v>
      </c>
    </row>
    <row r="36" spans="1:17" s="7" customFormat="1" x14ac:dyDescent="0.2">
      <c r="A36" s="5"/>
      <c r="B36" s="17" t="s">
        <v>25</v>
      </c>
      <c r="C36" s="10">
        <v>0.25</v>
      </c>
      <c r="D36" s="8">
        <f>+C36</f>
        <v>0.25</v>
      </c>
      <c r="E36" s="8">
        <f>+D36</f>
        <v>0.25</v>
      </c>
      <c r="F36" s="8">
        <f>+E36</f>
        <v>0.25</v>
      </c>
      <c r="G36" s="49">
        <f>+F36</f>
        <v>0.25</v>
      </c>
      <c r="H36" s="8">
        <f t="shared" ref="H36:Q36" si="18">+H35/H9</f>
        <v>0.24970131421744324</v>
      </c>
      <c r="I36" s="8">
        <f t="shared" si="18"/>
        <v>0.24851367419738402</v>
      </c>
      <c r="J36" s="8">
        <f t="shared" si="18"/>
        <v>0.24645813190559485</v>
      </c>
      <c r="K36" s="8">
        <f t="shared" si="18"/>
        <v>0.24356149100569424</v>
      </c>
      <c r="L36" s="8">
        <f t="shared" si="18"/>
        <v>0.23787478239098431</v>
      </c>
      <c r="M36" s="8">
        <f t="shared" si="18"/>
        <v>0.23333749509389126</v>
      </c>
      <c r="N36" s="8">
        <f t="shared" si="18"/>
        <v>0.22994726535441198</v>
      </c>
      <c r="O36" s="8">
        <f t="shared" si="18"/>
        <v>0.22770192216445431</v>
      </c>
      <c r="P36" s="8">
        <f t="shared" si="18"/>
        <v>0.22599082140971702</v>
      </c>
      <c r="Q36" s="8">
        <f t="shared" si="18"/>
        <v>0.22599082140971702</v>
      </c>
    </row>
    <row r="37" spans="1:17" s="7" customFormat="1" x14ac:dyDescent="0.2">
      <c r="A37" s="5"/>
      <c r="B37" s="17" t="s">
        <v>23</v>
      </c>
      <c r="C37" s="8"/>
      <c r="D37" s="8">
        <f t="shared" ref="D37:Q37" si="19">+D35/C35-1</f>
        <v>0.23821723464641975</v>
      </c>
      <c r="E37" s="8">
        <f t="shared" si="19"/>
        <v>4.5303672505117687E-2</v>
      </c>
      <c r="F37" s="8">
        <f t="shared" si="19"/>
        <v>6.6008854748378365E-3</v>
      </c>
      <c r="G37" s="49">
        <f t="shared" si="19"/>
        <v>4.4598062654410908E-2</v>
      </c>
      <c r="H37" s="8">
        <f t="shared" si="19"/>
        <v>5.1949250000000058E-2</v>
      </c>
      <c r="I37" s="8">
        <f t="shared" si="19"/>
        <v>6.157099999999982E-2</v>
      </c>
      <c r="J37" s="8">
        <f t="shared" si="19"/>
        <v>7.9739749999999887E-2</v>
      </c>
      <c r="K37" s="8">
        <f t="shared" si="19"/>
        <v>8.1200000000000161E-2</v>
      </c>
      <c r="L37" s="8">
        <f t="shared" si="19"/>
        <v>7.9080000000000039E-2</v>
      </c>
      <c r="M37" s="8">
        <f t="shared" si="19"/>
        <v>6.6800000000000193E-2</v>
      </c>
      <c r="N37" s="8">
        <f t="shared" si="19"/>
        <v>5.4559999999999942E-2</v>
      </c>
      <c r="O37" s="8">
        <f t="shared" si="19"/>
        <v>4.2360000000000175E-2</v>
      </c>
      <c r="P37" s="8">
        <f t="shared" si="19"/>
        <v>3.0200000000000005E-2</v>
      </c>
      <c r="Q37" s="8">
        <f t="shared" si="19"/>
        <v>2.0100000000000007E-2</v>
      </c>
    </row>
    <row r="38" spans="1:17" x14ac:dyDescent="0.2">
      <c r="B38" s="16"/>
      <c r="G38" s="48"/>
    </row>
    <row r="39" spans="1:17" x14ac:dyDescent="0.2">
      <c r="B39" s="26" t="s">
        <v>31</v>
      </c>
      <c r="C39" s="6">
        <f>+C35/C42</f>
        <v>32.051236914600551</v>
      </c>
      <c r="D39" s="6">
        <f>+D35/D42</f>
        <v>35.355047117080424</v>
      </c>
      <c r="E39" s="6">
        <f>+E35/E42</f>
        <v>36.389090776955136</v>
      </c>
      <c r="F39" s="6">
        <f>+F35/F42</f>
        <v>36.310484939934675</v>
      </c>
      <c r="G39" s="48">
        <f>+G35/G42</f>
        <v>37.600854743294093</v>
      </c>
      <c r="H39" s="6">
        <f t="shared" ref="H39:Q39" si="20">+G39*(1+H40)</f>
        <v>39.292893206742328</v>
      </c>
      <c r="I39" s="6">
        <f t="shared" si="20"/>
        <v>41.257537867079442</v>
      </c>
      <c r="J39" s="6">
        <f t="shared" si="20"/>
        <v>43.526702449768806</v>
      </c>
      <c r="K39" s="6">
        <f t="shared" si="20"/>
        <v>46.138304596754935</v>
      </c>
      <c r="L39" s="6">
        <f t="shared" si="20"/>
        <v>48.906602872560235</v>
      </c>
      <c r="M39" s="6">
        <f t="shared" si="20"/>
        <v>51.351933016188248</v>
      </c>
      <c r="N39" s="6">
        <f t="shared" si="20"/>
        <v>53.406010336835777</v>
      </c>
      <c r="O39" s="6">
        <f t="shared" si="20"/>
        <v>55.008190646940854</v>
      </c>
      <c r="P39" s="6">
        <f t="shared" si="20"/>
        <v>56.108354459879671</v>
      </c>
      <c r="Q39" s="6">
        <f t="shared" si="20"/>
        <v>56.669438004478465</v>
      </c>
    </row>
    <row r="40" spans="1:17" x14ac:dyDescent="0.2">
      <c r="B40" s="26" t="s">
        <v>23</v>
      </c>
      <c r="C40" s="8"/>
      <c r="D40" s="8">
        <f>D39/C39-1</f>
        <v>0.10307902347989772</v>
      </c>
      <c r="E40" s="8">
        <f>E39/D39-1</f>
        <v>2.9247412864432443E-2</v>
      </c>
      <c r="F40" s="25">
        <f>F39/E39-1</f>
        <v>-2.1601484220167277E-3</v>
      </c>
      <c r="G40" s="49">
        <f>G39/F39-1</f>
        <v>3.5537112916392166E-2</v>
      </c>
      <c r="H40" s="8">
        <f>Assumptions!I29</f>
        <v>4.4999999999999998E-2</v>
      </c>
      <c r="I40" s="8">
        <f>Assumptions!J29</f>
        <v>0.05</v>
      </c>
      <c r="J40" s="8">
        <f>Assumptions!K29</f>
        <v>5.5E-2</v>
      </c>
      <c r="K40" s="8">
        <f>Assumptions!L29</f>
        <v>0.06</v>
      </c>
      <c r="L40" s="8">
        <f>Assumptions!M29</f>
        <v>0.06</v>
      </c>
      <c r="M40" s="8">
        <f>Assumptions!N29</f>
        <v>0.05</v>
      </c>
      <c r="N40" s="8">
        <f>Assumptions!O29</f>
        <v>0.04</v>
      </c>
      <c r="O40" s="8">
        <f>Assumptions!P29</f>
        <v>0.03</v>
      </c>
      <c r="P40" s="8">
        <f>Assumptions!Q29</f>
        <v>0.02</v>
      </c>
      <c r="Q40" s="8">
        <f>Assumptions!R29</f>
        <v>0.01</v>
      </c>
    </row>
    <row r="41" spans="1:17" x14ac:dyDescent="0.2">
      <c r="B41" s="26"/>
      <c r="G41" s="48"/>
    </row>
    <row r="42" spans="1:17" x14ac:dyDescent="0.2">
      <c r="B42" s="26" t="s">
        <v>27</v>
      </c>
      <c r="C42" s="12">
        <v>1.5</v>
      </c>
      <c r="D42" s="6">
        <f>C42*(1+D43)</f>
        <v>1.6837649999999997</v>
      </c>
      <c r="E42" s="6">
        <f>D42*(1+E43)</f>
        <v>1.7100317339999997</v>
      </c>
      <c r="F42" s="6">
        <f>E42*(1+F43)</f>
        <v>1.7250458126245198</v>
      </c>
      <c r="G42" s="48">
        <f>F42*(1+G43)</f>
        <v>1.7401399634849843</v>
      </c>
      <c r="H42" s="6">
        <f t="shared" ref="H42:Q42" si="21">+G42*(1+H43)</f>
        <v>1.7517118942421597</v>
      </c>
      <c r="I42" s="6">
        <f t="shared" si="21"/>
        <v>1.7710157593167084</v>
      </c>
      <c r="J42" s="6">
        <f t="shared" si="21"/>
        <v>1.8125460788726853</v>
      </c>
      <c r="K42" s="6">
        <f t="shared" si="21"/>
        <v>1.8487970004501391</v>
      </c>
      <c r="L42" s="6">
        <f t="shared" si="21"/>
        <v>1.8820753464582416</v>
      </c>
      <c r="M42" s="6">
        <f t="shared" si="21"/>
        <v>1.9121885520015736</v>
      </c>
      <c r="N42" s="6">
        <f t="shared" si="21"/>
        <v>1.9389591917295956</v>
      </c>
      <c r="O42" s="6">
        <f t="shared" si="21"/>
        <v>1.9622267020303508</v>
      </c>
      <c r="P42" s="6">
        <f t="shared" si="21"/>
        <v>1.9818489690506542</v>
      </c>
      <c r="Q42" s="6">
        <f t="shared" si="21"/>
        <v>2.0016674587411609</v>
      </c>
    </row>
    <row r="43" spans="1:17" x14ac:dyDescent="0.2">
      <c r="B43" s="26" t="s">
        <v>23</v>
      </c>
      <c r="C43" s="8"/>
      <c r="D43" s="9">
        <f t="shared" ref="D43:Q43" si="22">+D32</f>
        <v>0.12250999999999999</v>
      </c>
      <c r="E43" s="9">
        <f t="shared" si="22"/>
        <v>1.5599999999999999E-2</v>
      </c>
      <c r="F43" s="9">
        <f t="shared" si="22"/>
        <v>8.7799999999999996E-3</v>
      </c>
      <c r="G43" s="51">
        <f t="shared" si="22"/>
        <v>8.7500000000000008E-3</v>
      </c>
      <c r="H43" s="196">
        <f t="shared" si="22"/>
        <v>6.6499999999999997E-3</v>
      </c>
      <c r="I43" s="196">
        <f t="shared" si="22"/>
        <v>1.102E-2</v>
      </c>
      <c r="J43" s="196">
        <f t="shared" si="22"/>
        <v>2.3449999999999999E-2</v>
      </c>
      <c r="K43" s="97">
        <f t="shared" si="22"/>
        <v>0.02</v>
      </c>
      <c r="L43" s="97">
        <f t="shared" si="22"/>
        <v>1.7999999999999999E-2</v>
      </c>
      <c r="M43" s="97">
        <f t="shared" si="22"/>
        <v>1.6E-2</v>
      </c>
      <c r="N43" s="97">
        <f t="shared" si="22"/>
        <v>1.4E-2</v>
      </c>
      <c r="O43" s="97">
        <f t="shared" si="22"/>
        <v>1.2E-2</v>
      </c>
      <c r="P43" s="97">
        <f t="shared" si="22"/>
        <v>0.01</v>
      </c>
      <c r="Q43" s="97">
        <f t="shared" si="22"/>
        <v>0.01</v>
      </c>
    </row>
    <row r="44" spans="1:17" x14ac:dyDescent="0.2">
      <c r="B44" s="16"/>
      <c r="G44" s="48"/>
    </row>
    <row r="45" spans="1:17" x14ac:dyDescent="0.2">
      <c r="B45" s="18" t="s">
        <v>32</v>
      </c>
      <c r="C45" s="22">
        <f>+C55*C58</f>
        <v>20.330578512396688</v>
      </c>
      <c r="D45" s="22">
        <f>+D55*D58</f>
        <v>22.36363636363636</v>
      </c>
      <c r="E45" s="22">
        <f>+E55*E58</f>
        <v>24.599999999999998</v>
      </c>
      <c r="F45" s="22">
        <f>+F55*F58</f>
        <v>27.06</v>
      </c>
      <c r="G45" s="62">
        <f>+G55*G58</f>
        <v>29.766000000000002</v>
      </c>
      <c r="H45" s="22">
        <f t="shared" ref="H45:Q45" si="23">+H49*H52</f>
        <v>32.96033829000001</v>
      </c>
      <c r="I45" s="22">
        <f t="shared" si="23"/>
        <v>36.989152951930954</v>
      </c>
      <c r="J45" s="22">
        <f t="shared" si="23"/>
        <v>42.399334419292188</v>
      </c>
      <c r="K45" s="22">
        <f t="shared" si="23"/>
        <v>49.301946062752954</v>
      </c>
      <c r="L45" s="22">
        <f t="shared" si="23"/>
        <v>57.717788255664878</v>
      </c>
      <c r="M45" s="22">
        <f t="shared" si="23"/>
        <v>65.678225611886191</v>
      </c>
      <c r="N45" s="22">
        <f t="shared" si="23"/>
        <v>71.9255384320888</v>
      </c>
      <c r="O45" s="22">
        <f t="shared" si="23"/>
        <v>76.428077137937564</v>
      </c>
      <c r="P45" s="22">
        <f t="shared" si="23"/>
        <v>79.508128646596447</v>
      </c>
      <c r="Q45" s="22">
        <f t="shared" si="23"/>
        <v>81.106242032393041</v>
      </c>
    </row>
    <row r="46" spans="1:17" s="7" customFormat="1" x14ac:dyDescent="0.2">
      <c r="A46" s="5"/>
      <c r="B46" s="15" t="s">
        <v>22</v>
      </c>
      <c r="C46" s="8">
        <f t="shared" ref="C46:Q46" si="24">+C45/C6</f>
        <v>9.5611219595729297E-2</v>
      </c>
      <c r="D46" s="8">
        <f t="shared" si="24"/>
        <v>8.585482437802365E-2</v>
      </c>
      <c r="E46" s="8">
        <f t="shared" si="24"/>
        <v>8.9943182233662156E-2</v>
      </c>
      <c r="F46" s="8">
        <f t="shared" si="24"/>
        <v>9.7475225947285568E-2</v>
      </c>
      <c r="G46" s="49">
        <f t="shared" si="24"/>
        <v>0.10211706102117063</v>
      </c>
      <c r="H46" s="8">
        <f t="shared" si="24"/>
        <v>0.10680291339876299</v>
      </c>
      <c r="I46" s="8">
        <f t="shared" si="24"/>
        <v>0.11174694376553704</v>
      </c>
      <c r="J46" s="8">
        <f t="shared" si="24"/>
        <v>0.11696009176495041</v>
      </c>
      <c r="K46" s="8">
        <f t="shared" si="24"/>
        <v>0.12340202578922299</v>
      </c>
      <c r="L46" s="8">
        <f t="shared" si="24"/>
        <v>0.12979947154392377</v>
      </c>
      <c r="M46" s="8">
        <f t="shared" si="24"/>
        <v>0.13500020745511837</v>
      </c>
      <c r="N46" s="8">
        <f t="shared" si="24"/>
        <v>0.13772105698929718</v>
      </c>
      <c r="O46" s="8">
        <f t="shared" si="24"/>
        <v>0.13884339526714096</v>
      </c>
      <c r="P46" s="8">
        <f t="shared" si="24"/>
        <v>0.13910822357985914</v>
      </c>
      <c r="Q46" s="8">
        <f t="shared" si="24"/>
        <v>0.13910822357985916</v>
      </c>
    </row>
    <row r="47" spans="1:17" s="7" customFormat="1" x14ac:dyDescent="0.2">
      <c r="A47" s="5"/>
      <c r="B47" s="15" t="s">
        <v>23</v>
      </c>
      <c r="C47" s="8"/>
      <c r="D47" s="8">
        <f t="shared" ref="D47:Q47" si="25">+D45/C45-1</f>
        <v>0.10000000000000009</v>
      </c>
      <c r="E47" s="8">
        <f t="shared" si="25"/>
        <v>0.10000000000000009</v>
      </c>
      <c r="F47" s="8">
        <f t="shared" si="25"/>
        <v>0.10000000000000009</v>
      </c>
      <c r="G47" s="49">
        <f t="shared" si="25"/>
        <v>0.10000000000000009</v>
      </c>
      <c r="H47" s="8">
        <f t="shared" si="25"/>
        <v>0.10731500000000027</v>
      </c>
      <c r="I47" s="8">
        <f t="shared" si="25"/>
        <v>0.12223220000000024</v>
      </c>
      <c r="J47" s="8">
        <f t="shared" si="25"/>
        <v>0.14626400000000017</v>
      </c>
      <c r="K47" s="8">
        <f t="shared" si="25"/>
        <v>0.16279999999999983</v>
      </c>
      <c r="L47" s="8">
        <f t="shared" si="25"/>
        <v>0.17069999999999985</v>
      </c>
      <c r="M47" s="8">
        <f t="shared" si="25"/>
        <v>0.13792000000000026</v>
      </c>
      <c r="N47" s="8">
        <f t="shared" si="25"/>
        <v>9.5119999999999871E-2</v>
      </c>
      <c r="O47" s="8">
        <f t="shared" si="25"/>
        <v>6.2599999999999989E-2</v>
      </c>
      <c r="P47" s="8">
        <f t="shared" si="25"/>
        <v>4.0300000000000002E-2</v>
      </c>
      <c r="Q47" s="8">
        <f t="shared" si="25"/>
        <v>2.0100000000000007E-2</v>
      </c>
    </row>
    <row r="48" spans="1:17" s="7" customFormat="1" x14ac:dyDescent="0.2">
      <c r="A48" s="5"/>
      <c r="B48" s="15"/>
      <c r="D48" s="8"/>
      <c r="E48" s="8"/>
      <c r="G48" s="52"/>
    </row>
    <row r="49" spans="1:17" x14ac:dyDescent="0.2">
      <c r="B49" s="17" t="s">
        <v>33</v>
      </c>
      <c r="C49" s="6">
        <f>+C45/C52</f>
        <v>2.0330578512396689</v>
      </c>
      <c r="D49" s="6">
        <f>+D45/D52</f>
        <v>1.9922883861735183</v>
      </c>
      <c r="E49" s="6">
        <f>+E45/E52</f>
        <v>2.1578546916018806</v>
      </c>
      <c r="F49" s="6">
        <f>+F45/F52</f>
        <v>2.3529809876901493</v>
      </c>
      <c r="G49" s="48">
        <f>+G45/G52</f>
        <v>2.5658280906658386</v>
      </c>
      <c r="H49" s="6">
        <f t="shared" ref="H49:Q49" si="26">+G49*(1+H50)</f>
        <v>2.8224108997324229</v>
      </c>
      <c r="I49" s="6">
        <f t="shared" si="26"/>
        <v>3.1328760987029898</v>
      </c>
      <c r="J49" s="6">
        <f t="shared" si="26"/>
        <v>3.508821230547349</v>
      </c>
      <c r="K49" s="6">
        <f t="shared" si="26"/>
        <v>4.0000562028239779</v>
      </c>
      <c r="L49" s="6">
        <f t="shared" si="26"/>
        <v>4.6000646332475741</v>
      </c>
      <c r="M49" s="6">
        <f t="shared" si="26"/>
        <v>5.1520723892372837</v>
      </c>
      <c r="N49" s="6">
        <f t="shared" si="26"/>
        <v>5.5642381803762664</v>
      </c>
      <c r="O49" s="6">
        <f t="shared" si="26"/>
        <v>5.8424500893950801</v>
      </c>
      <c r="P49" s="6">
        <f t="shared" si="26"/>
        <v>6.0177235920769325</v>
      </c>
      <c r="Q49" s="6">
        <f t="shared" si="26"/>
        <v>6.077900827997702</v>
      </c>
    </row>
    <row r="50" spans="1:17" x14ac:dyDescent="0.2">
      <c r="B50" s="17" t="s">
        <v>23</v>
      </c>
      <c r="C50" s="8"/>
      <c r="D50" s="25">
        <f>D49/C49-1</f>
        <v>-2.0053273467496857E-2</v>
      </c>
      <c r="E50" s="8">
        <f>E49/D49-1</f>
        <v>8.3103584088223492E-2</v>
      </c>
      <c r="F50" s="8">
        <f>F49/E49-1</f>
        <v>9.0426059200222175E-2</v>
      </c>
      <c r="G50" s="49">
        <f>G49/F49-1</f>
        <v>9.0458488228005063E-2</v>
      </c>
      <c r="H50" s="8">
        <f>Assumptions!I37</f>
        <v>0.1</v>
      </c>
      <c r="I50" s="8">
        <f>Assumptions!J37</f>
        <v>0.11</v>
      </c>
      <c r="J50" s="8">
        <f>Assumptions!K37</f>
        <v>0.12</v>
      </c>
      <c r="K50" s="8">
        <f>Assumptions!L37</f>
        <v>0.14000000000000001</v>
      </c>
      <c r="L50" s="8">
        <f>Assumptions!M37</f>
        <v>0.15</v>
      </c>
      <c r="M50" s="8">
        <f>Assumptions!N37</f>
        <v>0.12</v>
      </c>
      <c r="N50" s="8">
        <f>Assumptions!O37</f>
        <v>0.08</v>
      </c>
      <c r="O50" s="8">
        <f>Assumptions!P37</f>
        <v>0.05</v>
      </c>
      <c r="P50" s="8">
        <f>Assumptions!Q37</f>
        <v>0.03</v>
      </c>
      <c r="Q50" s="8">
        <f>Assumptions!R37</f>
        <v>0.01</v>
      </c>
    </row>
    <row r="51" spans="1:17" x14ac:dyDescent="0.2">
      <c r="B51" s="17"/>
      <c r="G51" s="48"/>
    </row>
    <row r="52" spans="1:17" x14ac:dyDescent="0.2">
      <c r="B52" s="17" t="s">
        <v>34</v>
      </c>
      <c r="C52" s="12">
        <v>10</v>
      </c>
      <c r="D52" s="6">
        <f>C52*(1+D53)</f>
        <v>11.225099999999999</v>
      </c>
      <c r="E52" s="6">
        <f>D52*(1+E53)</f>
        <v>11.400211560000001</v>
      </c>
      <c r="F52" s="6">
        <f>E52*(1+F53)</f>
        <v>11.500305417496801</v>
      </c>
      <c r="G52" s="48">
        <f>F52*(1+G53)</f>
        <v>11.600933089899899</v>
      </c>
      <c r="H52" s="6">
        <f t="shared" ref="H52:Q52" si="27">+G52*(1+H53)</f>
        <v>11.678079294947734</v>
      </c>
      <c r="I52" s="6">
        <f t="shared" si="27"/>
        <v>11.806771728778058</v>
      </c>
      <c r="J52" s="6">
        <f t="shared" si="27"/>
        <v>12.083640525817902</v>
      </c>
      <c r="K52" s="6">
        <f t="shared" si="27"/>
        <v>12.32531333633426</v>
      </c>
      <c r="L52" s="6">
        <f t="shared" si="27"/>
        <v>12.547168976388276</v>
      </c>
      <c r="M52" s="6">
        <f t="shared" si="27"/>
        <v>12.747923680010489</v>
      </c>
      <c r="N52" s="6">
        <f t="shared" si="27"/>
        <v>12.926394611530636</v>
      </c>
      <c r="O52" s="6">
        <f t="shared" si="27"/>
        <v>13.081511346869004</v>
      </c>
      <c r="P52" s="6">
        <f t="shared" si="27"/>
        <v>13.212326460337694</v>
      </c>
      <c r="Q52" s="6">
        <f t="shared" si="27"/>
        <v>13.344449724941072</v>
      </c>
    </row>
    <row r="53" spans="1:17" x14ac:dyDescent="0.2">
      <c r="B53" s="17" t="s">
        <v>23</v>
      </c>
      <c r="C53" s="8"/>
      <c r="D53" s="9">
        <f t="shared" ref="D53:Q53" si="28">+D43</f>
        <v>0.12250999999999999</v>
      </c>
      <c r="E53" s="9">
        <f t="shared" si="28"/>
        <v>1.5599999999999999E-2</v>
      </c>
      <c r="F53" s="9">
        <f t="shared" si="28"/>
        <v>8.7799999999999996E-3</v>
      </c>
      <c r="G53" s="51">
        <f t="shared" si="28"/>
        <v>8.7500000000000008E-3</v>
      </c>
      <c r="H53" s="196">
        <f t="shared" si="28"/>
        <v>6.6499999999999997E-3</v>
      </c>
      <c r="I53" s="196">
        <f t="shared" si="28"/>
        <v>1.102E-2</v>
      </c>
      <c r="J53" s="196">
        <f t="shared" si="28"/>
        <v>2.3449999999999999E-2</v>
      </c>
      <c r="K53" s="196">
        <f t="shared" si="28"/>
        <v>0.02</v>
      </c>
      <c r="L53" s="196">
        <f t="shared" si="28"/>
        <v>1.7999999999999999E-2</v>
      </c>
      <c r="M53" s="196">
        <f t="shared" si="28"/>
        <v>1.6E-2</v>
      </c>
      <c r="N53" s="196">
        <f t="shared" si="28"/>
        <v>1.4E-2</v>
      </c>
      <c r="O53" s="196">
        <f t="shared" si="28"/>
        <v>1.2E-2</v>
      </c>
      <c r="P53" s="196">
        <f t="shared" si="28"/>
        <v>0.01</v>
      </c>
      <c r="Q53" s="196">
        <f t="shared" si="28"/>
        <v>0.01</v>
      </c>
    </row>
    <row r="54" spans="1:17" x14ac:dyDescent="0.2">
      <c r="B54" s="17"/>
      <c r="G54" s="48"/>
    </row>
    <row r="55" spans="1:17" x14ac:dyDescent="0.2">
      <c r="B55" s="17" t="s">
        <v>35</v>
      </c>
      <c r="C55" s="6">
        <f>+D55/(D56+1)</f>
        <v>67.7685950413223</v>
      </c>
      <c r="D55" s="6">
        <f>+E55/(E56+1)</f>
        <v>74.545454545454533</v>
      </c>
      <c r="E55" s="194">
        <v>82</v>
      </c>
      <c r="F55" s="6">
        <f>+E55*(1+F56)</f>
        <v>90.2</v>
      </c>
      <c r="G55" s="48">
        <f>+F55*(1+G56)</f>
        <v>99.220000000000013</v>
      </c>
    </row>
    <row r="56" spans="1:17" x14ac:dyDescent="0.2">
      <c r="B56" s="17" t="s">
        <v>23</v>
      </c>
      <c r="D56" s="9">
        <f>E56</f>
        <v>0.1</v>
      </c>
      <c r="E56" s="10">
        <v>0.1</v>
      </c>
      <c r="F56" s="13">
        <f>E56</f>
        <v>0.1</v>
      </c>
      <c r="G56" s="53">
        <f>F56</f>
        <v>0.1</v>
      </c>
    </row>
    <row r="57" spans="1:17" x14ac:dyDescent="0.2">
      <c r="B57" s="16"/>
      <c r="E57" s="11"/>
      <c r="G57" s="48"/>
    </row>
    <row r="58" spans="1:17" s="7" customFormat="1" x14ac:dyDescent="0.2">
      <c r="A58" s="5"/>
      <c r="B58" s="17" t="s">
        <v>36</v>
      </c>
      <c r="C58" s="9">
        <f>D58</f>
        <v>0.3</v>
      </c>
      <c r="D58" s="9">
        <f>+E58</f>
        <v>0.3</v>
      </c>
      <c r="E58" s="10">
        <v>0.3</v>
      </c>
      <c r="F58" s="9">
        <f>E58</f>
        <v>0.3</v>
      </c>
      <c r="G58" s="51">
        <f>F58</f>
        <v>0.3</v>
      </c>
    </row>
    <row r="59" spans="1:17" x14ac:dyDescent="0.2">
      <c r="B59" s="20"/>
      <c r="C59" s="21"/>
      <c r="D59" s="21"/>
      <c r="E59" s="21"/>
      <c r="F59" s="21"/>
      <c r="G59" s="54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x14ac:dyDescent="0.2">
      <c r="G60" s="48"/>
    </row>
    <row r="61" spans="1:17" x14ac:dyDescent="0.2">
      <c r="B61" s="14" t="s">
        <v>37</v>
      </c>
      <c r="C61" s="6">
        <v>-2.1259999999999999</v>
      </c>
      <c r="D61" s="6">
        <v>-2.605</v>
      </c>
      <c r="E61" s="6">
        <v>-4.1029999999999998</v>
      </c>
      <c r="F61" s="6">
        <v>-5.5519999999999996</v>
      </c>
      <c r="G61" s="48">
        <v>-8.7449999999999992</v>
      </c>
      <c r="H61" s="6">
        <f t="shared" ref="H61:Q61" si="29">-H62*H6</f>
        <v>-9.2586188169477719</v>
      </c>
      <c r="I61" s="6">
        <f t="shared" si="29"/>
        <v>-9.9306202680522251</v>
      </c>
      <c r="J61" s="6">
        <f t="shared" si="29"/>
        <v>-10.875744148636425</v>
      </c>
      <c r="K61" s="6">
        <f t="shared" si="29"/>
        <v>-11.986141945830667</v>
      </c>
      <c r="L61" s="6">
        <f t="shared" si="29"/>
        <v>-13.340570423217249</v>
      </c>
      <c r="M61" s="6">
        <f t="shared" si="29"/>
        <v>-14.595689599408745</v>
      </c>
      <c r="N61" s="6">
        <f t="shared" si="29"/>
        <v>-15.668247313415325</v>
      </c>
      <c r="O61" s="6">
        <f t="shared" si="29"/>
        <v>-16.514497037061236</v>
      </c>
      <c r="P61" s="6">
        <f t="shared" si="29"/>
        <v>-17.147324655666143</v>
      </c>
      <c r="Q61" s="6">
        <f t="shared" si="29"/>
        <v>-17.491985881245029</v>
      </c>
    </row>
    <row r="62" spans="1:17" s="7" customFormat="1" x14ac:dyDescent="0.2">
      <c r="A62" s="5"/>
      <c r="B62" s="15" t="s">
        <v>22</v>
      </c>
      <c r="C62" s="8">
        <f>-C61/C6</f>
        <v>9.9982129252532467E-3</v>
      </c>
      <c r="D62" s="8">
        <f>-D61/D6</f>
        <v>1.0000691026635236E-2</v>
      </c>
      <c r="E62" s="8">
        <f>-E61/E6</f>
        <v>1.5001499053037229E-2</v>
      </c>
      <c r="F62" s="8">
        <f>-F61/F6</f>
        <v>1.9999351606035828E-2</v>
      </c>
      <c r="G62" s="49">
        <f>-G61/G6</f>
        <v>3.0001132118193139E-2</v>
      </c>
      <c r="H62" s="10">
        <f t="shared" ref="H62:Q62" si="30">+G62</f>
        <v>3.0001132118193139E-2</v>
      </c>
      <c r="I62" s="8">
        <f t="shared" si="30"/>
        <v>3.0001132118193139E-2</v>
      </c>
      <c r="J62" s="8">
        <f t="shared" si="30"/>
        <v>3.0001132118193139E-2</v>
      </c>
      <c r="K62" s="8">
        <f t="shared" si="30"/>
        <v>3.0001132118193139E-2</v>
      </c>
      <c r="L62" s="8">
        <f t="shared" si="30"/>
        <v>3.0001132118193139E-2</v>
      </c>
      <c r="M62" s="8">
        <f t="shared" si="30"/>
        <v>3.0001132118193139E-2</v>
      </c>
      <c r="N62" s="8">
        <f t="shared" si="30"/>
        <v>3.0001132118193139E-2</v>
      </c>
      <c r="O62" s="8">
        <f t="shared" si="30"/>
        <v>3.0001132118193139E-2</v>
      </c>
      <c r="P62" s="8">
        <f t="shared" si="30"/>
        <v>3.0001132118193139E-2</v>
      </c>
      <c r="Q62" s="8">
        <f t="shared" si="30"/>
        <v>3.0001132118193139E-2</v>
      </c>
    </row>
    <row r="63" spans="1:17" x14ac:dyDescent="0.2">
      <c r="G63" s="48"/>
    </row>
    <row r="64" spans="1:17" x14ac:dyDescent="0.2">
      <c r="B64" s="19" t="s">
        <v>38</v>
      </c>
      <c r="C64" s="22">
        <f t="shared" ref="C64:Q64" si="31">+C6+C61</f>
        <v>210.512</v>
      </c>
      <c r="D64" s="22">
        <f t="shared" si="31"/>
        <v>257.87700000000001</v>
      </c>
      <c r="E64" s="22">
        <f t="shared" si="31"/>
        <v>269.40299999999996</v>
      </c>
      <c r="F64" s="22">
        <f t="shared" si="31"/>
        <v>272.05699999999996</v>
      </c>
      <c r="G64" s="62">
        <f t="shared" si="31"/>
        <v>282.74399999999997</v>
      </c>
      <c r="H64" s="22">
        <f t="shared" si="31"/>
        <v>299.35036235323969</v>
      </c>
      <c r="I64" s="22">
        <f t="shared" si="31"/>
        <v>321.07756398743948</v>
      </c>
      <c r="J64" s="22">
        <f t="shared" si="31"/>
        <v>351.63538062459202</v>
      </c>
      <c r="K64" s="22">
        <f t="shared" si="31"/>
        <v>387.53684600708357</v>
      </c>
      <c r="L64" s="22">
        <f t="shared" si="31"/>
        <v>431.32832975896378</v>
      </c>
      <c r="M64" s="22">
        <f t="shared" si="31"/>
        <v>471.90893768956278</v>
      </c>
      <c r="N64" s="22">
        <f t="shared" si="31"/>
        <v>506.58695464657546</v>
      </c>
      <c r="O64" s="22">
        <f t="shared" si="31"/>
        <v>533.94796457939879</v>
      </c>
      <c r="P64" s="22">
        <f t="shared" si="31"/>
        <v>554.40859490470757</v>
      </c>
      <c r="Q64" s="22">
        <f t="shared" si="31"/>
        <v>565.55220766229218</v>
      </c>
    </row>
    <row r="65" spans="1:17" x14ac:dyDescent="0.2">
      <c r="B65" s="5" t="s">
        <v>23</v>
      </c>
      <c r="D65" s="8">
        <f t="shared" ref="D65:Q65" si="32">+D64/C64-1</f>
        <v>0.22499904993539555</v>
      </c>
      <c r="E65" s="8">
        <f t="shared" si="32"/>
        <v>4.4695727032654897E-2</v>
      </c>
      <c r="F65" s="8">
        <f t="shared" si="32"/>
        <v>9.8514121965975754E-3</v>
      </c>
      <c r="G65" s="49">
        <f t="shared" si="32"/>
        <v>3.9282209242916144E-2</v>
      </c>
      <c r="H65" s="8">
        <f t="shared" si="32"/>
        <v>5.873285499688663E-2</v>
      </c>
      <c r="I65" s="8">
        <f t="shared" si="32"/>
        <v>7.2581176997411623E-2</v>
      </c>
      <c r="J65" s="8">
        <f t="shared" si="32"/>
        <v>9.5172693655879215E-2</v>
      </c>
      <c r="K65" s="8">
        <f t="shared" si="32"/>
        <v>0.10209855822449265</v>
      </c>
      <c r="L65" s="8">
        <f t="shared" si="32"/>
        <v>0.1129995359230429</v>
      </c>
      <c r="M65" s="8">
        <f t="shared" si="32"/>
        <v>9.4082871749408215E-2</v>
      </c>
      <c r="N65" s="8">
        <f t="shared" si="32"/>
        <v>7.3484552182448759E-2</v>
      </c>
      <c r="O65" s="8">
        <f t="shared" si="32"/>
        <v>5.4010490562102831E-2</v>
      </c>
      <c r="P65" s="8">
        <f t="shared" si="32"/>
        <v>3.8319521156759295E-2</v>
      </c>
      <c r="Q65" s="8">
        <f t="shared" si="32"/>
        <v>2.0100000000000007E-2</v>
      </c>
    </row>
    <row r="66" spans="1:17" x14ac:dyDescent="0.2">
      <c r="G66" s="48"/>
    </row>
    <row r="67" spans="1:17" x14ac:dyDescent="0.2">
      <c r="B67" s="14" t="s">
        <v>39</v>
      </c>
      <c r="C67" s="6">
        <v>-148.84700000000001</v>
      </c>
      <c r="D67" s="6">
        <v>-177.12799999999999</v>
      </c>
      <c r="E67" s="6">
        <v>-205.13</v>
      </c>
      <c r="F67" s="6">
        <v>-201.26599999999999</v>
      </c>
      <c r="G67" s="48">
        <v>-204.042</v>
      </c>
      <c r="H67" s="6">
        <f t="shared" ref="H67:Q67" si="33">-H68*H6</f>
        <v>-219.1123766308331</v>
      </c>
      <c r="I67" s="6">
        <f t="shared" si="33"/>
        <v>-235.0158108213991</v>
      </c>
      <c r="J67" s="6">
        <f t="shared" si="33"/>
        <v>-257.38289858899219</v>
      </c>
      <c r="K67" s="6">
        <f t="shared" si="33"/>
        <v>-283.6613214465691</v>
      </c>
      <c r="L67" s="6">
        <f t="shared" si="33"/>
        <v>-315.71491912934852</v>
      </c>
      <c r="M67" s="6">
        <f t="shared" si="33"/>
        <v>-345.41828537516977</v>
      </c>
      <c r="N67" s="6">
        <f t="shared" si="33"/>
        <v>-370.80119339159347</v>
      </c>
      <c r="O67" s="6">
        <f t="shared" si="33"/>
        <v>-390.82834774768662</v>
      </c>
      <c r="P67" s="6">
        <f t="shared" si="33"/>
        <v>-405.80470288786529</v>
      </c>
      <c r="Q67" s="6">
        <f t="shared" si="33"/>
        <v>-413.96137741591139</v>
      </c>
    </row>
    <row r="68" spans="1:17" s="7" customFormat="1" x14ac:dyDescent="0.2">
      <c r="A68" s="5"/>
      <c r="B68" s="15" t="s">
        <v>22</v>
      </c>
      <c r="C68" s="8">
        <f>-C67/C6</f>
        <v>0.70000188113131234</v>
      </c>
      <c r="D68" s="8">
        <f>-D67/D6</f>
        <v>0.68000092136884682</v>
      </c>
      <c r="E68" s="8">
        <f>-E67/E6</f>
        <v>0.75000182811346006</v>
      </c>
      <c r="F68" s="8">
        <f>-F67/F6</f>
        <v>0.72499810885093785</v>
      </c>
      <c r="G68" s="49">
        <f>-G67/G6</f>
        <v>0.69999897080164264</v>
      </c>
      <c r="H68" s="8">
        <f>Assumptions!I45</f>
        <v>0.71</v>
      </c>
      <c r="I68" s="8">
        <f>Assumptions!J45</f>
        <v>0.71</v>
      </c>
      <c r="J68" s="8">
        <f>Assumptions!K45</f>
        <v>0.71</v>
      </c>
      <c r="K68" s="8">
        <f>Assumptions!L45</f>
        <v>0.71</v>
      </c>
      <c r="L68" s="8">
        <f>Assumptions!M45</f>
        <v>0.71</v>
      </c>
      <c r="M68" s="8">
        <f>Assumptions!N45</f>
        <v>0.71</v>
      </c>
      <c r="N68" s="8">
        <f>Assumptions!O45</f>
        <v>0.71</v>
      </c>
      <c r="O68" s="8">
        <f>Assumptions!P45</f>
        <v>0.71</v>
      </c>
      <c r="P68" s="8">
        <f>Assumptions!Q45</f>
        <v>0.71</v>
      </c>
      <c r="Q68" s="8">
        <f>Assumptions!R45</f>
        <v>0.71</v>
      </c>
    </row>
    <row r="69" spans="1:17" x14ac:dyDescent="0.2">
      <c r="G69" s="48"/>
    </row>
    <row r="70" spans="1:17" x14ac:dyDescent="0.2">
      <c r="B70" s="19" t="s">
        <v>40</v>
      </c>
      <c r="C70" s="22">
        <f t="shared" ref="C70:Q70" si="34">+C64+C67</f>
        <v>61.664999999999992</v>
      </c>
      <c r="D70" s="22">
        <f t="shared" si="34"/>
        <v>80.749000000000024</v>
      </c>
      <c r="E70" s="22">
        <f t="shared" si="34"/>
        <v>64.272999999999968</v>
      </c>
      <c r="F70" s="22">
        <f t="shared" si="34"/>
        <v>70.790999999999968</v>
      </c>
      <c r="G70" s="62">
        <f t="shared" si="34"/>
        <v>78.70199999999997</v>
      </c>
      <c r="H70" s="22">
        <f t="shared" si="34"/>
        <v>80.237985722406592</v>
      </c>
      <c r="I70" s="22">
        <f t="shared" si="34"/>
        <v>86.061753166040376</v>
      </c>
      <c r="J70" s="22">
        <f t="shared" si="34"/>
        <v>94.252482035599826</v>
      </c>
      <c r="K70" s="22">
        <f t="shared" si="34"/>
        <v>103.87552456051446</v>
      </c>
      <c r="L70" s="22">
        <f t="shared" si="34"/>
        <v>115.61341062961526</v>
      </c>
      <c r="M70" s="22">
        <f t="shared" si="34"/>
        <v>126.490652314393</v>
      </c>
      <c r="N70" s="22">
        <f t="shared" si="34"/>
        <v>135.78576125498199</v>
      </c>
      <c r="O70" s="22">
        <f t="shared" si="34"/>
        <v>143.11961683171216</v>
      </c>
      <c r="P70" s="22">
        <f t="shared" si="34"/>
        <v>148.60389201684228</v>
      </c>
      <c r="Q70" s="22">
        <f t="shared" si="34"/>
        <v>151.59083024638079</v>
      </c>
    </row>
    <row r="71" spans="1:17" x14ac:dyDescent="0.2">
      <c r="B71" s="5" t="s">
        <v>41</v>
      </c>
      <c r="C71" s="8">
        <f t="shared" ref="C71:Q71" si="35">+C70/C64</f>
        <v>0.29292866914950211</v>
      </c>
      <c r="D71" s="8">
        <f t="shared" si="35"/>
        <v>0.31312990301577892</v>
      </c>
      <c r="E71" s="8">
        <f t="shared" si="35"/>
        <v>0.23857566545287162</v>
      </c>
      <c r="F71" s="8">
        <f t="shared" si="35"/>
        <v>0.26020650084357316</v>
      </c>
      <c r="G71" s="49">
        <f t="shared" si="35"/>
        <v>0.27835073423308709</v>
      </c>
      <c r="H71" s="8">
        <f t="shared" si="35"/>
        <v>0.26804038281979459</v>
      </c>
      <c r="I71" s="8">
        <f t="shared" si="35"/>
        <v>0.26804038281979459</v>
      </c>
      <c r="J71" s="8">
        <f t="shared" si="35"/>
        <v>0.26804038281979459</v>
      </c>
      <c r="K71" s="8">
        <f t="shared" si="35"/>
        <v>0.26804038281979459</v>
      </c>
      <c r="L71" s="8">
        <f t="shared" si="35"/>
        <v>0.26804038281979459</v>
      </c>
      <c r="M71" s="8">
        <f t="shared" si="35"/>
        <v>0.26804038281979459</v>
      </c>
      <c r="N71" s="8">
        <f t="shared" si="35"/>
        <v>0.26804038281979459</v>
      </c>
      <c r="O71" s="8">
        <f t="shared" si="35"/>
        <v>0.26804038281979459</v>
      </c>
      <c r="P71" s="8">
        <f t="shared" si="35"/>
        <v>0.26804038281979464</v>
      </c>
      <c r="Q71" s="8">
        <f t="shared" si="35"/>
        <v>0.26804038281979464</v>
      </c>
    </row>
    <row r="72" spans="1:17" x14ac:dyDescent="0.2">
      <c r="G72" s="48"/>
    </row>
    <row r="73" spans="1:17" x14ac:dyDescent="0.2">
      <c r="B73" s="14" t="s">
        <v>42</v>
      </c>
      <c r="C73" s="6">
        <v>-6.2859999999999996</v>
      </c>
      <c r="D73" s="6">
        <v>-6.9349999999999996</v>
      </c>
      <c r="E73" s="6">
        <v>-7.5549999999999997</v>
      </c>
      <c r="F73" s="6">
        <v>-7.1909999999999998</v>
      </c>
      <c r="G73" s="48">
        <v>-7.5750000000000002</v>
      </c>
      <c r="H73" s="6">
        <f t="shared" ref="H73:Q73" si="36">-H64*H74</f>
        <v>-8.9805108705971897</v>
      </c>
      <c r="I73" s="6">
        <f t="shared" si="36"/>
        <v>-9.6323269196231838</v>
      </c>
      <c r="J73" s="6">
        <f t="shared" si="36"/>
        <v>-10.549061418737761</v>
      </c>
      <c r="K73" s="6">
        <f t="shared" si="36"/>
        <v>-11.626105380212506</v>
      </c>
      <c r="L73" s="6">
        <f t="shared" si="36"/>
        <v>-12.939849892768914</v>
      </c>
      <c r="M73" s="6">
        <f t="shared" si="36"/>
        <v>-14.157268130686882</v>
      </c>
      <c r="N73" s="6">
        <f t="shared" si="36"/>
        <v>-15.197608639397263</v>
      </c>
      <c r="O73" s="6">
        <f t="shared" si="36"/>
        <v>-16.018438937381962</v>
      </c>
      <c r="P73" s="6">
        <f t="shared" si="36"/>
        <v>-16.632257847141226</v>
      </c>
      <c r="Q73" s="6">
        <f t="shared" si="36"/>
        <v>-16.966566229868764</v>
      </c>
    </row>
    <row r="74" spans="1:17" x14ac:dyDescent="0.2">
      <c r="B74" s="15" t="s">
        <v>41</v>
      </c>
      <c r="C74" s="8">
        <f>-C73/C64</f>
        <v>2.9860530516075092E-2</v>
      </c>
      <c r="D74" s="8">
        <f>-D73/D64</f>
        <v>2.6892665883347485E-2</v>
      </c>
      <c r="E74" s="8">
        <f>-E73/E64</f>
        <v>2.8043488751053256E-2</v>
      </c>
      <c r="F74" s="8">
        <f>-F73/F64</f>
        <v>2.643196094935988E-2</v>
      </c>
      <c r="G74" s="49">
        <f>-G73/G64</f>
        <v>2.6791019438078264E-2</v>
      </c>
      <c r="H74" s="8">
        <f>Assumptions!I53</f>
        <v>0.03</v>
      </c>
      <c r="I74" s="8">
        <f>Assumptions!J53</f>
        <v>0.03</v>
      </c>
      <c r="J74" s="8">
        <f>Assumptions!K53</f>
        <v>0.03</v>
      </c>
      <c r="K74" s="8">
        <f>Assumptions!L53</f>
        <v>0.03</v>
      </c>
      <c r="L74" s="8">
        <f>Assumptions!M53</f>
        <v>0.03</v>
      </c>
      <c r="M74" s="8">
        <f>Assumptions!N53</f>
        <v>0.03</v>
      </c>
      <c r="N74" s="8">
        <f>Assumptions!O53</f>
        <v>0.03</v>
      </c>
      <c r="O74" s="8">
        <f>Assumptions!P53</f>
        <v>0.03</v>
      </c>
      <c r="P74" s="8">
        <f>Assumptions!Q53</f>
        <v>0.03</v>
      </c>
      <c r="Q74" s="8">
        <f>Assumptions!R53</f>
        <v>0.03</v>
      </c>
    </row>
    <row r="75" spans="1:17" x14ac:dyDescent="0.2">
      <c r="B75" s="14"/>
      <c r="G75" s="48"/>
    </row>
    <row r="76" spans="1:17" x14ac:dyDescent="0.2">
      <c r="B76" s="14" t="s">
        <v>43</v>
      </c>
      <c r="C76" s="6">
        <v>-24.991</v>
      </c>
      <c r="D76" s="6">
        <v>-34.363999999999997</v>
      </c>
      <c r="E76" s="6">
        <v>-35.008000000000003</v>
      </c>
      <c r="F76" s="6">
        <v>-33.892000000000003</v>
      </c>
      <c r="G76" s="48">
        <v>-33.417999999999999</v>
      </c>
      <c r="H76" s="6">
        <f t="shared" ref="H76:Q76" si="37">-H77*H64</f>
        <v>-35.922043482388759</v>
      </c>
      <c r="I76" s="6">
        <f t="shared" si="37"/>
        <v>-38.529307678492735</v>
      </c>
      <c r="J76" s="6">
        <f t="shared" si="37"/>
        <v>-42.196245674951044</v>
      </c>
      <c r="K76" s="6">
        <f t="shared" si="37"/>
        <v>-46.504421520850023</v>
      </c>
      <c r="L76" s="6">
        <f t="shared" si="37"/>
        <v>-51.759399571075654</v>
      </c>
      <c r="M76" s="6">
        <f t="shared" si="37"/>
        <v>-56.629072522747528</v>
      </c>
      <c r="N76" s="6">
        <f t="shared" si="37"/>
        <v>-60.790434557589052</v>
      </c>
      <c r="O76" s="6">
        <f t="shared" si="37"/>
        <v>-64.073755749527848</v>
      </c>
      <c r="P76" s="6">
        <f t="shared" si="37"/>
        <v>-66.529031388564903</v>
      </c>
      <c r="Q76" s="6">
        <f t="shared" si="37"/>
        <v>-67.866264919475057</v>
      </c>
    </row>
    <row r="77" spans="1:17" x14ac:dyDescent="0.2">
      <c r="B77" s="15" t="s">
        <v>41</v>
      </c>
      <c r="C77" s="8">
        <f>-C76/C64</f>
        <v>0.11871532264193965</v>
      </c>
      <c r="D77" s="8">
        <f>-D76/D64</f>
        <v>0.13325732810603502</v>
      </c>
      <c r="E77" s="8">
        <f>-E76/E64</f>
        <v>0.12994658559852715</v>
      </c>
      <c r="F77" s="8">
        <f>-F76/F64</f>
        <v>0.12457683500148869</v>
      </c>
      <c r="G77" s="49">
        <f>-G76/G64</f>
        <v>0.11819172113289761</v>
      </c>
      <c r="H77" s="8">
        <f>Assumptions!I62</f>
        <v>0.12</v>
      </c>
      <c r="I77" s="8">
        <f>Assumptions!J62</f>
        <v>0.12</v>
      </c>
      <c r="J77" s="8">
        <f>Assumptions!K62</f>
        <v>0.12</v>
      </c>
      <c r="K77" s="8">
        <f>Assumptions!L62</f>
        <v>0.12</v>
      </c>
      <c r="L77" s="8">
        <f>Assumptions!M62</f>
        <v>0.12</v>
      </c>
      <c r="M77" s="8">
        <f>Assumptions!N62</f>
        <v>0.12</v>
      </c>
      <c r="N77" s="8">
        <f>Assumptions!O62</f>
        <v>0.12</v>
      </c>
      <c r="O77" s="8">
        <f>Assumptions!P62</f>
        <v>0.12</v>
      </c>
      <c r="P77" s="8">
        <f>Assumptions!Q62</f>
        <v>0.12</v>
      </c>
      <c r="Q77" s="8">
        <f>Assumptions!R62</f>
        <v>0.12</v>
      </c>
    </row>
    <row r="78" spans="1:17" x14ac:dyDescent="0.2">
      <c r="G78" s="48"/>
    </row>
    <row r="79" spans="1:17" x14ac:dyDescent="0.2">
      <c r="B79" s="19" t="s">
        <v>44</v>
      </c>
      <c r="C79" s="22">
        <f t="shared" ref="C79:Q79" si="38">+C70+C73+C76</f>
        <v>30.387999999999991</v>
      </c>
      <c r="D79" s="22">
        <f t="shared" si="38"/>
        <v>39.450000000000024</v>
      </c>
      <c r="E79" s="22">
        <f t="shared" si="38"/>
        <v>21.709999999999965</v>
      </c>
      <c r="F79" s="22">
        <f t="shared" si="38"/>
        <v>29.707999999999963</v>
      </c>
      <c r="G79" s="62">
        <f t="shared" si="38"/>
        <v>37.708999999999968</v>
      </c>
      <c r="H79" s="22">
        <f t="shared" si="38"/>
        <v>35.335431369420647</v>
      </c>
      <c r="I79" s="22">
        <f t="shared" si="38"/>
        <v>37.900118567924459</v>
      </c>
      <c r="J79" s="22">
        <f t="shared" si="38"/>
        <v>41.507174941911018</v>
      </c>
      <c r="K79" s="22">
        <f t="shared" si="38"/>
        <v>45.744997659451933</v>
      </c>
      <c r="L79" s="22">
        <f t="shared" si="38"/>
        <v>50.914161165770686</v>
      </c>
      <c r="M79" s="22">
        <f t="shared" si="38"/>
        <v>55.704311660958588</v>
      </c>
      <c r="N79" s="22">
        <f t="shared" si="38"/>
        <v>59.797718057995681</v>
      </c>
      <c r="O79" s="22">
        <f t="shared" si="38"/>
        <v>63.027422144802358</v>
      </c>
      <c r="P79" s="22">
        <f t="shared" si="38"/>
        <v>65.442602781136145</v>
      </c>
      <c r="Q79" s="22">
        <f t="shared" si="38"/>
        <v>66.757999097036972</v>
      </c>
    </row>
    <row r="80" spans="1:17" s="7" customFormat="1" x14ac:dyDescent="0.2">
      <c r="A80" s="5"/>
      <c r="B80" s="5" t="s">
        <v>45</v>
      </c>
      <c r="C80" s="8">
        <f t="shared" ref="C80:Q80" si="39">+C79/C64</f>
        <v>0.14435281599148739</v>
      </c>
      <c r="D80" s="8">
        <f t="shared" si="39"/>
        <v>0.15297990902639638</v>
      </c>
      <c r="E80" s="8">
        <f t="shared" si="39"/>
        <v>8.0585591103291235E-2</v>
      </c>
      <c r="F80" s="8">
        <f t="shared" si="39"/>
        <v>0.10919770489272457</v>
      </c>
      <c r="G80" s="49">
        <f t="shared" si="39"/>
        <v>0.13336799366211122</v>
      </c>
      <c r="H80" s="8">
        <f t="shared" si="39"/>
        <v>0.11804038281979462</v>
      </c>
      <c r="I80" s="8">
        <f t="shared" si="39"/>
        <v>0.11804038281979462</v>
      </c>
      <c r="J80" s="8">
        <f t="shared" si="39"/>
        <v>0.11804038281979458</v>
      </c>
      <c r="K80" s="8">
        <f t="shared" si="39"/>
        <v>0.11804038281979461</v>
      </c>
      <c r="L80" s="8">
        <f t="shared" si="39"/>
        <v>0.11804038281979459</v>
      </c>
      <c r="M80" s="8">
        <f t="shared" si="39"/>
        <v>0.11804038281979461</v>
      </c>
      <c r="N80" s="8">
        <f t="shared" si="39"/>
        <v>0.11804038281979458</v>
      </c>
      <c r="O80" s="8">
        <f t="shared" si="39"/>
        <v>0.11804038281979459</v>
      </c>
      <c r="P80" s="8">
        <f t="shared" si="39"/>
        <v>0.11804038281979466</v>
      </c>
      <c r="Q80" s="8">
        <f t="shared" si="39"/>
        <v>0.11804038281979465</v>
      </c>
    </row>
    <row r="81" spans="1:17" x14ac:dyDescent="0.2">
      <c r="G81" s="48"/>
    </row>
    <row r="82" spans="1:17" x14ac:dyDescent="0.2">
      <c r="B82" s="14" t="s">
        <v>46</v>
      </c>
      <c r="C82" s="6">
        <f>'PPE Schedule'!C8</f>
        <v>-2.605</v>
      </c>
      <c r="D82" s="6">
        <f>'PPE Schedule'!D8</f>
        <v>-2.6050000000000004</v>
      </c>
      <c r="E82" s="6">
        <f>'PPE Schedule'!E8</f>
        <v>-1.3669999999999991</v>
      </c>
      <c r="F82" s="6">
        <f>'PPE Schedule'!F8</f>
        <v>-1.3879999999999999</v>
      </c>
      <c r="G82" s="48">
        <f>'PPE Schedule'!G8</f>
        <v>-1.456999999999999</v>
      </c>
      <c r="H82" s="6">
        <f t="shared" ref="H82:Q82" si="40">H86*H84</f>
        <v>-4.288817787082154</v>
      </c>
      <c r="I82" s="6">
        <f t="shared" si="40"/>
        <v>-4.7877774823136034</v>
      </c>
      <c r="J82" s="6">
        <f t="shared" si="40"/>
        <v>-5.4489766880254766</v>
      </c>
      <c r="K82" s="6">
        <f t="shared" si="40"/>
        <v>-6.23182755444798</v>
      </c>
      <c r="L82" s="6">
        <f t="shared" si="40"/>
        <v>-7.1881358306211016</v>
      </c>
      <c r="M82" s="6">
        <f t="shared" si="40"/>
        <v>-4.0701253086853466</v>
      </c>
      <c r="N82" s="6">
        <f t="shared" si="40"/>
        <v>-4.5172685878953844</v>
      </c>
      <c r="O82" s="6">
        <f t="shared" si="40"/>
        <v>-4.9172967820043842</v>
      </c>
      <c r="P82" s="6">
        <f t="shared" si="40"/>
        <v>-5.267753237950008</v>
      </c>
      <c r="Q82" s="6">
        <f t="shared" si="40"/>
        <v>-5.5389198386636034</v>
      </c>
    </row>
    <row r="83" spans="1:17" x14ac:dyDescent="0.2">
      <c r="B83" s="15" t="s">
        <v>47</v>
      </c>
      <c r="C83" s="8">
        <f t="shared" ref="C83:Q83" si="41">-C82/C6</f>
        <v>1.2250867671817831E-2</v>
      </c>
      <c r="D83" s="8">
        <f t="shared" si="41"/>
        <v>1.0000691026635238E-2</v>
      </c>
      <c r="E83" s="8">
        <f t="shared" si="41"/>
        <v>4.998062199732361E-3</v>
      </c>
      <c r="F83" s="8">
        <f t="shared" si="41"/>
        <v>4.9998379015089569E-3</v>
      </c>
      <c r="G83" s="49">
        <f t="shared" si="41"/>
        <v>4.9984733557698544E-3</v>
      </c>
      <c r="H83" s="8">
        <f t="shared" si="41"/>
        <v>1.3897255260750222E-2</v>
      </c>
      <c r="I83" s="8">
        <f t="shared" si="41"/>
        <v>1.4464226898444642E-2</v>
      </c>
      <c r="J83" s="8">
        <f t="shared" si="41"/>
        <v>1.5031198536139063E-2</v>
      </c>
      <c r="K83" s="8">
        <f t="shared" si="41"/>
        <v>1.559817017383348E-2</v>
      </c>
      <c r="L83" s="8">
        <f t="shared" si="41"/>
        <v>1.6165141811527901E-2</v>
      </c>
      <c r="M83" s="8">
        <f t="shared" si="41"/>
        <v>8.3660567246111612E-3</v>
      </c>
      <c r="N83" s="8">
        <f t="shared" si="41"/>
        <v>8.6495425434583717E-3</v>
      </c>
      <c r="O83" s="8">
        <f t="shared" si="41"/>
        <v>8.9330283623055805E-3</v>
      </c>
      <c r="P83" s="8">
        <f t="shared" si="41"/>
        <v>9.216514181152791E-3</v>
      </c>
      <c r="Q83" s="8">
        <f t="shared" si="41"/>
        <v>9.4999999999999998E-3</v>
      </c>
    </row>
    <row r="84" spans="1:17" s="7" customFormat="1" x14ac:dyDescent="0.2">
      <c r="A84" s="5"/>
      <c r="B84" s="15" t="s">
        <v>48</v>
      </c>
      <c r="C84" s="8">
        <f>+C82/C86</f>
        <v>0.81661442006269591</v>
      </c>
      <c r="D84" s="8">
        <f>+D82/D86</f>
        <v>0.66675198361914523</v>
      </c>
      <c r="E84" s="8">
        <f>+E82/E86</f>
        <v>0.49981718464350977</v>
      </c>
      <c r="F84" s="8">
        <f>+F82/F86</f>
        <v>0.5</v>
      </c>
      <c r="G84" s="49">
        <f>+G82/G86</f>
        <v>0.66651418115279004</v>
      </c>
      <c r="H84" s="10">
        <f t="shared" ref="H84:P84" si="42">+G84+(($Q$84-$G$84)/10)</f>
        <v>0.69486276303751104</v>
      </c>
      <c r="I84" s="10">
        <f t="shared" si="42"/>
        <v>0.72321134492223205</v>
      </c>
      <c r="J84" s="10">
        <f t="shared" si="42"/>
        <v>0.75155992680695305</v>
      </c>
      <c r="K84" s="10">
        <f t="shared" si="42"/>
        <v>0.77990850869167405</v>
      </c>
      <c r="L84" s="10">
        <f t="shared" si="42"/>
        <v>0.80825709057639505</v>
      </c>
      <c r="M84" s="10">
        <f t="shared" si="42"/>
        <v>0.83660567246111606</v>
      </c>
      <c r="N84" s="10">
        <f t="shared" si="42"/>
        <v>0.86495425434583706</v>
      </c>
      <c r="O84" s="10">
        <f t="shared" si="42"/>
        <v>0.89330283623055806</v>
      </c>
      <c r="P84" s="10">
        <f t="shared" si="42"/>
        <v>0.92165141811527906</v>
      </c>
      <c r="Q84" s="10">
        <v>0.95</v>
      </c>
    </row>
    <row r="85" spans="1:17" x14ac:dyDescent="0.2">
      <c r="B85" s="14"/>
      <c r="G85" s="48"/>
    </row>
    <row r="86" spans="1:17" x14ac:dyDescent="0.2">
      <c r="B86" s="14" t="s">
        <v>49</v>
      </c>
      <c r="C86" s="6">
        <v>-3.19</v>
      </c>
      <c r="D86" s="6">
        <v>-3.907</v>
      </c>
      <c r="E86" s="6">
        <v>-2.7349999999999999</v>
      </c>
      <c r="F86" s="6">
        <v>-2.7759999999999998</v>
      </c>
      <c r="G86" s="48">
        <v>-2.1859999999999999</v>
      </c>
      <c r="H86" s="6">
        <f t="shared" ref="H86:Q86" si="43">-H87*H6</f>
        <v>-6.1721796234037498</v>
      </c>
      <c r="I86" s="6">
        <f t="shared" si="43"/>
        <v>-6.6201636851098344</v>
      </c>
      <c r="J86" s="6">
        <f t="shared" si="43"/>
        <v>-7.2502224954645698</v>
      </c>
      <c r="K86" s="6">
        <f t="shared" si="43"/>
        <v>-7.9904597590582851</v>
      </c>
      <c r="L86" s="6">
        <f t="shared" si="43"/>
        <v>-8.8933780036436207</v>
      </c>
      <c r="M86" s="6">
        <f t="shared" si="43"/>
        <v>-4.8650462728897148</v>
      </c>
      <c r="N86" s="6">
        <f t="shared" si="43"/>
        <v>-5.2225520195999087</v>
      </c>
      <c r="O86" s="6">
        <f t="shared" si="43"/>
        <v>-5.5046246161646</v>
      </c>
      <c r="P86" s="6">
        <f t="shared" si="43"/>
        <v>-5.7155591956037375</v>
      </c>
      <c r="Q86" s="6">
        <f t="shared" si="43"/>
        <v>-5.8304419354353723</v>
      </c>
    </row>
    <row r="87" spans="1:17" s="7" customFormat="1" x14ac:dyDescent="0.2">
      <c r="A87" s="5"/>
      <c r="B87" s="15" t="s">
        <v>22</v>
      </c>
      <c r="C87" s="8">
        <f>-C86/C6</f>
        <v>1.5002022216160798E-2</v>
      </c>
      <c r="D87" s="8">
        <f>-D86/D6</f>
        <v>1.499911702152164E-2</v>
      </c>
      <c r="E87" s="8">
        <f>-E86/E6</f>
        <v>9.9997806263847962E-3</v>
      </c>
      <c r="F87" s="8">
        <f>-F86/F6</f>
        <v>9.9996758030179139E-3</v>
      </c>
      <c r="G87" s="49">
        <f>-G86/G6</f>
        <v>7.4994253642504524E-3</v>
      </c>
      <c r="H87" s="8">
        <f>Assumptions!I70</f>
        <v>0.02</v>
      </c>
      <c r="I87" s="8">
        <f>Assumptions!J70</f>
        <v>0.02</v>
      </c>
      <c r="J87" s="8">
        <f>Assumptions!K70</f>
        <v>0.02</v>
      </c>
      <c r="K87" s="8">
        <f>Assumptions!L70</f>
        <v>0.02</v>
      </c>
      <c r="L87" s="8">
        <f>Assumptions!M70</f>
        <v>0.02</v>
      </c>
      <c r="M87" s="8">
        <f>Assumptions!N70</f>
        <v>0.01</v>
      </c>
      <c r="N87" s="8">
        <f>Assumptions!O70</f>
        <v>0.01</v>
      </c>
      <c r="O87" s="8">
        <f>Assumptions!P70</f>
        <v>0.01</v>
      </c>
      <c r="P87" s="8">
        <f>Assumptions!Q70</f>
        <v>0.01</v>
      </c>
      <c r="Q87" s="8">
        <f>Assumptions!R70</f>
        <v>0.01</v>
      </c>
    </row>
    <row r="88" spans="1:17" x14ac:dyDescent="0.2">
      <c r="B88" s="14"/>
      <c r="G88" s="48"/>
    </row>
    <row r="89" spans="1:17" x14ac:dyDescent="0.2">
      <c r="B89" s="24" t="s">
        <v>50</v>
      </c>
      <c r="C89" s="22">
        <f t="shared" ref="C89:Q89" si="44">+C79-C82</f>
        <v>32.992999999999988</v>
      </c>
      <c r="D89" s="22">
        <f t="shared" si="44"/>
        <v>42.055000000000021</v>
      </c>
      <c r="E89" s="22">
        <f t="shared" si="44"/>
        <v>23.076999999999963</v>
      </c>
      <c r="F89" s="22">
        <f t="shared" si="44"/>
        <v>31.095999999999961</v>
      </c>
      <c r="G89" s="62">
        <f t="shared" si="44"/>
        <v>39.165999999999968</v>
      </c>
      <c r="H89" s="22">
        <f t="shared" si="44"/>
        <v>39.624249156502799</v>
      </c>
      <c r="I89" s="22">
        <f t="shared" si="44"/>
        <v>42.687896050238059</v>
      </c>
      <c r="J89" s="22">
        <f t="shared" si="44"/>
        <v>46.956151629936492</v>
      </c>
      <c r="K89" s="22">
        <f t="shared" si="44"/>
        <v>51.976825213899915</v>
      </c>
      <c r="L89" s="22">
        <f t="shared" si="44"/>
        <v>58.102296996391786</v>
      </c>
      <c r="M89" s="22">
        <f t="shared" si="44"/>
        <v>59.774436969643936</v>
      </c>
      <c r="N89" s="22">
        <f t="shared" si="44"/>
        <v>64.314986645891068</v>
      </c>
      <c r="O89" s="22">
        <f t="shared" si="44"/>
        <v>67.944718926806743</v>
      </c>
      <c r="P89" s="22">
        <f t="shared" si="44"/>
        <v>70.710356019086149</v>
      </c>
      <c r="Q89" s="22">
        <f t="shared" si="44"/>
        <v>72.296918935700575</v>
      </c>
    </row>
    <row r="90" spans="1:17" x14ac:dyDescent="0.2">
      <c r="B90" s="27" t="s">
        <v>45</v>
      </c>
      <c r="C90" s="8">
        <f t="shared" ref="C90:Q90" si="45">+C89/C64</f>
        <v>0.15672740746370747</v>
      </c>
      <c r="D90" s="8">
        <f t="shared" si="45"/>
        <v>0.16308162418517363</v>
      </c>
      <c r="E90" s="8">
        <f t="shared" si="45"/>
        <v>8.5659773647657839E-2</v>
      </c>
      <c r="F90" s="8">
        <f t="shared" si="45"/>
        <v>0.11429957692689387</v>
      </c>
      <c r="G90" s="49">
        <f t="shared" si="45"/>
        <v>0.13852106499165312</v>
      </c>
      <c r="H90" s="8">
        <f t="shared" si="45"/>
        <v>0.132367466820519</v>
      </c>
      <c r="I90" s="8">
        <f t="shared" si="45"/>
        <v>0.1329519743457005</v>
      </c>
      <c r="J90" s="8">
        <f t="shared" si="45"/>
        <v>0.13353648187088191</v>
      </c>
      <c r="K90" s="8">
        <f t="shared" si="45"/>
        <v>0.1341209893960634</v>
      </c>
      <c r="L90" s="8">
        <f t="shared" si="45"/>
        <v>0.13470549692124487</v>
      </c>
      <c r="M90" s="8">
        <f t="shared" si="45"/>
        <v>0.12666519363311049</v>
      </c>
      <c r="N90" s="8">
        <f t="shared" si="45"/>
        <v>0.1269574473957012</v>
      </c>
      <c r="O90" s="8">
        <f t="shared" si="45"/>
        <v>0.12724970115829193</v>
      </c>
      <c r="P90" s="8">
        <f t="shared" si="45"/>
        <v>0.12754195492088274</v>
      </c>
      <c r="Q90" s="8">
        <f t="shared" si="45"/>
        <v>0.12783420868347345</v>
      </c>
    </row>
    <row r="91" spans="1:17" x14ac:dyDescent="0.2">
      <c r="G91" s="48"/>
    </row>
    <row r="92" spans="1:17" x14ac:dyDescent="0.2">
      <c r="B92" s="19" t="s">
        <v>51</v>
      </c>
      <c r="C92" s="6">
        <f>-'Debt Schedule'!C12</f>
        <v>-3.3</v>
      </c>
      <c r="D92" s="6">
        <f>-'Debt Schedule'!D12</f>
        <v>-3</v>
      </c>
      <c r="E92" s="6">
        <f>-'Debt Schedule'!E12</f>
        <v>-2.6999999999999997</v>
      </c>
      <c r="F92" s="6">
        <f>-'Debt Schedule'!F12</f>
        <v>-2.4</v>
      </c>
      <c r="G92" s="48">
        <f>-'Debt Schedule'!G12</f>
        <v>-2.1</v>
      </c>
      <c r="H92" s="6">
        <f>'LBO Modelling'!C56</f>
        <v>-12.924779999999989</v>
      </c>
      <c r="I92" s="6">
        <f>'LBO Modelling'!D56</f>
        <v>-12.924779999999989</v>
      </c>
      <c r="J92" s="6">
        <f>'LBO Modelling'!E56</f>
        <v>-12.924779999999989</v>
      </c>
      <c r="K92" s="6">
        <f>'LBO Modelling'!F56</f>
        <v>-12.924779999999989</v>
      </c>
      <c r="L92" s="6">
        <f>'LBO Modelling'!G56</f>
        <v>-12.924779999999989</v>
      </c>
      <c r="M92" s="6">
        <f>'LBO Modelling'!H56</f>
        <v>-12.924779999999989</v>
      </c>
      <c r="N92" s="6">
        <f>'LBO Modelling'!I56</f>
        <v>-12.924779999999989</v>
      </c>
      <c r="O92" s="6">
        <f>'LBO Modelling'!J56</f>
        <v>0</v>
      </c>
      <c r="P92" s="6">
        <f>'LBO Modelling'!K56</f>
        <v>0</v>
      </c>
      <c r="Q92" s="6">
        <f>'LBO Modelling'!L56</f>
        <v>0</v>
      </c>
    </row>
    <row r="93" spans="1:17" x14ac:dyDescent="0.2">
      <c r="G93" s="48"/>
    </row>
    <row r="94" spans="1:17" x14ac:dyDescent="0.2">
      <c r="B94" s="19" t="s">
        <v>52</v>
      </c>
      <c r="C94" s="22">
        <f t="shared" ref="C94:Q94" si="46">+C79+C92</f>
        <v>27.08799999999999</v>
      </c>
      <c r="D94" s="22">
        <f t="shared" si="46"/>
        <v>36.450000000000024</v>
      </c>
      <c r="E94" s="22">
        <f t="shared" si="46"/>
        <v>19.009999999999966</v>
      </c>
      <c r="F94" s="22">
        <f t="shared" si="46"/>
        <v>27.307999999999964</v>
      </c>
      <c r="G94" s="62">
        <f t="shared" si="46"/>
        <v>35.608999999999966</v>
      </c>
      <c r="H94" s="22">
        <f t="shared" si="46"/>
        <v>22.410651369420655</v>
      </c>
      <c r="I94" s="22">
        <f t="shared" si="46"/>
        <v>24.975338567924467</v>
      </c>
      <c r="J94" s="22">
        <f t="shared" si="46"/>
        <v>28.582394941911026</v>
      </c>
      <c r="K94" s="22">
        <f t="shared" si="46"/>
        <v>32.820217659451941</v>
      </c>
      <c r="L94" s="22">
        <f t="shared" si="46"/>
        <v>37.989381165770695</v>
      </c>
      <c r="M94" s="22">
        <f t="shared" si="46"/>
        <v>42.779531660958597</v>
      </c>
      <c r="N94" s="22">
        <f t="shared" si="46"/>
        <v>46.87293805799569</v>
      </c>
      <c r="O94" s="22">
        <f t="shared" si="46"/>
        <v>63.027422144802358</v>
      </c>
      <c r="P94" s="22">
        <f t="shared" si="46"/>
        <v>65.442602781136145</v>
      </c>
      <c r="Q94" s="22">
        <f t="shared" si="46"/>
        <v>66.757999097036972</v>
      </c>
    </row>
    <row r="95" spans="1:17" x14ac:dyDescent="0.2">
      <c r="B95" s="5" t="s">
        <v>45</v>
      </c>
      <c r="C95" s="8">
        <f t="shared" ref="C95:Q95" si="47">+C94/C64</f>
        <v>0.12867675001900125</v>
      </c>
      <c r="D95" s="8">
        <f t="shared" si="47"/>
        <v>0.14134645586849554</v>
      </c>
      <c r="E95" s="8">
        <f t="shared" si="47"/>
        <v>7.056343099371562E-2</v>
      </c>
      <c r="F95" s="8">
        <f t="shared" si="47"/>
        <v>0.10037602414199953</v>
      </c>
      <c r="G95" s="49">
        <f t="shared" si="47"/>
        <v>0.12594078035254494</v>
      </c>
      <c r="H95" s="8">
        <f t="shared" si="47"/>
        <v>7.4864286761662971E-2</v>
      </c>
      <c r="I95" s="8">
        <f t="shared" si="47"/>
        <v>7.7785997432388329E-2</v>
      </c>
      <c r="J95" s="8">
        <f t="shared" si="47"/>
        <v>8.1284183892819814E-2</v>
      </c>
      <c r="K95" s="8">
        <f t="shared" si="47"/>
        <v>8.4689283090393003E-2</v>
      </c>
      <c r="L95" s="8">
        <f t="shared" si="47"/>
        <v>8.8075321152682087E-2</v>
      </c>
      <c r="M95" s="8">
        <f t="shared" si="47"/>
        <v>9.0652090359645568E-2</v>
      </c>
      <c r="N95" s="8">
        <f t="shared" si="47"/>
        <v>9.2526934671456312E-2</v>
      </c>
      <c r="O95" s="8">
        <f t="shared" si="47"/>
        <v>0.11804038281979459</v>
      </c>
      <c r="P95" s="8">
        <f t="shared" si="47"/>
        <v>0.11804038281979466</v>
      </c>
      <c r="Q95" s="8">
        <f t="shared" si="47"/>
        <v>0.11804038281979465</v>
      </c>
    </row>
    <row r="96" spans="1:17" x14ac:dyDescent="0.2">
      <c r="B96" s="5"/>
      <c r="G96" s="48"/>
    </row>
    <row r="97" spans="2:17" x14ac:dyDescent="0.2">
      <c r="B97" s="14" t="s">
        <v>53</v>
      </c>
      <c r="C97" s="6">
        <v>0</v>
      </c>
      <c r="D97" s="6">
        <v>0</v>
      </c>
      <c r="E97" s="6">
        <v>0</v>
      </c>
      <c r="F97" s="6">
        <v>0</v>
      </c>
      <c r="G97" s="48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</row>
    <row r="98" spans="2:17" x14ac:dyDescent="0.2">
      <c r="G98" s="48"/>
    </row>
    <row r="99" spans="2:17" x14ac:dyDescent="0.2">
      <c r="B99" s="30" t="s">
        <v>54</v>
      </c>
      <c r="C99" s="73">
        <f t="shared" ref="C99:Q99" si="48">+C94+C97</f>
        <v>27.08799999999999</v>
      </c>
      <c r="D99" s="73">
        <f t="shared" si="48"/>
        <v>36.450000000000024</v>
      </c>
      <c r="E99" s="73">
        <f t="shared" si="48"/>
        <v>19.009999999999966</v>
      </c>
      <c r="F99" s="73">
        <f t="shared" si="48"/>
        <v>27.307999999999964</v>
      </c>
      <c r="G99" s="74">
        <f t="shared" si="48"/>
        <v>35.608999999999966</v>
      </c>
      <c r="H99" s="73">
        <f t="shared" si="48"/>
        <v>22.410651369420655</v>
      </c>
      <c r="I99" s="73">
        <f t="shared" si="48"/>
        <v>24.975338567924467</v>
      </c>
      <c r="J99" s="73">
        <f t="shared" si="48"/>
        <v>28.582394941911026</v>
      </c>
      <c r="K99" s="73">
        <f t="shared" si="48"/>
        <v>32.820217659451941</v>
      </c>
      <c r="L99" s="73">
        <f t="shared" si="48"/>
        <v>37.989381165770695</v>
      </c>
      <c r="M99" s="73">
        <f t="shared" si="48"/>
        <v>42.779531660958597</v>
      </c>
      <c r="N99" s="73">
        <f t="shared" si="48"/>
        <v>46.87293805799569</v>
      </c>
      <c r="O99" s="73">
        <f t="shared" si="48"/>
        <v>63.027422144802358</v>
      </c>
      <c r="P99" s="73">
        <f t="shared" si="48"/>
        <v>65.442602781136145</v>
      </c>
      <c r="Q99" s="73">
        <f t="shared" si="48"/>
        <v>66.757999097036972</v>
      </c>
    </row>
    <row r="100" spans="2:17" x14ac:dyDescent="0.2">
      <c r="B100" s="5" t="s">
        <v>45</v>
      </c>
      <c r="C100" s="8">
        <f t="shared" ref="C100:Q100" si="49">+C99/C64</f>
        <v>0.12867675001900125</v>
      </c>
      <c r="D100" s="8">
        <f t="shared" si="49"/>
        <v>0.14134645586849554</v>
      </c>
      <c r="E100" s="8">
        <f t="shared" si="49"/>
        <v>7.056343099371562E-2</v>
      </c>
      <c r="F100" s="8">
        <f t="shared" si="49"/>
        <v>0.10037602414199953</v>
      </c>
      <c r="G100" s="49">
        <f t="shared" si="49"/>
        <v>0.12594078035254494</v>
      </c>
      <c r="H100" s="8">
        <f t="shared" si="49"/>
        <v>7.4864286761662971E-2</v>
      </c>
      <c r="I100" s="8">
        <f t="shared" si="49"/>
        <v>7.7785997432388329E-2</v>
      </c>
      <c r="J100" s="8">
        <f t="shared" si="49"/>
        <v>8.1284183892819814E-2</v>
      </c>
      <c r="K100" s="8">
        <f t="shared" si="49"/>
        <v>8.4689283090393003E-2</v>
      </c>
      <c r="L100" s="8">
        <f t="shared" si="49"/>
        <v>8.8075321152682087E-2</v>
      </c>
      <c r="M100" s="8">
        <f t="shared" si="49"/>
        <v>9.0652090359645568E-2</v>
      </c>
      <c r="N100" s="8">
        <f t="shared" si="49"/>
        <v>9.2526934671456312E-2</v>
      </c>
      <c r="O100" s="8">
        <f t="shared" si="49"/>
        <v>0.11804038281979459</v>
      </c>
      <c r="P100" s="8">
        <f t="shared" si="49"/>
        <v>0.11804038281979466</v>
      </c>
      <c r="Q100" s="8">
        <f t="shared" si="49"/>
        <v>0.11804038281979465</v>
      </c>
    </row>
    <row r="103" spans="2:17" x14ac:dyDescent="0.2">
      <c r="B103" s="2" t="str">
        <f t="shared" ref="B103:G103" si="50">+B89</f>
        <v>EBITDA</v>
      </c>
      <c r="C103" s="6">
        <f t="shared" si="50"/>
        <v>32.992999999999988</v>
      </c>
      <c r="D103" s="6">
        <f t="shared" si="50"/>
        <v>42.055000000000021</v>
      </c>
      <c r="E103" s="6">
        <f t="shared" si="50"/>
        <v>23.076999999999963</v>
      </c>
      <c r="F103" s="6">
        <f t="shared" si="50"/>
        <v>31.095999999999961</v>
      </c>
      <c r="G103" s="6">
        <f t="shared" si="50"/>
        <v>39.165999999999968</v>
      </c>
    </row>
    <row r="104" spans="2:17" x14ac:dyDescent="0.2">
      <c r="B104" s="2" t="s">
        <v>55</v>
      </c>
      <c r="C104" s="6">
        <f>+'Cash Flow Statement'!C19</f>
        <v>0</v>
      </c>
      <c r="D104" s="6">
        <f>+'Cash Flow Statement'!D19</f>
        <v>-3.907</v>
      </c>
      <c r="E104" s="6">
        <f>+'Cash Flow Statement'!E19</f>
        <v>-2.7349999999999999</v>
      </c>
      <c r="F104" s="6">
        <f>+'Cash Flow Statement'!F19</f>
        <v>-2.7759999999999998</v>
      </c>
      <c r="G104" s="6">
        <f>+'Cash Flow Statement'!G19</f>
        <v>-2.1859999999999999</v>
      </c>
    </row>
    <row r="105" spans="2:17" x14ac:dyDescent="0.2">
      <c r="B105" s="2" t="s">
        <v>56</v>
      </c>
      <c r="C105" s="6">
        <f>SUM(C103:C104)</f>
        <v>32.992999999999988</v>
      </c>
      <c r="D105" s="6">
        <f>SUM(D103:D104)</f>
        <v>38.148000000000025</v>
      </c>
      <c r="E105" s="6">
        <f>SUM(E103:E104)</f>
        <v>20.341999999999963</v>
      </c>
      <c r="F105" s="6">
        <f>SUM(F103:F104)</f>
        <v>28.319999999999961</v>
      </c>
      <c r="G105" s="6">
        <f>SUM(G103:G104)</f>
        <v>36.979999999999968</v>
      </c>
    </row>
    <row r="106" spans="2:17" x14ac:dyDescent="0.2">
      <c r="B106" s="2" t="s">
        <v>57</v>
      </c>
      <c r="C106" s="181">
        <f>C105/C103</f>
        <v>1</v>
      </c>
      <c r="D106" s="181">
        <f>D105/D103</f>
        <v>0.90709784805611715</v>
      </c>
      <c r="E106" s="181">
        <f>E105/E103</f>
        <v>0.88148372838757183</v>
      </c>
      <c r="F106" s="181">
        <f>F105/F103</f>
        <v>0.91072806791870331</v>
      </c>
      <c r="G106" s="181">
        <f>G105/G103</f>
        <v>0.94418628402185567</v>
      </c>
    </row>
    <row r="107" spans="2:17" x14ac:dyDescent="0.2">
      <c r="B107" s="2" t="s">
        <v>58</v>
      </c>
      <c r="C107" s="182">
        <f>-C104/C64</f>
        <v>0</v>
      </c>
      <c r="D107" s="182">
        <f>-D104/D64</f>
        <v>1.5150633829306219E-2</v>
      </c>
      <c r="E107" s="182">
        <f>-E104/E64</f>
        <v>1.0152076999884931E-2</v>
      </c>
      <c r="F107" s="182">
        <f>-F104/F64</f>
        <v>1.020374406833862E-2</v>
      </c>
      <c r="G107" s="182">
        <f>-G104/G64</f>
        <v>7.7313753784342028E-3</v>
      </c>
    </row>
    <row r="109" spans="2:17" x14ac:dyDescent="0.2">
      <c r="B109" s="2" t="s">
        <v>59</v>
      </c>
      <c r="C109" s="97">
        <f>C99/'Balance Sheet'!C19</f>
        <v>0.65184329579362743</v>
      </c>
      <c r="D109" s="97">
        <f>D99/'Balance Sheet'!D19</f>
        <v>0.46727174832705193</v>
      </c>
      <c r="E109" s="97">
        <f>E99/'Balance Sheet'!E19</f>
        <v>0.19594706027871658</v>
      </c>
      <c r="F109" s="97">
        <f>F99/'Balance Sheet'!F19</f>
        <v>0.21965187735272332</v>
      </c>
      <c r="G109" s="97">
        <f>G99/'Balance Sheet'!G19</f>
        <v>0.22264948447162236</v>
      </c>
    </row>
    <row r="110" spans="2:17" x14ac:dyDescent="0.2">
      <c r="B110" s="2" t="s">
        <v>60</v>
      </c>
      <c r="C110" s="97">
        <f>C99/'Balance Sheet'!C15</f>
        <v>0.20202261269055211</v>
      </c>
      <c r="D110" s="97">
        <f>D99/'Balance Sheet'!D15</f>
        <v>0.20816438418750224</v>
      </c>
      <c r="E110" s="97">
        <f>E99/'Balance Sheet'!E15</f>
        <v>9.2554274001548101E-2</v>
      </c>
      <c r="F110" s="97">
        <f>F99/'Balance Sheet'!F15</f>
        <v>0.11939176132140626</v>
      </c>
      <c r="G110" s="97">
        <f>G99/'Balance Sheet'!G15</f>
        <v>0.13549590000190245</v>
      </c>
    </row>
  </sheetData>
  <pageMargins left="0.75" right="0.75" top="1" bottom="1" header="0.3" footer="0.3"/>
  <pageSetup paperSize="9" scale="47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showGridLines="0" zoomScaleSheetLayoutView="85" workbookViewId="0">
      <selection activeCell="C29" sqref="C29"/>
    </sheetView>
  </sheetViews>
  <sheetFormatPr defaultColWidth="8.85546875" defaultRowHeight="12.75" x14ac:dyDescent="0.2"/>
  <cols>
    <col min="1" max="1" width="2.7109375" style="2" customWidth="1"/>
    <col min="2" max="2" width="41.140625" style="2" customWidth="1"/>
    <col min="3" max="5" width="9.42578125" style="6" bestFit="1" customWidth="1"/>
    <col min="6" max="7" width="9.28515625" style="6" bestFit="1" customWidth="1"/>
    <col min="8" max="8" width="10.28515625" style="6" bestFit="1" customWidth="1"/>
    <col min="9" max="18" width="9.28515625" style="6" bestFit="1" customWidth="1"/>
    <col min="19" max="20" width="8.85546875" style="6" customWidth="1"/>
    <col min="21" max="16384" width="8.85546875" style="6"/>
  </cols>
  <sheetData>
    <row r="1" spans="1:18" s="2" customFormat="1" x14ac:dyDescent="0.2"/>
    <row r="2" spans="1:18" s="2" customFormat="1" x14ac:dyDescent="0.2">
      <c r="B2" s="61" t="s">
        <v>61</v>
      </c>
    </row>
    <row r="3" spans="1:18" s="2" customFormat="1" x14ac:dyDescent="0.2">
      <c r="B3" s="5"/>
    </row>
    <row r="4" spans="1:18" s="2" customFormat="1" x14ac:dyDescent="0.2">
      <c r="B4" s="56" t="s">
        <v>18</v>
      </c>
      <c r="C4" s="57">
        <f>'Income Statement'!C4</f>
        <v>2007</v>
      </c>
      <c r="D4" s="57">
        <f>'Income Statement'!D4</f>
        <v>2008</v>
      </c>
      <c r="E4" s="57">
        <f>'Income Statement'!E4</f>
        <v>2009</v>
      </c>
      <c r="F4" s="57">
        <f>'Income Statement'!F4</f>
        <v>2010</v>
      </c>
      <c r="G4" s="153">
        <f>'Income Statement'!G4</f>
        <v>2011</v>
      </c>
      <c r="H4" s="154" t="s">
        <v>62</v>
      </c>
      <c r="I4" s="59">
        <f>'Income Statement'!H4</f>
        <v>2012</v>
      </c>
      <c r="J4" s="60">
        <f>'Income Statement'!I4</f>
        <v>2013</v>
      </c>
      <c r="K4" s="60">
        <f>'Income Statement'!J4</f>
        <v>2014</v>
      </c>
      <c r="L4" s="60">
        <f>'Income Statement'!K4</f>
        <v>2015</v>
      </c>
      <c r="M4" s="60">
        <f>'Income Statement'!L4</f>
        <v>2016</v>
      </c>
      <c r="N4" s="60">
        <f>'Income Statement'!M4</f>
        <v>2017</v>
      </c>
      <c r="O4" s="60">
        <f>'Income Statement'!N4</f>
        <v>2018</v>
      </c>
      <c r="P4" s="60">
        <f>'Income Statement'!O4</f>
        <v>2019</v>
      </c>
      <c r="Q4" s="60">
        <f>'Income Statement'!P4</f>
        <v>2020</v>
      </c>
      <c r="R4" s="60">
        <f>'Income Statement'!Q4</f>
        <v>2021</v>
      </c>
    </row>
    <row r="5" spans="1:18" s="2" customFormat="1" x14ac:dyDescent="0.2">
      <c r="B5" s="5"/>
      <c r="C5" s="3"/>
      <c r="D5" s="3"/>
      <c r="E5" s="3"/>
      <c r="F5" s="3"/>
      <c r="G5" s="3"/>
      <c r="H5" s="155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B6" s="30" t="s">
        <v>63</v>
      </c>
      <c r="H6" s="156"/>
    </row>
    <row r="7" spans="1:18" s="7" customFormat="1" x14ac:dyDescent="0.2">
      <c r="A7" s="5"/>
      <c r="B7" s="5"/>
      <c r="D7" s="8"/>
      <c r="E7" s="8"/>
      <c r="F7" s="8"/>
      <c r="G7" s="8"/>
      <c r="H7" s="157"/>
    </row>
    <row r="8" spans="1:18" x14ac:dyDescent="0.2">
      <c r="B8" s="2" t="s">
        <v>64</v>
      </c>
      <c r="C8" s="6">
        <f>'PPE Schedule'!C9</f>
        <v>6.5</v>
      </c>
      <c r="D8" s="6">
        <f>'PPE Schedule'!D9</f>
        <v>7.8019999999999996</v>
      </c>
      <c r="E8" s="6">
        <f>'PPE Schedule'!E9</f>
        <v>9.17</v>
      </c>
      <c r="F8" s="6">
        <f>'PPE Schedule'!F9</f>
        <v>10.558</v>
      </c>
      <c r="G8" s="6">
        <f>'PPE Schedule'!G9</f>
        <v>11.287000000000001</v>
      </c>
      <c r="H8" s="156">
        <f>G8</f>
        <v>11.287000000000001</v>
      </c>
      <c r="I8" s="6">
        <f>'PPE Schedule'!H9</f>
        <v>13.170361836321595</v>
      </c>
      <c r="J8" s="6">
        <f>'PPE Schedule'!I9</f>
        <v>15.002748039117826</v>
      </c>
      <c r="K8" s="6">
        <f>'PPE Schedule'!J9</f>
        <v>16.803993846556921</v>
      </c>
      <c r="L8" s="6">
        <f>'PPE Schedule'!K9</f>
        <v>18.562626051167229</v>
      </c>
      <c r="M8" s="6">
        <f>'PPE Schedule'!L9</f>
        <v>20.267868224189748</v>
      </c>
      <c r="N8" s="6">
        <f>'PPE Schedule'!M9</f>
        <v>21.062789188394113</v>
      </c>
      <c r="O8" s="6">
        <f>'PPE Schedule'!N9</f>
        <v>21.768072620098639</v>
      </c>
      <c r="P8" s="6">
        <f>'PPE Schedule'!O9</f>
        <v>22.355400454258856</v>
      </c>
      <c r="Q8" s="6">
        <f>'PPE Schedule'!P9</f>
        <v>22.803206411912587</v>
      </c>
      <c r="R8" s="6">
        <f>'PPE Schedule'!Q9</f>
        <v>23.094728508684355</v>
      </c>
    </row>
    <row r="9" spans="1:18" x14ac:dyDescent="0.2">
      <c r="B9" s="139" t="s">
        <v>65</v>
      </c>
      <c r="H9" s="158">
        <f>+H15-H11-H12-H8</f>
        <v>499.1829898780336</v>
      </c>
      <c r="I9" s="6">
        <f t="shared" ref="I9:R9" si="0">+H9</f>
        <v>499.1829898780336</v>
      </c>
      <c r="J9" s="6">
        <f t="shared" si="0"/>
        <v>499.1829898780336</v>
      </c>
      <c r="K9" s="6">
        <f t="shared" si="0"/>
        <v>499.1829898780336</v>
      </c>
      <c r="L9" s="6">
        <f t="shared" si="0"/>
        <v>499.1829898780336</v>
      </c>
      <c r="M9" s="6">
        <f t="shared" si="0"/>
        <v>499.1829898780336</v>
      </c>
      <c r="N9" s="6">
        <f t="shared" si="0"/>
        <v>499.1829898780336</v>
      </c>
      <c r="O9" s="6">
        <f t="shared" si="0"/>
        <v>499.1829898780336</v>
      </c>
      <c r="P9" s="6">
        <f t="shared" si="0"/>
        <v>499.1829898780336</v>
      </c>
      <c r="Q9" s="6">
        <f t="shared" si="0"/>
        <v>499.1829898780336</v>
      </c>
      <c r="R9" s="6">
        <f t="shared" si="0"/>
        <v>499.1829898780336</v>
      </c>
    </row>
    <row r="10" spans="1:18" s="7" customFormat="1" x14ac:dyDescent="0.2">
      <c r="A10" s="5"/>
      <c r="B10" s="23" t="s">
        <v>66</v>
      </c>
      <c r="C10" s="8"/>
      <c r="D10" s="8"/>
      <c r="E10" s="8"/>
      <c r="F10" s="8"/>
      <c r="G10" s="8"/>
      <c r="H10" s="157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7" customFormat="1" x14ac:dyDescent="0.2">
      <c r="A11" s="5"/>
      <c r="B11" s="14" t="s">
        <v>67</v>
      </c>
      <c r="C11" s="6">
        <v>31.896000000000001</v>
      </c>
      <c r="D11" s="6">
        <v>26.047999999999998</v>
      </c>
      <c r="E11" s="6">
        <v>20.513000000000002</v>
      </c>
      <c r="F11" s="6">
        <v>13.88</v>
      </c>
      <c r="G11" s="6">
        <v>14.574</v>
      </c>
      <c r="H11" s="156">
        <f>G11</f>
        <v>14.574</v>
      </c>
      <c r="I11" s="6">
        <f>+I43/365*'Income Statement'!H64</f>
        <v>16.402759580999433</v>
      </c>
      <c r="J11" s="6">
        <f>+J43/365*'Income Statement'!I64</f>
        <v>17.593291177393944</v>
      </c>
      <c r="K11" s="6">
        <f>+K43/365*'Income Statement'!J64</f>
        <v>19.267692089018741</v>
      </c>
      <c r="L11" s="6">
        <f>+L43/365*'Income Statement'!K64</f>
        <v>21.234895671621015</v>
      </c>
      <c r="M11" s="6">
        <f>+M43/365*'Income Statement'!L64</f>
        <v>23.634429027888423</v>
      </c>
      <c r="N11" s="6">
        <f>+N43/365*'Income Statement'!M64</f>
        <v>25.858023982989739</v>
      </c>
      <c r="O11" s="6">
        <f>+O43/365*'Income Statement'!N64</f>
        <v>27.758189295702763</v>
      </c>
      <c r="P11" s="6">
        <f>+P43/365*'Income Statement'!O64</f>
        <v>29.257422716679383</v>
      </c>
      <c r="Q11" s="6">
        <f>+Q43/365*'Income Statement'!P64</f>
        <v>30.378553145463428</v>
      </c>
      <c r="R11" s="6">
        <f>+R43/365*'Income Statement'!Q64</f>
        <v>30.989162063687242</v>
      </c>
    </row>
    <row r="12" spans="1:18" x14ac:dyDescent="0.2">
      <c r="B12" s="14" t="s">
        <v>68</v>
      </c>
      <c r="C12" s="6">
        <v>27.643000000000001</v>
      </c>
      <c r="D12" s="6">
        <v>19.536000000000001</v>
      </c>
      <c r="E12" s="6">
        <v>16.41</v>
      </c>
      <c r="F12" s="6">
        <v>19.433</v>
      </c>
      <c r="G12" s="6">
        <v>23.318999999999999</v>
      </c>
      <c r="H12" s="156">
        <f>G12</f>
        <v>23.318999999999999</v>
      </c>
      <c r="I12" s="6">
        <f>+I45/365*-'Income Statement'!H67</f>
        <v>24.012315247214584</v>
      </c>
      <c r="J12" s="6">
        <f>+J45/365*-'Income Statement'!I67</f>
        <v>25.755157350290311</v>
      </c>
      <c r="K12" s="6">
        <f>+K45/365*-'Income Statement'!J67</f>
        <v>28.206345050848459</v>
      </c>
      <c r="L12" s="6">
        <f>+L45/365*-'Income Statement'!K67</f>
        <v>31.086172213322641</v>
      </c>
      <c r="M12" s="6">
        <f>+M45/365*-'Income Statement'!L67</f>
        <v>34.598895247051892</v>
      </c>
      <c r="N12" s="6">
        <f>+N45/365*-'Income Statement'!M67</f>
        <v>37.854058671251479</v>
      </c>
      <c r="O12" s="6">
        <f>+O45/365*-'Income Statement'!N67</f>
        <v>40.635747220996542</v>
      </c>
      <c r="P12" s="6">
        <f>+P45/365*-'Income Statement'!O67</f>
        <v>42.830503862760175</v>
      </c>
      <c r="Q12" s="6">
        <f>+Q45/365*-'Income Statement'!P67</f>
        <v>44.471748261683864</v>
      </c>
      <c r="R12" s="6">
        <f>+R45/365*-'Income Statement'!Q67</f>
        <v>45.365630401743708</v>
      </c>
    </row>
    <row r="13" spans="1:18" x14ac:dyDescent="0.2">
      <c r="B13" s="14" t="s">
        <v>69</v>
      </c>
      <c r="C13" s="6">
        <f>+C37</f>
        <v>68.045000000000002</v>
      </c>
      <c r="D13" s="6">
        <f>+'Cash Flow Statement'!D27</f>
        <v>121.71600000000002</v>
      </c>
      <c r="E13" s="6">
        <f>+'Cash Flow Statement'!E27</f>
        <v>159.29999999999998</v>
      </c>
      <c r="F13" s="6">
        <f>+'Cash Flow Statement'!F27</f>
        <v>184.85499999999996</v>
      </c>
      <c r="G13" s="6">
        <f>+'Cash Flow Statement'!G27</f>
        <v>213.62499999999994</v>
      </c>
      <c r="H13" s="156">
        <v>0</v>
      </c>
      <c r="I13" s="6">
        <f>+'Cash Flow Statement'!H27</f>
        <v>23.173239258332437</v>
      </c>
      <c r="J13" s="6">
        <f>+'Cash Flow Statement'!I27</f>
        <v>49.047054758986548</v>
      </c>
      <c r="K13" s="6">
        <f>+'Cash Flow Statement'!J27</f>
        <v>79.6689753080895</v>
      </c>
      <c r="L13" s="6">
        <f>+'Cash Flow Statement'!K27</f>
        <v>115.24296829589579</v>
      </c>
      <c r="M13" s="6">
        <f>+'Cash Flow Statement'!L27</f>
        <v>157.03120075826737</v>
      </c>
      <c r="N13" s="6">
        <f>+'Cash Flow Statement'!M27</f>
        <v>204.11633420436937</v>
      </c>
      <c r="O13" s="6">
        <f>+'Cash Flow Statement'!N27</f>
        <v>78.395622754874069</v>
      </c>
      <c r="P13" s="6">
        <f>+'Cash Flow Statement'!O27</f>
        <v>85.525686088507783</v>
      </c>
      <c r="Q13" s="6">
        <f>+'Cash Flow Statement'!P27</f>
        <v>153.09215238078448</v>
      </c>
      <c r="R13" s="6">
        <f>+'Cash Flow Statement'!Q27</f>
        <v>220.95925527796052</v>
      </c>
    </row>
    <row r="14" spans="1:18" s="7" customFormat="1" x14ac:dyDescent="0.2">
      <c r="A14" s="5"/>
      <c r="B14" s="17"/>
      <c r="C14" s="8"/>
      <c r="D14" s="8"/>
      <c r="E14" s="8"/>
      <c r="F14" s="8"/>
      <c r="G14" s="8"/>
      <c r="H14" s="157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7" customFormat="1" ht="13.5" customHeight="1" thickBot="1" x14ac:dyDescent="0.25">
      <c r="A15" s="5"/>
      <c r="B15" s="28" t="s">
        <v>70</v>
      </c>
      <c r="C15" s="29">
        <f>+C8+C11+C12+C13</f>
        <v>134.084</v>
      </c>
      <c r="D15" s="29">
        <f>+D8+D11+D12+D13</f>
        <v>175.10200000000003</v>
      </c>
      <c r="E15" s="29">
        <f>+E8+E11+E12+E13</f>
        <v>205.39299999999997</v>
      </c>
      <c r="F15" s="29">
        <f>+F8+F11+F12+F13</f>
        <v>228.72599999999997</v>
      </c>
      <c r="G15" s="29">
        <f>+G8+G11+G12+G13</f>
        <v>262.80499999999995</v>
      </c>
      <c r="H15" s="159">
        <f>+H28</f>
        <v>548.36298987803355</v>
      </c>
      <c r="I15" s="29">
        <f t="shared" ref="I15:R15" si="1">+I8+I11+I12+I13+I9</f>
        <v>575.94166580090166</v>
      </c>
      <c r="J15" s="29">
        <f t="shared" si="1"/>
        <v>606.58124120382217</v>
      </c>
      <c r="K15" s="29">
        <f t="shared" si="1"/>
        <v>643.12999617254718</v>
      </c>
      <c r="L15" s="29">
        <f t="shared" si="1"/>
        <v>685.30965211004025</v>
      </c>
      <c r="M15" s="29">
        <f t="shared" si="1"/>
        <v>734.71538313543101</v>
      </c>
      <c r="N15" s="29">
        <f t="shared" si="1"/>
        <v>788.07419592503834</v>
      </c>
      <c r="O15" s="29">
        <f t="shared" si="1"/>
        <v>667.74062176970563</v>
      </c>
      <c r="P15" s="29">
        <f t="shared" si="1"/>
        <v>679.1520030002398</v>
      </c>
      <c r="Q15" s="29">
        <f t="shared" si="1"/>
        <v>749.92865007787793</v>
      </c>
      <c r="R15" s="29">
        <f t="shared" si="1"/>
        <v>819.59176613010936</v>
      </c>
    </row>
    <row r="16" spans="1:18" ht="13.5" customHeight="1" thickTop="1" x14ac:dyDescent="0.2">
      <c r="B16" s="16"/>
      <c r="H16" s="156"/>
    </row>
    <row r="17" spans="1:18" x14ac:dyDescent="0.2">
      <c r="B17" s="30" t="s">
        <v>71</v>
      </c>
      <c r="H17" s="156"/>
    </row>
    <row r="18" spans="1:18" x14ac:dyDescent="0.2">
      <c r="B18" s="16"/>
      <c r="H18" s="156"/>
    </row>
    <row r="19" spans="1:18" s="7" customFormat="1" x14ac:dyDescent="0.2">
      <c r="A19" s="5"/>
      <c r="B19" s="23" t="s">
        <v>72</v>
      </c>
      <c r="C19" s="22">
        <f>+C20+C21</f>
        <v>41.556000000000012</v>
      </c>
      <c r="D19" s="22">
        <f>+D20+D21</f>
        <v>78.006000000000029</v>
      </c>
      <c r="E19" s="22">
        <f>+E20+E21</f>
        <v>97.015999999999991</v>
      </c>
      <c r="F19" s="22">
        <f>+F20+F21</f>
        <v>124.32399999999996</v>
      </c>
      <c r="G19" s="22">
        <f>+G20+G21</f>
        <v>159.93299999999994</v>
      </c>
      <c r="H19" s="160">
        <f>+'LBO Modelling'!D12</f>
        <v>240.49498987803378</v>
      </c>
      <c r="I19" s="22">
        <f>+H19+'Income Statement'!H99</f>
        <v>262.90564124745441</v>
      </c>
      <c r="J19" s="22">
        <f>+I19+'Income Statement'!I99</f>
        <v>287.88097981537885</v>
      </c>
      <c r="K19" s="22">
        <f>+J19+'Income Statement'!J99</f>
        <v>316.4633747572899</v>
      </c>
      <c r="L19" s="22">
        <f>+K19+'Income Statement'!K99</f>
        <v>349.28359241674184</v>
      </c>
      <c r="M19" s="22">
        <f>+L19+'Income Statement'!L99</f>
        <v>387.27297358251252</v>
      </c>
      <c r="N19" s="22">
        <f>+M19+'Income Statement'!M99</f>
        <v>430.0525052434711</v>
      </c>
      <c r="O19" s="22">
        <f>+N19+'Income Statement'!N99</f>
        <v>476.92544330146677</v>
      </c>
      <c r="P19" s="22">
        <f>+O19+'Income Statement'!O99</f>
        <v>539.95286544626913</v>
      </c>
      <c r="Q19" s="22">
        <f>+P19+'Income Statement'!P99</f>
        <v>605.39546822740522</v>
      </c>
      <c r="R19" s="22">
        <f>+Q19+'Income Statement'!Q99</f>
        <v>672.1534673244422</v>
      </c>
    </row>
    <row r="20" spans="1:18" x14ac:dyDescent="0.2">
      <c r="B20" s="16" t="s">
        <v>73</v>
      </c>
      <c r="C20" s="6">
        <f>+C15-C21-C23-C26</f>
        <v>13.045000000000009</v>
      </c>
      <c r="D20" s="6">
        <f>+C20</f>
        <v>13.045000000000009</v>
      </c>
      <c r="E20" s="6">
        <f>+D20</f>
        <v>13.045000000000009</v>
      </c>
      <c r="F20" s="6">
        <f>+E20</f>
        <v>13.045000000000009</v>
      </c>
      <c r="G20" s="6">
        <f>+F20</f>
        <v>13.045000000000009</v>
      </c>
      <c r="H20" s="156"/>
    </row>
    <row r="21" spans="1:18" x14ac:dyDescent="0.2">
      <c r="B21" s="16" t="s">
        <v>74</v>
      </c>
      <c r="C21" s="6">
        <v>28.510999999999999</v>
      </c>
      <c r="D21" s="6">
        <f>+C21+'Income Statement'!D99</f>
        <v>64.961000000000027</v>
      </c>
      <c r="E21" s="6">
        <f>+D21+'Income Statement'!E99</f>
        <v>83.970999999999989</v>
      </c>
      <c r="F21" s="6">
        <f>+E21+'Income Statement'!F99</f>
        <v>111.27899999999995</v>
      </c>
      <c r="G21" s="6">
        <f>+F21+'Income Statement'!G99</f>
        <v>146.88799999999992</v>
      </c>
      <c r="H21" s="156"/>
    </row>
    <row r="22" spans="1:18" x14ac:dyDescent="0.2">
      <c r="B22" s="16"/>
      <c r="H22" s="156"/>
    </row>
    <row r="23" spans="1:18" x14ac:dyDescent="0.2">
      <c r="B23" s="23" t="s">
        <v>75</v>
      </c>
      <c r="C23" s="6">
        <f>'Debt Schedule'!C8</f>
        <v>50</v>
      </c>
      <c r="D23" s="6">
        <f>'Debt Schedule'!D8</f>
        <v>45</v>
      </c>
      <c r="E23" s="6">
        <f>'Debt Schedule'!E8</f>
        <v>40</v>
      </c>
      <c r="F23" s="6">
        <f>'Debt Schedule'!F8</f>
        <v>35</v>
      </c>
      <c r="G23" s="6">
        <f>'Debt Schedule'!G8</f>
        <v>30</v>
      </c>
      <c r="H23" s="160">
        <f>+'LBO Modelling'!D8</f>
        <v>234.99599999999981</v>
      </c>
      <c r="I23" s="6">
        <f>+'LBO Modelling'!C58</f>
        <v>234.99599999999981</v>
      </c>
      <c r="J23" s="6">
        <f>+'LBO Modelling'!D58</f>
        <v>234.99599999999981</v>
      </c>
      <c r="K23" s="6">
        <f>+'LBO Modelling'!E58</f>
        <v>234.99599999999981</v>
      </c>
      <c r="L23" s="6">
        <f>+'LBO Modelling'!F58</f>
        <v>234.99599999999981</v>
      </c>
      <c r="M23" s="6">
        <f>+'LBO Modelling'!G58</f>
        <v>234.99599999999981</v>
      </c>
      <c r="N23" s="6">
        <f>+'LBO Modelling'!H58</f>
        <v>234.99599999999981</v>
      </c>
      <c r="O23" s="6">
        <f>+'LBO Modelling'!I58</f>
        <v>58.748999999999953</v>
      </c>
      <c r="P23" s="6">
        <f>+'LBO Modelling'!J58</f>
        <v>0</v>
      </c>
      <c r="Q23" s="6">
        <f>+'LBO Modelling'!K58</f>
        <v>0</v>
      </c>
      <c r="R23" s="6">
        <f>+'LBO Modelling'!L58</f>
        <v>0</v>
      </c>
    </row>
    <row r="24" spans="1:18" x14ac:dyDescent="0.2">
      <c r="B24" s="16"/>
      <c r="H24" s="156"/>
    </row>
    <row r="25" spans="1:18" s="7" customFormat="1" x14ac:dyDescent="0.2">
      <c r="A25" s="5"/>
      <c r="B25" s="23" t="s">
        <v>76</v>
      </c>
      <c r="C25" s="8"/>
      <c r="D25" s="8"/>
      <c r="E25" s="8"/>
      <c r="F25" s="8"/>
      <c r="G25" s="8"/>
      <c r="H25" s="157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7" customFormat="1" x14ac:dyDescent="0.2">
      <c r="A26" s="5"/>
      <c r="B26" s="14" t="s">
        <v>77</v>
      </c>
      <c r="C26" s="6">
        <v>42.527999999999999</v>
      </c>
      <c r="D26" s="6">
        <v>52.095999999999997</v>
      </c>
      <c r="E26" s="6">
        <v>68.376999999999995</v>
      </c>
      <c r="F26" s="6">
        <v>69.402000000000001</v>
      </c>
      <c r="G26" s="6">
        <v>72.872</v>
      </c>
      <c r="H26" s="156">
        <f>G26</f>
        <v>72.872</v>
      </c>
      <c r="I26" s="6">
        <f>+I44/365*-'Income Statement'!H67</f>
        <v>78.040024553447395</v>
      </c>
      <c r="J26" s="6">
        <f>+J44/365*-'Income Statement'!I67</f>
        <v>83.704261388443513</v>
      </c>
      <c r="K26" s="6">
        <f>+K44/365*-'Income Statement'!J67</f>
        <v>91.670621415257486</v>
      </c>
      <c r="L26" s="6">
        <f>+L44/365*-'Income Statement'!K67</f>
        <v>101.03005969329858</v>
      </c>
      <c r="M26" s="6">
        <f>+M44/365*-'Income Statement'!L67</f>
        <v>112.44640955291864</v>
      </c>
      <c r="N26" s="6">
        <f>+N44/365*-'Income Statement'!M67</f>
        <v>123.02569068156731</v>
      </c>
      <c r="O26" s="6">
        <f>+O44/365*-'Income Statement'!N67</f>
        <v>132.06617846823877</v>
      </c>
      <c r="P26" s="6">
        <f>+P44/365*-'Income Statement'!O67</f>
        <v>139.19913755397056</v>
      </c>
      <c r="Q26" s="6">
        <f>+Q44/365*-'Income Statement'!P67</f>
        <v>144.53318185047257</v>
      </c>
      <c r="R26" s="6">
        <f>+R44/365*-'Income Statement'!Q67</f>
        <v>147.43829880566707</v>
      </c>
    </row>
    <row r="27" spans="1:18" x14ac:dyDescent="0.2">
      <c r="B27" s="16"/>
      <c r="H27" s="156"/>
    </row>
    <row r="28" spans="1:18" ht="13.5" customHeight="1" thickBot="1" x14ac:dyDescent="0.25">
      <c r="B28" s="31" t="s">
        <v>78</v>
      </c>
      <c r="C28" s="29">
        <f>+C19+C23+C26</f>
        <v>134.084</v>
      </c>
      <c r="D28" s="29">
        <f>+D20+D21+D23+D26</f>
        <v>175.10200000000003</v>
      </c>
      <c r="E28" s="29">
        <f>+E20+E21+E23+E26</f>
        <v>205.39299999999997</v>
      </c>
      <c r="F28" s="29">
        <f>+F20+F21+F23+F26</f>
        <v>228.72599999999994</v>
      </c>
      <c r="G28" s="29">
        <f>+G20+G21+G23+G26</f>
        <v>262.80499999999995</v>
      </c>
      <c r="H28" s="159">
        <f t="shared" ref="H28:R28" si="2">+H19+H23+H26</f>
        <v>548.36298987803355</v>
      </c>
      <c r="I28" s="29">
        <f t="shared" si="2"/>
        <v>575.94166580090166</v>
      </c>
      <c r="J28" s="29">
        <f t="shared" si="2"/>
        <v>606.58124120382217</v>
      </c>
      <c r="K28" s="29">
        <f t="shared" si="2"/>
        <v>643.12999617254718</v>
      </c>
      <c r="L28" s="29">
        <f t="shared" si="2"/>
        <v>685.30965211004025</v>
      </c>
      <c r="M28" s="29">
        <f t="shared" si="2"/>
        <v>734.71538313543101</v>
      </c>
      <c r="N28" s="29">
        <f t="shared" si="2"/>
        <v>788.07419592503823</v>
      </c>
      <c r="O28" s="29">
        <f t="shared" si="2"/>
        <v>667.74062176970551</v>
      </c>
      <c r="P28" s="29">
        <f t="shared" si="2"/>
        <v>679.15200300023969</v>
      </c>
      <c r="Q28" s="29">
        <f t="shared" si="2"/>
        <v>749.92865007787782</v>
      </c>
      <c r="R28" s="29">
        <f t="shared" si="2"/>
        <v>819.59176613010925</v>
      </c>
    </row>
    <row r="29" spans="1:18" s="44" customFormat="1" ht="13.5" customHeight="1" thickTop="1" x14ac:dyDescent="0.2">
      <c r="A29" s="42"/>
      <c r="B29" s="43" t="s">
        <v>79</v>
      </c>
      <c r="C29" s="44">
        <f t="shared" ref="C29:R29" si="3">+C15-C28</f>
        <v>0</v>
      </c>
      <c r="D29" s="44">
        <f t="shared" si="3"/>
        <v>0</v>
      </c>
      <c r="E29" s="44">
        <f t="shared" si="3"/>
        <v>0</v>
      </c>
      <c r="F29" s="44">
        <f t="shared" si="3"/>
        <v>0</v>
      </c>
      <c r="G29" s="44">
        <f t="shared" si="3"/>
        <v>0</v>
      </c>
      <c r="H29" s="44">
        <f t="shared" si="3"/>
        <v>0</v>
      </c>
      <c r="I29" s="44">
        <f t="shared" si="3"/>
        <v>0</v>
      </c>
      <c r="J29" s="44">
        <f t="shared" si="3"/>
        <v>0</v>
      </c>
      <c r="K29" s="44">
        <f t="shared" si="3"/>
        <v>0</v>
      </c>
      <c r="L29" s="44">
        <f t="shared" si="3"/>
        <v>0</v>
      </c>
      <c r="M29" s="44">
        <f t="shared" si="3"/>
        <v>0</v>
      </c>
      <c r="N29" s="44">
        <f t="shared" si="3"/>
        <v>0</v>
      </c>
      <c r="O29" s="44">
        <f t="shared" si="3"/>
        <v>0</v>
      </c>
      <c r="P29" s="44">
        <f t="shared" si="3"/>
        <v>0</v>
      </c>
      <c r="Q29" s="44">
        <f t="shared" si="3"/>
        <v>0</v>
      </c>
      <c r="R29" s="44">
        <f t="shared" si="3"/>
        <v>0</v>
      </c>
    </row>
    <row r="30" spans="1:18" x14ac:dyDescent="0.2">
      <c r="B30" s="16"/>
    </row>
    <row r="31" spans="1:18" x14ac:dyDescent="0.2">
      <c r="B31" s="32" t="s">
        <v>80</v>
      </c>
      <c r="C31" s="33"/>
    </row>
    <row r="32" spans="1:18" x14ac:dyDescent="0.2">
      <c r="B32" s="34" t="s">
        <v>81</v>
      </c>
      <c r="C32" s="35">
        <v>3</v>
      </c>
      <c r="D32" s="8"/>
      <c r="E32" s="8"/>
      <c r="F32" s="8"/>
      <c r="G32" s="8"/>
      <c r="H32" s="8"/>
    </row>
    <row r="33" spans="1:18" ht="5.0999999999999996" customHeight="1" x14ac:dyDescent="0.2">
      <c r="B33" s="36"/>
      <c r="C33" s="35"/>
    </row>
    <row r="34" spans="1:18" x14ac:dyDescent="0.2">
      <c r="B34" s="34" t="s">
        <v>82</v>
      </c>
      <c r="C34" s="35">
        <f>+C32</f>
        <v>3</v>
      </c>
    </row>
    <row r="35" spans="1:18" s="7" customFormat="1" x14ac:dyDescent="0.2">
      <c r="A35" s="5"/>
      <c r="B35" s="34" t="s">
        <v>83</v>
      </c>
      <c r="C35" s="35">
        <f>+C34*C26</f>
        <v>127.584</v>
      </c>
      <c r="D35" s="8"/>
      <c r="E35" s="8"/>
      <c r="F35" s="8"/>
      <c r="G35" s="8"/>
      <c r="H35" s="8"/>
    </row>
    <row r="36" spans="1:18" s="7" customFormat="1" ht="5.0999999999999996" customHeight="1" x14ac:dyDescent="0.2">
      <c r="A36" s="5"/>
      <c r="B36" s="37"/>
      <c r="C36" s="38"/>
      <c r="D36" s="8"/>
      <c r="E36" s="8"/>
      <c r="F36" s="8"/>
      <c r="G36" s="8"/>
      <c r="H36" s="8"/>
    </row>
    <row r="37" spans="1:18" x14ac:dyDescent="0.2">
      <c r="B37" s="40" t="s">
        <v>84</v>
      </c>
      <c r="C37" s="41">
        <f>+C35-C11-C12</f>
        <v>68.045000000000002</v>
      </c>
    </row>
    <row r="38" spans="1:18" x14ac:dyDescent="0.2">
      <c r="B38" s="16"/>
    </row>
    <row r="39" spans="1:18" x14ac:dyDescent="0.2">
      <c r="B39" s="17"/>
      <c r="C39" s="8"/>
      <c r="D39" s="8"/>
      <c r="E39" s="8"/>
      <c r="F39" s="8"/>
      <c r="G39" s="8"/>
      <c r="H39" s="8"/>
    </row>
    <row r="40" spans="1:18" x14ac:dyDescent="0.2">
      <c r="B40" s="76" t="s">
        <v>85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33"/>
    </row>
    <row r="41" spans="1:18" x14ac:dyDescent="0.2">
      <c r="B41" s="36"/>
      <c r="R41" s="35"/>
    </row>
    <row r="42" spans="1:18" x14ac:dyDescent="0.2">
      <c r="B42" s="37"/>
      <c r="C42" s="57">
        <f>+C4</f>
        <v>2007</v>
      </c>
      <c r="D42" s="57">
        <f>+D4</f>
        <v>2008</v>
      </c>
      <c r="E42" s="57">
        <f>+E4</f>
        <v>2009</v>
      </c>
      <c r="F42" s="57">
        <f>+F4</f>
        <v>2010</v>
      </c>
      <c r="G42" s="57">
        <f>+G4</f>
        <v>2011</v>
      </c>
      <c r="H42" s="138"/>
      <c r="I42" s="59">
        <f t="shared" ref="I42:R42" si="4">+I4</f>
        <v>2012</v>
      </c>
      <c r="J42" s="60">
        <f t="shared" si="4"/>
        <v>2013</v>
      </c>
      <c r="K42" s="60">
        <f t="shared" si="4"/>
        <v>2014</v>
      </c>
      <c r="L42" s="60">
        <f t="shared" si="4"/>
        <v>2015</v>
      </c>
      <c r="M42" s="60">
        <f t="shared" si="4"/>
        <v>2016</v>
      </c>
      <c r="N42" s="60">
        <f t="shared" si="4"/>
        <v>2017</v>
      </c>
      <c r="O42" s="60">
        <f t="shared" si="4"/>
        <v>2018</v>
      </c>
      <c r="P42" s="60">
        <f t="shared" si="4"/>
        <v>2019</v>
      </c>
      <c r="Q42" s="60">
        <f t="shared" si="4"/>
        <v>2020</v>
      </c>
      <c r="R42" s="60">
        <f t="shared" si="4"/>
        <v>2021</v>
      </c>
    </row>
    <row r="43" spans="1:18" x14ac:dyDescent="0.2">
      <c r="B43" s="34" t="s">
        <v>86</v>
      </c>
      <c r="C43" s="77">
        <f>+C11/'Income Statement'!C64*365</f>
        <v>55.303450634643156</v>
      </c>
      <c r="D43" s="77">
        <f>+D11/'Income Statement'!D64*365</f>
        <v>36.868429522601858</v>
      </c>
      <c r="E43" s="77">
        <f>+E11/'Income Statement'!E64*365</f>
        <v>27.791988210970189</v>
      </c>
      <c r="F43" s="77">
        <f>+F11/'Income Statement'!F64*365</f>
        <v>18.621832924717985</v>
      </c>
      <c r="G43" s="75">
        <f>+G11/'Income Statement'!G64*365</f>
        <v>18.81387403446227</v>
      </c>
      <c r="H43" s="77"/>
      <c r="I43" s="78">
        <v>20</v>
      </c>
      <c r="J43" s="77">
        <f t="shared" ref="J43:R43" si="5">+I43</f>
        <v>20</v>
      </c>
      <c r="K43" s="77">
        <f t="shared" si="5"/>
        <v>20</v>
      </c>
      <c r="L43" s="77">
        <f t="shared" si="5"/>
        <v>20</v>
      </c>
      <c r="M43" s="77">
        <f t="shared" si="5"/>
        <v>20</v>
      </c>
      <c r="N43" s="77">
        <f t="shared" si="5"/>
        <v>20</v>
      </c>
      <c r="O43" s="77">
        <f t="shared" si="5"/>
        <v>20</v>
      </c>
      <c r="P43" s="77">
        <f t="shared" si="5"/>
        <v>20</v>
      </c>
      <c r="Q43" s="77">
        <f t="shared" si="5"/>
        <v>20</v>
      </c>
      <c r="R43" s="79">
        <f t="shared" si="5"/>
        <v>20</v>
      </c>
    </row>
    <row r="44" spans="1:18" x14ac:dyDescent="0.2">
      <c r="B44" s="34" t="s">
        <v>87</v>
      </c>
      <c r="C44" s="77">
        <f>+C26/-'Income Statement'!C67*365</f>
        <v>104.28641490926925</v>
      </c>
      <c r="D44" s="77">
        <f>+D26/-'Income Statement'!D67*365</f>
        <v>107.35197145567048</v>
      </c>
      <c r="E44" s="77">
        <f>+E26/-'Income Statement'!E67*365</f>
        <v>121.66725978647686</v>
      </c>
      <c r="F44" s="77">
        <f>+F26/-'Income Statement'!F67*365</f>
        <v>125.86194389514375</v>
      </c>
      <c r="G44" s="75">
        <f>+G26/-'Income Statement'!G67*365</f>
        <v>130.35688730751511</v>
      </c>
      <c r="H44" s="77"/>
      <c r="I44" s="78">
        <v>130</v>
      </c>
      <c r="J44" s="77">
        <f t="shared" ref="J44:R44" si="6">+I44</f>
        <v>130</v>
      </c>
      <c r="K44" s="77">
        <f t="shared" si="6"/>
        <v>130</v>
      </c>
      <c r="L44" s="77">
        <f t="shared" si="6"/>
        <v>130</v>
      </c>
      <c r="M44" s="77">
        <f t="shared" si="6"/>
        <v>130</v>
      </c>
      <c r="N44" s="77">
        <f t="shared" si="6"/>
        <v>130</v>
      </c>
      <c r="O44" s="77">
        <f t="shared" si="6"/>
        <v>130</v>
      </c>
      <c r="P44" s="77">
        <f t="shared" si="6"/>
        <v>130</v>
      </c>
      <c r="Q44" s="77">
        <f t="shared" si="6"/>
        <v>130</v>
      </c>
      <c r="R44" s="79">
        <f t="shared" si="6"/>
        <v>130</v>
      </c>
    </row>
    <row r="45" spans="1:18" x14ac:dyDescent="0.2">
      <c r="B45" s="39" t="s">
        <v>88</v>
      </c>
      <c r="C45" s="80">
        <f>+C12/-'Income Statement'!C67*365</f>
        <v>67.785679254536532</v>
      </c>
      <c r="D45" s="80">
        <f>+D12/-'Income Statement'!D67*365</f>
        <v>40.256989295876437</v>
      </c>
      <c r="E45" s="80">
        <f>+E12/-'Income Statement'!E67*365</f>
        <v>29.19928825622776</v>
      </c>
      <c r="F45" s="80">
        <f>+F12/-'Income Statement'!F67*365</f>
        <v>35.242142239623192</v>
      </c>
      <c r="G45" s="81">
        <f>+G12/-'Income Statement'!G67*365</f>
        <v>41.714132384509071</v>
      </c>
      <c r="H45" s="80"/>
      <c r="I45" s="82">
        <v>40</v>
      </c>
      <c r="J45" s="80">
        <f t="shared" ref="J45:R45" si="7">+I45</f>
        <v>40</v>
      </c>
      <c r="K45" s="80">
        <f t="shared" si="7"/>
        <v>40</v>
      </c>
      <c r="L45" s="80">
        <f t="shared" si="7"/>
        <v>40</v>
      </c>
      <c r="M45" s="80">
        <f t="shared" si="7"/>
        <v>40</v>
      </c>
      <c r="N45" s="80">
        <f t="shared" si="7"/>
        <v>40</v>
      </c>
      <c r="O45" s="80">
        <f t="shared" si="7"/>
        <v>40</v>
      </c>
      <c r="P45" s="80">
        <f t="shared" si="7"/>
        <v>40</v>
      </c>
      <c r="Q45" s="80">
        <f t="shared" si="7"/>
        <v>40</v>
      </c>
      <c r="R45" s="83">
        <f t="shared" si="7"/>
        <v>40</v>
      </c>
    </row>
    <row r="46" spans="1:18" s="7" customFormat="1" x14ac:dyDescent="0.2">
      <c r="A46" s="5"/>
      <c r="B46" s="15"/>
      <c r="C46" s="8"/>
      <c r="D46" s="8"/>
      <c r="E46" s="8"/>
      <c r="F46" s="8"/>
      <c r="G46" s="8"/>
      <c r="H46" s="8"/>
    </row>
    <row r="47" spans="1:18" s="7" customFormat="1" x14ac:dyDescent="0.2">
      <c r="A47" s="5"/>
      <c r="B47" s="15"/>
      <c r="C47" s="8"/>
      <c r="D47" s="8"/>
      <c r="E47" s="8"/>
      <c r="F47" s="8"/>
      <c r="G47" s="8"/>
      <c r="H47" s="8"/>
    </row>
    <row r="49" spans="2:7" x14ac:dyDescent="0.2">
      <c r="B49" s="2" t="s">
        <v>89</v>
      </c>
      <c r="C49" s="6">
        <f>SUM(C11:C12)-C26</f>
        <v>17.011000000000003</v>
      </c>
      <c r="D49" s="6">
        <f>SUM(D11:D12)-D26</f>
        <v>-6.5119999999999933</v>
      </c>
      <c r="E49" s="6">
        <f>SUM(E11:E12)-E26</f>
        <v>-31.453999999999994</v>
      </c>
      <c r="F49" s="6">
        <f>SUM(F11:F12)-F26</f>
        <v>-36.088999999999999</v>
      </c>
      <c r="G49" s="6">
        <f>SUM(G11:G12)-G26</f>
        <v>-34.978999999999999</v>
      </c>
    </row>
    <row r="51" spans="2:7" x14ac:dyDescent="0.2">
      <c r="B51" s="2" t="s">
        <v>90</v>
      </c>
      <c r="C51" s="6">
        <f>-(C23-C13)</f>
        <v>18.045000000000002</v>
      </c>
      <c r="D51" s="6">
        <f>-(D23-D13)</f>
        <v>76.716000000000022</v>
      </c>
      <c r="E51" s="6">
        <f>-(E23-E13)</f>
        <v>119.29999999999998</v>
      </c>
      <c r="F51" s="6">
        <f>-(F23-F13)</f>
        <v>149.85499999999996</v>
      </c>
      <c r="G51" s="6">
        <f>-(G23-G13)</f>
        <v>183.62499999999994</v>
      </c>
    </row>
  </sheetData>
  <pageMargins left="0.75" right="0.75" top="1" bottom="1" header="0.3" footer="0.3"/>
  <pageSetup paperSize="9" scale="45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showGridLines="0" zoomScaleSheetLayoutView="100" workbookViewId="0">
      <selection activeCell="O27" sqref="O27"/>
    </sheetView>
  </sheetViews>
  <sheetFormatPr defaultColWidth="8.85546875" defaultRowHeight="12.75" x14ac:dyDescent="0.2"/>
  <cols>
    <col min="1" max="1" width="2.7109375" style="2" customWidth="1"/>
    <col min="2" max="2" width="41.140625" style="2" customWidth="1"/>
    <col min="3" max="3" width="9.28515625" style="6" bestFit="1" customWidth="1"/>
    <col min="4" max="5" width="9.42578125" style="6" bestFit="1" customWidth="1"/>
    <col min="6" max="17" width="9.28515625" style="6" bestFit="1" customWidth="1"/>
    <col min="18" max="19" width="8.85546875" style="6" customWidth="1"/>
    <col min="20" max="16384" width="8.85546875" style="6"/>
  </cols>
  <sheetData>
    <row r="1" spans="1:17" s="2" customFormat="1" x14ac:dyDescent="0.2"/>
    <row r="2" spans="1:17" s="2" customFormat="1" x14ac:dyDescent="0.2">
      <c r="B2" s="61" t="s">
        <v>91</v>
      </c>
    </row>
    <row r="3" spans="1:17" s="2" customFormat="1" x14ac:dyDescent="0.2">
      <c r="B3" s="5"/>
    </row>
    <row r="4" spans="1:17" s="2" customFormat="1" x14ac:dyDescent="0.2">
      <c r="B4" s="56" t="s">
        <v>18</v>
      </c>
      <c r="C4" s="57">
        <f>'Income Statement'!C4</f>
        <v>2007</v>
      </c>
      <c r="D4" s="57">
        <f>'Income Statement'!D4</f>
        <v>2008</v>
      </c>
      <c r="E4" s="57">
        <f>'Income Statement'!E4</f>
        <v>2009</v>
      </c>
      <c r="F4" s="57">
        <f>'Income Statement'!F4</f>
        <v>2010</v>
      </c>
      <c r="G4" s="58">
        <f>'Income Statement'!G4</f>
        <v>2011</v>
      </c>
      <c r="H4" s="59">
        <f>'Income Statement'!H4</f>
        <v>2012</v>
      </c>
      <c r="I4" s="60">
        <f>'Income Statement'!I4</f>
        <v>2013</v>
      </c>
      <c r="J4" s="60">
        <f>'Income Statement'!J4</f>
        <v>2014</v>
      </c>
      <c r="K4" s="60">
        <f>'Income Statement'!K4</f>
        <v>2015</v>
      </c>
      <c r="L4" s="60">
        <f>'Income Statement'!L4</f>
        <v>2016</v>
      </c>
      <c r="M4" s="60">
        <f>'Income Statement'!M4</f>
        <v>2017</v>
      </c>
      <c r="N4" s="60">
        <f>'Income Statement'!N4</f>
        <v>2018</v>
      </c>
      <c r="O4" s="60">
        <f>'Income Statement'!O4</f>
        <v>2019</v>
      </c>
      <c r="P4" s="60">
        <f>'Income Statement'!P4</f>
        <v>2020</v>
      </c>
      <c r="Q4" s="60">
        <f>'Income Statement'!Q4</f>
        <v>2021</v>
      </c>
    </row>
    <row r="5" spans="1:17" x14ac:dyDescent="0.2">
      <c r="B5" s="19"/>
      <c r="G5" s="48"/>
    </row>
    <row r="6" spans="1:17" x14ac:dyDescent="0.2">
      <c r="A6" s="5"/>
      <c r="B6" s="14" t="s">
        <v>92</v>
      </c>
      <c r="C6" s="6">
        <f>'Income Statement'!C99</f>
        <v>27.08799999999999</v>
      </c>
      <c r="D6" s="6">
        <f>'Income Statement'!D99</f>
        <v>36.450000000000024</v>
      </c>
      <c r="E6" s="6">
        <f>'Income Statement'!E99</f>
        <v>19.009999999999966</v>
      </c>
      <c r="F6" s="6">
        <f>'Income Statement'!F99</f>
        <v>27.307999999999964</v>
      </c>
      <c r="G6" s="48">
        <f>'Income Statement'!G99</f>
        <v>35.608999999999966</v>
      </c>
      <c r="H6" s="6">
        <f>'Income Statement'!H99</f>
        <v>22.410651369420655</v>
      </c>
      <c r="I6" s="6">
        <f>'Income Statement'!I99</f>
        <v>24.975338567924467</v>
      </c>
      <c r="J6" s="6">
        <f>'Income Statement'!J99</f>
        <v>28.582394941911026</v>
      </c>
      <c r="K6" s="6">
        <f>'Income Statement'!K99</f>
        <v>32.820217659451941</v>
      </c>
      <c r="L6" s="6">
        <f>'Income Statement'!L99</f>
        <v>37.989381165770695</v>
      </c>
      <c r="M6" s="6">
        <f>'Income Statement'!M99</f>
        <v>42.779531660958597</v>
      </c>
      <c r="N6" s="6">
        <f>'Income Statement'!N99</f>
        <v>46.87293805799569</v>
      </c>
      <c r="O6" s="6">
        <f>'Income Statement'!O99</f>
        <v>63.027422144802358</v>
      </c>
      <c r="P6" s="6">
        <f>'Income Statement'!P99</f>
        <v>65.442602781136145</v>
      </c>
      <c r="Q6" s="6">
        <f>'Income Statement'!Q99</f>
        <v>66.757999097036972</v>
      </c>
    </row>
    <row r="7" spans="1:17" x14ac:dyDescent="0.2">
      <c r="B7" s="14" t="s">
        <v>93</v>
      </c>
      <c r="C7" s="6">
        <f>-'Income Statement'!C92</f>
        <v>3.3</v>
      </c>
      <c r="D7" s="6">
        <f>-'Income Statement'!D92</f>
        <v>3</v>
      </c>
      <c r="E7" s="6">
        <f>-'Income Statement'!E92</f>
        <v>2.6999999999999997</v>
      </c>
      <c r="F7" s="6">
        <f>-'Income Statement'!F92</f>
        <v>2.4</v>
      </c>
      <c r="G7" s="48">
        <f>-'Income Statement'!G92</f>
        <v>2.1</v>
      </c>
      <c r="H7" s="6">
        <f>-'Income Statement'!H92</f>
        <v>12.924779999999989</v>
      </c>
      <c r="I7" s="6">
        <f>-'Income Statement'!I92</f>
        <v>12.924779999999989</v>
      </c>
      <c r="J7" s="6">
        <f>-'Income Statement'!J92</f>
        <v>12.924779999999989</v>
      </c>
      <c r="K7" s="6">
        <f>-'Income Statement'!K92</f>
        <v>12.924779999999989</v>
      </c>
      <c r="L7" s="6">
        <f>-'Income Statement'!L92</f>
        <v>12.924779999999989</v>
      </c>
      <c r="M7" s="6">
        <f>-'Income Statement'!M92</f>
        <v>12.924779999999989</v>
      </c>
      <c r="N7" s="6">
        <f>-'Income Statement'!N92</f>
        <v>12.924779999999989</v>
      </c>
      <c r="O7" s="6">
        <f>-'Income Statement'!O92</f>
        <v>0</v>
      </c>
      <c r="P7" s="6">
        <f>-'Income Statement'!P92</f>
        <v>0</v>
      </c>
      <c r="Q7" s="6">
        <f>-'Income Statement'!Q92</f>
        <v>0</v>
      </c>
    </row>
    <row r="8" spans="1:17" x14ac:dyDescent="0.2">
      <c r="B8" s="14" t="s">
        <v>94</v>
      </c>
      <c r="C8" s="6">
        <f>-'Income Statement'!C82</f>
        <v>2.605</v>
      </c>
      <c r="D8" s="6">
        <f>-'Income Statement'!D82</f>
        <v>2.6050000000000004</v>
      </c>
      <c r="E8" s="6">
        <f>-'Income Statement'!E82</f>
        <v>1.3669999999999991</v>
      </c>
      <c r="F8" s="6">
        <f>-'Income Statement'!F82</f>
        <v>1.3879999999999999</v>
      </c>
      <c r="G8" s="48">
        <f>-'Income Statement'!G82</f>
        <v>1.456999999999999</v>
      </c>
      <c r="H8" s="6">
        <f>-'Income Statement'!H82</f>
        <v>4.288817787082154</v>
      </c>
      <c r="I8" s="6">
        <f>-'Income Statement'!I82</f>
        <v>4.7877774823136034</v>
      </c>
      <c r="J8" s="6">
        <f>-'Income Statement'!J82</f>
        <v>5.4489766880254766</v>
      </c>
      <c r="K8" s="6">
        <f>-'Income Statement'!K82</f>
        <v>6.23182755444798</v>
      </c>
      <c r="L8" s="6">
        <f>-'Income Statement'!L82</f>
        <v>7.1881358306211016</v>
      </c>
      <c r="M8" s="6">
        <f>-'Income Statement'!M82</f>
        <v>4.0701253086853466</v>
      </c>
      <c r="N8" s="6">
        <f>-'Income Statement'!N82</f>
        <v>4.5172685878953844</v>
      </c>
      <c r="O8" s="6">
        <f>-'Income Statement'!O82</f>
        <v>4.9172967820043842</v>
      </c>
      <c r="P8" s="6">
        <f>-'Income Statement'!P82</f>
        <v>5.267753237950008</v>
      </c>
      <c r="Q8" s="6">
        <f>-'Income Statement'!Q82</f>
        <v>5.5389198386636034</v>
      </c>
    </row>
    <row r="9" spans="1:17" s="7" customFormat="1" x14ac:dyDescent="0.2">
      <c r="A9" s="5"/>
      <c r="B9" s="14"/>
      <c r="C9" s="8"/>
      <c r="D9" s="8"/>
      <c r="E9" s="8"/>
      <c r="F9" s="8"/>
      <c r="G9" s="49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s="7" customFormat="1" x14ac:dyDescent="0.2">
      <c r="A10" s="5"/>
      <c r="B10" s="14" t="s">
        <v>95</v>
      </c>
      <c r="C10" s="6"/>
      <c r="D10" s="6">
        <f t="shared" ref="D10:Q10" si="0">SUM(D11:D13)</f>
        <v>23.523</v>
      </c>
      <c r="E10" s="6">
        <f t="shared" si="0"/>
        <v>24.941999999999997</v>
      </c>
      <c r="F10" s="6">
        <f t="shared" si="0"/>
        <v>4.6350000000000069</v>
      </c>
      <c r="G10" s="48">
        <f t="shared" si="0"/>
        <v>-1.1099999999999994</v>
      </c>
      <c r="H10" s="6">
        <f t="shared" si="0"/>
        <v>2.6459497252333772</v>
      </c>
      <c r="I10" s="6">
        <f t="shared" si="0"/>
        <v>2.7308631355258797</v>
      </c>
      <c r="J10" s="6">
        <f t="shared" si="0"/>
        <v>3.8407714146310283</v>
      </c>
      <c r="K10" s="6">
        <f t="shared" si="0"/>
        <v>4.5124075329646409</v>
      </c>
      <c r="L10" s="6">
        <f t="shared" si="0"/>
        <v>5.5040934696233954</v>
      </c>
      <c r="M10" s="6">
        <f t="shared" si="0"/>
        <v>5.1005227493477712</v>
      </c>
      <c r="N10" s="6">
        <f t="shared" si="0"/>
        <v>4.3586339242133754</v>
      </c>
      <c r="O10" s="6">
        <f t="shared" si="0"/>
        <v>3.4389690229915324</v>
      </c>
      <c r="P10" s="6">
        <f t="shared" si="0"/>
        <v>2.5716694687942798</v>
      </c>
      <c r="Q10" s="6">
        <f t="shared" si="0"/>
        <v>1.4006258969108423</v>
      </c>
    </row>
    <row r="11" spans="1:17" s="7" customFormat="1" x14ac:dyDescent="0.2">
      <c r="A11" s="5"/>
      <c r="B11" s="17" t="s">
        <v>96</v>
      </c>
      <c r="D11" s="7">
        <f>-'Balance Sheet'!D11+'Balance Sheet'!C11</f>
        <v>5.8480000000000025</v>
      </c>
      <c r="E11" s="7">
        <f>-'Balance Sheet'!E11+'Balance Sheet'!D11</f>
        <v>5.5349999999999966</v>
      </c>
      <c r="F11" s="7">
        <f>-'Balance Sheet'!F11+'Balance Sheet'!E11</f>
        <v>6.6330000000000009</v>
      </c>
      <c r="G11" s="52">
        <f>-'Balance Sheet'!G11+'Balance Sheet'!F11</f>
        <v>-0.69399999999999906</v>
      </c>
      <c r="H11" s="7">
        <f>-'Balance Sheet'!I11+'Balance Sheet'!G11</f>
        <v>-1.8287595809994333</v>
      </c>
      <c r="I11" s="7">
        <f>-'Balance Sheet'!J11+'Balance Sheet'!I11</f>
        <v>-1.1905315963945107</v>
      </c>
      <c r="J11" s="7">
        <f>-'Balance Sheet'!K11+'Balance Sheet'!J11</f>
        <v>-1.6744009116247973</v>
      </c>
      <c r="K11" s="7">
        <f>-'Balance Sheet'!L11+'Balance Sheet'!K11</f>
        <v>-1.9672035826022736</v>
      </c>
      <c r="L11" s="7">
        <f>-'Balance Sheet'!M11+'Balance Sheet'!L11</f>
        <v>-2.3995333562674084</v>
      </c>
      <c r="M11" s="7">
        <f>-'Balance Sheet'!N11+'Balance Sheet'!M11</f>
        <v>-2.2235949551013157</v>
      </c>
      <c r="N11" s="7">
        <f>-'Balance Sheet'!O11+'Balance Sheet'!N11</f>
        <v>-1.9001653127130247</v>
      </c>
      <c r="O11" s="7">
        <f>-'Balance Sheet'!P11+'Balance Sheet'!O11</f>
        <v>-1.4992334209766192</v>
      </c>
      <c r="P11" s="7">
        <f>-'Balance Sheet'!Q11+'Balance Sheet'!P11</f>
        <v>-1.1211304287840456</v>
      </c>
      <c r="Q11" s="7">
        <f>-'Balance Sheet'!R11+'Balance Sheet'!Q11</f>
        <v>-0.61060891822381436</v>
      </c>
    </row>
    <row r="12" spans="1:17" s="7" customFormat="1" x14ac:dyDescent="0.2">
      <c r="A12" s="5"/>
      <c r="B12" s="17" t="s">
        <v>97</v>
      </c>
      <c r="D12" s="7">
        <f>+'Balance Sheet'!D26-'Balance Sheet'!C26</f>
        <v>9.5679999999999978</v>
      </c>
      <c r="E12" s="7">
        <f>+'Balance Sheet'!E26-'Balance Sheet'!D26</f>
        <v>16.280999999999999</v>
      </c>
      <c r="F12" s="7">
        <f>+'Balance Sheet'!F26-'Balance Sheet'!E26</f>
        <v>1.0250000000000057</v>
      </c>
      <c r="G12" s="52">
        <f>+'Balance Sheet'!G26-'Balance Sheet'!F26</f>
        <v>3.4699999999999989</v>
      </c>
      <c r="H12" s="7">
        <f>+'Balance Sheet'!I26-'Balance Sheet'!G26</f>
        <v>5.1680245534473954</v>
      </c>
      <c r="I12" s="7">
        <f>+'Balance Sheet'!J26-'Balance Sheet'!I26</f>
        <v>5.6642368349961174</v>
      </c>
      <c r="J12" s="7">
        <f>+'Balance Sheet'!K26-'Balance Sheet'!J26</f>
        <v>7.9663600268139731</v>
      </c>
      <c r="K12" s="7">
        <f>+'Balance Sheet'!L26-'Balance Sheet'!K26</f>
        <v>9.3594382780410967</v>
      </c>
      <c r="L12" s="7">
        <f>+'Balance Sheet'!M26-'Balance Sheet'!L26</f>
        <v>11.416349859620055</v>
      </c>
      <c r="M12" s="7">
        <f>+'Balance Sheet'!N26-'Balance Sheet'!M26</f>
        <v>10.579281128648674</v>
      </c>
      <c r="N12" s="7">
        <f>+'Balance Sheet'!O26-'Balance Sheet'!N26</f>
        <v>9.0404877866714628</v>
      </c>
      <c r="O12" s="7">
        <f>+'Balance Sheet'!P26-'Balance Sheet'!O26</f>
        <v>7.1329590857317839</v>
      </c>
      <c r="P12" s="7">
        <f>+'Balance Sheet'!Q26-'Balance Sheet'!P26</f>
        <v>5.3340442965020145</v>
      </c>
      <c r="Q12" s="7">
        <f>+'Balance Sheet'!R26-'Balance Sheet'!Q26</f>
        <v>2.9051169551945009</v>
      </c>
    </row>
    <row r="13" spans="1:17" s="7" customFormat="1" x14ac:dyDescent="0.2">
      <c r="A13" s="5"/>
      <c r="B13" s="17" t="s">
        <v>98</v>
      </c>
      <c r="C13" s="8"/>
      <c r="D13" s="7">
        <f>+'Balance Sheet'!C12-'Balance Sheet'!D12</f>
        <v>8.1069999999999993</v>
      </c>
      <c r="E13" s="7">
        <f>+'Balance Sheet'!D12-'Balance Sheet'!E12</f>
        <v>3.1260000000000012</v>
      </c>
      <c r="F13" s="7">
        <f>+'Balance Sheet'!E12-'Balance Sheet'!F12</f>
        <v>-3.0229999999999997</v>
      </c>
      <c r="G13" s="52">
        <f>+'Balance Sheet'!F12-'Balance Sheet'!G12</f>
        <v>-3.8859999999999992</v>
      </c>
      <c r="H13" s="7">
        <f>+'Balance Sheet'!G12-'Balance Sheet'!I12</f>
        <v>-0.69331524721458493</v>
      </c>
      <c r="I13" s="7">
        <f>+'Balance Sheet'!I12-'Balance Sheet'!J12</f>
        <v>-1.7428421030757271</v>
      </c>
      <c r="J13" s="7">
        <f>+'Balance Sheet'!J12-'Balance Sheet'!K12</f>
        <v>-2.4511877005581475</v>
      </c>
      <c r="K13" s="7">
        <f>+'Balance Sheet'!K12-'Balance Sheet'!L12</f>
        <v>-2.8798271624741822</v>
      </c>
      <c r="L13" s="7">
        <f>+'Balance Sheet'!L12-'Balance Sheet'!M12</f>
        <v>-3.5127230337292517</v>
      </c>
      <c r="M13" s="7">
        <f>+'Balance Sheet'!M12-'Balance Sheet'!N12</f>
        <v>-3.255163424199587</v>
      </c>
      <c r="N13" s="7">
        <f>+'Balance Sheet'!N12-'Balance Sheet'!O12</f>
        <v>-2.7816885497450627</v>
      </c>
      <c r="O13" s="7">
        <f>+'Balance Sheet'!O12-'Balance Sheet'!P12</f>
        <v>-2.1947566417636324</v>
      </c>
      <c r="P13" s="7">
        <f>+'Balance Sheet'!P12-'Balance Sheet'!Q12</f>
        <v>-1.6412443989236891</v>
      </c>
      <c r="Q13" s="7">
        <f>+'Balance Sheet'!Q12-'Balance Sheet'!R12</f>
        <v>-0.89388214005984423</v>
      </c>
    </row>
    <row r="14" spans="1:17" s="7" customFormat="1" x14ac:dyDescent="0.2">
      <c r="A14" s="5"/>
      <c r="B14" s="14"/>
      <c r="C14" s="22"/>
      <c r="D14" s="22"/>
      <c r="E14" s="22"/>
      <c r="F14" s="22"/>
      <c r="G14" s="6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x14ac:dyDescent="0.2">
      <c r="B15" s="14" t="s">
        <v>99</v>
      </c>
      <c r="D15" s="6">
        <f t="shared" ref="D15:Q15" si="1">-D7</f>
        <v>-3</v>
      </c>
      <c r="E15" s="6">
        <f t="shared" si="1"/>
        <v>-2.6999999999999997</v>
      </c>
      <c r="F15" s="6">
        <f t="shared" si="1"/>
        <v>-2.4</v>
      </c>
      <c r="G15" s="48">
        <f t="shared" si="1"/>
        <v>-2.1</v>
      </c>
      <c r="H15" s="6">
        <f t="shared" si="1"/>
        <v>-12.924779999999989</v>
      </c>
      <c r="I15" s="6">
        <f t="shared" si="1"/>
        <v>-12.924779999999989</v>
      </c>
      <c r="J15" s="6">
        <f t="shared" si="1"/>
        <v>-12.924779999999989</v>
      </c>
      <c r="K15" s="6">
        <f t="shared" si="1"/>
        <v>-12.924779999999989</v>
      </c>
      <c r="L15" s="6">
        <f t="shared" si="1"/>
        <v>-12.924779999999989</v>
      </c>
      <c r="M15" s="6">
        <f t="shared" si="1"/>
        <v>-12.924779999999989</v>
      </c>
      <c r="N15" s="6">
        <f t="shared" si="1"/>
        <v>-12.924779999999989</v>
      </c>
      <c r="O15" s="6">
        <f t="shared" si="1"/>
        <v>0</v>
      </c>
      <c r="P15" s="6">
        <f t="shared" si="1"/>
        <v>0</v>
      </c>
      <c r="Q15" s="6">
        <f t="shared" si="1"/>
        <v>0</v>
      </c>
    </row>
    <row r="16" spans="1:17" x14ac:dyDescent="0.2">
      <c r="B16" s="14" t="s">
        <v>100</v>
      </c>
      <c r="D16" s="6">
        <f>+'Income Statement'!D97</f>
        <v>0</v>
      </c>
      <c r="E16" s="6">
        <f>+'Income Statement'!E97</f>
        <v>0</v>
      </c>
      <c r="F16" s="6">
        <f>+'Income Statement'!F97</f>
        <v>0</v>
      </c>
      <c r="G16" s="48">
        <f>+'Income Statement'!G97</f>
        <v>0</v>
      </c>
      <c r="H16" s="6">
        <f>+'Income Statement'!H97</f>
        <v>0</v>
      </c>
      <c r="I16" s="6">
        <f>+'Income Statement'!I97</f>
        <v>0</v>
      </c>
      <c r="J16" s="6">
        <f>+'Income Statement'!J97</f>
        <v>0</v>
      </c>
      <c r="K16" s="6">
        <f>+'Income Statement'!K97</f>
        <v>0</v>
      </c>
      <c r="L16" s="6">
        <f>+'Income Statement'!L97</f>
        <v>0</v>
      </c>
      <c r="M16" s="6">
        <f>+'Income Statement'!M97</f>
        <v>0</v>
      </c>
      <c r="N16" s="6">
        <f>+'Income Statement'!N97</f>
        <v>0</v>
      </c>
      <c r="O16" s="6">
        <f>+'Income Statement'!O97</f>
        <v>0</v>
      </c>
      <c r="P16" s="6">
        <f>+'Income Statement'!P97</f>
        <v>0</v>
      </c>
      <c r="Q16" s="6">
        <f>+'Income Statement'!Q97</f>
        <v>0</v>
      </c>
    </row>
    <row r="17" spans="1:17" s="7" customFormat="1" x14ac:dyDescent="0.2">
      <c r="A17" s="5"/>
      <c r="B17" s="88" t="s">
        <v>101</v>
      </c>
      <c r="C17" s="89"/>
      <c r="D17" s="90">
        <f t="shared" ref="D17:Q17" si="2">+D6+D7+D8+D10+D15+D16</f>
        <v>62.578000000000017</v>
      </c>
      <c r="E17" s="90">
        <f t="shared" si="2"/>
        <v>45.31899999999996</v>
      </c>
      <c r="F17" s="90">
        <f t="shared" si="2"/>
        <v>33.330999999999968</v>
      </c>
      <c r="G17" s="91">
        <f t="shared" si="2"/>
        <v>35.955999999999968</v>
      </c>
      <c r="H17" s="90">
        <f t="shared" si="2"/>
        <v>29.345418881736187</v>
      </c>
      <c r="I17" s="90">
        <f t="shared" si="2"/>
        <v>32.493979185763948</v>
      </c>
      <c r="J17" s="90">
        <f t="shared" si="2"/>
        <v>37.87214304456753</v>
      </c>
      <c r="K17" s="90">
        <f t="shared" si="2"/>
        <v>43.564452746864568</v>
      </c>
      <c r="L17" s="90">
        <f t="shared" si="2"/>
        <v>50.681610466015194</v>
      </c>
      <c r="M17" s="90">
        <f t="shared" si="2"/>
        <v>51.950179718991713</v>
      </c>
      <c r="N17" s="90">
        <f t="shared" si="2"/>
        <v>55.748840570104456</v>
      </c>
      <c r="O17" s="90">
        <f t="shared" si="2"/>
        <v>71.383687949798272</v>
      </c>
      <c r="P17" s="90">
        <f t="shared" si="2"/>
        <v>73.282025487880432</v>
      </c>
      <c r="Q17" s="90">
        <f t="shared" si="2"/>
        <v>73.697544832611413</v>
      </c>
    </row>
    <row r="18" spans="1:17" s="7" customFormat="1" x14ac:dyDescent="0.2">
      <c r="A18" s="5"/>
      <c r="B18" s="17"/>
      <c r="C18" s="8"/>
      <c r="D18" s="6"/>
      <c r="E18" s="6"/>
      <c r="F18" s="6"/>
      <c r="G18" s="48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7" customFormat="1" x14ac:dyDescent="0.2">
      <c r="A19" s="5"/>
      <c r="B19" s="14" t="s">
        <v>49</v>
      </c>
      <c r="C19" s="8"/>
      <c r="D19" s="6">
        <f>-'PPE Schedule'!D6</f>
        <v>-3.907</v>
      </c>
      <c r="E19" s="6">
        <f>-'PPE Schedule'!E6</f>
        <v>-2.7349999999999999</v>
      </c>
      <c r="F19" s="6">
        <f>-'PPE Schedule'!F6</f>
        <v>-2.7759999999999998</v>
      </c>
      <c r="G19" s="48">
        <f>-'PPE Schedule'!G6</f>
        <v>-2.1859999999999999</v>
      </c>
      <c r="H19" s="6">
        <f>-'PPE Schedule'!H6</f>
        <v>-6.1721796234037498</v>
      </c>
      <c r="I19" s="6">
        <f>-'PPE Schedule'!I6</f>
        <v>-6.6201636851098344</v>
      </c>
      <c r="J19" s="6">
        <f>-'PPE Schedule'!J6</f>
        <v>-7.2502224954645698</v>
      </c>
      <c r="K19" s="6">
        <f>-'PPE Schedule'!K6</f>
        <v>-7.9904597590582851</v>
      </c>
      <c r="L19" s="6">
        <f>-'PPE Schedule'!L6</f>
        <v>-8.8933780036436207</v>
      </c>
      <c r="M19" s="6">
        <f>-'PPE Schedule'!M6</f>
        <v>-4.8650462728897148</v>
      </c>
      <c r="N19" s="6">
        <f>-'PPE Schedule'!N6</f>
        <v>-5.2225520195999087</v>
      </c>
      <c r="O19" s="6">
        <f>-'PPE Schedule'!O6</f>
        <v>-5.5046246161646</v>
      </c>
      <c r="P19" s="6">
        <f>-'PPE Schedule'!P6</f>
        <v>-5.7155591956037375</v>
      </c>
      <c r="Q19" s="6">
        <f>-'PPE Schedule'!Q6</f>
        <v>-5.8304419354353723</v>
      </c>
    </row>
    <row r="20" spans="1:17" x14ac:dyDescent="0.2">
      <c r="B20" s="88" t="s">
        <v>102</v>
      </c>
      <c r="C20" s="92"/>
      <c r="D20" s="90">
        <f t="shared" ref="D20:Q20" si="3">+D19</f>
        <v>-3.907</v>
      </c>
      <c r="E20" s="90">
        <f t="shared" si="3"/>
        <v>-2.7349999999999999</v>
      </c>
      <c r="F20" s="90">
        <f t="shared" si="3"/>
        <v>-2.7759999999999998</v>
      </c>
      <c r="G20" s="91">
        <f t="shared" si="3"/>
        <v>-2.1859999999999999</v>
      </c>
      <c r="H20" s="90">
        <f t="shared" si="3"/>
        <v>-6.1721796234037498</v>
      </c>
      <c r="I20" s="90">
        <f t="shared" si="3"/>
        <v>-6.6201636851098344</v>
      </c>
      <c r="J20" s="90">
        <f t="shared" si="3"/>
        <v>-7.2502224954645698</v>
      </c>
      <c r="K20" s="90">
        <f t="shared" si="3"/>
        <v>-7.9904597590582851</v>
      </c>
      <c r="L20" s="90">
        <f t="shared" si="3"/>
        <v>-8.8933780036436207</v>
      </c>
      <c r="M20" s="90">
        <f t="shared" si="3"/>
        <v>-4.8650462728897148</v>
      </c>
      <c r="N20" s="90">
        <f t="shared" si="3"/>
        <v>-5.2225520195999087</v>
      </c>
      <c r="O20" s="90">
        <f t="shared" si="3"/>
        <v>-5.5046246161646</v>
      </c>
      <c r="P20" s="90">
        <f t="shared" si="3"/>
        <v>-5.7155591956037375</v>
      </c>
      <c r="Q20" s="90">
        <f t="shared" si="3"/>
        <v>-5.8304419354353723</v>
      </c>
    </row>
    <row r="21" spans="1:17" s="7" customFormat="1" x14ac:dyDescent="0.2">
      <c r="A21" s="5"/>
      <c r="B21" s="23"/>
      <c r="C21" s="8"/>
      <c r="D21" s="8"/>
      <c r="E21" s="8"/>
      <c r="F21" s="8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B22" s="14" t="s">
        <v>103</v>
      </c>
      <c r="D22" s="6">
        <f>'Debt Schedule'!D7</f>
        <v>-5</v>
      </c>
      <c r="E22" s="6">
        <f>'Debt Schedule'!E7</f>
        <v>-5</v>
      </c>
      <c r="F22" s="6">
        <f>'Debt Schedule'!F7</f>
        <v>-5</v>
      </c>
      <c r="G22" s="48">
        <f>'Debt Schedule'!G7</f>
        <v>-5</v>
      </c>
      <c r="H22" s="6">
        <f>'LBO Modelling'!C57</f>
        <v>0</v>
      </c>
      <c r="I22" s="6">
        <f>'LBO Modelling'!D57</f>
        <v>0</v>
      </c>
      <c r="J22" s="6">
        <f>'LBO Modelling'!E57</f>
        <v>0</v>
      </c>
      <c r="K22" s="6">
        <f>'LBO Modelling'!F57</f>
        <v>0</v>
      </c>
      <c r="L22" s="6">
        <f>'LBO Modelling'!G57</f>
        <v>0</v>
      </c>
      <c r="M22" s="6">
        <f>'LBO Modelling'!H57</f>
        <v>0</v>
      </c>
      <c r="N22" s="6">
        <f>'LBO Modelling'!I57</f>
        <v>-176.24699999999984</v>
      </c>
      <c r="O22" s="6">
        <f>'LBO Modelling'!J57</f>
        <v>-58.748999999999953</v>
      </c>
      <c r="P22" s="6">
        <f>'LBO Modelling'!K57</f>
        <v>0</v>
      </c>
      <c r="Q22" s="6">
        <f>'LBO Modelling'!L57</f>
        <v>0</v>
      </c>
    </row>
    <row r="23" spans="1:17" x14ac:dyDescent="0.2">
      <c r="B23" s="88" t="s">
        <v>104</v>
      </c>
      <c r="C23" s="92"/>
      <c r="D23" s="90">
        <f t="shared" ref="D23:Q23" si="4">+D22</f>
        <v>-5</v>
      </c>
      <c r="E23" s="90">
        <f t="shared" si="4"/>
        <v>-5</v>
      </c>
      <c r="F23" s="90">
        <f t="shared" si="4"/>
        <v>-5</v>
      </c>
      <c r="G23" s="91">
        <f t="shared" si="4"/>
        <v>-5</v>
      </c>
      <c r="H23" s="90">
        <f t="shared" si="4"/>
        <v>0</v>
      </c>
      <c r="I23" s="90">
        <f t="shared" si="4"/>
        <v>0</v>
      </c>
      <c r="J23" s="90">
        <f t="shared" si="4"/>
        <v>0</v>
      </c>
      <c r="K23" s="90">
        <f t="shared" si="4"/>
        <v>0</v>
      </c>
      <c r="L23" s="90">
        <f t="shared" si="4"/>
        <v>0</v>
      </c>
      <c r="M23" s="90">
        <f t="shared" si="4"/>
        <v>0</v>
      </c>
      <c r="N23" s="90">
        <f t="shared" si="4"/>
        <v>-176.24699999999984</v>
      </c>
      <c r="O23" s="90">
        <f t="shared" si="4"/>
        <v>-58.748999999999953</v>
      </c>
      <c r="P23" s="90">
        <f t="shared" si="4"/>
        <v>0</v>
      </c>
      <c r="Q23" s="90">
        <f t="shared" si="4"/>
        <v>0</v>
      </c>
    </row>
    <row r="24" spans="1:17" x14ac:dyDescent="0.2">
      <c r="B24" s="16"/>
      <c r="G24" s="48"/>
    </row>
    <row r="25" spans="1:17" x14ac:dyDescent="0.2">
      <c r="B25" s="63" t="s">
        <v>105</v>
      </c>
      <c r="C25" s="64"/>
      <c r="D25" s="65">
        <f t="shared" ref="D25:Q25" si="5">+D17+D20+D23</f>
        <v>53.671000000000021</v>
      </c>
      <c r="E25" s="65">
        <f t="shared" si="5"/>
        <v>37.583999999999961</v>
      </c>
      <c r="F25" s="65">
        <f t="shared" si="5"/>
        <v>25.554999999999968</v>
      </c>
      <c r="G25" s="66">
        <f t="shared" si="5"/>
        <v>28.769999999999968</v>
      </c>
      <c r="H25" s="65">
        <f t="shared" si="5"/>
        <v>23.173239258332437</v>
      </c>
      <c r="I25" s="65">
        <f t="shared" si="5"/>
        <v>25.873815500654114</v>
      </c>
      <c r="J25" s="65">
        <f t="shared" si="5"/>
        <v>30.62192054910296</v>
      </c>
      <c r="K25" s="65">
        <f t="shared" si="5"/>
        <v>35.573992987806285</v>
      </c>
      <c r="L25" s="65">
        <f t="shared" si="5"/>
        <v>41.788232462371575</v>
      </c>
      <c r="M25" s="65">
        <f t="shared" si="5"/>
        <v>47.085133446101999</v>
      </c>
      <c r="N25" s="65">
        <f t="shared" si="5"/>
        <v>-125.7207114494953</v>
      </c>
      <c r="O25" s="65">
        <f t="shared" si="5"/>
        <v>7.1300633336337143</v>
      </c>
      <c r="P25" s="65">
        <f t="shared" si="5"/>
        <v>67.566466292276701</v>
      </c>
      <c r="Q25" s="65">
        <f t="shared" si="5"/>
        <v>67.867102897176039</v>
      </c>
    </row>
    <row r="26" spans="1:17" s="7" customFormat="1" x14ac:dyDescent="0.2">
      <c r="A26" s="5"/>
      <c r="B26" s="23" t="s">
        <v>106</v>
      </c>
      <c r="C26" s="8"/>
      <c r="D26" s="6">
        <f>+'Balance Sheet'!C13</f>
        <v>68.045000000000002</v>
      </c>
      <c r="E26" s="6">
        <f>+D27</f>
        <v>121.71600000000002</v>
      </c>
      <c r="F26" s="6">
        <f>+E27</f>
        <v>159.29999999999998</v>
      </c>
      <c r="G26" s="48">
        <f>+F27</f>
        <v>184.85499999999996</v>
      </c>
      <c r="H26" s="6">
        <f>+'Balance Sheet'!H13</f>
        <v>0</v>
      </c>
      <c r="I26" s="6">
        <f t="shared" ref="I26:Q26" si="6">+H27</f>
        <v>23.173239258332437</v>
      </c>
      <c r="J26" s="6">
        <f t="shared" si="6"/>
        <v>49.047054758986548</v>
      </c>
      <c r="K26" s="6">
        <f t="shared" si="6"/>
        <v>79.6689753080895</v>
      </c>
      <c r="L26" s="6">
        <f t="shared" si="6"/>
        <v>115.24296829589579</v>
      </c>
      <c r="M26" s="6">
        <f t="shared" si="6"/>
        <v>157.03120075826737</v>
      </c>
      <c r="N26" s="6">
        <f t="shared" si="6"/>
        <v>204.11633420436937</v>
      </c>
      <c r="O26" s="6">
        <f t="shared" si="6"/>
        <v>78.395622754874069</v>
      </c>
      <c r="P26" s="6">
        <f t="shared" si="6"/>
        <v>85.525686088507783</v>
      </c>
      <c r="Q26" s="6">
        <f t="shared" si="6"/>
        <v>153.09215238078448</v>
      </c>
    </row>
    <row r="27" spans="1:17" s="7" customFormat="1" ht="13.5" customHeight="1" thickBot="1" x14ac:dyDescent="0.25">
      <c r="A27" s="5"/>
      <c r="B27" s="84" t="s">
        <v>107</v>
      </c>
      <c r="C27" s="85"/>
      <c r="D27" s="86">
        <f t="shared" ref="D27:Q27" si="7">D25+D26</f>
        <v>121.71600000000002</v>
      </c>
      <c r="E27" s="86">
        <f t="shared" si="7"/>
        <v>159.29999999999998</v>
      </c>
      <c r="F27" s="86">
        <f t="shared" si="7"/>
        <v>184.85499999999996</v>
      </c>
      <c r="G27" s="87">
        <f t="shared" si="7"/>
        <v>213.62499999999994</v>
      </c>
      <c r="H27" s="86">
        <f t="shared" si="7"/>
        <v>23.173239258332437</v>
      </c>
      <c r="I27" s="86">
        <f t="shared" si="7"/>
        <v>49.047054758986548</v>
      </c>
      <c r="J27" s="86">
        <f t="shared" si="7"/>
        <v>79.6689753080895</v>
      </c>
      <c r="K27" s="86">
        <f t="shared" si="7"/>
        <v>115.24296829589579</v>
      </c>
      <c r="L27" s="86">
        <f t="shared" si="7"/>
        <v>157.03120075826737</v>
      </c>
      <c r="M27" s="86">
        <f t="shared" si="7"/>
        <v>204.11633420436937</v>
      </c>
      <c r="N27" s="86">
        <f t="shared" si="7"/>
        <v>78.395622754874069</v>
      </c>
      <c r="O27" s="86">
        <f t="shared" si="7"/>
        <v>85.525686088507783</v>
      </c>
      <c r="P27" s="86">
        <f t="shared" si="7"/>
        <v>153.09215238078448</v>
      </c>
      <c r="Q27" s="86">
        <f t="shared" si="7"/>
        <v>220.95925527796052</v>
      </c>
    </row>
    <row r="28" spans="1:17" ht="13.5" customHeight="1" thickTop="1" x14ac:dyDescent="0.2">
      <c r="B28" s="16"/>
    </row>
    <row r="29" spans="1:17" x14ac:dyDescent="0.2">
      <c r="B29" s="23"/>
      <c r="C29" s="22"/>
      <c r="D29" s="22"/>
      <c r="E29" s="22"/>
      <c r="F29" s="22"/>
      <c r="G29" s="22"/>
    </row>
    <row r="30" spans="1:17" s="7" customFormat="1" x14ac:dyDescent="0.2">
      <c r="A30" s="5"/>
      <c r="B30" s="17"/>
      <c r="D30" s="8"/>
      <c r="E30" s="8"/>
      <c r="F30" s="8"/>
      <c r="G30" s="8"/>
    </row>
    <row r="31" spans="1:17" x14ac:dyDescent="0.2">
      <c r="B31" s="16"/>
    </row>
    <row r="32" spans="1:17" x14ac:dyDescent="0.2">
      <c r="B32" s="24"/>
    </row>
    <row r="33" spans="1:7" x14ac:dyDescent="0.2">
      <c r="B33" s="23"/>
      <c r="D33" s="8"/>
      <c r="E33" s="8"/>
      <c r="F33" s="8"/>
      <c r="G33" s="8"/>
    </row>
    <row r="34" spans="1:7" x14ac:dyDescent="0.2">
      <c r="B34" s="16"/>
    </row>
    <row r="35" spans="1:7" x14ac:dyDescent="0.2">
      <c r="B35" s="23"/>
    </row>
    <row r="36" spans="1:7" s="7" customFormat="1" x14ac:dyDescent="0.2">
      <c r="A36" s="5"/>
      <c r="B36" s="23"/>
      <c r="C36" s="6"/>
      <c r="D36" s="8"/>
      <c r="E36" s="8"/>
      <c r="F36" s="8"/>
      <c r="G36" s="8"/>
    </row>
    <row r="37" spans="1:7" s="7" customFormat="1" x14ac:dyDescent="0.2">
      <c r="A37" s="5"/>
      <c r="B37" s="17"/>
      <c r="C37" s="8"/>
      <c r="D37" s="8"/>
      <c r="E37" s="8"/>
      <c r="F37" s="8"/>
      <c r="G37" s="8"/>
    </row>
    <row r="38" spans="1:7" x14ac:dyDescent="0.2">
      <c r="B38" s="23"/>
    </row>
    <row r="39" spans="1:7" x14ac:dyDescent="0.2">
      <c r="B39" s="16"/>
    </row>
    <row r="40" spans="1:7" x14ac:dyDescent="0.2">
      <c r="B40" s="17"/>
      <c r="C40" s="8"/>
      <c r="D40" s="8"/>
      <c r="E40" s="8"/>
      <c r="F40" s="8"/>
      <c r="G40" s="8"/>
    </row>
    <row r="41" spans="1:7" x14ac:dyDescent="0.2">
      <c r="B41" s="16"/>
    </row>
    <row r="42" spans="1:7" x14ac:dyDescent="0.2">
      <c r="B42" s="16"/>
    </row>
    <row r="43" spans="1:7" x14ac:dyDescent="0.2">
      <c r="B43" s="17"/>
      <c r="C43" s="8"/>
      <c r="D43" s="8"/>
      <c r="E43" s="8"/>
      <c r="F43" s="8"/>
      <c r="G43" s="8"/>
    </row>
    <row r="44" spans="1:7" x14ac:dyDescent="0.2">
      <c r="B44" s="14"/>
    </row>
    <row r="45" spans="1:7" x14ac:dyDescent="0.2">
      <c r="B45" s="14"/>
    </row>
    <row r="46" spans="1:7" x14ac:dyDescent="0.2">
      <c r="B46" s="18"/>
    </row>
    <row r="47" spans="1:7" s="7" customFormat="1" x14ac:dyDescent="0.2">
      <c r="A47" s="5"/>
      <c r="B47" s="15"/>
      <c r="C47" s="8"/>
      <c r="D47" s="8"/>
      <c r="E47" s="8"/>
      <c r="F47" s="8"/>
      <c r="G47" s="8"/>
    </row>
    <row r="48" spans="1:7" s="7" customFormat="1" x14ac:dyDescent="0.2">
      <c r="A48" s="5"/>
      <c r="B48" s="15"/>
      <c r="C48" s="8"/>
      <c r="D48" s="8"/>
      <c r="E48" s="8"/>
      <c r="F48" s="8"/>
      <c r="G48" s="8"/>
    </row>
    <row r="49" spans="1:7" s="7" customFormat="1" x14ac:dyDescent="0.2">
      <c r="A49" s="5"/>
      <c r="B49" s="15"/>
      <c r="D49" s="8"/>
      <c r="E49" s="8"/>
    </row>
    <row r="50" spans="1:7" x14ac:dyDescent="0.2">
      <c r="B50" s="16"/>
    </row>
    <row r="51" spans="1:7" x14ac:dyDescent="0.2">
      <c r="B51" s="17"/>
      <c r="C51" s="8"/>
      <c r="D51" s="8"/>
      <c r="E51" s="8"/>
      <c r="F51" s="8"/>
      <c r="G51" s="8"/>
    </row>
    <row r="52" spans="1:7" x14ac:dyDescent="0.2">
      <c r="B52" s="16"/>
    </row>
    <row r="53" spans="1:7" x14ac:dyDescent="0.2">
      <c r="B53" s="16"/>
    </row>
    <row r="54" spans="1:7" x14ac:dyDescent="0.2">
      <c r="B54" s="17"/>
      <c r="C54" s="8"/>
      <c r="D54" s="8"/>
      <c r="E54" s="8"/>
      <c r="F54" s="8"/>
      <c r="G54" s="8"/>
    </row>
    <row r="55" spans="1:7" x14ac:dyDescent="0.2">
      <c r="B55" s="16"/>
    </row>
    <row r="56" spans="1:7" x14ac:dyDescent="0.2">
      <c r="B56" s="16"/>
    </row>
    <row r="57" spans="1:7" x14ac:dyDescent="0.2">
      <c r="B57" s="17"/>
      <c r="D57" s="8"/>
      <c r="E57" s="8"/>
      <c r="F57" s="13"/>
      <c r="G57" s="13"/>
    </row>
    <row r="58" spans="1:7" x14ac:dyDescent="0.2">
      <c r="B58" s="16"/>
      <c r="E58" s="8"/>
    </row>
    <row r="59" spans="1:7" s="7" customFormat="1" x14ac:dyDescent="0.2">
      <c r="A59" s="5"/>
      <c r="B59" s="17"/>
      <c r="C59" s="8"/>
      <c r="D59" s="8"/>
      <c r="E59" s="8"/>
      <c r="F59" s="8"/>
      <c r="G59" s="8"/>
    </row>
    <row r="63" spans="1:7" s="7" customFormat="1" x14ac:dyDescent="0.2">
      <c r="A63" s="5"/>
      <c r="B63" s="5"/>
      <c r="C63" s="8"/>
      <c r="D63" s="8"/>
      <c r="E63" s="8"/>
      <c r="F63" s="8"/>
      <c r="G63" s="8"/>
    </row>
    <row r="66" spans="1:7" x14ac:dyDescent="0.2">
      <c r="B66" s="5"/>
      <c r="D66" s="8"/>
      <c r="E66" s="8"/>
      <c r="F66" s="8"/>
      <c r="G66" s="8"/>
    </row>
    <row r="69" spans="1:7" s="7" customFormat="1" x14ac:dyDescent="0.2">
      <c r="A69" s="5"/>
      <c r="B69" s="5"/>
      <c r="C69" s="8"/>
      <c r="D69" s="8"/>
      <c r="E69" s="8"/>
      <c r="F69" s="8"/>
      <c r="G69" s="8"/>
    </row>
    <row r="71" spans="1:7" x14ac:dyDescent="0.2">
      <c r="B71" s="19"/>
    </row>
    <row r="72" spans="1:7" x14ac:dyDescent="0.2">
      <c r="B72" s="5"/>
      <c r="C72" s="8"/>
      <c r="D72" s="8"/>
      <c r="E72" s="8"/>
      <c r="F72" s="8"/>
      <c r="G72" s="8"/>
    </row>
    <row r="75" spans="1:7" x14ac:dyDescent="0.2">
      <c r="B75" s="5"/>
      <c r="C75" s="8"/>
      <c r="D75" s="8"/>
      <c r="E75" s="8"/>
      <c r="F75" s="8"/>
      <c r="G75" s="8"/>
    </row>
    <row r="78" spans="1:7" x14ac:dyDescent="0.2">
      <c r="B78" s="5"/>
      <c r="C78" s="8"/>
      <c r="D78" s="8"/>
      <c r="E78" s="8"/>
      <c r="F78" s="8"/>
      <c r="G78" s="8"/>
    </row>
    <row r="80" spans="1:7" x14ac:dyDescent="0.2">
      <c r="B80" s="19"/>
    </row>
    <row r="81" spans="1:7" s="7" customFormat="1" x14ac:dyDescent="0.2">
      <c r="A81" s="5"/>
      <c r="B81" s="5"/>
      <c r="C81" s="8"/>
      <c r="D81" s="8"/>
      <c r="E81" s="8"/>
      <c r="F81" s="8"/>
      <c r="G81" s="8"/>
    </row>
    <row r="84" spans="1:7" x14ac:dyDescent="0.2">
      <c r="B84" s="5"/>
      <c r="C84" s="8"/>
      <c r="D84" s="8"/>
      <c r="E84" s="8"/>
      <c r="F84" s="8"/>
      <c r="G84" s="8"/>
    </row>
    <row r="85" spans="1:7" s="7" customFormat="1" x14ac:dyDescent="0.2">
      <c r="A85" s="5"/>
      <c r="B85" s="5"/>
      <c r="C85" s="8"/>
      <c r="D85" s="8"/>
      <c r="E85" s="8"/>
      <c r="F85" s="8"/>
      <c r="G85" s="8"/>
    </row>
    <row r="88" spans="1:7" s="7" customFormat="1" x14ac:dyDescent="0.2">
      <c r="A88" s="5"/>
      <c r="B88" s="5"/>
      <c r="C88" s="8"/>
      <c r="D88" s="8"/>
      <c r="E88" s="8"/>
      <c r="F88" s="8"/>
      <c r="G88" s="8"/>
    </row>
    <row r="90" spans="1:7" x14ac:dyDescent="0.2">
      <c r="B90" s="19"/>
    </row>
    <row r="91" spans="1:7" x14ac:dyDescent="0.2">
      <c r="B91" s="5"/>
      <c r="C91" s="8"/>
      <c r="D91" s="8"/>
      <c r="E91" s="8"/>
      <c r="F91" s="8"/>
      <c r="G91" s="8"/>
    </row>
    <row r="93" spans="1:7" x14ac:dyDescent="0.2">
      <c r="B93" s="19"/>
    </row>
    <row r="95" spans="1:7" x14ac:dyDescent="0.2">
      <c r="B95" s="19"/>
    </row>
    <row r="96" spans="1:7" x14ac:dyDescent="0.2">
      <c r="B96" s="5"/>
      <c r="C96" s="8"/>
      <c r="D96" s="8"/>
      <c r="E96" s="8"/>
      <c r="F96" s="8"/>
      <c r="G96" s="8"/>
    </row>
    <row r="97" spans="2:2" x14ac:dyDescent="0.2">
      <c r="B97" s="5"/>
    </row>
    <row r="100" spans="2:2" x14ac:dyDescent="0.2">
      <c r="B100" s="19"/>
    </row>
  </sheetData>
  <pageMargins left="0.75" right="0.75" top="1" bottom="1" header="0.3" footer="0.3"/>
  <pageSetup paperSize="9" scale="4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showGridLines="0" zoomScaleSheetLayoutView="100" workbookViewId="0">
      <selection activeCell="B2" sqref="B2"/>
    </sheetView>
  </sheetViews>
  <sheetFormatPr defaultColWidth="8.85546875" defaultRowHeight="12.75" x14ac:dyDescent="0.2"/>
  <cols>
    <col min="1" max="1" width="2.7109375" style="2" customWidth="1"/>
    <col min="2" max="2" width="41.140625" style="2" customWidth="1"/>
    <col min="3" max="3" width="9.28515625" style="6" bestFit="1" customWidth="1"/>
    <col min="4" max="5" width="9.42578125" style="6" bestFit="1" customWidth="1"/>
    <col min="6" max="17" width="9.28515625" style="6" bestFit="1" customWidth="1"/>
    <col min="18" max="19" width="8.85546875" style="6" customWidth="1"/>
    <col min="20" max="16384" width="8.85546875" style="6"/>
  </cols>
  <sheetData>
    <row r="1" spans="1:17" s="2" customFormat="1" x14ac:dyDescent="0.2"/>
    <row r="2" spans="1:17" s="2" customFormat="1" x14ac:dyDescent="0.2">
      <c r="B2" s="67" t="s">
        <v>108</v>
      </c>
    </row>
    <row r="3" spans="1:17" s="2" customFormat="1" x14ac:dyDescent="0.2"/>
    <row r="4" spans="1:17" s="2" customFormat="1" x14ac:dyDescent="0.2">
      <c r="B4" s="68" t="str">
        <f>'Income Statement'!B4</f>
        <v>(YE 31-Dec, USDm)</v>
      </c>
      <c r="C4" s="57">
        <f>'Income Statement'!C4</f>
        <v>2007</v>
      </c>
      <c r="D4" s="57">
        <f>'Income Statement'!D4</f>
        <v>2008</v>
      </c>
      <c r="E4" s="57">
        <f>'Income Statement'!E4</f>
        <v>2009</v>
      </c>
      <c r="F4" s="57">
        <f>'Income Statement'!F4</f>
        <v>2010</v>
      </c>
      <c r="G4" s="57">
        <f>'Income Statement'!G4</f>
        <v>2011</v>
      </c>
      <c r="H4" s="60">
        <f>'Income Statement'!H4</f>
        <v>2012</v>
      </c>
      <c r="I4" s="60">
        <f>'Income Statement'!I4</f>
        <v>2013</v>
      </c>
      <c r="J4" s="60">
        <f>'Income Statement'!J4</f>
        <v>2014</v>
      </c>
      <c r="K4" s="60">
        <f>'Income Statement'!K4</f>
        <v>2015</v>
      </c>
      <c r="L4" s="60">
        <f>'Income Statement'!L4</f>
        <v>2016</v>
      </c>
      <c r="M4" s="60">
        <f>'Income Statement'!M4</f>
        <v>2017</v>
      </c>
      <c r="N4" s="60">
        <f>'Income Statement'!N4</f>
        <v>2018</v>
      </c>
      <c r="O4" s="60">
        <f>'Income Statement'!O4</f>
        <v>2019</v>
      </c>
      <c r="P4" s="60">
        <f>'Income Statement'!P4</f>
        <v>2020</v>
      </c>
      <c r="Q4" s="60">
        <f>'Income Statement'!Q4</f>
        <v>2021</v>
      </c>
    </row>
    <row r="5" spans="1:17" s="2" customFormat="1" x14ac:dyDescent="0.2">
      <c r="B5" s="2" t="s">
        <v>109</v>
      </c>
      <c r="C5" s="6">
        <f>+C9-C8-C6</f>
        <v>5.9150000000000009</v>
      </c>
      <c r="D5" s="6">
        <f t="shared" ref="D5:Q5" si="0">+C9</f>
        <v>6.5</v>
      </c>
      <c r="E5" s="6">
        <f t="shared" si="0"/>
        <v>7.8019999999999996</v>
      </c>
      <c r="F5" s="6">
        <f t="shared" si="0"/>
        <v>9.17</v>
      </c>
      <c r="G5" s="6">
        <f t="shared" si="0"/>
        <v>10.558</v>
      </c>
      <c r="H5" s="6">
        <f t="shared" si="0"/>
        <v>11.287000000000001</v>
      </c>
      <c r="I5" s="6">
        <f t="shared" si="0"/>
        <v>13.170361836321595</v>
      </c>
      <c r="J5" s="6">
        <f t="shared" si="0"/>
        <v>15.002748039117826</v>
      </c>
      <c r="K5" s="6">
        <f t="shared" si="0"/>
        <v>16.803993846556921</v>
      </c>
      <c r="L5" s="6">
        <f t="shared" si="0"/>
        <v>18.562626051167229</v>
      </c>
      <c r="M5" s="6">
        <f t="shared" si="0"/>
        <v>20.267868224189748</v>
      </c>
      <c r="N5" s="6">
        <f t="shared" si="0"/>
        <v>21.062789188394113</v>
      </c>
      <c r="O5" s="6">
        <f t="shared" si="0"/>
        <v>21.768072620098639</v>
      </c>
      <c r="P5" s="6">
        <f t="shared" si="0"/>
        <v>22.355400454258856</v>
      </c>
      <c r="Q5" s="6">
        <f t="shared" si="0"/>
        <v>22.803206411912587</v>
      </c>
    </row>
    <row r="6" spans="1:17" x14ac:dyDescent="0.2">
      <c r="B6" s="14" t="s">
        <v>110</v>
      </c>
      <c r="C6" s="6">
        <f>-'Income Statement'!C86</f>
        <v>3.19</v>
      </c>
      <c r="D6" s="6">
        <f>-'Income Statement'!D86</f>
        <v>3.907</v>
      </c>
      <c r="E6" s="6">
        <f>-'Income Statement'!E86</f>
        <v>2.7349999999999999</v>
      </c>
      <c r="F6" s="6">
        <f>-'Income Statement'!F86</f>
        <v>2.7759999999999998</v>
      </c>
      <c r="G6" s="6">
        <f>-'Income Statement'!G86</f>
        <v>2.1859999999999999</v>
      </c>
      <c r="H6" s="6">
        <f>-'Income Statement'!H86</f>
        <v>6.1721796234037498</v>
      </c>
      <c r="I6" s="6">
        <f>-'Income Statement'!I86</f>
        <v>6.6201636851098344</v>
      </c>
      <c r="J6" s="6">
        <f>-'Income Statement'!J86</f>
        <v>7.2502224954645698</v>
      </c>
      <c r="K6" s="6">
        <f>-'Income Statement'!K86</f>
        <v>7.9904597590582851</v>
      </c>
      <c r="L6" s="6">
        <f>-'Income Statement'!L86</f>
        <v>8.8933780036436207</v>
      </c>
      <c r="M6" s="6">
        <f>-'Income Statement'!M86</f>
        <v>4.8650462728897148</v>
      </c>
      <c r="N6" s="6">
        <f>-'Income Statement'!N86</f>
        <v>5.2225520195999087</v>
      </c>
      <c r="O6" s="6">
        <f>-'Income Statement'!O86</f>
        <v>5.5046246161646</v>
      </c>
      <c r="P6" s="6">
        <f>-'Income Statement'!P86</f>
        <v>5.7155591956037375</v>
      </c>
      <c r="Q6" s="6">
        <f>-'Income Statement'!Q86</f>
        <v>5.8304419354353723</v>
      </c>
    </row>
    <row r="7" spans="1:17" s="7" customFormat="1" x14ac:dyDescent="0.2">
      <c r="A7" s="5"/>
      <c r="B7" s="14" t="s">
        <v>111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 x14ac:dyDescent="0.2">
      <c r="B8" s="14" t="s">
        <v>112</v>
      </c>
      <c r="C8" s="6">
        <v>-2.605</v>
      </c>
      <c r="D8" s="6">
        <f>+(-D5-D6)+D9</f>
        <v>-2.6050000000000004</v>
      </c>
      <c r="E8" s="6">
        <f>+(-E5-E6)+E9</f>
        <v>-1.3669999999999991</v>
      </c>
      <c r="F8" s="6">
        <f>+(-F5-F6)+F9</f>
        <v>-1.3879999999999999</v>
      </c>
      <c r="G8" s="6">
        <f>+(-G5-G6)+G9</f>
        <v>-1.456999999999999</v>
      </c>
      <c r="H8" s="6">
        <f>+'Income Statement'!H82</f>
        <v>-4.288817787082154</v>
      </c>
      <c r="I8" s="6">
        <f>+'Income Statement'!I82</f>
        <v>-4.7877774823136034</v>
      </c>
      <c r="J8" s="6">
        <f>+'Income Statement'!J82</f>
        <v>-5.4489766880254766</v>
      </c>
      <c r="K8" s="6">
        <f>+'Income Statement'!K82</f>
        <v>-6.23182755444798</v>
      </c>
      <c r="L8" s="6">
        <f>+'Income Statement'!L82</f>
        <v>-7.1881358306211016</v>
      </c>
      <c r="M8" s="6">
        <f>+'Income Statement'!M82</f>
        <v>-4.0701253086853466</v>
      </c>
      <c r="N8" s="6">
        <f>+'Income Statement'!N82</f>
        <v>-4.5172685878953844</v>
      </c>
      <c r="O8" s="6">
        <f>+'Income Statement'!O82</f>
        <v>-4.9172967820043842</v>
      </c>
      <c r="P8" s="6">
        <f>+'Income Statement'!P82</f>
        <v>-5.267753237950008</v>
      </c>
      <c r="Q8" s="6">
        <f>+'Income Statement'!Q82</f>
        <v>-5.5389198386636034</v>
      </c>
    </row>
    <row r="9" spans="1:17" ht="13.5" customHeight="1" thickBot="1" x14ac:dyDescent="0.25">
      <c r="B9" s="84" t="s">
        <v>113</v>
      </c>
      <c r="C9" s="86">
        <v>6.5</v>
      </c>
      <c r="D9" s="86">
        <v>7.8019999999999996</v>
      </c>
      <c r="E9" s="86">
        <v>9.17</v>
      </c>
      <c r="F9" s="86">
        <v>10.558</v>
      </c>
      <c r="G9" s="86">
        <v>11.287000000000001</v>
      </c>
      <c r="H9" s="86">
        <f t="shared" ref="H9:Q9" si="1">+H5+H6+H7+H8</f>
        <v>13.170361836321595</v>
      </c>
      <c r="I9" s="86">
        <f t="shared" si="1"/>
        <v>15.002748039117826</v>
      </c>
      <c r="J9" s="86">
        <f t="shared" si="1"/>
        <v>16.803993846556921</v>
      </c>
      <c r="K9" s="86">
        <f t="shared" si="1"/>
        <v>18.562626051167229</v>
      </c>
      <c r="L9" s="86">
        <f t="shared" si="1"/>
        <v>20.267868224189748</v>
      </c>
      <c r="M9" s="86">
        <f t="shared" si="1"/>
        <v>21.062789188394113</v>
      </c>
      <c r="N9" s="86">
        <f t="shared" si="1"/>
        <v>21.768072620098639</v>
      </c>
      <c r="O9" s="86">
        <f t="shared" si="1"/>
        <v>22.355400454258856</v>
      </c>
      <c r="P9" s="86">
        <f t="shared" si="1"/>
        <v>22.803206411912587</v>
      </c>
      <c r="Q9" s="86">
        <f t="shared" si="1"/>
        <v>23.094728508684355</v>
      </c>
    </row>
    <row r="10" spans="1:17" s="7" customFormat="1" ht="13.5" customHeight="1" thickTop="1" x14ac:dyDescent="0.2">
      <c r="A10" s="5"/>
      <c r="B10" s="15"/>
      <c r="C10" s="8"/>
      <c r="D10" s="8"/>
      <c r="E10" s="8"/>
      <c r="F10" s="8"/>
      <c r="G10" s="8"/>
    </row>
    <row r="11" spans="1:17" s="7" customFormat="1" x14ac:dyDescent="0.2">
      <c r="A11" s="5"/>
      <c r="B11" s="15"/>
      <c r="C11" s="8"/>
      <c r="D11" s="8"/>
      <c r="E11" s="8"/>
      <c r="F11" s="8"/>
      <c r="G11" s="8"/>
    </row>
  </sheetData>
  <pageMargins left="0.75" right="0.75" top="1" bottom="1" header="0.3" footer="0.3"/>
  <pageSetup paperSize="9" scale="45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showGridLines="0" zoomScaleSheetLayoutView="100" workbookViewId="0">
      <selection activeCell="C10" sqref="C10"/>
    </sheetView>
  </sheetViews>
  <sheetFormatPr defaultColWidth="8.85546875" defaultRowHeight="12.75" x14ac:dyDescent="0.2"/>
  <cols>
    <col min="1" max="1" width="2.7109375" style="2" customWidth="1"/>
    <col min="2" max="2" width="41.140625" style="2" customWidth="1"/>
    <col min="3" max="4" width="8.85546875" style="6" customWidth="1"/>
    <col min="5" max="16384" width="8.85546875" style="6"/>
  </cols>
  <sheetData>
    <row r="1" spans="1:17" s="2" customFormat="1" x14ac:dyDescent="0.2"/>
    <row r="2" spans="1:17" s="2" customFormat="1" x14ac:dyDescent="0.2">
      <c r="B2" s="67" t="s">
        <v>114</v>
      </c>
    </row>
    <row r="3" spans="1:17" s="2" customFormat="1" x14ac:dyDescent="0.2"/>
    <row r="4" spans="1:17" s="2" customFormat="1" x14ac:dyDescent="0.2">
      <c r="B4" s="68" t="str">
        <f>'Income Statement'!B4</f>
        <v>(YE 31-Dec, USDm)</v>
      </c>
      <c r="C4" s="45">
        <f>'Income Statement'!C4</f>
        <v>2007</v>
      </c>
      <c r="D4" s="45">
        <f>'Income Statement'!D4</f>
        <v>2008</v>
      </c>
      <c r="E4" s="45">
        <f>'Income Statement'!E4</f>
        <v>2009</v>
      </c>
      <c r="F4" s="45">
        <f>'Income Statement'!F4</f>
        <v>2010</v>
      </c>
      <c r="G4" s="45">
        <f>'Income Statement'!G4</f>
        <v>2011</v>
      </c>
      <c r="H4" s="46">
        <f>'Income Statement'!H4</f>
        <v>2012</v>
      </c>
      <c r="I4" s="46">
        <f>'Income Statement'!I4</f>
        <v>2013</v>
      </c>
      <c r="J4" s="46">
        <f>'Income Statement'!J4</f>
        <v>2014</v>
      </c>
      <c r="K4" s="46">
        <f>'Income Statement'!K4</f>
        <v>2015</v>
      </c>
      <c r="L4" s="46">
        <f>'Income Statement'!L4</f>
        <v>2016</v>
      </c>
      <c r="M4" s="46">
        <f>'Income Statement'!M4</f>
        <v>2017</v>
      </c>
      <c r="N4" s="46">
        <f>'Income Statement'!N4</f>
        <v>2018</v>
      </c>
      <c r="O4" s="46">
        <f>'Income Statement'!O4</f>
        <v>2019</v>
      </c>
      <c r="P4" s="46">
        <f>'Income Statement'!P4</f>
        <v>2020</v>
      </c>
      <c r="Q4" s="46">
        <f>'Income Statement'!Q4</f>
        <v>2021</v>
      </c>
    </row>
    <row r="5" spans="1:17" s="2" customFormat="1" x14ac:dyDescent="0.2">
      <c r="B5" s="2" t="s">
        <v>109</v>
      </c>
      <c r="C5" s="6">
        <f>+C8-C7</f>
        <v>55</v>
      </c>
      <c r="D5" s="6">
        <f>+C8</f>
        <v>50</v>
      </c>
      <c r="E5" s="6">
        <f>+D8</f>
        <v>45</v>
      </c>
      <c r="F5" s="6">
        <f>+E8</f>
        <v>40</v>
      </c>
      <c r="G5" s="6">
        <f>+F8</f>
        <v>35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B6" s="14" t="s">
        <v>110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17" s="7" customFormat="1" ht="15" customHeight="1" x14ac:dyDescent="0.2">
      <c r="A7" s="5"/>
      <c r="B7" s="14" t="s">
        <v>115</v>
      </c>
      <c r="C7" s="7">
        <f>+D7</f>
        <v>-5</v>
      </c>
      <c r="D7" s="7">
        <f>-D5+D8</f>
        <v>-5</v>
      </c>
      <c r="E7" s="7">
        <f>-E5+E8</f>
        <v>-5</v>
      </c>
      <c r="F7" s="7">
        <f>-F5+F8</f>
        <v>-5</v>
      </c>
      <c r="G7" s="7">
        <f>-G5+G8</f>
        <v>-5</v>
      </c>
    </row>
    <row r="8" spans="1:17" ht="13.5" customHeight="1" thickBot="1" x14ac:dyDescent="0.25">
      <c r="B8" s="28" t="s">
        <v>113</v>
      </c>
      <c r="C8" s="29">
        <v>50</v>
      </c>
      <c r="D8" s="29">
        <v>45</v>
      </c>
      <c r="E8" s="29">
        <v>40</v>
      </c>
      <c r="F8" s="29">
        <v>35</v>
      </c>
      <c r="G8" s="29">
        <v>30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s="7" customFormat="1" ht="13.5" customHeight="1" thickTop="1" x14ac:dyDescent="0.2">
      <c r="A9" s="5"/>
      <c r="B9" s="15"/>
      <c r="C9" s="8"/>
      <c r="D9" s="8"/>
      <c r="E9" s="8"/>
      <c r="F9" s="8"/>
      <c r="G9" s="8"/>
    </row>
    <row r="10" spans="1:17" s="7" customFormat="1" x14ac:dyDescent="0.2">
      <c r="A10" s="5"/>
      <c r="B10" s="69" t="s">
        <v>116</v>
      </c>
      <c r="C10" s="70">
        <v>0.06</v>
      </c>
      <c r="D10" s="8"/>
      <c r="E10" s="8"/>
      <c r="F10" s="8"/>
      <c r="G10" s="8"/>
    </row>
    <row r="11" spans="1:17" x14ac:dyDescent="0.2">
      <c r="B11" s="23"/>
    </row>
    <row r="12" spans="1:17" x14ac:dyDescent="0.2">
      <c r="B12" s="69" t="s">
        <v>51</v>
      </c>
      <c r="C12" s="71">
        <f>+C5*$C$10</f>
        <v>3.3</v>
      </c>
      <c r="D12" s="71">
        <f>+D5*$C$10</f>
        <v>3</v>
      </c>
      <c r="E12" s="71">
        <f>+E5*$C$10</f>
        <v>2.6999999999999997</v>
      </c>
      <c r="F12" s="71">
        <f>+F5*$C$10</f>
        <v>2.4</v>
      </c>
      <c r="G12" s="71">
        <f>+G5*$C$10</f>
        <v>2.1</v>
      </c>
      <c r="H12" s="71"/>
      <c r="I12" s="71"/>
      <c r="J12" s="71"/>
      <c r="K12" s="71"/>
      <c r="L12" s="71"/>
      <c r="M12" s="71"/>
      <c r="N12" s="71"/>
      <c r="O12" s="71"/>
      <c r="P12" s="71"/>
      <c r="Q12" s="72"/>
    </row>
    <row r="13" spans="1:17" s="7" customFormat="1" x14ac:dyDescent="0.2">
      <c r="A13" s="5"/>
      <c r="B13" s="17"/>
      <c r="C13" s="8"/>
      <c r="D13" s="8"/>
      <c r="E13" s="8"/>
      <c r="F13" s="8"/>
      <c r="G13" s="8"/>
    </row>
    <row r="14" spans="1:17" x14ac:dyDescent="0.2">
      <c r="H14" s="151" t="s">
        <v>117</v>
      </c>
      <c r="I14" s="152"/>
      <c r="J14" s="152"/>
    </row>
  </sheetData>
  <pageMargins left="0.75" right="0.75" top="1" bottom="1" header="0.3" footer="0.3"/>
  <pageSetup paperSize="9" scale="46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0"/>
  <sheetViews>
    <sheetView showGridLines="0" zoomScaleSheetLayoutView="100" workbookViewId="0">
      <selection activeCell="D24" sqref="D24"/>
    </sheetView>
  </sheetViews>
  <sheetFormatPr defaultColWidth="8.85546875" defaultRowHeight="12.75" x14ac:dyDescent="0.2"/>
  <cols>
    <col min="1" max="1" width="8.85546875" style="101" customWidth="1"/>
    <col min="2" max="2" width="13" style="101" customWidth="1"/>
    <col min="3" max="3" width="15.42578125" style="101" bestFit="1" customWidth="1"/>
    <col min="4" max="14" width="8.85546875" style="101" customWidth="1"/>
    <col min="15" max="15" width="3.7109375" style="101" customWidth="1"/>
    <col min="16" max="16" width="6" style="101" customWidth="1"/>
    <col min="17" max="18" width="8.85546875" style="101" customWidth="1"/>
    <col min="19" max="16384" width="8.85546875" style="101"/>
  </cols>
  <sheetData>
    <row r="1" spans="1:13" ht="15" customHeight="1" x14ac:dyDescent="0.2">
      <c r="A1" s="94" t="s">
        <v>118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ht="15" customHeight="1" x14ac:dyDescent="0.2">
      <c r="A2" s="94" t="s">
        <v>119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4" spans="1:13" ht="15" customHeight="1" x14ac:dyDescent="0.2">
      <c r="A4" s="134" t="str">
        <f>'Balance Sheet'!B4</f>
        <v>(YE 31-Dec, USDm)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</row>
    <row r="5" spans="1:13" ht="15" customHeight="1" x14ac:dyDescent="0.2">
      <c r="D5" s="133">
        <v>1</v>
      </c>
      <c r="E5" s="133">
        <v>2</v>
      </c>
      <c r="F5" s="133">
        <v>3</v>
      </c>
      <c r="G5" s="133">
        <f t="shared" ref="G5:M5" si="0">+F5+1</f>
        <v>4</v>
      </c>
      <c r="H5" s="133">
        <f t="shared" si="0"/>
        <v>5</v>
      </c>
      <c r="I5" s="133">
        <f t="shared" si="0"/>
        <v>6</v>
      </c>
      <c r="J5" s="133">
        <f t="shared" si="0"/>
        <v>7</v>
      </c>
      <c r="K5" s="133">
        <f t="shared" si="0"/>
        <v>8</v>
      </c>
      <c r="L5" s="133">
        <f t="shared" si="0"/>
        <v>9</v>
      </c>
      <c r="M5" s="133">
        <f t="shared" si="0"/>
        <v>10</v>
      </c>
    </row>
    <row r="6" spans="1:13" x14ac:dyDescent="0.2">
      <c r="C6" s="58">
        <f>+'Balance Sheet'!G4</f>
        <v>2011</v>
      </c>
      <c r="D6" s="59">
        <f>+'Balance Sheet'!I4</f>
        <v>2012</v>
      </c>
      <c r="E6" s="60">
        <f>+'Balance Sheet'!J4</f>
        <v>2013</v>
      </c>
      <c r="F6" s="60">
        <f>+'Balance Sheet'!K4</f>
        <v>2014</v>
      </c>
      <c r="G6" s="60">
        <f>+'Balance Sheet'!L4</f>
        <v>2015</v>
      </c>
      <c r="H6" s="60">
        <f>+'Balance Sheet'!M4</f>
        <v>2016</v>
      </c>
      <c r="I6" s="60">
        <f>+'Balance Sheet'!N4</f>
        <v>2017</v>
      </c>
      <c r="J6" s="60">
        <f>+'Balance Sheet'!O4</f>
        <v>2018</v>
      </c>
      <c r="K6" s="60">
        <f>+'Balance Sheet'!P4</f>
        <v>2019</v>
      </c>
      <c r="L6" s="60">
        <f>+'Balance Sheet'!Q4</f>
        <v>2020</v>
      </c>
      <c r="M6" s="60">
        <f>+'Balance Sheet'!R4</f>
        <v>2021</v>
      </c>
    </row>
    <row r="8" spans="1:13" x14ac:dyDescent="0.2">
      <c r="A8" s="101" t="s">
        <v>50</v>
      </c>
      <c r="C8" s="6">
        <f>'Income Statement'!G89</f>
        <v>39.165999999999968</v>
      </c>
      <c r="D8" s="6">
        <f>'Income Statement'!H89</f>
        <v>39.624249156502799</v>
      </c>
      <c r="E8" s="6">
        <f>'Income Statement'!I89</f>
        <v>42.687896050238059</v>
      </c>
      <c r="F8" s="6">
        <f>'Income Statement'!J89</f>
        <v>46.956151629936492</v>
      </c>
      <c r="G8" s="6">
        <f>'Income Statement'!K89</f>
        <v>51.976825213899915</v>
      </c>
      <c r="H8" s="6">
        <f>'Income Statement'!L89</f>
        <v>58.102296996391786</v>
      </c>
      <c r="I8" s="6">
        <f>'Income Statement'!M89</f>
        <v>59.774436969643936</v>
      </c>
      <c r="J8" s="6">
        <f>'Income Statement'!N89</f>
        <v>64.314986645891068</v>
      </c>
      <c r="K8" s="6">
        <f>'Income Statement'!O89</f>
        <v>67.944718926806743</v>
      </c>
      <c r="L8" s="6">
        <f>'Income Statement'!P89</f>
        <v>70.710356019086149</v>
      </c>
      <c r="M8" s="6">
        <f>'Income Statement'!Q89</f>
        <v>72.296918935700575</v>
      </c>
    </row>
    <row r="9" spans="1:13" x14ac:dyDescent="0.2">
      <c r="C9" s="102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101" t="s">
        <v>120</v>
      </c>
      <c r="C10" s="102"/>
      <c r="D10" s="6">
        <f>-'Income Statement'!H82</f>
        <v>4.288817787082154</v>
      </c>
      <c r="E10" s="6">
        <f>-'Income Statement'!I82</f>
        <v>4.7877774823136034</v>
      </c>
      <c r="F10" s="6">
        <f>-'Income Statement'!J82</f>
        <v>5.4489766880254766</v>
      </c>
      <c r="G10" s="6">
        <f>-'Income Statement'!K82</f>
        <v>6.23182755444798</v>
      </c>
      <c r="H10" s="6">
        <f>-'Income Statement'!L82</f>
        <v>7.1881358306211016</v>
      </c>
      <c r="I10" s="6">
        <f>-'Income Statement'!M82</f>
        <v>4.0701253086853466</v>
      </c>
      <c r="J10" s="6">
        <f>-'Income Statement'!N82</f>
        <v>4.5172685878953844</v>
      </c>
      <c r="K10" s="6">
        <f>-'Income Statement'!O82</f>
        <v>4.9172967820043842</v>
      </c>
      <c r="L10" s="6">
        <f>-'Income Statement'!P82</f>
        <v>5.267753237950008</v>
      </c>
      <c r="M10" s="6">
        <f>-'Income Statement'!Q82</f>
        <v>5.5389198386636034</v>
      </c>
    </row>
    <row r="11" spans="1:13" x14ac:dyDescent="0.2">
      <c r="C11" s="102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101" t="s">
        <v>44</v>
      </c>
      <c r="C12" s="102"/>
      <c r="D12" s="6">
        <f t="shared" ref="D12:M12" si="1">+D8-D10</f>
        <v>35.335431369420647</v>
      </c>
      <c r="E12" s="6">
        <f t="shared" si="1"/>
        <v>37.900118567924459</v>
      </c>
      <c r="F12" s="6">
        <f t="shared" si="1"/>
        <v>41.507174941911018</v>
      </c>
      <c r="G12" s="6">
        <f t="shared" si="1"/>
        <v>45.744997659451933</v>
      </c>
      <c r="H12" s="6">
        <f t="shared" si="1"/>
        <v>50.914161165770686</v>
      </c>
      <c r="I12" s="6">
        <f t="shared" si="1"/>
        <v>55.704311660958588</v>
      </c>
      <c r="J12" s="6">
        <f t="shared" si="1"/>
        <v>59.797718057995681</v>
      </c>
      <c r="K12" s="6">
        <f t="shared" si="1"/>
        <v>63.027422144802358</v>
      </c>
      <c r="L12" s="6">
        <f t="shared" si="1"/>
        <v>65.442602781136145</v>
      </c>
      <c r="M12" s="6">
        <f t="shared" si="1"/>
        <v>66.757999097036972</v>
      </c>
    </row>
    <row r="13" spans="1:13" x14ac:dyDescent="0.2">
      <c r="C13" s="102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101" t="s">
        <v>53</v>
      </c>
      <c r="C14" s="102"/>
      <c r="D14" s="6">
        <f>+'Income Statement'!H97</f>
        <v>0</v>
      </c>
      <c r="E14" s="6">
        <f>+'Income Statement'!I97</f>
        <v>0</v>
      </c>
      <c r="F14" s="6">
        <f>+'Income Statement'!J97</f>
        <v>0</v>
      </c>
      <c r="G14" s="6">
        <f>+'Income Statement'!K97</f>
        <v>0</v>
      </c>
      <c r="H14" s="6">
        <f>+'Income Statement'!L97</f>
        <v>0</v>
      </c>
      <c r="I14" s="6">
        <f>+'Income Statement'!M97</f>
        <v>0</v>
      </c>
      <c r="J14" s="6">
        <f>+'Income Statement'!N97</f>
        <v>0</v>
      </c>
      <c r="K14" s="6">
        <f>+'Income Statement'!O97</f>
        <v>0</v>
      </c>
      <c r="L14" s="6">
        <f>+'Income Statement'!P97</f>
        <v>0</v>
      </c>
      <c r="M14" s="6">
        <f>+'Income Statement'!Q97</f>
        <v>0</v>
      </c>
    </row>
    <row r="15" spans="1:13" s="93" customFormat="1" x14ac:dyDescent="0.2"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</row>
    <row r="16" spans="1:13" x14ac:dyDescent="0.2">
      <c r="A16" s="101" t="s">
        <v>55</v>
      </c>
      <c r="C16" s="102"/>
      <c r="D16" s="6">
        <f>+'Cash Flow Statement'!H19</f>
        <v>-6.1721796234037498</v>
      </c>
      <c r="E16" s="6">
        <f>+'Cash Flow Statement'!I19</f>
        <v>-6.6201636851098344</v>
      </c>
      <c r="F16" s="6">
        <f>+'Cash Flow Statement'!J19</f>
        <v>-7.2502224954645698</v>
      </c>
      <c r="G16" s="6">
        <f>+'Cash Flow Statement'!K19</f>
        <v>-7.9904597590582851</v>
      </c>
      <c r="H16" s="6">
        <f>+'Cash Flow Statement'!L19</f>
        <v>-8.8933780036436207</v>
      </c>
      <c r="I16" s="6">
        <f>+'Cash Flow Statement'!M19</f>
        <v>-4.8650462728897148</v>
      </c>
      <c r="J16" s="6">
        <f>+'Cash Flow Statement'!N19</f>
        <v>-5.2225520195999087</v>
      </c>
      <c r="K16" s="6">
        <f>+'Cash Flow Statement'!O19</f>
        <v>-5.5046246161646</v>
      </c>
      <c r="L16" s="6">
        <f>+'Cash Flow Statement'!P19</f>
        <v>-5.7155591956037375</v>
      </c>
      <c r="M16" s="6">
        <f>+'Cash Flow Statement'!Q19</f>
        <v>-5.8304419354353723</v>
      </c>
    </row>
    <row r="17" spans="1:13" x14ac:dyDescent="0.2"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01" t="s">
        <v>121</v>
      </c>
      <c r="C18" s="103"/>
      <c r="D18" s="6">
        <f>+'Cash Flow Statement'!H10</f>
        <v>2.6459497252333772</v>
      </c>
      <c r="E18" s="6">
        <f>+'Cash Flow Statement'!I10</f>
        <v>2.7308631355258797</v>
      </c>
      <c r="F18" s="6">
        <f>+'Cash Flow Statement'!J10</f>
        <v>3.8407714146310283</v>
      </c>
      <c r="G18" s="6">
        <f>+'Cash Flow Statement'!K10</f>
        <v>4.5124075329646409</v>
      </c>
      <c r="H18" s="6">
        <f>+'Cash Flow Statement'!L10</f>
        <v>5.5040934696233954</v>
      </c>
      <c r="I18" s="6">
        <f>+'Cash Flow Statement'!M10</f>
        <v>5.1005227493477712</v>
      </c>
      <c r="J18" s="6">
        <f>+'Cash Flow Statement'!N10</f>
        <v>4.3586339242133754</v>
      </c>
      <c r="K18" s="6">
        <f>+'Cash Flow Statement'!O10</f>
        <v>3.4389690229915324</v>
      </c>
      <c r="L18" s="6">
        <f>+'Cash Flow Statement'!P10</f>
        <v>2.5716694687942798</v>
      </c>
      <c r="M18" s="6">
        <f>+'Cash Flow Statement'!Q10</f>
        <v>1.4006258969108423</v>
      </c>
    </row>
    <row r="20" spans="1:13" x14ac:dyDescent="0.2">
      <c r="A20" s="114" t="s">
        <v>122</v>
      </c>
      <c r="B20" s="114"/>
      <c r="C20" s="115"/>
      <c r="D20" s="92">
        <f t="shared" ref="D20:M20" si="2">+D12+D14+D16+D18+D10</f>
        <v>36.098019258332428</v>
      </c>
      <c r="E20" s="92">
        <f t="shared" si="2"/>
        <v>38.798595500654102</v>
      </c>
      <c r="F20" s="92">
        <f t="shared" si="2"/>
        <v>43.546700549102951</v>
      </c>
      <c r="G20" s="92">
        <f t="shared" si="2"/>
        <v>48.498772987806269</v>
      </c>
      <c r="H20" s="92">
        <f t="shared" si="2"/>
        <v>54.713012462371559</v>
      </c>
      <c r="I20" s="92">
        <f t="shared" si="2"/>
        <v>60.00991344610199</v>
      </c>
      <c r="J20" s="92">
        <f t="shared" si="2"/>
        <v>63.45106855050453</v>
      </c>
      <c r="K20" s="92">
        <f t="shared" si="2"/>
        <v>65.879063333633681</v>
      </c>
      <c r="L20" s="92">
        <f t="shared" si="2"/>
        <v>67.566466292276687</v>
      </c>
      <c r="M20" s="92">
        <f t="shared" si="2"/>
        <v>67.867102897176039</v>
      </c>
    </row>
    <row r="21" spans="1:13" ht="5.0999999999999996" customHeight="1" x14ac:dyDescent="0.2">
      <c r="A21" s="104"/>
      <c r="B21" s="104"/>
      <c r="C21" s="132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131" t="s">
        <v>123</v>
      </c>
      <c r="B22" s="131"/>
      <c r="C22" s="131"/>
      <c r="D22" s="7">
        <f t="shared" ref="D22:M22" si="3">1/((1+$C$26)^D5)</f>
        <v>0.89766606822262107</v>
      </c>
      <c r="E22" s="7">
        <f t="shared" si="3"/>
        <v>0.80580437003825944</v>
      </c>
      <c r="F22" s="7">
        <f t="shared" si="3"/>
        <v>0.72334324060885047</v>
      </c>
      <c r="G22" s="7">
        <f t="shared" si="3"/>
        <v>0.64932068277275623</v>
      </c>
      <c r="H22" s="7">
        <f t="shared" si="3"/>
        <v>0.58287314432024795</v>
      </c>
      <c r="I22" s="7">
        <f t="shared" si="3"/>
        <v>0.5232254437345133</v>
      </c>
      <c r="J22" s="7">
        <f t="shared" si="3"/>
        <v>0.4696817268711968</v>
      </c>
      <c r="K22" s="7">
        <f t="shared" si="3"/>
        <v>0.42161734907647824</v>
      </c>
      <c r="L22" s="7">
        <f t="shared" si="3"/>
        <v>0.37847158803992659</v>
      </c>
      <c r="M22" s="7">
        <f t="shared" si="3"/>
        <v>0.33974110236977251</v>
      </c>
    </row>
    <row r="23" spans="1:13" ht="5.0999999999999996" customHeight="1" x14ac:dyDescent="0.2"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101" t="s">
        <v>124</v>
      </c>
      <c r="D24" s="6">
        <f t="shared" ref="D24:M24" si="4">+D20*D22</f>
        <v>32.403967018251727</v>
      </c>
      <c r="E24" s="6">
        <f t="shared" si="4"/>
        <v>31.264077805773827</v>
      </c>
      <c r="F24" s="6">
        <f t="shared" si="4"/>
        <v>31.499211493011337</v>
      </c>
      <c r="G24" s="6">
        <f t="shared" si="4"/>
        <v>31.491256390083272</v>
      </c>
      <c r="H24" s="6">
        <f t="shared" si="4"/>
        <v>31.890745609175422</v>
      </c>
      <c r="I24" s="6">
        <f t="shared" si="4"/>
        <v>31.39871359130645</v>
      </c>
      <c r="J24" s="6">
        <f t="shared" si="4"/>
        <v>29.801807448623656</v>
      </c>
      <c r="K24" s="6">
        <f t="shared" si="4"/>
        <v>27.775756042368052</v>
      </c>
      <c r="L24" s="6">
        <f t="shared" si="4"/>
        <v>25.571987795884127</v>
      </c>
      <c r="M24" s="6">
        <f t="shared" si="4"/>
        <v>23.05724435292937</v>
      </c>
    </row>
    <row r="26" spans="1:13" x14ac:dyDescent="0.2">
      <c r="A26" s="106" t="s">
        <v>125</v>
      </c>
      <c r="B26" s="107"/>
      <c r="C26" s="116">
        <f>+'WACC Calculation'!C11</f>
        <v>0.114</v>
      </c>
    </row>
    <row r="27" spans="1:13" x14ac:dyDescent="0.2">
      <c r="A27" s="117" t="s">
        <v>126</v>
      </c>
      <c r="B27" s="104"/>
      <c r="C27" s="118">
        <v>0.02</v>
      </c>
    </row>
    <row r="28" spans="1:13" x14ac:dyDescent="0.2">
      <c r="A28" s="119"/>
      <c r="C28" s="112"/>
    </row>
    <row r="29" spans="1:13" x14ac:dyDescent="0.2">
      <c r="A29" s="119"/>
      <c r="C29" s="120"/>
    </row>
    <row r="30" spans="1:13" x14ac:dyDescent="0.2">
      <c r="A30" s="117" t="s">
        <v>127</v>
      </c>
      <c r="B30" s="104"/>
      <c r="C30" s="35">
        <f>(M20*(1+C26))/(C26-C27)</f>
        <v>804.29736837717144</v>
      </c>
    </row>
    <row r="31" spans="1:13" x14ac:dyDescent="0.2">
      <c r="A31" s="119" t="s">
        <v>128</v>
      </c>
      <c r="C31" s="35">
        <f>C30*M22</f>
        <v>273.25287456556725</v>
      </c>
      <c r="F31" s="137"/>
      <c r="G31" s="137"/>
      <c r="H31" s="137"/>
      <c r="I31" s="137"/>
      <c r="J31" s="137"/>
    </row>
    <row r="32" spans="1:13" x14ac:dyDescent="0.2">
      <c r="A32" s="119"/>
      <c r="C32" s="35"/>
      <c r="F32" s="137"/>
      <c r="G32" s="137"/>
      <c r="H32" s="137"/>
      <c r="I32" s="137"/>
      <c r="J32" s="137"/>
    </row>
    <row r="33" spans="1:21" x14ac:dyDescent="0.2">
      <c r="A33" s="119" t="s">
        <v>129</v>
      </c>
      <c r="C33" s="35">
        <f>SUM(D24:M24)</f>
        <v>296.15476754740723</v>
      </c>
      <c r="F33" s="137"/>
      <c r="G33" s="137"/>
      <c r="H33" s="137"/>
      <c r="I33" s="137"/>
      <c r="J33" s="137"/>
    </row>
    <row r="34" spans="1:21" x14ac:dyDescent="0.2">
      <c r="A34" s="119"/>
      <c r="C34" s="35"/>
      <c r="F34" s="137"/>
      <c r="G34" s="137"/>
      <c r="H34" s="137"/>
      <c r="I34" s="137"/>
      <c r="J34" s="137"/>
    </row>
    <row r="35" spans="1:21" x14ac:dyDescent="0.2">
      <c r="A35" s="117" t="s">
        <v>130</v>
      </c>
      <c r="B35" s="104"/>
      <c r="C35" s="122">
        <f>+C31+C33</f>
        <v>569.40764211297449</v>
      </c>
      <c r="D35" s="161"/>
    </row>
    <row r="36" spans="1:21" x14ac:dyDescent="0.2">
      <c r="A36" s="119" t="s">
        <v>90</v>
      </c>
      <c r="C36" s="35">
        <f>+'Balance Sheet'!H23</f>
        <v>234.99599999999981</v>
      </c>
    </row>
    <row r="37" spans="1:21" x14ac:dyDescent="0.2">
      <c r="A37" s="119" t="s">
        <v>131</v>
      </c>
      <c r="C37" s="35">
        <v>0</v>
      </c>
    </row>
    <row r="38" spans="1:21" x14ac:dyDescent="0.2">
      <c r="A38" s="109" t="s">
        <v>132</v>
      </c>
      <c r="B38" s="110"/>
      <c r="C38" s="123">
        <f>+C35-C36</f>
        <v>334.41164211297468</v>
      </c>
    </row>
    <row r="39" spans="1:21" x14ac:dyDescent="0.2">
      <c r="A39" s="93"/>
      <c r="B39" s="93"/>
      <c r="C39" s="6"/>
    </row>
    <row r="40" spans="1:21" x14ac:dyDescent="0.2">
      <c r="A40" s="106" t="s">
        <v>133</v>
      </c>
      <c r="B40" s="107"/>
      <c r="C40" s="108">
        <f>+C35/D8</f>
        <v>14.370181245933543</v>
      </c>
    </row>
    <row r="41" spans="1:21" x14ac:dyDescent="0.2">
      <c r="A41" s="109" t="s">
        <v>134</v>
      </c>
      <c r="B41" s="110"/>
      <c r="C41" s="111">
        <f>+C35/D12</f>
        <v>16.114353781619347</v>
      </c>
    </row>
    <row r="42" spans="1:21" x14ac:dyDescent="0.2">
      <c r="P42" s="221"/>
      <c r="Q42" s="220"/>
      <c r="R42" s="220"/>
      <c r="S42" s="220"/>
      <c r="T42" s="220"/>
      <c r="U42" s="220"/>
    </row>
    <row r="43" spans="1:21" ht="15" customHeight="1" x14ac:dyDescent="0.2">
      <c r="Q43" s="219" t="s">
        <v>135</v>
      </c>
      <c r="R43" s="220"/>
      <c r="S43" s="220"/>
      <c r="T43" s="220"/>
      <c r="U43" s="220"/>
    </row>
    <row r="44" spans="1:21" x14ac:dyDescent="0.2">
      <c r="Q44" s="222" t="s">
        <v>125</v>
      </c>
      <c r="R44" s="220"/>
      <c r="S44" s="220"/>
      <c r="T44" s="220"/>
      <c r="U44" s="220"/>
    </row>
    <row r="45" spans="1:21" x14ac:dyDescent="0.2">
      <c r="P45" s="124">
        <f>C35</f>
        <v>569.40764211297449</v>
      </c>
      <c r="Q45" s="135">
        <f>+R45-0.01</f>
        <v>8.5000000000000006E-2</v>
      </c>
      <c r="R45" s="135">
        <f>+S45-0.01</f>
        <v>9.5000000000000001E-2</v>
      </c>
      <c r="S45" s="135">
        <v>0.105</v>
      </c>
      <c r="T45" s="135">
        <f>+S45+0.01</f>
        <v>0.11499999999999999</v>
      </c>
      <c r="U45" s="135">
        <f>+T45+0.01</f>
        <v>0.12499999999999999</v>
      </c>
    </row>
    <row r="46" spans="1:21" x14ac:dyDescent="0.2">
      <c r="O46" s="223" t="s">
        <v>126</v>
      </c>
      <c r="P46" s="195">
        <f>+P47-0.005</f>
        <v>9.9999999999999985E-3</v>
      </c>
      <c r="Q46" s="125">
        <f t="dataTable" ref="Q46:U50" dt2D="1" dtr="0" r1="C26" r2="C27"/>
        <v>775.31306537435921</v>
      </c>
      <c r="R46" s="64">
        <v>677.31109513522733</v>
      </c>
      <c r="S46" s="64">
        <v>599.97323514256709</v>
      </c>
      <c r="T46" s="64">
        <v>537.42282154134773</v>
      </c>
      <c r="U46" s="33">
        <v>485.82230694715412</v>
      </c>
    </row>
    <row r="47" spans="1:21" x14ac:dyDescent="0.2">
      <c r="O47" s="220"/>
      <c r="P47" s="195">
        <f>+P48-0.005</f>
        <v>1.4999999999999999E-2</v>
      </c>
      <c r="Q47" s="126">
        <v>806.33024947232934</v>
      </c>
      <c r="R47" s="129">
        <v>699.36032015063051</v>
      </c>
      <c r="S47" s="129">
        <v>616.13179673082368</v>
      </c>
      <c r="T47" s="129">
        <v>549.55576599341896</v>
      </c>
      <c r="U47" s="35">
        <v>495.11552414126021</v>
      </c>
    </row>
    <row r="48" spans="1:21" x14ac:dyDescent="0.2">
      <c r="O48" s="220"/>
      <c r="P48" s="195">
        <v>0.02</v>
      </c>
      <c r="Q48" s="126">
        <v>842.11930804691042</v>
      </c>
      <c r="R48" s="129">
        <v>724.34944183475409</v>
      </c>
      <c r="S48" s="130">
        <v>634.19136556475746</v>
      </c>
      <c r="T48" s="129">
        <v>562.96586249307666</v>
      </c>
      <c r="U48" s="35">
        <v>505.29380963956692</v>
      </c>
    </row>
    <row r="49" spans="15:21" x14ac:dyDescent="0.2">
      <c r="O49" s="220"/>
      <c r="P49" s="195">
        <f>+P48+0.005</f>
        <v>2.5000000000000001E-2</v>
      </c>
      <c r="Q49" s="126">
        <v>883.87320971725467</v>
      </c>
      <c r="R49" s="129">
        <v>752.9084380451809</v>
      </c>
      <c r="S49" s="129">
        <v>654.50838050293305</v>
      </c>
      <c r="T49" s="129">
        <v>577.86596971491849</v>
      </c>
      <c r="U49" s="35">
        <v>516.48992368770428</v>
      </c>
    </row>
    <row r="50" spans="15:21" x14ac:dyDescent="0.2">
      <c r="O50" s="220"/>
      <c r="P50" s="195">
        <f>+P49+0.005</f>
        <v>3.0000000000000002E-2</v>
      </c>
      <c r="Q50" s="127">
        <v>933.21872987311622</v>
      </c>
      <c r="R50" s="128">
        <v>785.86112598028876</v>
      </c>
      <c r="S50" s="128">
        <v>677.53433076619876</v>
      </c>
      <c r="T50" s="128">
        <v>594.51903072756522</v>
      </c>
      <c r="U50" s="121">
        <v>528.86457605669807</v>
      </c>
    </row>
  </sheetData>
  <mergeCells count="4">
    <mergeCell ref="Q43:U43"/>
    <mergeCell ref="P42:U42"/>
    <mergeCell ref="Q44:U44"/>
    <mergeCell ref="O46:O50"/>
  </mergeCells>
  <pageMargins left="0.70866141732283472" right="0.70866141732283472" top="0.74803149606299213" bottom="0.74803149606299213" header="0.31496062992125978" footer="0.31496062992125978"/>
  <pageSetup paperSize="9" scale="67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6"/>
  <sheetViews>
    <sheetView showGridLines="0" zoomScaleSheetLayoutView="100" workbookViewId="0">
      <selection activeCell="H20" sqref="H20"/>
    </sheetView>
  </sheetViews>
  <sheetFormatPr defaultColWidth="8.85546875" defaultRowHeight="12.75" x14ac:dyDescent="0.2"/>
  <cols>
    <col min="1" max="1" width="2.7109375" style="2" customWidth="1"/>
    <col min="2" max="2" width="41.140625" style="2" customWidth="1"/>
    <col min="3" max="12" width="9.42578125" style="6" bestFit="1" customWidth="1"/>
    <col min="13" max="14" width="8.85546875" style="6" customWidth="1"/>
    <col min="15" max="16384" width="8.85546875" style="6"/>
  </cols>
  <sheetData>
    <row r="1" spans="1:12" s="2" customFormat="1" x14ac:dyDescent="0.2"/>
    <row r="2" spans="1:12" s="2" customFormat="1" x14ac:dyDescent="0.2">
      <c r="B2" s="61" t="s">
        <v>136</v>
      </c>
      <c r="C2" s="61"/>
      <c r="D2" s="61"/>
    </row>
    <row r="3" spans="1:12" s="2" customFormat="1" x14ac:dyDescent="0.2">
      <c r="B3" s="5"/>
      <c r="D3" s="142" t="s">
        <v>137</v>
      </c>
    </row>
    <row r="4" spans="1:12" s="2" customFormat="1" x14ac:dyDescent="0.2">
      <c r="B4" s="2" t="s">
        <v>138</v>
      </c>
      <c r="D4" s="2">
        <f>'Income Statement'!G89</f>
        <v>39.165999999999968</v>
      </c>
    </row>
    <row r="5" spans="1:12" s="2" customFormat="1" x14ac:dyDescent="0.2">
      <c r="B5" s="2" t="s">
        <v>139</v>
      </c>
      <c r="D5" s="2">
        <f>+'Income Statement'!H89</f>
        <v>39.624249156502799</v>
      </c>
    </row>
    <row r="6" spans="1:12" s="2" customFormat="1" x14ac:dyDescent="0.2">
      <c r="B6" s="2" t="s">
        <v>140</v>
      </c>
      <c r="C6" s="140">
        <v>12</v>
      </c>
    </row>
    <row r="7" spans="1:12" s="2" customFormat="1" x14ac:dyDescent="0.2">
      <c r="B7" s="2" t="s">
        <v>141</v>
      </c>
      <c r="C7" s="140">
        <v>6</v>
      </c>
      <c r="I7" s="2">
        <f>475+213</f>
        <v>688</v>
      </c>
    </row>
    <row r="8" spans="1:12" s="2" customFormat="1" x14ac:dyDescent="0.2">
      <c r="B8" s="2" t="s">
        <v>142</v>
      </c>
      <c r="D8" s="19">
        <f>+D4*C7</f>
        <v>234.99599999999981</v>
      </c>
    </row>
    <row r="9" spans="1:12" s="2" customFormat="1" x14ac:dyDescent="0.2">
      <c r="B9" s="15" t="s">
        <v>143</v>
      </c>
      <c r="C9" s="141">
        <v>4.5</v>
      </c>
      <c r="D9" s="5">
        <f>+C9*D4</f>
        <v>176.24699999999984</v>
      </c>
      <c r="E9" s="150">
        <v>5.5E-2</v>
      </c>
      <c r="F9" s="148" t="s">
        <v>144</v>
      </c>
      <c r="G9" s="5">
        <f>+D9*E9</f>
        <v>9.6935849999999917</v>
      </c>
    </row>
    <row r="10" spans="1:12" s="2" customFormat="1" x14ac:dyDescent="0.2">
      <c r="B10" s="15" t="s">
        <v>145</v>
      </c>
      <c r="C10" s="141">
        <v>1.5</v>
      </c>
      <c r="D10" s="5">
        <f>+C10*D4</f>
        <v>58.748999999999953</v>
      </c>
      <c r="E10" s="150">
        <v>7.4999999999999997E-2</v>
      </c>
      <c r="F10" s="148" t="s">
        <v>146</v>
      </c>
      <c r="G10" s="5">
        <f>+D10*E10</f>
        <v>4.4061749999999966</v>
      </c>
    </row>
    <row r="11" spans="1:12" s="2" customFormat="1" x14ac:dyDescent="0.2">
      <c r="B11" s="143" t="s">
        <v>147</v>
      </c>
      <c r="C11" s="63"/>
      <c r="D11" s="144">
        <f>+C6*D5</f>
        <v>475.49098987803359</v>
      </c>
      <c r="G11" s="97">
        <f>+(G9+G10)/D8</f>
        <v>6.0000000000000005E-2</v>
      </c>
      <c r="H11" s="2" t="s">
        <v>148</v>
      </c>
    </row>
    <row r="12" spans="1:12" s="2" customFormat="1" x14ac:dyDescent="0.2">
      <c r="B12" s="145" t="s">
        <v>149</v>
      </c>
      <c r="C12" s="146"/>
      <c r="D12" s="147">
        <f>+D11-D8</f>
        <v>240.49498987803378</v>
      </c>
    </row>
    <row r="13" spans="1:12" s="2" customFormat="1" x14ac:dyDescent="0.2">
      <c r="B13" s="5"/>
      <c r="D13" s="13">
        <f>D12/D11</f>
        <v>0.50578243331113859</v>
      </c>
    </row>
    <row r="14" spans="1:12" s="2" customFormat="1" x14ac:dyDescent="0.2">
      <c r="B14" s="56" t="s">
        <v>18</v>
      </c>
      <c r="C14" s="59">
        <f>'Income Statement'!H4</f>
        <v>2012</v>
      </c>
      <c r="D14" s="60">
        <f>'Income Statement'!I4</f>
        <v>2013</v>
      </c>
      <c r="E14" s="60">
        <f>'Income Statement'!J4</f>
        <v>2014</v>
      </c>
      <c r="F14" s="60">
        <f>'Income Statement'!K4</f>
        <v>2015</v>
      </c>
      <c r="G14" s="60">
        <f>'Income Statement'!L4</f>
        <v>2016</v>
      </c>
      <c r="H14" s="60">
        <f>'Income Statement'!M4</f>
        <v>2017</v>
      </c>
      <c r="I14" s="60">
        <f>'Income Statement'!N4</f>
        <v>2018</v>
      </c>
      <c r="J14" s="60">
        <f>'Income Statement'!O4</f>
        <v>2019</v>
      </c>
      <c r="K14" s="60">
        <f>'Income Statement'!P4</f>
        <v>2020</v>
      </c>
      <c r="L14" s="60">
        <f>'Income Statement'!Q4</f>
        <v>2021</v>
      </c>
    </row>
    <row r="15" spans="1:12" x14ac:dyDescent="0.2">
      <c r="B15" s="19"/>
    </row>
    <row r="16" spans="1:12" x14ac:dyDescent="0.2">
      <c r="A16" s="5"/>
      <c r="B16" s="23" t="s">
        <v>150</v>
      </c>
      <c r="C16" s="6">
        <f>DCF!D20</f>
        <v>36.098019258332428</v>
      </c>
      <c r="D16" s="6">
        <f>DCF!E20</f>
        <v>38.798595500654102</v>
      </c>
      <c r="E16" s="6">
        <f>DCF!F20</f>
        <v>43.546700549102951</v>
      </c>
      <c r="F16" s="6">
        <f>DCF!G20</f>
        <v>48.498772987806269</v>
      </c>
      <c r="G16" s="6">
        <f>DCF!H20</f>
        <v>54.713012462371559</v>
      </c>
      <c r="H16" s="6">
        <f>DCF!I20</f>
        <v>60.00991344610199</v>
      </c>
      <c r="I16" s="6">
        <f>DCF!J20</f>
        <v>63.45106855050453</v>
      </c>
      <c r="J16" s="6">
        <f>DCF!K20</f>
        <v>65.879063333633681</v>
      </c>
      <c r="K16" s="6">
        <f>DCF!L20</f>
        <v>67.566466292276687</v>
      </c>
      <c r="L16" s="6">
        <f>DCF!M20</f>
        <v>67.867102897176039</v>
      </c>
    </row>
    <row r="17" spans="1:12" x14ac:dyDescent="0.2">
      <c r="B17" s="23"/>
    </row>
    <row r="18" spans="1:12" x14ac:dyDescent="0.2">
      <c r="B18" s="23" t="s">
        <v>151</v>
      </c>
    </row>
    <row r="19" spans="1:12" s="7" customFormat="1" x14ac:dyDescent="0.2">
      <c r="A19" s="5"/>
      <c r="B19" s="14" t="s">
        <v>152</v>
      </c>
      <c r="C19" s="6">
        <f t="shared" ref="C19:L19" si="0">+C56</f>
        <v>-12.924779999999989</v>
      </c>
      <c r="D19" s="6">
        <f t="shared" si="0"/>
        <v>-12.924779999999989</v>
      </c>
      <c r="E19" s="6">
        <f t="shared" si="0"/>
        <v>-12.924779999999989</v>
      </c>
      <c r="F19" s="6">
        <f t="shared" si="0"/>
        <v>-12.924779999999989</v>
      </c>
      <c r="G19" s="6">
        <f t="shared" si="0"/>
        <v>-12.924779999999989</v>
      </c>
      <c r="H19" s="6">
        <f t="shared" si="0"/>
        <v>-12.924779999999989</v>
      </c>
      <c r="I19" s="6">
        <f t="shared" si="0"/>
        <v>-12.924779999999989</v>
      </c>
      <c r="J19" s="6">
        <f t="shared" si="0"/>
        <v>0</v>
      </c>
      <c r="K19" s="6">
        <f t="shared" si="0"/>
        <v>0</v>
      </c>
      <c r="L19" s="6">
        <f t="shared" si="0"/>
        <v>0</v>
      </c>
    </row>
    <row r="20" spans="1:12" s="7" customFormat="1" x14ac:dyDescent="0.2">
      <c r="A20" s="5"/>
      <c r="B20" s="14" t="s">
        <v>153</v>
      </c>
      <c r="C20" s="6">
        <f t="shared" ref="C20:L20" si="1">+C57</f>
        <v>0</v>
      </c>
      <c r="D20" s="6">
        <f t="shared" si="1"/>
        <v>0</v>
      </c>
      <c r="E20" s="6">
        <f t="shared" si="1"/>
        <v>0</v>
      </c>
      <c r="F20" s="6">
        <f t="shared" si="1"/>
        <v>0</v>
      </c>
      <c r="G20" s="6">
        <f t="shared" si="1"/>
        <v>0</v>
      </c>
      <c r="H20" s="6">
        <f t="shared" si="1"/>
        <v>0</v>
      </c>
      <c r="I20" s="6">
        <f t="shared" si="1"/>
        <v>-176.24699999999984</v>
      </c>
      <c r="J20" s="6">
        <f t="shared" si="1"/>
        <v>-58.748999999999953</v>
      </c>
      <c r="K20" s="6">
        <f t="shared" si="1"/>
        <v>0</v>
      </c>
      <c r="L20" s="6">
        <f t="shared" si="1"/>
        <v>0</v>
      </c>
    </row>
    <row r="21" spans="1:12" s="7" customFormat="1" x14ac:dyDescent="0.2">
      <c r="A21" s="5"/>
      <c r="B21" s="14" t="s">
        <v>154</v>
      </c>
      <c r="C21" s="6"/>
      <c r="D21" s="6"/>
      <c r="E21" s="6"/>
      <c r="F21" s="6"/>
      <c r="G21" s="6"/>
      <c r="H21" s="6"/>
      <c r="I21" s="12">
        <v>-125.7207114494953</v>
      </c>
      <c r="J21" s="6"/>
      <c r="K21" s="6"/>
      <c r="L21" s="6"/>
    </row>
    <row r="22" spans="1:12" s="7" customFormat="1" x14ac:dyDescent="0.2">
      <c r="A22" s="5"/>
      <c r="B22" s="17"/>
    </row>
    <row r="23" spans="1:12" s="7" customFormat="1" ht="13.5" customHeight="1" thickBot="1" x14ac:dyDescent="0.25">
      <c r="A23" s="5"/>
      <c r="B23" s="84" t="s">
        <v>155</v>
      </c>
      <c r="C23" s="86">
        <f t="shared" ref="C23:H23" si="2">+C16+C19+C20</f>
        <v>23.173239258332437</v>
      </c>
      <c r="D23" s="86">
        <f t="shared" si="2"/>
        <v>25.873815500654111</v>
      </c>
      <c r="E23" s="86">
        <f t="shared" si="2"/>
        <v>30.62192054910296</v>
      </c>
      <c r="F23" s="86">
        <f t="shared" si="2"/>
        <v>35.573992987806278</v>
      </c>
      <c r="G23" s="86">
        <f t="shared" si="2"/>
        <v>41.788232462371568</v>
      </c>
      <c r="H23" s="86">
        <f t="shared" si="2"/>
        <v>47.085133446101999</v>
      </c>
      <c r="I23" s="86">
        <f>+I16+I19+I20-I21</f>
        <v>0</v>
      </c>
      <c r="J23" s="86">
        <f>+J16+J19+J20</f>
        <v>7.1300633336337285</v>
      </c>
      <c r="K23" s="86">
        <f>+K16+K19+K20</f>
        <v>67.566466292276687</v>
      </c>
      <c r="L23" s="86">
        <f>+L16+L19+L20</f>
        <v>67.867102897176039</v>
      </c>
    </row>
    <row r="24" spans="1:12" ht="13.5" customHeight="1" thickTop="1" x14ac:dyDescent="0.2">
      <c r="B24" s="16"/>
    </row>
    <row r="25" spans="1:12" x14ac:dyDescent="0.2">
      <c r="B25" s="23"/>
    </row>
    <row r="26" spans="1:12" s="7" customFormat="1" x14ac:dyDescent="0.2">
      <c r="A26" s="5"/>
      <c r="B26" s="149" t="s">
        <v>143</v>
      </c>
    </row>
    <row r="27" spans="1:12" x14ac:dyDescent="0.2">
      <c r="B27" s="16"/>
      <c r="C27" s="6">
        <v>1</v>
      </c>
      <c r="D27" s="6">
        <f t="shared" ref="D27:L27" si="3">+C27+1</f>
        <v>2</v>
      </c>
      <c r="E27" s="6">
        <f t="shared" si="3"/>
        <v>3</v>
      </c>
      <c r="F27" s="6">
        <f t="shared" si="3"/>
        <v>4</v>
      </c>
      <c r="G27" s="6">
        <f t="shared" si="3"/>
        <v>5</v>
      </c>
      <c r="H27" s="6">
        <f t="shared" si="3"/>
        <v>6</v>
      </c>
      <c r="I27" s="6">
        <f t="shared" si="3"/>
        <v>7</v>
      </c>
      <c r="J27" s="6">
        <f t="shared" si="3"/>
        <v>8</v>
      </c>
      <c r="K27" s="6">
        <f t="shared" si="3"/>
        <v>9</v>
      </c>
      <c r="L27" s="6">
        <f t="shared" si="3"/>
        <v>10</v>
      </c>
    </row>
    <row r="28" spans="1:12" x14ac:dyDescent="0.2">
      <c r="B28" s="68" t="str">
        <f>'Income Statement'!B4</f>
        <v>(YE 31-Dec, USDm)</v>
      </c>
      <c r="C28" s="46">
        <f>'Income Statement'!H4</f>
        <v>2012</v>
      </c>
      <c r="D28" s="46">
        <f>'Income Statement'!I4</f>
        <v>2013</v>
      </c>
      <c r="E28" s="46">
        <f>'Income Statement'!J4</f>
        <v>2014</v>
      </c>
      <c r="F28" s="46">
        <f>'Income Statement'!K4</f>
        <v>2015</v>
      </c>
      <c r="G28" s="46">
        <f>'Income Statement'!L4</f>
        <v>2016</v>
      </c>
      <c r="H28" s="46">
        <f>'Income Statement'!M4</f>
        <v>2017</v>
      </c>
      <c r="I28" s="46">
        <f>'Income Statement'!N4</f>
        <v>2018</v>
      </c>
      <c r="J28" s="46">
        <f>'Income Statement'!O4</f>
        <v>2019</v>
      </c>
      <c r="K28" s="46">
        <f>'Income Statement'!P4</f>
        <v>2020</v>
      </c>
      <c r="L28" s="46">
        <f>'Income Statement'!Q4</f>
        <v>2021</v>
      </c>
    </row>
    <row r="29" spans="1:12" x14ac:dyDescent="0.2">
      <c r="B29" s="2" t="s">
        <v>109</v>
      </c>
      <c r="C29" s="6">
        <f>+D9</f>
        <v>176.24699999999984</v>
      </c>
      <c r="D29" s="6">
        <f t="shared" ref="D29:L29" si="4">+C32</f>
        <v>176.24699999999984</v>
      </c>
      <c r="E29" s="6">
        <f t="shared" si="4"/>
        <v>176.24699999999984</v>
      </c>
      <c r="F29" s="6">
        <f t="shared" si="4"/>
        <v>176.24699999999984</v>
      </c>
      <c r="G29" s="6">
        <f t="shared" si="4"/>
        <v>176.24699999999984</v>
      </c>
      <c r="H29" s="6">
        <f t="shared" si="4"/>
        <v>176.24699999999984</v>
      </c>
      <c r="I29" s="6">
        <f t="shared" si="4"/>
        <v>176.24699999999984</v>
      </c>
      <c r="J29" s="6">
        <f t="shared" si="4"/>
        <v>0</v>
      </c>
      <c r="K29" s="6">
        <f t="shared" si="4"/>
        <v>0</v>
      </c>
      <c r="L29" s="6">
        <f t="shared" si="4"/>
        <v>0</v>
      </c>
    </row>
    <row r="30" spans="1:12" x14ac:dyDescent="0.2">
      <c r="B30" s="14" t="s">
        <v>110</v>
      </c>
    </row>
    <row r="31" spans="1:12" x14ac:dyDescent="0.2">
      <c r="B31" s="14" t="s">
        <v>115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>
        <f>-I29</f>
        <v>-176.24699999999984</v>
      </c>
      <c r="J31" s="7"/>
      <c r="K31" s="7"/>
      <c r="L31" s="7"/>
    </row>
    <row r="32" spans="1:12" s="7" customFormat="1" ht="13.5" customHeight="1" thickBot="1" x14ac:dyDescent="0.25">
      <c r="A32" s="5"/>
      <c r="B32" s="28" t="s">
        <v>113</v>
      </c>
      <c r="C32" s="29">
        <f t="shared" ref="C32:L32" si="5">+C29+C30+C31</f>
        <v>176.24699999999984</v>
      </c>
      <c r="D32" s="29">
        <f t="shared" si="5"/>
        <v>176.24699999999984</v>
      </c>
      <c r="E32" s="29">
        <f t="shared" si="5"/>
        <v>176.24699999999984</v>
      </c>
      <c r="F32" s="29">
        <f t="shared" si="5"/>
        <v>176.24699999999984</v>
      </c>
      <c r="G32" s="29">
        <f t="shared" si="5"/>
        <v>176.24699999999984</v>
      </c>
      <c r="H32" s="29">
        <f t="shared" si="5"/>
        <v>176.24699999999984</v>
      </c>
      <c r="I32" s="29">
        <f t="shared" si="5"/>
        <v>0</v>
      </c>
      <c r="J32" s="29">
        <f t="shared" si="5"/>
        <v>0</v>
      </c>
      <c r="K32" s="29">
        <f t="shared" si="5"/>
        <v>0</v>
      </c>
      <c r="L32" s="29">
        <f t="shared" si="5"/>
        <v>0</v>
      </c>
    </row>
    <row r="33" spans="1:17" s="7" customFormat="1" ht="13.5" customHeight="1" thickTop="1" x14ac:dyDescent="0.2">
      <c r="A33" s="5"/>
      <c r="B33" s="15"/>
      <c r="C33" s="8"/>
      <c r="D33" s="8"/>
      <c r="E33" s="8"/>
      <c r="F33" s="8"/>
      <c r="G33" s="8"/>
    </row>
    <row r="34" spans="1:17" x14ac:dyDescent="0.2">
      <c r="B34" s="69" t="s">
        <v>116</v>
      </c>
      <c r="C34" s="70">
        <f>+E9</f>
        <v>5.5E-2</v>
      </c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B35" s="23"/>
    </row>
    <row r="36" spans="1:17" x14ac:dyDescent="0.2">
      <c r="B36" s="69" t="s">
        <v>51</v>
      </c>
      <c r="C36" s="71">
        <f t="shared" ref="C36:I36" si="6">+C29*$C$34</f>
        <v>9.6935849999999917</v>
      </c>
      <c r="D36" s="71">
        <f t="shared" si="6"/>
        <v>9.6935849999999917</v>
      </c>
      <c r="E36" s="71">
        <f t="shared" si="6"/>
        <v>9.6935849999999917</v>
      </c>
      <c r="F36" s="71">
        <f t="shared" si="6"/>
        <v>9.6935849999999917</v>
      </c>
      <c r="G36" s="71">
        <f t="shared" si="6"/>
        <v>9.6935849999999917</v>
      </c>
      <c r="H36" s="71">
        <f t="shared" si="6"/>
        <v>9.6935849999999917</v>
      </c>
      <c r="I36" s="71">
        <f t="shared" si="6"/>
        <v>9.6935849999999917</v>
      </c>
      <c r="J36" s="71"/>
      <c r="K36" s="71"/>
      <c r="L36" s="72"/>
    </row>
    <row r="37" spans="1:17" x14ac:dyDescent="0.2">
      <c r="B37" s="16"/>
    </row>
    <row r="38" spans="1:17" x14ac:dyDescent="0.2">
      <c r="B38" s="16"/>
    </row>
    <row r="39" spans="1:17" x14ac:dyDescent="0.2">
      <c r="B39" s="17"/>
    </row>
    <row r="40" spans="1:17" x14ac:dyDescent="0.2">
      <c r="B40" s="149" t="s">
        <v>156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7" x14ac:dyDescent="0.2">
      <c r="B41" s="16"/>
      <c r="C41" s="6">
        <v>1</v>
      </c>
      <c r="D41" s="6">
        <f t="shared" ref="D41:L41" si="7">+C41+1</f>
        <v>2</v>
      </c>
      <c r="E41" s="6">
        <f t="shared" si="7"/>
        <v>3</v>
      </c>
      <c r="F41" s="6">
        <f t="shared" si="7"/>
        <v>4</v>
      </c>
      <c r="G41" s="6">
        <f t="shared" si="7"/>
        <v>5</v>
      </c>
      <c r="H41" s="6">
        <f t="shared" si="7"/>
        <v>6</v>
      </c>
      <c r="I41" s="6">
        <f t="shared" si="7"/>
        <v>7</v>
      </c>
      <c r="J41" s="6">
        <f t="shared" si="7"/>
        <v>8</v>
      </c>
      <c r="K41" s="6">
        <f t="shared" si="7"/>
        <v>9</v>
      </c>
      <c r="L41" s="6">
        <f t="shared" si="7"/>
        <v>10</v>
      </c>
    </row>
    <row r="42" spans="1:17" x14ac:dyDescent="0.2">
      <c r="B42" s="68" t="str">
        <f t="shared" ref="B42:L42" si="8">+B28</f>
        <v>(YE 31-Dec, USDm)</v>
      </c>
      <c r="C42" s="46">
        <f t="shared" si="8"/>
        <v>2012</v>
      </c>
      <c r="D42" s="46">
        <f t="shared" si="8"/>
        <v>2013</v>
      </c>
      <c r="E42" s="46">
        <f t="shared" si="8"/>
        <v>2014</v>
      </c>
      <c r="F42" s="46">
        <f t="shared" si="8"/>
        <v>2015</v>
      </c>
      <c r="G42" s="46">
        <f t="shared" si="8"/>
        <v>2016</v>
      </c>
      <c r="H42" s="46">
        <f t="shared" si="8"/>
        <v>2017</v>
      </c>
      <c r="I42" s="46">
        <f t="shared" si="8"/>
        <v>2018</v>
      </c>
      <c r="J42" s="46">
        <f t="shared" si="8"/>
        <v>2019</v>
      </c>
      <c r="K42" s="46">
        <f t="shared" si="8"/>
        <v>2020</v>
      </c>
      <c r="L42" s="46">
        <f t="shared" si="8"/>
        <v>2021</v>
      </c>
    </row>
    <row r="43" spans="1:17" s="7" customFormat="1" x14ac:dyDescent="0.2">
      <c r="A43" s="5"/>
      <c r="B43" s="2" t="s">
        <v>109</v>
      </c>
      <c r="C43" s="6">
        <f>+D10</f>
        <v>58.748999999999953</v>
      </c>
      <c r="D43" s="6">
        <f t="shared" ref="D43:L43" si="9">+C46</f>
        <v>58.748999999999953</v>
      </c>
      <c r="E43" s="6">
        <f t="shared" si="9"/>
        <v>58.748999999999953</v>
      </c>
      <c r="F43" s="6">
        <f t="shared" si="9"/>
        <v>58.748999999999953</v>
      </c>
      <c r="G43" s="6">
        <f t="shared" si="9"/>
        <v>58.748999999999953</v>
      </c>
      <c r="H43" s="6">
        <f t="shared" si="9"/>
        <v>58.748999999999953</v>
      </c>
      <c r="I43" s="6">
        <f t="shared" si="9"/>
        <v>58.748999999999953</v>
      </c>
      <c r="J43" s="6">
        <f t="shared" si="9"/>
        <v>58.748999999999953</v>
      </c>
      <c r="K43" s="6">
        <f t="shared" si="9"/>
        <v>0</v>
      </c>
      <c r="L43" s="6">
        <f t="shared" si="9"/>
        <v>0</v>
      </c>
    </row>
    <row r="44" spans="1:17" s="7" customFormat="1" x14ac:dyDescent="0.2">
      <c r="A44" s="5"/>
      <c r="B44" s="14" t="s">
        <v>110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7" s="7" customFormat="1" x14ac:dyDescent="0.2">
      <c r="A45" s="5"/>
      <c r="B45" s="14" t="s">
        <v>115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7">
        <f>-J43</f>
        <v>-58.748999999999953</v>
      </c>
    </row>
    <row r="46" spans="1:17" ht="13.5" customHeight="1" thickBot="1" x14ac:dyDescent="0.25">
      <c r="B46" s="28" t="s">
        <v>113</v>
      </c>
      <c r="C46" s="29">
        <f t="shared" ref="C46:L46" si="10">+C43+C44+C45</f>
        <v>58.748999999999953</v>
      </c>
      <c r="D46" s="29">
        <f t="shared" si="10"/>
        <v>58.748999999999953</v>
      </c>
      <c r="E46" s="29">
        <f t="shared" si="10"/>
        <v>58.748999999999953</v>
      </c>
      <c r="F46" s="29">
        <f t="shared" si="10"/>
        <v>58.748999999999953</v>
      </c>
      <c r="G46" s="29">
        <f t="shared" si="10"/>
        <v>58.748999999999953</v>
      </c>
      <c r="H46" s="29">
        <f t="shared" si="10"/>
        <v>58.748999999999953</v>
      </c>
      <c r="I46" s="29">
        <f t="shared" si="10"/>
        <v>58.748999999999953</v>
      </c>
      <c r="J46" s="29">
        <f t="shared" si="10"/>
        <v>0</v>
      </c>
      <c r="K46" s="29">
        <f t="shared" si="10"/>
        <v>0</v>
      </c>
      <c r="L46" s="29">
        <f t="shared" si="10"/>
        <v>0</v>
      </c>
    </row>
    <row r="47" spans="1:17" ht="13.5" customHeight="1" thickTop="1" x14ac:dyDescent="0.2">
      <c r="B47" s="15"/>
      <c r="C47" s="8"/>
      <c r="D47" s="8"/>
      <c r="E47" s="8"/>
      <c r="F47" s="8"/>
      <c r="G47" s="8"/>
      <c r="H47" s="7"/>
      <c r="I47" s="7"/>
      <c r="J47" s="7"/>
      <c r="K47" s="7"/>
      <c r="L47" s="7"/>
    </row>
    <row r="48" spans="1:17" x14ac:dyDescent="0.2">
      <c r="B48" s="69" t="s">
        <v>116</v>
      </c>
      <c r="C48" s="70">
        <f>+E10</f>
        <v>7.4999999999999997E-2</v>
      </c>
      <c r="D48" s="8"/>
      <c r="E48" s="8"/>
      <c r="F48" s="8"/>
      <c r="G48" s="8"/>
      <c r="H48" s="7"/>
      <c r="I48" s="7"/>
      <c r="J48" s="7"/>
      <c r="K48" s="7"/>
      <c r="L48" s="7"/>
    </row>
    <row r="49" spans="1:12" x14ac:dyDescent="0.2">
      <c r="B49" s="23"/>
    </row>
    <row r="50" spans="1:12" x14ac:dyDescent="0.2">
      <c r="B50" s="69" t="s">
        <v>51</v>
      </c>
      <c r="C50" s="71">
        <f t="shared" ref="C50:I50" si="11">+C43*$C$34</f>
        <v>3.2311949999999974</v>
      </c>
      <c r="D50" s="71">
        <f t="shared" si="11"/>
        <v>3.2311949999999974</v>
      </c>
      <c r="E50" s="71">
        <f t="shared" si="11"/>
        <v>3.2311949999999974</v>
      </c>
      <c r="F50" s="71">
        <f t="shared" si="11"/>
        <v>3.2311949999999974</v>
      </c>
      <c r="G50" s="71">
        <f t="shared" si="11"/>
        <v>3.2311949999999974</v>
      </c>
      <c r="H50" s="71">
        <f t="shared" si="11"/>
        <v>3.2311949999999974</v>
      </c>
      <c r="I50" s="71">
        <f t="shared" si="11"/>
        <v>3.2311949999999974</v>
      </c>
      <c r="J50" s="71"/>
      <c r="K50" s="71"/>
      <c r="L50" s="72"/>
    </row>
    <row r="51" spans="1:12" x14ac:dyDescent="0.2">
      <c r="B51" s="16"/>
    </row>
    <row r="52" spans="1:12" x14ac:dyDescent="0.2">
      <c r="B52" s="149" t="s">
        <v>157</v>
      </c>
    </row>
    <row r="53" spans="1:12" x14ac:dyDescent="0.2">
      <c r="B53" s="17"/>
    </row>
    <row r="54" spans="1:12" x14ac:dyDescent="0.2">
      <c r="B54" s="68" t="str">
        <f t="shared" ref="B54:L54" si="12">+B42</f>
        <v>(YE 31-Dec, USDm)</v>
      </c>
      <c r="C54" s="46">
        <f t="shared" si="12"/>
        <v>2012</v>
      </c>
      <c r="D54" s="46">
        <f t="shared" si="12"/>
        <v>2013</v>
      </c>
      <c r="E54" s="46">
        <f t="shared" si="12"/>
        <v>2014</v>
      </c>
      <c r="F54" s="46">
        <f t="shared" si="12"/>
        <v>2015</v>
      </c>
      <c r="G54" s="46">
        <f t="shared" si="12"/>
        <v>2016</v>
      </c>
      <c r="H54" s="46">
        <f t="shared" si="12"/>
        <v>2017</v>
      </c>
      <c r="I54" s="46">
        <f t="shared" si="12"/>
        <v>2018</v>
      </c>
      <c r="J54" s="46">
        <f t="shared" si="12"/>
        <v>2019</v>
      </c>
      <c r="K54" s="46">
        <f t="shared" si="12"/>
        <v>2020</v>
      </c>
      <c r="L54" s="46">
        <f t="shared" si="12"/>
        <v>2021</v>
      </c>
    </row>
    <row r="55" spans="1:12" s="7" customFormat="1" x14ac:dyDescent="0.2">
      <c r="A55" s="5"/>
      <c r="B55" s="17"/>
    </row>
    <row r="56" spans="1:12" x14ac:dyDescent="0.2">
      <c r="B56" s="2" t="s">
        <v>158</v>
      </c>
      <c r="C56" s="6">
        <f t="shared" ref="C56:L56" si="13">-(+C36+C50)</f>
        <v>-12.924779999999989</v>
      </c>
      <c r="D56" s="6">
        <f t="shared" si="13"/>
        <v>-12.924779999999989</v>
      </c>
      <c r="E56" s="6">
        <f t="shared" si="13"/>
        <v>-12.924779999999989</v>
      </c>
      <c r="F56" s="6">
        <f t="shared" si="13"/>
        <v>-12.924779999999989</v>
      </c>
      <c r="G56" s="6">
        <f t="shared" si="13"/>
        <v>-12.924779999999989</v>
      </c>
      <c r="H56" s="6">
        <f t="shared" si="13"/>
        <v>-12.924779999999989</v>
      </c>
      <c r="I56" s="6">
        <f t="shared" si="13"/>
        <v>-12.924779999999989</v>
      </c>
      <c r="J56" s="6">
        <f t="shared" si="13"/>
        <v>0</v>
      </c>
      <c r="K56" s="6">
        <f t="shared" si="13"/>
        <v>0</v>
      </c>
      <c r="L56" s="6">
        <f t="shared" si="13"/>
        <v>0</v>
      </c>
    </row>
    <row r="57" spans="1:12" x14ac:dyDescent="0.2">
      <c r="B57" s="2" t="s">
        <v>159</v>
      </c>
      <c r="C57" s="6">
        <f t="shared" ref="C57:L57" si="14">+C31+C45</f>
        <v>0</v>
      </c>
      <c r="D57" s="6">
        <f t="shared" si="14"/>
        <v>0</v>
      </c>
      <c r="E57" s="6">
        <f t="shared" si="14"/>
        <v>0</v>
      </c>
      <c r="F57" s="6">
        <f t="shared" si="14"/>
        <v>0</v>
      </c>
      <c r="G57" s="6">
        <f t="shared" si="14"/>
        <v>0</v>
      </c>
      <c r="H57" s="6">
        <f t="shared" si="14"/>
        <v>0</v>
      </c>
      <c r="I57" s="6">
        <f t="shared" si="14"/>
        <v>-176.24699999999984</v>
      </c>
      <c r="J57" s="6">
        <f t="shared" si="14"/>
        <v>-58.748999999999953</v>
      </c>
      <c r="K57" s="6">
        <f t="shared" si="14"/>
        <v>0</v>
      </c>
      <c r="L57" s="6">
        <f t="shared" si="14"/>
        <v>0</v>
      </c>
    </row>
    <row r="58" spans="1:12" x14ac:dyDescent="0.2">
      <c r="B58" s="2" t="s">
        <v>160</v>
      </c>
      <c r="C58" s="6">
        <f t="shared" ref="C58:L58" si="15">+C32+C46</f>
        <v>234.99599999999981</v>
      </c>
      <c r="D58" s="6">
        <f t="shared" si="15"/>
        <v>234.99599999999981</v>
      </c>
      <c r="E58" s="6">
        <f t="shared" si="15"/>
        <v>234.99599999999981</v>
      </c>
      <c r="F58" s="6">
        <f t="shared" si="15"/>
        <v>234.99599999999981</v>
      </c>
      <c r="G58" s="6">
        <f t="shared" si="15"/>
        <v>234.99599999999981</v>
      </c>
      <c r="H58" s="6">
        <f t="shared" si="15"/>
        <v>234.99599999999981</v>
      </c>
      <c r="I58" s="6">
        <f t="shared" si="15"/>
        <v>58.748999999999953</v>
      </c>
      <c r="J58" s="6">
        <f t="shared" si="15"/>
        <v>0</v>
      </c>
      <c r="K58" s="6">
        <f t="shared" si="15"/>
        <v>0</v>
      </c>
      <c r="L58" s="6">
        <f t="shared" si="15"/>
        <v>0</v>
      </c>
    </row>
    <row r="59" spans="1:12" s="7" customFormat="1" x14ac:dyDescent="0.2">
      <c r="A59" s="5"/>
      <c r="B59" s="5"/>
    </row>
    <row r="62" spans="1:12" x14ac:dyDescent="0.2">
      <c r="B62" s="5"/>
    </row>
    <row r="65" spans="1:2" s="7" customFormat="1" x14ac:dyDescent="0.2">
      <c r="A65" s="5"/>
      <c r="B65" s="5"/>
    </row>
    <row r="67" spans="1:2" x14ac:dyDescent="0.2">
      <c r="B67" s="19"/>
    </row>
    <row r="68" spans="1:2" x14ac:dyDescent="0.2">
      <c r="B68" s="5"/>
    </row>
    <row r="71" spans="1:2" x14ac:dyDescent="0.2">
      <c r="B71" s="5"/>
    </row>
    <row r="74" spans="1:2" x14ac:dyDescent="0.2">
      <c r="B74" s="5"/>
    </row>
    <row r="76" spans="1:2" x14ac:dyDescent="0.2">
      <c r="B76" s="19"/>
    </row>
    <row r="77" spans="1:2" s="7" customFormat="1" x14ac:dyDescent="0.2">
      <c r="A77" s="5"/>
      <c r="B77" s="5"/>
    </row>
    <row r="80" spans="1:2" x14ac:dyDescent="0.2">
      <c r="B80" s="5"/>
    </row>
    <row r="81" spans="1:2" s="7" customFormat="1" x14ac:dyDescent="0.2">
      <c r="A81" s="5"/>
      <c r="B81" s="5"/>
    </row>
    <row r="84" spans="1:2" s="7" customFormat="1" x14ac:dyDescent="0.2">
      <c r="A84" s="5"/>
      <c r="B84" s="5"/>
    </row>
    <row r="86" spans="1:2" x14ac:dyDescent="0.2">
      <c r="B86" s="19"/>
    </row>
    <row r="87" spans="1:2" x14ac:dyDescent="0.2">
      <c r="B87" s="5"/>
    </row>
    <row r="89" spans="1:2" x14ac:dyDescent="0.2">
      <c r="B89" s="19"/>
    </row>
    <row r="91" spans="1:2" x14ac:dyDescent="0.2">
      <c r="B91" s="19"/>
    </row>
    <row r="92" spans="1:2" x14ac:dyDescent="0.2">
      <c r="B92" s="5"/>
    </row>
    <row r="93" spans="1:2" x14ac:dyDescent="0.2">
      <c r="B93" s="5"/>
    </row>
    <row r="96" spans="1:2" x14ac:dyDescent="0.2">
      <c r="B96" s="19"/>
    </row>
  </sheetData>
  <pageMargins left="0.75" right="0.75" top="1" bottom="1" header="0.3" footer="0.3"/>
  <pageSetup paperSize="9" scale="63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8"/>
  <sheetViews>
    <sheetView showGridLines="0" zoomScale="70" zoomScaleNormal="70" zoomScaleSheetLayoutView="85" workbookViewId="0">
      <selection activeCell="D8" sqref="D8"/>
    </sheetView>
  </sheetViews>
  <sheetFormatPr defaultColWidth="8.85546875" defaultRowHeight="15" x14ac:dyDescent="0.25"/>
  <cols>
    <col min="1" max="1" width="24" bestFit="1" customWidth="1"/>
  </cols>
  <sheetData>
    <row r="1" spans="1:21" x14ac:dyDescent="0.25">
      <c r="A1" s="94" t="s">
        <v>118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21" x14ac:dyDescent="0.25">
      <c r="A2" s="94" t="s">
        <v>161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2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</row>
    <row r="4" spans="1:21" x14ac:dyDescent="0.25">
      <c r="A4" s="134" t="str">
        <f>'Balance Sheet'!B4</f>
        <v>(YE 31-Dec, USDm)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</row>
    <row r="5" spans="1:21" x14ac:dyDescent="0.25">
      <c r="A5" s="101"/>
      <c r="B5" s="101"/>
      <c r="C5" s="101"/>
      <c r="D5" s="133">
        <v>1</v>
      </c>
      <c r="E5" s="133">
        <v>2</v>
      </c>
      <c r="F5" s="133">
        <v>3</v>
      </c>
      <c r="G5" s="133">
        <f t="shared" ref="G5:M5" si="0">+F5+1</f>
        <v>4</v>
      </c>
      <c r="H5" s="133">
        <f t="shared" si="0"/>
        <v>5</v>
      </c>
      <c r="I5" s="133">
        <f t="shared" si="0"/>
        <v>6</v>
      </c>
      <c r="J5" s="133">
        <f t="shared" si="0"/>
        <v>7</v>
      </c>
      <c r="K5" s="133">
        <f t="shared" si="0"/>
        <v>8</v>
      </c>
      <c r="L5" s="133">
        <f t="shared" si="0"/>
        <v>9</v>
      </c>
      <c r="M5" s="133">
        <f t="shared" si="0"/>
        <v>10</v>
      </c>
    </row>
    <row r="6" spans="1:21" x14ac:dyDescent="0.25">
      <c r="A6" s="101"/>
      <c r="B6" s="101"/>
      <c r="C6" s="58">
        <f>+'Balance Sheet'!G4</f>
        <v>2011</v>
      </c>
      <c r="D6" s="59">
        <f>+'Balance Sheet'!I4</f>
        <v>2012</v>
      </c>
      <c r="E6" s="60">
        <f>+'Balance Sheet'!J4</f>
        <v>2013</v>
      </c>
      <c r="F6" s="60">
        <f>+'Balance Sheet'!K4</f>
        <v>2014</v>
      </c>
      <c r="G6" s="60">
        <f>+'Balance Sheet'!L4</f>
        <v>2015</v>
      </c>
      <c r="H6" s="60">
        <f>+'Balance Sheet'!M4</f>
        <v>2016</v>
      </c>
      <c r="I6" s="60">
        <f>+'Balance Sheet'!N4</f>
        <v>2017</v>
      </c>
      <c r="J6" s="60">
        <f>+'Balance Sheet'!O4</f>
        <v>2018</v>
      </c>
      <c r="K6" s="60">
        <f>+'Balance Sheet'!P4</f>
        <v>2019</v>
      </c>
      <c r="L6" s="60">
        <f>+'Balance Sheet'!Q4</f>
        <v>2020</v>
      </c>
      <c r="M6" s="60">
        <f>+'Balance Sheet'!R4</f>
        <v>2021</v>
      </c>
      <c r="N6" s="101"/>
      <c r="O6" s="101"/>
      <c r="P6" s="101"/>
      <c r="Q6" s="101"/>
      <c r="R6" s="101"/>
      <c r="S6" s="101"/>
      <c r="T6" s="101"/>
      <c r="U6" s="101"/>
    </row>
    <row r="7" spans="1:21" x14ac:dyDescent="0.25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</row>
    <row r="8" spans="1:21" x14ac:dyDescent="0.25">
      <c r="A8" s="114" t="s">
        <v>162</v>
      </c>
      <c r="B8" s="114"/>
      <c r="C8" s="115"/>
      <c r="D8" s="92">
        <f>+'LBO Modelling'!C23</f>
        <v>23.173239258332437</v>
      </c>
      <c r="E8" s="92">
        <f>+'LBO Modelling'!D23</f>
        <v>25.873815500654111</v>
      </c>
      <c r="F8" s="92">
        <f>+'LBO Modelling'!E23</f>
        <v>30.62192054910296</v>
      </c>
      <c r="G8" s="92">
        <f>+'LBO Modelling'!F23</f>
        <v>35.573992987806278</v>
      </c>
      <c r="H8" s="92">
        <f>+'LBO Modelling'!G23</f>
        <v>41.788232462371568</v>
      </c>
      <c r="I8" s="92">
        <f>+'LBO Modelling'!H23</f>
        <v>47.085133446101999</v>
      </c>
      <c r="J8" s="92">
        <f>+'LBO Modelling'!I23</f>
        <v>0</v>
      </c>
      <c r="K8" s="92">
        <f>+'LBO Modelling'!J23</f>
        <v>7.1300633336337285</v>
      </c>
      <c r="L8" s="92">
        <f>+'LBO Modelling'!K23</f>
        <v>67.566466292276687</v>
      </c>
      <c r="M8" s="92">
        <f>+'LBO Modelling'!L23</f>
        <v>67.867102897176039</v>
      </c>
      <c r="N8" s="101"/>
      <c r="O8" s="101"/>
      <c r="P8" s="101"/>
      <c r="Q8" s="101"/>
      <c r="R8" s="101"/>
      <c r="S8" s="101"/>
      <c r="T8" s="101"/>
      <c r="U8" s="101"/>
    </row>
    <row r="9" spans="1:21" x14ac:dyDescent="0.25">
      <c r="A9" s="104"/>
      <c r="B9" s="104"/>
      <c r="C9" s="132"/>
      <c r="D9" s="6"/>
      <c r="E9" s="6"/>
      <c r="F9" s="6"/>
      <c r="G9" s="6"/>
      <c r="H9" s="6"/>
      <c r="I9" s="6"/>
      <c r="J9" s="6"/>
      <c r="K9" s="6"/>
      <c r="L9" s="6"/>
      <c r="M9" s="6"/>
      <c r="N9" s="101"/>
      <c r="O9" s="101"/>
      <c r="P9" s="101"/>
      <c r="Q9" s="101"/>
      <c r="R9" s="101"/>
      <c r="S9" s="101"/>
      <c r="T9" s="101"/>
      <c r="U9" s="101"/>
    </row>
    <row r="10" spans="1:21" x14ac:dyDescent="0.25">
      <c r="A10" s="131" t="s">
        <v>123</v>
      </c>
      <c r="B10" s="131"/>
      <c r="C10" s="131"/>
      <c r="D10" s="7">
        <f t="shared" ref="D10:M10" si="1">1/((1+$C$14)^D5)</f>
        <v>0.86956521739130443</v>
      </c>
      <c r="E10" s="7">
        <f t="shared" si="1"/>
        <v>0.7561436672967865</v>
      </c>
      <c r="F10" s="7">
        <f t="shared" si="1"/>
        <v>0.65751623243198831</v>
      </c>
      <c r="G10" s="7">
        <f t="shared" si="1"/>
        <v>0.57175324559303342</v>
      </c>
      <c r="H10" s="7">
        <f t="shared" si="1"/>
        <v>0.49717673529828987</v>
      </c>
      <c r="I10" s="7">
        <f t="shared" si="1"/>
        <v>0.43232759591155645</v>
      </c>
      <c r="J10" s="7">
        <f t="shared" si="1"/>
        <v>0.37593703992309269</v>
      </c>
      <c r="K10" s="7">
        <f t="shared" si="1"/>
        <v>0.32690177384616753</v>
      </c>
      <c r="L10" s="7">
        <f t="shared" si="1"/>
        <v>0.28426241204014574</v>
      </c>
      <c r="M10" s="7">
        <f t="shared" si="1"/>
        <v>0.24718470612186585</v>
      </c>
      <c r="N10" s="101"/>
      <c r="O10" s="101"/>
      <c r="P10" s="101"/>
      <c r="Q10" s="101"/>
      <c r="R10" s="101"/>
      <c r="S10" s="101"/>
      <c r="T10" s="101"/>
      <c r="U10" s="101"/>
    </row>
    <row r="11" spans="1:21" x14ac:dyDescent="0.25">
      <c r="A11" s="101"/>
      <c r="B11" s="101"/>
      <c r="C11" s="101"/>
      <c r="D11" s="6"/>
      <c r="E11" s="6"/>
      <c r="F11" s="6"/>
      <c r="G11" s="6"/>
      <c r="H11" s="6"/>
      <c r="I11" s="6"/>
      <c r="J11" s="6"/>
      <c r="K11" s="6"/>
      <c r="L11" s="6"/>
      <c r="M11" s="6"/>
      <c r="N11" s="101"/>
      <c r="O11" s="101"/>
      <c r="P11" s="101"/>
      <c r="Q11" s="101"/>
      <c r="R11" s="101"/>
      <c r="S11" s="101"/>
      <c r="T11" s="101"/>
      <c r="U11" s="101"/>
    </row>
    <row r="12" spans="1:21" x14ac:dyDescent="0.25">
      <c r="A12" s="101" t="s">
        <v>124</v>
      </c>
      <c r="B12" s="101"/>
      <c r="C12" s="101"/>
      <c r="D12" s="6">
        <f t="shared" ref="D12:M12" si="2">+D8*D10</f>
        <v>20.150642833332554</v>
      </c>
      <c r="E12" s="6">
        <f t="shared" si="2"/>
        <v>19.56432173962504</v>
      </c>
      <c r="F12" s="6">
        <f t="shared" si="2"/>
        <v>20.13440982927786</v>
      </c>
      <c r="G12" s="6">
        <f t="shared" si="2"/>
        <v>20.339545949482051</v>
      </c>
      <c r="H12" s="6">
        <f t="shared" si="2"/>
        <v>20.776136989527913</v>
      </c>
      <c r="I12" s="6">
        <f t="shared" si="2"/>
        <v>20.356202545928095</v>
      </c>
      <c r="J12" s="6">
        <f t="shared" si="2"/>
        <v>0</v>
      </c>
      <c r="K12" s="6">
        <f t="shared" si="2"/>
        <v>2.3308303514003845</v>
      </c>
      <c r="L12" s="6">
        <f t="shared" si="2"/>
        <v>19.206606681271772</v>
      </c>
      <c r="M12" s="6">
        <f t="shared" si="2"/>
        <v>16.775709884980891</v>
      </c>
      <c r="N12" s="101"/>
      <c r="O12" s="101"/>
      <c r="P12" s="101"/>
      <c r="Q12" s="101"/>
      <c r="R12" s="101"/>
      <c r="S12" s="101"/>
      <c r="T12" s="101"/>
      <c r="U12" s="101"/>
    </row>
    <row r="13" spans="1:21" x14ac:dyDescent="0.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</row>
    <row r="14" spans="1:21" x14ac:dyDescent="0.25">
      <c r="A14" s="106" t="s">
        <v>163</v>
      </c>
      <c r="B14" s="107"/>
      <c r="C14" s="116">
        <f>+'WACC Calculation'!C7</f>
        <v>0.15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</row>
    <row r="15" spans="1:21" x14ac:dyDescent="0.25">
      <c r="A15" s="117" t="s">
        <v>126</v>
      </c>
      <c r="B15" s="104"/>
      <c r="C15" s="118">
        <f>+DCF!C27</f>
        <v>0.02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</row>
    <row r="16" spans="1:21" x14ac:dyDescent="0.25">
      <c r="A16" s="119"/>
      <c r="B16" s="101"/>
      <c r="C16" s="112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</row>
    <row r="17" spans="1:21" x14ac:dyDescent="0.25">
      <c r="A17" s="119"/>
      <c r="B17" s="101"/>
      <c r="C17" s="120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</row>
    <row r="18" spans="1:21" x14ac:dyDescent="0.25">
      <c r="A18" s="117" t="s">
        <v>127</v>
      </c>
      <c r="B18" s="104"/>
      <c r="C18" s="35">
        <f>(M8*(1+C14))/(C14-C15)</f>
        <v>600.36283332117262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</row>
    <row r="19" spans="1:21" x14ac:dyDescent="0.25">
      <c r="A19" s="119" t="s">
        <v>128</v>
      </c>
      <c r="B19" s="101"/>
      <c r="C19" s="35">
        <f>C18*M10</f>
        <v>148.4005105209848</v>
      </c>
      <c r="D19" s="101"/>
      <c r="E19" s="101"/>
      <c r="F19" s="137"/>
      <c r="G19" s="137"/>
      <c r="H19" s="137"/>
      <c r="I19" s="137"/>
      <c r="J19" s="137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</row>
    <row r="20" spans="1:21" x14ac:dyDescent="0.25">
      <c r="A20" s="119"/>
      <c r="B20" s="101"/>
      <c r="C20" s="35"/>
      <c r="D20" s="101"/>
      <c r="E20" s="101"/>
      <c r="F20" s="137"/>
      <c r="G20" s="137"/>
      <c r="H20" s="137"/>
      <c r="I20" s="137"/>
      <c r="J20" s="137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</row>
    <row r="21" spans="1:21" x14ac:dyDescent="0.25">
      <c r="A21" s="119" t="s">
        <v>129</v>
      </c>
      <c r="B21" s="101"/>
      <c r="C21" s="35">
        <f>SUM(D12:M12)</f>
        <v>159.63440680482657</v>
      </c>
      <c r="D21" s="101"/>
      <c r="E21" s="101"/>
      <c r="F21" s="137"/>
      <c r="G21" s="137"/>
      <c r="H21" s="137"/>
      <c r="I21" s="137"/>
      <c r="J21" s="137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</row>
    <row r="22" spans="1:21" x14ac:dyDescent="0.25">
      <c r="A22" s="119"/>
      <c r="B22" s="101"/>
      <c r="C22" s="35"/>
      <c r="D22" s="101"/>
      <c r="E22" s="101"/>
      <c r="F22" s="137"/>
      <c r="G22" s="137"/>
      <c r="H22" s="137"/>
      <c r="I22" s="137"/>
      <c r="J22" s="137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x14ac:dyDescent="0.25">
      <c r="A23" s="117" t="s">
        <v>132</v>
      </c>
      <c r="B23" s="104"/>
      <c r="C23" s="122">
        <f>+C19+C21</f>
        <v>308.03491732581136</v>
      </c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</row>
    <row r="24" spans="1:21" x14ac:dyDescent="0.25">
      <c r="A24" s="119" t="s">
        <v>90</v>
      </c>
      <c r="B24" s="101"/>
      <c r="C24" s="35">
        <f>+'Balance Sheet'!H23</f>
        <v>234.99599999999981</v>
      </c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</row>
    <row r="25" spans="1:21" x14ac:dyDescent="0.25">
      <c r="A25" s="119" t="s">
        <v>131</v>
      </c>
      <c r="B25" s="101"/>
      <c r="C25" s="35">
        <v>0</v>
      </c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</row>
    <row r="26" spans="1:21" x14ac:dyDescent="0.25">
      <c r="A26" s="109" t="s">
        <v>147</v>
      </c>
      <c r="B26" s="110"/>
      <c r="C26" s="123">
        <f>+C23+C24</f>
        <v>543.03091732581117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</row>
    <row r="27" spans="1:21" x14ac:dyDescent="0.25">
      <c r="A27" s="93"/>
      <c r="B27" s="93"/>
      <c r="C27" s="6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</row>
    <row r="28" spans="1:21" x14ac:dyDescent="0.25">
      <c r="A28" s="106" t="s">
        <v>133</v>
      </c>
      <c r="B28" s="107"/>
      <c r="C28" s="108">
        <f>+C26/DCF!D8</f>
        <v>13.704509962599342</v>
      </c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</row>
    <row r="29" spans="1:21" x14ac:dyDescent="0.25">
      <c r="A29" s="109" t="s">
        <v>134</v>
      </c>
      <c r="B29" s="110"/>
      <c r="C29" s="111">
        <f>+C26/DCF!D12</f>
        <v>15.367887026723869</v>
      </c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</row>
    <row r="30" spans="1:21" x14ac:dyDescent="0.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221"/>
      <c r="Q30" s="218"/>
      <c r="R30" s="218"/>
      <c r="S30" s="218"/>
      <c r="T30" s="218"/>
      <c r="U30" s="218"/>
    </row>
    <row r="31" spans="1:21" x14ac:dyDescent="0.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Q31" s="219" t="s">
        <v>135</v>
      </c>
      <c r="R31" s="218"/>
      <c r="S31" s="218"/>
      <c r="T31" s="218"/>
      <c r="U31" s="218"/>
    </row>
    <row r="32" spans="1:21" x14ac:dyDescent="0.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222" t="s">
        <v>125</v>
      </c>
      <c r="R32" s="218"/>
      <c r="S32" s="218"/>
      <c r="T32" s="218"/>
      <c r="U32" s="218"/>
    </row>
    <row r="33" spans="1:21" x14ac:dyDescent="0.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24">
        <f>C26</f>
        <v>543.03091732581117</v>
      </c>
      <c r="Q33" s="135">
        <f>+R33-0.01</f>
        <v>0.12999999999999998</v>
      </c>
      <c r="R33" s="135">
        <f>+S33-0.01</f>
        <v>0.13999999999999999</v>
      </c>
      <c r="S33" s="135">
        <v>0.15</v>
      </c>
      <c r="T33" s="135">
        <f>+S33+0.01</f>
        <v>0.16</v>
      </c>
      <c r="U33" s="135">
        <f>+T33+0.01</f>
        <v>0.17</v>
      </c>
    </row>
    <row r="34" spans="1:21" x14ac:dyDescent="0.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223" t="s">
        <v>126</v>
      </c>
      <c r="P34" s="195">
        <f>+P35-0.005</f>
        <v>9.9999999999999985E-3</v>
      </c>
      <c r="Q34" s="125">
        <f t="dataTable" ref="Q34:U38" dt2D="1" dtr="0" r1="C14" r2="C15"/>
        <v>597.53667788267626</v>
      </c>
      <c r="R34" s="64">
        <v>562.23831125613037</v>
      </c>
      <c r="S34" s="64">
        <v>532.43088086002649</v>
      </c>
      <c r="T34" s="64">
        <v>506.9868015076591</v>
      </c>
      <c r="U34" s="33">
        <v>485.06228722877199</v>
      </c>
    </row>
    <row r="35" spans="1:21" x14ac:dyDescent="0.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218"/>
      <c r="P35" s="195">
        <f>+P36-0.005</f>
        <v>1.4999999999999999E-2</v>
      </c>
      <c r="Q35" s="126">
        <v>605.72215949140127</v>
      </c>
      <c r="R35" s="129">
        <v>568.659749163578</v>
      </c>
      <c r="S35" s="129">
        <v>537.53460212133018</v>
      </c>
      <c r="T35" s="129">
        <v>511.0892973583862</v>
      </c>
      <c r="U35" s="35">
        <v>488.3927522615387</v>
      </c>
    </row>
    <row r="36" spans="1:21" x14ac:dyDescent="0.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218"/>
      <c r="P36" s="195">
        <v>0.02</v>
      </c>
      <c r="Q36" s="126">
        <v>614.65177579182841</v>
      </c>
      <c r="R36" s="129">
        <v>575.61630689664617</v>
      </c>
      <c r="S36" s="130">
        <v>543.03091732581117</v>
      </c>
      <c r="T36" s="129">
        <v>515.48482862702258</v>
      </c>
      <c r="U36" s="35">
        <v>491.94524829648992</v>
      </c>
    </row>
    <row r="37" spans="1:21" x14ac:dyDescent="0.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218"/>
      <c r="P37" s="195">
        <f>+P36+0.005</f>
        <v>2.5000000000000001E-2</v>
      </c>
      <c r="Q37" s="126">
        <v>624.43183173991542</v>
      </c>
      <c r="R37" s="129">
        <v>583.17778269345945</v>
      </c>
      <c r="S37" s="129">
        <v>548.9669377466505</v>
      </c>
      <c r="T37" s="129">
        <v>520.20595480444661</v>
      </c>
      <c r="U37" s="35">
        <v>495.74274405798951</v>
      </c>
    </row>
    <row r="38" spans="1:21" x14ac:dyDescent="0.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218"/>
      <c r="P38" s="195">
        <f>+P37+0.005</f>
        <v>3.0000000000000002E-2</v>
      </c>
      <c r="Q38" s="127">
        <v>635.18989328281123</v>
      </c>
      <c r="R38" s="128">
        <v>591.42666538089225</v>
      </c>
      <c r="S38" s="128">
        <v>555.39762653589332</v>
      </c>
      <c r="T38" s="128">
        <v>525.29024453398029</v>
      </c>
      <c r="U38" s="121">
        <v>499.81148951673907</v>
      </c>
    </row>
  </sheetData>
  <mergeCells count="4">
    <mergeCell ref="Q31:U31"/>
    <mergeCell ref="P30:U30"/>
    <mergeCell ref="Q32:U32"/>
    <mergeCell ref="O34:O38"/>
  </mergeCells>
  <pageMargins left="0.75" right="0.75" top="1" bottom="1" header="0.3" footer="0.3"/>
  <pageSetup paperSize="9" scale="42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27"/>
  <sheetViews>
    <sheetView showGridLines="0" workbookViewId="0"/>
  </sheetViews>
  <sheetFormatPr defaultColWidth="10.85546875" defaultRowHeight="15.75" x14ac:dyDescent="0.25"/>
  <cols>
    <col min="1" max="1" width="4.28515625" style="197" customWidth="1"/>
    <col min="2" max="3" width="3.28515625" style="197" customWidth="1"/>
    <col min="4" max="4" width="72" style="197" customWidth="1"/>
    <col min="5" max="5" width="1.140625" style="197" customWidth="1"/>
    <col min="6" max="6" width="67.28515625" style="197" customWidth="1"/>
    <col min="7" max="8" width="3.140625" style="197" customWidth="1"/>
    <col min="9" max="10" width="10.85546875" style="197" customWidth="1"/>
    <col min="11" max="16384" width="10.85546875" style="197"/>
  </cols>
  <sheetData>
    <row r="1" spans="2:8" ht="16.5" customHeight="1" thickBot="1" x14ac:dyDescent="0.3"/>
    <row r="2" spans="2:8" x14ac:dyDescent="0.25">
      <c r="B2" s="198"/>
      <c r="C2" s="199"/>
      <c r="D2" s="199"/>
      <c r="E2" s="199"/>
      <c r="F2" s="199"/>
      <c r="G2" s="199"/>
      <c r="H2" s="200"/>
    </row>
    <row r="3" spans="2:8" x14ac:dyDescent="0.25">
      <c r="B3" s="201"/>
      <c r="C3" s="202"/>
      <c r="D3" s="202"/>
      <c r="E3" s="202"/>
      <c r="F3" s="202"/>
      <c r="G3" s="202"/>
      <c r="H3" s="203"/>
    </row>
    <row r="4" spans="2:8" x14ac:dyDescent="0.25">
      <c r="B4" s="201"/>
      <c r="C4" s="202"/>
      <c r="D4" s="202"/>
      <c r="E4" s="202"/>
      <c r="F4" s="202"/>
      <c r="G4" s="202"/>
      <c r="H4" s="203"/>
    </row>
    <row r="5" spans="2:8" x14ac:dyDescent="0.25">
      <c r="B5" s="201"/>
      <c r="C5" s="202"/>
      <c r="D5" s="202"/>
      <c r="E5" s="202"/>
      <c r="F5" s="202"/>
      <c r="G5" s="202"/>
      <c r="H5" s="203"/>
    </row>
    <row r="6" spans="2:8" x14ac:dyDescent="0.25">
      <c r="B6" s="201"/>
      <c r="C6" s="202"/>
      <c r="D6" s="202"/>
      <c r="E6" s="202"/>
      <c r="F6" s="202"/>
      <c r="G6" s="202"/>
      <c r="H6" s="203"/>
    </row>
    <row r="7" spans="2:8" x14ac:dyDescent="0.25">
      <c r="B7" s="201"/>
      <c r="C7" s="202"/>
      <c r="D7" s="202"/>
      <c r="E7" s="202"/>
      <c r="F7" s="202"/>
      <c r="G7" s="202"/>
      <c r="H7" s="203"/>
    </row>
    <row r="8" spans="2:8" x14ac:dyDescent="0.25">
      <c r="B8" s="201"/>
      <c r="C8" s="202"/>
      <c r="D8" s="202"/>
      <c r="E8" s="202"/>
      <c r="F8" s="202"/>
      <c r="G8" s="202"/>
      <c r="H8" s="203"/>
    </row>
    <row r="9" spans="2:8" x14ac:dyDescent="0.25">
      <c r="B9" s="201"/>
      <c r="C9" s="202"/>
      <c r="D9" s="202"/>
      <c r="E9" s="202"/>
      <c r="F9" s="202"/>
      <c r="G9" s="202"/>
      <c r="H9" s="203"/>
    </row>
    <row r="10" spans="2:8" x14ac:dyDescent="0.25">
      <c r="B10" s="201"/>
      <c r="C10" s="202"/>
      <c r="D10" s="202"/>
      <c r="E10" s="202"/>
      <c r="F10" s="202"/>
      <c r="G10" s="202"/>
      <c r="H10" s="203"/>
    </row>
    <row r="11" spans="2:8" x14ac:dyDescent="0.25">
      <c r="B11" s="201"/>
      <c r="C11" s="202"/>
      <c r="D11" s="202"/>
      <c r="E11" s="202"/>
      <c r="F11" s="202"/>
      <c r="G11" s="202"/>
      <c r="H11" s="203"/>
    </row>
    <row r="12" spans="2:8" x14ac:dyDescent="0.25">
      <c r="B12" s="201"/>
      <c r="C12" s="202"/>
      <c r="D12" s="202"/>
      <c r="E12" s="202"/>
      <c r="F12" s="202"/>
      <c r="G12" s="202"/>
      <c r="H12" s="203"/>
    </row>
    <row r="13" spans="2:8" ht="71.099999999999994" customHeight="1" x14ac:dyDescent="0.25">
      <c r="B13" s="201"/>
      <c r="C13" s="202"/>
      <c r="D13" s="224" t="s">
        <v>164</v>
      </c>
      <c r="E13" s="225"/>
      <c r="F13" s="225"/>
      <c r="G13" s="202"/>
      <c r="H13" s="203"/>
    </row>
    <row r="14" spans="2:8" ht="23.25" customHeight="1" x14ac:dyDescent="0.25">
      <c r="B14" s="201"/>
      <c r="C14" s="202"/>
      <c r="D14" s="204"/>
      <c r="E14" s="204"/>
      <c r="F14" s="204"/>
      <c r="G14" s="202"/>
      <c r="H14" s="203"/>
    </row>
    <row r="15" spans="2:8" ht="23.25" customHeight="1" x14ac:dyDescent="0.35">
      <c r="B15" s="201"/>
      <c r="C15" s="202"/>
      <c r="D15" s="205" t="s">
        <v>165</v>
      </c>
      <c r="E15" s="206"/>
      <c r="F15" s="205" t="s">
        <v>166</v>
      </c>
      <c r="G15" s="202"/>
      <c r="H15" s="203"/>
    </row>
    <row r="16" spans="2:8" ht="5.0999999999999996" customHeight="1" x14ac:dyDescent="0.25">
      <c r="B16" s="201"/>
      <c r="C16" s="202"/>
      <c r="D16" s="207"/>
      <c r="E16" s="207"/>
      <c r="F16" s="208"/>
      <c r="G16" s="202"/>
      <c r="H16" s="203"/>
    </row>
    <row r="17" spans="2:8" ht="23.25" customHeight="1" x14ac:dyDescent="0.35">
      <c r="B17" s="201"/>
      <c r="C17" s="202"/>
      <c r="D17" s="209" t="s">
        <v>167</v>
      </c>
      <c r="E17" s="209"/>
      <c r="F17" s="209" t="s">
        <v>168</v>
      </c>
      <c r="G17" s="202"/>
      <c r="H17" s="203"/>
    </row>
    <row r="18" spans="2:8" ht="23.25" customHeight="1" x14ac:dyDescent="0.35">
      <c r="B18" s="201"/>
      <c r="C18" s="202"/>
      <c r="D18" s="209" t="s">
        <v>169</v>
      </c>
      <c r="E18" s="209"/>
      <c r="F18" s="209" t="s">
        <v>170</v>
      </c>
      <c r="G18" s="202"/>
      <c r="H18" s="203"/>
    </row>
    <row r="19" spans="2:8" ht="23.25" customHeight="1" x14ac:dyDescent="0.35">
      <c r="B19" s="201"/>
      <c r="C19" s="202"/>
      <c r="D19" s="209" t="s">
        <v>171</v>
      </c>
      <c r="E19" s="209"/>
      <c r="F19" s="209" t="s">
        <v>172</v>
      </c>
      <c r="G19" s="202"/>
      <c r="H19" s="203"/>
    </row>
    <row r="20" spans="2:8" ht="23.25" customHeight="1" x14ac:dyDescent="0.35">
      <c r="B20" s="201"/>
      <c r="C20" s="202"/>
      <c r="D20" s="209" t="s">
        <v>173</v>
      </c>
      <c r="E20" s="209"/>
      <c r="F20" s="209" t="s">
        <v>174</v>
      </c>
      <c r="G20" s="202"/>
      <c r="H20" s="203"/>
    </row>
    <row r="21" spans="2:8" ht="23.25" customHeight="1" x14ac:dyDescent="0.35">
      <c r="B21" s="201"/>
      <c r="C21" s="202"/>
      <c r="D21" s="209" t="s">
        <v>175</v>
      </c>
      <c r="E21" s="209"/>
      <c r="F21" s="210"/>
      <c r="G21" s="202"/>
      <c r="H21" s="203"/>
    </row>
    <row r="22" spans="2:8" x14ac:dyDescent="0.25">
      <c r="B22" s="211"/>
      <c r="C22" s="212"/>
      <c r="D22" s="207"/>
      <c r="E22" s="207"/>
      <c r="F22" s="213"/>
      <c r="G22" s="202"/>
      <c r="H22" s="203"/>
    </row>
    <row r="23" spans="2:8" x14ac:dyDescent="0.25">
      <c r="B23" s="211"/>
      <c r="C23" s="212"/>
      <c r="D23" s="207"/>
      <c r="E23" s="207"/>
      <c r="F23" s="213"/>
      <c r="G23" s="202"/>
      <c r="H23" s="203"/>
    </row>
    <row r="24" spans="2:8" x14ac:dyDescent="0.25">
      <c r="B24" s="201"/>
      <c r="C24" s="202"/>
      <c r="D24" s="207"/>
      <c r="E24" s="207"/>
      <c r="F24" s="208"/>
      <c r="G24" s="202"/>
      <c r="H24" s="203"/>
    </row>
    <row r="25" spans="2:8" x14ac:dyDescent="0.25">
      <c r="B25" s="201"/>
      <c r="C25" s="202"/>
      <c r="D25" s="207"/>
      <c r="E25" s="207"/>
      <c r="F25" s="208"/>
      <c r="G25" s="202"/>
      <c r="H25" s="203"/>
    </row>
    <row r="26" spans="2:8" x14ac:dyDescent="0.25">
      <c r="B26" s="201"/>
      <c r="C26" s="202"/>
      <c r="D26" s="202"/>
      <c r="E26" s="202"/>
      <c r="F26" s="202"/>
      <c r="G26" s="202"/>
      <c r="H26" s="203"/>
    </row>
    <row r="27" spans="2:8" ht="16.5" customHeight="1" thickBot="1" x14ac:dyDescent="0.3">
      <c r="B27" s="214"/>
      <c r="C27" s="215"/>
      <c r="D27" s="215"/>
      <c r="E27" s="215"/>
      <c r="F27" s="215"/>
      <c r="G27" s="215"/>
      <c r="H27" s="216"/>
    </row>
  </sheetData>
  <mergeCells count="1">
    <mergeCell ref="D13:F13"/>
  </mergeCells>
  <hyperlinks>
    <hyperlink ref="D17" r:id="rId1" xr:uid="{00000000-0004-0000-0900-000000000000}"/>
    <hyperlink ref="F17" r:id="rId2" display="Interview &amp; Prep Courses (IB, PE, HF, Consulting)" xr:uid="{00000000-0004-0000-0900-000001000000}"/>
    <hyperlink ref="D18" r:id="rId3" xr:uid="{00000000-0004-0000-0900-000002000000}"/>
    <hyperlink ref="F18" r:id="rId4" display="Resume Review Service" xr:uid="{00000000-0004-0000-0900-000003000000}"/>
    <hyperlink ref="D19" r:id="rId5" xr:uid="{00000000-0004-0000-0900-000004000000}"/>
    <hyperlink ref="F19" r:id="rId6" display="Find a Mentor" xr:uid="{00000000-0004-0000-0900-000005000000}"/>
    <hyperlink ref="D20" r:id="rId7" display="WSO Templates (Resume, Networking, Models, etc)" xr:uid="{00000000-0004-0000-0900-000006000000}"/>
    <hyperlink ref="F20" r:id="rId8" display="GMAT/Series 7 Exam Prep Courses" xr:uid="{00000000-0004-0000-0900-000007000000}"/>
    <hyperlink ref="D21" r:id="rId9" display="The Talent Oasis - Land a Job!" xr:uid="{00000000-0004-0000-0900-000008000000}"/>
  </hyperlinks>
  <pageMargins left="0.7" right="0.7" top="0.75" bottom="0.75" header="0.3" footer="0.3"/>
  <pageSetup orientation="portrait" horizontalDpi="0" verticalDpi="0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M44"/>
  <sheetViews>
    <sheetView showGridLines="0" tabSelected="1" zoomScaleNormal="100" zoomScaleSheetLayoutView="85" workbookViewId="0">
      <selection activeCell="C23" sqref="C23"/>
    </sheetView>
  </sheetViews>
  <sheetFormatPr defaultColWidth="8.85546875" defaultRowHeight="12.75" x14ac:dyDescent="0.2"/>
  <cols>
    <col min="1" max="1" width="15.140625" style="1" customWidth="1"/>
    <col min="2" max="2" width="13" style="1" customWidth="1"/>
    <col min="3" max="3" width="12.42578125" style="1" customWidth="1"/>
    <col min="4" max="8" width="10.140625" style="1" bestFit="1" customWidth="1"/>
    <col min="9" max="10" width="8.85546875" style="1" customWidth="1"/>
    <col min="11" max="16384" width="8.85546875" style="1"/>
  </cols>
  <sheetData>
    <row r="1" spans="1:13" x14ac:dyDescent="0.2">
      <c r="A1" s="94" t="s">
        <v>118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x14ac:dyDescent="0.2">
      <c r="A2" s="94" t="s">
        <v>176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3" x14ac:dyDescent="0.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13" x14ac:dyDescent="0.2">
      <c r="A4" s="101" t="s">
        <v>177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13" x14ac:dyDescent="0.2">
      <c r="A5" s="101" t="s">
        <v>178</v>
      </c>
      <c r="B5" s="101"/>
      <c r="C5" s="162">
        <f>'LBO Modelling'!C6</f>
        <v>12</v>
      </c>
      <c r="D5" s="162"/>
      <c r="E5" s="101"/>
      <c r="F5" s="101"/>
      <c r="G5" s="101"/>
      <c r="H5" s="101"/>
      <c r="I5" s="101"/>
      <c r="J5" s="101"/>
      <c r="K5" s="101"/>
      <c r="L5" s="101"/>
      <c r="M5" s="101"/>
    </row>
    <row r="6" spans="1:13" x14ac:dyDescent="0.2">
      <c r="A6" s="101" t="s">
        <v>179</v>
      </c>
      <c r="B6" s="101"/>
      <c r="C6" s="162">
        <f>+DCF!D8</f>
        <v>39.624249156502799</v>
      </c>
      <c r="D6" s="162"/>
      <c r="E6" s="101"/>
      <c r="F6" s="101"/>
      <c r="G6" s="101"/>
      <c r="H6" s="101"/>
      <c r="I6" s="101"/>
      <c r="J6" s="101"/>
      <c r="K6" s="101"/>
      <c r="L6" s="101"/>
      <c r="M6" s="101"/>
    </row>
    <row r="7" spans="1:13" x14ac:dyDescent="0.2">
      <c r="A7" s="101" t="s">
        <v>180</v>
      </c>
      <c r="B7" s="101"/>
      <c r="C7" s="162">
        <f>+C5</f>
        <v>12</v>
      </c>
      <c r="D7" s="162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1" t="s">
        <v>181</v>
      </c>
      <c r="B8" s="101"/>
      <c r="C8" s="136">
        <f>DCF!I8</f>
        <v>59.774436969643936</v>
      </c>
      <c r="D8" s="162"/>
      <c r="E8" s="101"/>
      <c r="F8" s="101"/>
      <c r="G8" s="101"/>
      <c r="H8" s="101"/>
      <c r="I8" s="101"/>
      <c r="J8" s="101"/>
      <c r="K8" s="101"/>
      <c r="L8" s="101"/>
      <c r="M8" s="101"/>
    </row>
    <row r="9" spans="1:13" x14ac:dyDescent="0.2">
      <c r="A9" s="101" t="s">
        <v>182</v>
      </c>
      <c r="B9" s="101"/>
      <c r="C9" s="136">
        <f>+C7*C8</f>
        <v>717.29324363572721</v>
      </c>
      <c r="D9" s="162"/>
      <c r="E9" s="101"/>
      <c r="F9" s="101"/>
      <c r="G9" s="101"/>
      <c r="H9" s="101"/>
      <c r="I9" s="101"/>
      <c r="J9" s="101"/>
      <c r="K9" s="101"/>
      <c r="L9" s="101"/>
      <c r="M9" s="101"/>
    </row>
    <row r="10" spans="1:13" x14ac:dyDescent="0.2">
      <c r="A10" s="101" t="s">
        <v>183</v>
      </c>
      <c r="B10" s="101"/>
      <c r="C10" s="136">
        <f>+'Balance Sheet'!M23-'Balance Sheet'!M13</f>
        <v>77.964799241732436</v>
      </c>
      <c r="D10" s="162"/>
      <c r="E10" s="101"/>
      <c r="F10" s="101"/>
      <c r="G10" s="101"/>
      <c r="H10" s="101"/>
      <c r="I10" s="101"/>
      <c r="J10" s="101"/>
      <c r="K10" s="101"/>
      <c r="L10" s="101"/>
      <c r="M10" s="101"/>
    </row>
    <row r="11" spans="1:13" x14ac:dyDescent="0.2">
      <c r="A11" s="101" t="s">
        <v>184</v>
      </c>
      <c r="B11" s="101"/>
      <c r="C11" s="136">
        <f>+C9-C10</f>
        <v>639.3284443939948</v>
      </c>
      <c r="D11" s="162"/>
      <c r="E11" s="101"/>
      <c r="F11" s="101"/>
      <c r="G11" s="101"/>
      <c r="H11" s="101"/>
      <c r="I11" s="101"/>
      <c r="J11" s="101"/>
      <c r="K11" s="101"/>
      <c r="L11" s="101"/>
      <c r="M11" s="101"/>
    </row>
    <row r="12" spans="1:13" x14ac:dyDescent="0.2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</row>
    <row r="13" spans="1:13" x14ac:dyDescent="0.2">
      <c r="A13" s="134" t="str">
        <f>'Balance Sheet'!B4</f>
        <v>(YE 31-Dec, USDm)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</row>
    <row r="14" spans="1:13" x14ac:dyDescent="0.2">
      <c r="A14" s="101"/>
      <c r="B14" s="101"/>
      <c r="C14" s="169">
        <v>40908</v>
      </c>
      <c r="D14" s="169">
        <f>+C14+366</f>
        <v>41274</v>
      </c>
      <c r="E14" s="169">
        <f>+D14+365</f>
        <v>41639</v>
      </c>
      <c r="F14" s="169">
        <f>+E14+365</f>
        <v>42004</v>
      </c>
      <c r="G14" s="169">
        <f>+F14+365</f>
        <v>42369</v>
      </c>
      <c r="H14" s="169">
        <f>+G14+366</f>
        <v>42735</v>
      </c>
      <c r="I14" s="133">
        <f>+H14+1</f>
        <v>42736</v>
      </c>
      <c r="J14" s="133">
        <f>+I14+1</f>
        <v>42737</v>
      </c>
      <c r="K14" s="133">
        <f>+J14+1</f>
        <v>42738</v>
      </c>
      <c r="L14" s="133">
        <f>+K14+1</f>
        <v>42739</v>
      </c>
      <c r="M14" s="133">
        <f>+L14+1</f>
        <v>42740</v>
      </c>
    </row>
    <row r="15" spans="1:13" x14ac:dyDescent="0.2">
      <c r="A15" s="101"/>
      <c r="B15" s="101"/>
      <c r="C15" s="58">
        <f>+'Balance Sheet'!G4</f>
        <v>2011</v>
      </c>
      <c r="D15" s="59">
        <f>+'Balance Sheet'!I4</f>
        <v>2012</v>
      </c>
      <c r="E15" s="60">
        <f>+'Balance Sheet'!J4</f>
        <v>2013</v>
      </c>
      <c r="F15" s="60">
        <f>+'Balance Sheet'!K4</f>
        <v>2014</v>
      </c>
      <c r="G15" s="60">
        <f>+'Balance Sheet'!L4</f>
        <v>2015</v>
      </c>
      <c r="H15" s="60">
        <f>+'Balance Sheet'!M4</f>
        <v>2016</v>
      </c>
      <c r="I15" s="60">
        <f>+'Balance Sheet'!N4</f>
        <v>2017</v>
      </c>
      <c r="J15" s="60">
        <f>+'Balance Sheet'!O4</f>
        <v>2018</v>
      </c>
      <c r="K15" s="60">
        <f>+'Balance Sheet'!P4</f>
        <v>2019</v>
      </c>
      <c r="L15" s="60">
        <f>+'Balance Sheet'!Q4</f>
        <v>2020</v>
      </c>
      <c r="M15" s="60">
        <f>+'Balance Sheet'!R4</f>
        <v>2021</v>
      </c>
    </row>
    <row r="16" spans="1:13" x14ac:dyDescent="0.2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17" spans="1:13" x14ac:dyDescent="0.2">
      <c r="A17" s="163" t="s">
        <v>162</v>
      </c>
      <c r="B17" s="114"/>
      <c r="C17" s="164"/>
      <c r="D17" s="165"/>
      <c r="E17" s="165"/>
      <c r="F17" s="165"/>
      <c r="G17" s="165"/>
      <c r="H17" s="165"/>
      <c r="I17" s="165"/>
      <c r="J17" s="165"/>
      <c r="K17" s="165"/>
      <c r="L17" s="165"/>
      <c r="M17" s="165"/>
    </row>
    <row r="18" spans="1:13" x14ac:dyDescent="0.2">
      <c r="A18" s="101" t="s">
        <v>185</v>
      </c>
      <c r="B18" s="104"/>
      <c r="C18" s="166">
        <f>-'LBO Modelling'!D12</f>
        <v>-240.49498987803378</v>
      </c>
      <c r="D18" s="167"/>
      <c r="E18" s="167"/>
      <c r="F18" s="167"/>
      <c r="G18" s="167"/>
      <c r="H18" s="167"/>
      <c r="I18" s="167"/>
      <c r="J18" s="167"/>
      <c r="K18" s="167"/>
      <c r="L18" s="167"/>
      <c r="M18" s="167"/>
    </row>
    <row r="19" spans="1:13" x14ac:dyDescent="0.2">
      <c r="A19" s="101" t="s">
        <v>186</v>
      </c>
      <c r="B19" s="131"/>
      <c r="C19" s="166"/>
      <c r="D19" s="167"/>
      <c r="E19" s="167"/>
      <c r="F19" s="167"/>
      <c r="G19" s="167"/>
      <c r="H19" s="167">
        <f>+C11</f>
        <v>639.3284443939948</v>
      </c>
      <c r="I19" s="167"/>
      <c r="J19" s="167"/>
      <c r="K19" s="167"/>
      <c r="L19" s="167"/>
      <c r="M19" s="167"/>
    </row>
    <row r="20" spans="1:13" x14ac:dyDescent="0.2">
      <c r="A20" s="104" t="s">
        <v>187</v>
      </c>
      <c r="B20" s="104"/>
      <c r="C20" s="168">
        <f t="shared" ref="C20:H20" si="0">+C17+C18+C19</f>
        <v>-240.49498987803378</v>
      </c>
      <c r="D20" s="168">
        <f t="shared" si="0"/>
        <v>0</v>
      </c>
      <c r="E20" s="168">
        <f t="shared" si="0"/>
        <v>0</v>
      </c>
      <c r="F20" s="168">
        <f t="shared" si="0"/>
        <v>0</v>
      </c>
      <c r="G20" s="168">
        <f t="shared" si="0"/>
        <v>0</v>
      </c>
      <c r="H20" s="168">
        <f t="shared" si="0"/>
        <v>639.3284443939948</v>
      </c>
      <c r="I20" s="167"/>
      <c r="J20" s="167"/>
      <c r="K20" s="167"/>
      <c r="L20" s="167"/>
      <c r="M20" s="167"/>
    </row>
    <row r="21" spans="1:13" x14ac:dyDescent="0.2">
      <c r="A21" s="101"/>
      <c r="B21" s="101"/>
      <c r="C21" s="101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170" t="s">
        <v>188</v>
      </c>
      <c r="B22" s="171"/>
      <c r="C22" s="172">
        <f>+XIRR(C20:H20,C14:H14)</f>
        <v>0.2157118022441864</v>
      </c>
    </row>
    <row r="23" spans="1:13" ht="15" customHeight="1" x14ac:dyDescent="0.25">
      <c r="C23"/>
    </row>
    <row r="24" spans="1:13" x14ac:dyDescent="0.2">
      <c r="D24" s="1">
        <v>1</v>
      </c>
      <c r="E24" s="1">
        <f>+D24+1</f>
        <v>2</v>
      </c>
      <c r="F24" s="1">
        <f>+E24+1</f>
        <v>3</v>
      </c>
      <c r="G24" s="1">
        <f>+F24+1</f>
        <v>4</v>
      </c>
      <c r="H24" s="1">
        <f>+G24+1</f>
        <v>5</v>
      </c>
    </row>
    <row r="25" spans="1:13" x14ac:dyDescent="0.2">
      <c r="A25" s="101"/>
      <c r="B25" s="101"/>
      <c r="C25" s="58">
        <v>2011</v>
      </c>
      <c r="D25" s="59">
        <v>2012</v>
      </c>
      <c r="E25" s="60">
        <v>2013</v>
      </c>
      <c r="F25" s="60">
        <v>2014</v>
      </c>
      <c r="G25" s="60">
        <v>2015</v>
      </c>
      <c r="H25" s="60">
        <v>2016</v>
      </c>
      <c r="I25" s="60">
        <v>2017</v>
      </c>
      <c r="J25" s="60">
        <v>2018</v>
      </c>
      <c r="K25" s="60">
        <v>2019</v>
      </c>
      <c r="L25" s="60">
        <v>2020</v>
      </c>
      <c r="M25" s="60">
        <v>2021</v>
      </c>
    </row>
    <row r="26" spans="1:13" x14ac:dyDescent="0.2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1:13" x14ac:dyDescent="0.2">
      <c r="A27" s="104" t="s">
        <v>187</v>
      </c>
      <c r="B27" s="104"/>
      <c r="C27" s="168"/>
      <c r="D27" s="168"/>
      <c r="E27" s="168"/>
      <c r="F27" s="168"/>
      <c r="G27" s="168"/>
      <c r="H27" s="168">
        <f>+H20</f>
        <v>639.3284443939948</v>
      </c>
      <c r="I27" s="167"/>
      <c r="J27" s="167"/>
      <c r="K27" s="167"/>
      <c r="L27" s="167"/>
      <c r="M27" s="167"/>
    </row>
    <row r="28" spans="1:13" x14ac:dyDescent="0.2">
      <c r="A28" s="104"/>
      <c r="B28" s="104"/>
      <c r="C28" s="168"/>
      <c r="D28" s="168"/>
      <c r="E28" s="168"/>
      <c r="F28" s="168"/>
      <c r="G28" s="168"/>
      <c r="H28" s="168"/>
      <c r="I28" s="167"/>
      <c r="J28" s="167"/>
      <c r="K28" s="167"/>
      <c r="L28" s="167"/>
      <c r="M28" s="167"/>
    </row>
    <row r="29" spans="1:13" x14ac:dyDescent="0.2">
      <c r="A29" s="131" t="s">
        <v>123</v>
      </c>
      <c r="B29" s="131"/>
      <c r="C29" s="131"/>
      <c r="D29" s="7">
        <f>1/((1+$C$34)^D24)</f>
        <v>0.82256337246542677</v>
      </c>
      <c r="E29" s="7">
        <f>1/((1+$C$34)^E24)</f>
        <v>0.67661050172169646</v>
      </c>
      <c r="F29" s="7">
        <f>1/((1+$C$34)^F24)</f>
        <v>0.5565550161417232</v>
      </c>
      <c r="G29" s="7">
        <f>1/((1+$C$34)^G24)</f>
        <v>0.45780177104008585</v>
      </c>
      <c r="H29" s="7">
        <f>1/((1+$C$34)^H24)</f>
        <v>0.37657096870737816</v>
      </c>
      <c r="I29" s="7"/>
      <c r="J29" s="7"/>
      <c r="K29" s="7"/>
      <c r="L29" s="7"/>
      <c r="M29" s="7"/>
    </row>
    <row r="30" spans="1:13" x14ac:dyDescent="0.2">
      <c r="A30" s="101"/>
      <c r="B30" s="101"/>
      <c r="C30" s="101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101" t="s">
        <v>124</v>
      </c>
      <c r="B31" s="101"/>
      <c r="C31" s="101"/>
      <c r="D31" s="6">
        <f t="shared" ref="D31:M31" si="1">+D27*D29</f>
        <v>0</v>
      </c>
      <c r="E31" s="6">
        <f t="shared" si="1"/>
        <v>0</v>
      </c>
      <c r="F31" s="6">
        <f t="shared" si="1"/>
        <v>0</v>
      </c>
      <c r="G31" s="6">
        <f t="shared" si="1"/>
        <v>0</v>
      </c>
      <c r="H31" s="6">
        <f t="shared" si="1"/>
        <v>240.75253162762777</v>
      </c>
      <c r="I31" s="6">
        <f t="shared" si="1"/>
        <v>0</v>
      </c>
      <c r="J31" s="6">
        <f t="shared" si="1"/>
        <v>0</v>
      </c>
      <c r="K31" s="6">
        <f t="shared" si="1"/>
        <v>0</v>
      </c>
      <c r="L31" s="6">
        <f t="shared" si="1"/>
        <v>0</v>
      </c>
      <c r="M31" s="6">
        <f t="shared" si="1"/>
        <v>0</v>
      </c>
    </row>
    <row r="32" spans="1:13" x14ac:dyDescent="0.2">
      <c r="A32" s="101"/>
      <c r="B32" s="101"/>
      <c r="C32" s="101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101"/>
      <c r="B33" s="101"/>
      <c r="C33" s="101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170" t="s">
        <v>188</v>
      </c>
      <c r="B34" s="171"/>
      <c r="C34" s="172">
        <v>0.2157118022441864</v>
      </c>
    </row>
    <row r="36" spans="1:13" x14ac:dyDescent="0.2">
      <c r="A36" s="1" t="s">
        <v>189</v>
      </c>
      <c r="C36" s="6">
        <f>+SUM(D31:H31)</f>
        <v>240.75253162762777</v>
      </c>
    </row>
    <row r="37" spans="1:13" x14ac:dyDescent="0.2">
      <c r="A37" s="1" t="s">
        <v>90</v>
      </c>
      <c r="C37" s="6">
        <f>+DCF!C36</f>
        <v>234.99599999999981</v>
      </c>
    </row>
    <row r="38" spans="1:13" x14ac:dyDescent="0.2">
      <c r="A38" s="173" t="s">
        <v>190</v>
      </c>
      <c r="B38" s="173"/>
      <c r="C38" s="22">
        <f>C36+C37</f>
        <v>475.74853162762759</v>
      </c>
    </row>
    <row r="39" spans="1:13" x14ac:dyDescent="0.2">
      <c r="A39" s="173" t="s">
        <v>191</v>
      </c>
      <c r="B39" s="173"/>
      <c r="C39" s="174">
        <f>+C38/DCF!D8</f>
        <v>12.006499599489615</v>
      </c>
    </row>
    <row r="42" spans="1:13" x14ac:dyDescent="0.2">
      <c r="C42" s="105" t="s">
        <v>192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</row>
    <row r="43" spans="1:13" x14ac:dyDescent="0.2">
      <c r="C43" s="178">
        <v>0.15</v>
      </c>
      <c r="D43" s="13">
        <f t="shared" ref="D43:I43" si="2">+C43+0.01</f>
        <v>0.16</v>
      </c>
      <c r="E43" s="13">
        <f t="shared" si="2"/>
        <v>0.17</v>
      </c>
      <c r="F43" s="13">
        <f t="shared" si="2"/>
        <v>0.18000000000000002</v>
      </c>
      <c r="G43" s="13">
        <f t="shared" si="2"/>
        <v>0.19000000000000003</v>
      </c>
      <c r="H43" s="178">
        <f t="shared" si="2"/>
        <v>0.20000000000000004</v>
      </c>
      <c r="I43" s="13">
        <f t="shared" si="2"/>
        <v>0.21000000000000005</v>
      </c>
      <c r="J43" s="178">
        <v>0.2157118022441864</v>
      </c>
      <c r="K43" s="13">
        <f>+J43+0.01</f>
        <v>0.22571180224418641</v>
      </c>
      <c r="L43" s="13">
        <f>+K43+0.01</f>
        <v>0.23571180224418642</v>
      </c>
      <c r="M43" s="178">
        <v>0.25</v>
      </c>
    </row>
    <row r="44" spans="1:13" x14ac:dyDescent="0.2">
      <c r="A44" s="175" t="s">
        <v>193</v>
      </c>
      <c r="B44" s="176">
        <f>+C38</f>
        <v>475.74853162762759</v>
      </c>
      <c r="C44" s="179">
        <f t="dataTable" ref="C44:M44" dt2D="0" dtr="1" r1="C34"/>
        <v>552.85522876714037</v>
      </c>
      <c r="D44" s="177">
        <v>539.38859350049586</v>
      </c>
      <c r="E44" s="177">
        <v>526.6008334937485</v>
      </c>
      <c r="F44" s="177">
        <v>514.45235524289728</v>
      </c>
      <c r="G44" s="177">
        <v>502.90618244160231</v>
      </c>
      <c r="H44" s="179">
        <v>491.92776295411937</v>
      </c>
      <c r="I44" s="177">
        <v>481.48479147752607</v>
      </c>
      <c r="J44" s="179">
        <v>475.74853162762759</v>
      </c>
      <c r="K44" s="177">
        <v>466.08655075116474</v>
      </c>
      <c r="L44" s="177">
        <v>456.88616542462773</v>
      </c>
      <c r="M44" s="179">
        <v>444.49114465902403</v>
      </c>
    </row>
  </sheetData>
  <pageMargins left="0.75" right="0.75" top="1" bottom="1" header="0.3" footer="0.3"/>
  <pageSetup paperSize="9" scale="63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11"/>
  <sheetViews>
    <sheetView showGridLines="0" zoomScaleSheetLayoutView="100" workbookViewId="0">
      <selection activeCell="G9" sqref="G9"/>
    </sheetView>
  </sheetViews>
  <sheetFormatPr defaultColWidth="8.85546875" defaultRowHeight="12.75" x14ac:dyDescent="0.2"/>
  <cols>
    <col min="1" max="1" width="3.28515625" style="1" customWidth="1"/>
    <col min="2" max="2" width="20.28515625" style="1" bestFit="1" customWidth="1"/>
    <col min="3" max="4" width="8.85546875" style="1" customWidth="1"/>
    <col min="5" max="16384" width="8.85546875" style="1"/>
  </cols>
  <sheetData>
    <row r="2" spans="2:3" x14ac:dyDescent="0.2">
      <c r="B2" s="99" t="s">
        <v>194</v>
      </c>
    </row>
    <row r="4" spans="2:3" x14ac:dyDescent="0.2">
      <c r="B4" s="93" t="s">
        <v>195</v>
      </c>
      <c r="C4" s="96">
        <v>0.4</v>
      </c>
    </row>
    <row r="5" spans="2:3" x14ac:dyDescent="0.2">
      <c r="B5" s="93" t="s">
        <v>196</v>
      </c>
      <c r="C5" s="97">
        <f>1-C4</f>
        <v>0.6</v>
      </c>
    </row>
    <row r="6" spans="2:3" x14ac:dyDescent="0.2">
      <c r="C6" s="97"/>
    </row>
    <row r="7" spans="2:3" x14ac:dyDescent="0.2">
      <c r="B7" s="93" t="s">
        <v>197</v>
      </c>
      <c r="C7" s="98">
        <v>0.15</v>
      </c>
    </row>
    <row r="8" spans="2:3" x14ac:dyDescent="0.2">
      <c r="B8" s="93" t="s">
        <v>198</v>
      </c>
      <c r="C8" s="98">
        <f>+'LBO Modelling'!G11</f>
        <v>6.0000000000000005E-2</v>
      </c>
    </row>
    <row r="9" spans="2:3" x14ac:dyDescent="0.2">
      <c r="B9" s="93" t="s">
        <v>199</v>
      </c>
      <c r="C9" s="97">
        <f>+C8</f>
        <v>6.0000000000000005E-2</v>
      </c>
    </row>
    <row r="10" spans="2:3" x14ac:dyDescent="0.2">
      <c r="B10" s="93"/>
      <c r="C10" s="97"/>
    </row>
    <row r="11" spans="2:3" x14ac:dyDescent="0.2">
      <c r="B11" s="94" t="s">
        <v>125</v>
      </c>
      <c r="C11" s="95">
        <f>+(C7*C5)+(C4*C9)</f>
        <v>0.114</v>
      </c>
    </row>
  </sheetData>
  <pageMargins left="0.75" right="0.75" top="1" bottom="1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4:K24"/>
  <sheetViews>
    <sheetView showGridLines="0" zoomScale="85" zoomScaleNormal="85" workbookViewId="0">
      <selection activeCell="G22" sqref="G22"/>
    </sheetView>
  </sheetViews>
  <sheetFormatPr defaultColWidth="8.85546875" defaultRowHeight="12.75" x14ac:dyDescent="0.2"/>
  <cols>
    <col min="1" max="2" width="8.85546875" style="1" customWidth="1"/>
    <col min="3" max="3" width="26.28515625" style="1" bestFit="1" customWidth="1"/>
    <col min="4" max="5" width="8.85546875" style="1" customWidth="1"/>
    <col min="6" max="6" width="5.42578125" style="1" bestFit="1" customWidth="1"/>
    <col min="7" max="7" width="42.85546875" style="1" bestFit="1" customWidth="1"/>
    <col min="8" max="8" width="5.42578125" style="1" bestFit="1" customWidth="1"/>
    <col min="9" max="9" width="12.7109375" style="1" bestFit="1" customWidth="1"/>
    <col min="10" max="11" width="8.85546875" style="1" customWidth="1"/>
    <col min="12" max="16384" width="8.85546875" style="1"/>
  </cols>
  <sheetData>
    <row r="4" spans="3:10" x14ac:dyDescent="0.2">
      <c r="C4" s="1" t="s">
        <v>200</v>
      </c>
      <c r="D4" s="1">
        <f>+DCF!$D$8</f>
        <v>39.624249156502799</v>
      </c>
    </row>
    <row r="6" spans="3:10" x14ac:dyDescent="0.2">
      <c r="C6" s="180" t="s">
        <v>201</v>
      </c>
      <c r="D6" s="177">
        <f>+G6*J6</f>
        <v>396.24249156502799</v>
      </c>
      <c r="E6" s="177">
        <f>+F6-D6</f>
        <v>79.248498313005598</v>
      </c>
      <c r="F6" s="177">
        <f>+H6*J6</f>
        <v>475.49098987803359</v>
      </c>
      <c r="G6" s="140">
        <v>10</v>
      </c>
      <c r="H6" s="140">
        <v>12</v>
      </c>
      <c r="I6" s="1" t="s">
        <v>202</v>
      </c>
      <c r="J6" s="1">
        <f>+DCF!D8</f>
        <v>39.624249156502799</v>
      </c>
    </row>
    <row r="7" spans="3:10" x14ac:dyDescent="0.2">
      <c r="C7" s="1" t="s">
        <v>203</v>
      </c>
      <c r="D7" s="177">
        <v>550</v>
      </c>
      <c r="E7" s="177">
        <f>+F7-D7</f>
        <v>200</v>
      </c>
      <c r="F7" s="177">
        <v>750</v>
      </c>
      <c r="G7" s="1" t="s">
        <v>204</v>
      </c>
    </row>
    <row r="8" spans="3:10" x14ac:dyDescent="0.2">
      <c r="C8" s="1" t="s">
        <v>205</v>
      </c>
      <c r="D8" s="177">
        <v>510</v>
      </c>
      <c r="E8" s="177">
        <f>+F8-D8</f>
        <v>70</v>
      </c>
      <c r="F8" s="177">
        <v>580</v>
      </c>
      <c r="G8" s="1" t="s">
        <v>206</v>
      </c>
    </row>
    <row r="9" spans="3:10" x14ac:dyDescent="0.2">
      <c r="C9" s="1" t="s">
        <v>207</v>
      </c>
      <c r="D9" s="177">
        <v>440</v>
      </c>
      <c r="E9" s="177">
        <f>+F9-D9</f>
        <v>50</v>
      </c>
      <c r="F9" s="177">
        <v>490</v>
      </c>
      <c r="G9" s="1" t="s">
        <v>208</v>
      </c>
    </row>
    <row r="14" spans="3:10" x14ac:dyDescent="0.2">
      <c r="C14" s="1" t="str">
        <f>+C9</f>
        <v>LBO (5 year exit)</v>
      </c>
      <c r="D14" s="1">
        <f>+D9</f>
        <v>440</v>
      </c>
      <c r="E14" s="1">
        <f>+E9</f>
        <v>50</v>
      </c>
    </row>
    <row r="15" spans="3:10" x14ac:dyDescent="0.2">
      <c r="C15" s="1" t="str">
        <f>+C8</f>
        <v>FCFE</v>
      </c>
      <c r="D15" s="1">
        <f>+D8</f>
        <v>510</v>
      </c>
      <c r="E15" s="1">
        <f>+E8</f>
        <v>70</v>
      </c>
    </row>
    <row r="16" spans="3:10" x14ac:dyDescent="0.2">
      <c r="C16" s="1" t="str">
        <f>+C7</f>
        <v>DCF</v>
      </c>
      <c r="D16" s="1">
        <f>+D7</f>
        <v>550</v>
      </c>
      <c r="E16" s="1">
        <f>+E7</f>
        <v>200</v>
      </c>
    </row>
    <row r="17" spans="3:11" x14ac:dyDescent="0.2">
      <c r="C17" s="1" t="str">
        <f>+C6</f>
        <v>Trading Comps FY+1 EBITDA</v>
      </c>
      <c r="D17" s="1">
        <f>+D6</f>
        <v>396.24249156502799</v>
      </c>
      <c r="E17" s="1">
        <f>+E6</f>
        <v>79.248498313005598</v>
      </c>
    </row>
    <row r="21" spans="3:11" x14ac:dyDescent="0.2">
      <c r="C21" s="180" t="s">
        <v>201</v>
      </c>
      <c r="D21" s="140">
        <f>D6/$D$4</f>
        <v>10</v>
      </c>
      <c r="F21" s="140">
        <f>F6/$D$4</f>
        <v>12</v>
      </c>
      <c r="J21" s="1">
        <v>400</v>
      </c>
      <c r="K21" s="1">
        <v>750</v>
      </c>
    </row>
    <row r="22" spans="3:11" x14ac:dyDescent="0.2">
      <c r="C22" s="1" t="s">
        <v>203</v>
      </c>
      <c r="D22" s="140">
        <f>D7/$D$4</f>
        <v>13.880389198737376</v>
      </c>
      <c r="F22" s="140">
        <f>F7/$D$4</f>
        <v>18.927803452823692</v>
      </c>
      <c r="J22" s="1">
        <f>+J21/DCF!$D$8</f>
        <v>10.094828508172636</v>
      </c>
      <c r="K22" s="1">
        <f>+K21/DCF!$D$8</f>
        <v>18.927803452823692</v>
      </c>
    </row>
    <row r="23" spans="3:11" x14ac:dyDescent="0.2">
      <c r="C23" s="1" t="s">
        <v>205</v>
      </c>
      <c r="D23" s="140">
        <f>D8/$D$4</f>
        <v>12.870906347920112</v>
      </c>
      <c r="F23" s="140">
        <f>F8/$D$4</f>
        <v>14.637501336850322</v>
      </c>
    </row>
    <row r="24" spans="3:11" x14ac:dyDescent="0.2">
      <c r="C24" s="1" t="s">
        <v>207</v>
      </c>
      <c r="D24" s="140">
        <f>D9/$D$4</f>
        <v>11.1043113589899</v>
      </c>
      <c r="F24" s="140">
        <f>F9/$D$4</f>
        <v>12.36616492251148</v>
      </c>
    </row>
  </sheetData>
  <pageMargins left="0.75" right="0.75" top="1" bottom="1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4"/>
  <sheetViews>
    <sheetView workbookViewId="0">
      <selection activeCell="G22" sqref="G22"/>
    </sheetView>
  </sheetViews>
  <sheetFormatPr defaultColWidth="8.85546875" defaultRowHeight="15" x14ac:dyDescent="0.25"/>
  <sheetData>
    <row r="2" spans="1:8" x14ac:dyDescent="0.25">
      <c r="C2">
        <v>300</v>
      </c>
      <c r="D2">
        <f>+C2+100</f>
        <v>400</v>
      </c>
      <c r="E2">
        <f>+D2+100</f>
        <v>500</v>
      </c>
      <c r="F2">
        <f>+E2+100</f>
        <v>600</v>
      </c>
      <c r="G2">
        <f>+F2+100</f>
        <v>700</v>
      </c>
      <c r="H2">
        <f>+G2+100</f>
        <v>800</v>
      </c>
    </row>
    <row r="3" spans="1:8" x14ac:dyDescent="0.25">
      <c r="A3" t="s">
        <v>200</v>
      </c>
      <c r="B3">
        <f>+DCF!$D$8</f>
        <v>39.624249156502799</v>
      </c>
      <c r="C3" s="140">
        <f t="shared" ref="C3:H3" si="0">C2/$B$3</f>
        <v>7.5711213811294771</v>
      </c>
      <c r="D3" s="140">
        <f t="shared" si="0"/>
        <v>10.094828508172636</v>
      </c>
      <c r="E3" s="140">
        <f t="shared" si="0"/>
        <v>12.618535635215796</v>
      </c>
      <c r="F3" s="140">
        <f t="shared" si="0"/>
        <v>15.142242762258954</v>
      </c>
      <c r="G3" s="140">
        <f t="shared" si="0"/>
        <v>17.665949889302112</v>
      </c>
      <c r="H3" s="140">
        <f t="shared" si="0"/>
        <v>20.189657016345272</v>
      </c>
    </row>
    <row r="4" spans="1:8" x14ac:dyDescent="0.25">
      <c r="A4" t="s">
        <v>209</v>
      </c>
      <c r="B4">
        <f>+DCF!$E$8</f>
        <v>42.687896050238059</v>
      </c>
      <c r="C4" s="140">
        <f t="shared" ref="C4:H4" si="1">C2/$B$4</f>
        <v>7.0277532452510503</v>
      </c>
      <c r="D4" s="140">
        <f t="shared" si="1"/>
        <v>9.3703376603347337</v>
      </c>
      <c r="E4" s="140">
        <f t="shared" si="1"/>
        <v>11.712922075418417</v>
      </c>
      <c r="F4" s="140">
        <f t="shared" si="1"/>
        <v>14.055506490502101</v>
      </c>
      <c r="G4" s="140">
        <f t="shared" si="1"/>
        <v>16.398090905585782</v>
      </c>
      <c r="H4" s="140">
        <f t="shared" si="1"/>
        <v>18.740675320669467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Assumptions</vt:lpstr>
      <vt:lpstr>Income Statement</vt:lpstr>
      <vt:lpstr>Balance Sheet</vt:lpstr>
      <vt:lpstr>Cash Flow Statement</vt:lpstr>
      <vt:lpstr>PPE Schedule</vt:lpstr>
      <vt:lpstr>Debt Schedule</vt:lpstr>
      <vt:lpstr>DCF</vt:lpstr>
      <vt:lpstr>LBO Modelling</vt:lpstr>
      <vt:lpstr>FCFE Valuation</vt:lpstr>
      <vt:lpstr>WSO Cover Page</vt:lpstr>
      <vt:lpstr>PE Returns analysis</vt:lpstr>
      <vt:lpstr>WACC Calculation</vt:lpstr>
      <vt:lpstr>Football Field</vt:lpstr>
      <vt:lpstr>Charts</vt:lpstr>
      <vt:lpstr>Assumptions!Print_Area</vt:lpstr>
      <vt:lpstr>'Balance Sheet'!Print_Area</vt:lpstr>
      <vt:lpstr>DCF!Print_Area</vt:lpstr>
      <vt:lpstr>'Debt Schedule'!Print_Area</vt:lpstr>
      <vt:lpstr>'Income Statement'!Print_Area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Ashley Mayer</cp:lastModifiedBy>
  <cp:lastPrinted>2016-03-20T15:32:52Z</cp:lastPrinted>
  <dcterms:created xsi:type="dcterms:W3CDTF">2016-03-20T09:22:44Z</dcterms:created>
  <dcterms:modified xsi:type="dcterms:W3CDTF">2024-09-10T00:32:26Z</dcterms:modified>
</cp:coreProperties>
</file>