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OneDrive\C# Source\PortfolioPerformance\"/>
    </mc:Choice>
  </mc:AlternateContent>
  <xr:revisionPtr revIDLastSave="0" documentId="13_ncr:1_{AEE7C60C-4D52-4685-955A-03EC0A6BBA33}" xr6:coauthVersionLast="45" xr6:coauthVersionMax="45" xr10:uidLastSave="{00000000-0000-0000-0000-000000000000}"/>
  <bookViews>
    <workbookView xWindow="4755" yWindow="2700" windowWidth="27480" windowHeight="15990" xr2:uid="{344BB257-92D6-46F2-9766-17934D9BF305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Sheet1!$D$28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9" i="1" l="1"/>
  <c r="G26" i="1" a="1"/>
  <c r="G26" i="1" l="1"/>
  <c r="D29" i="1" a="1"/>
  <c r="D29" i="1" s="1"/>
  <c r="G29" i="1" a="1"/>
  <c r="G29" i="1" l="1"/>
  <c r="D30" i="1" a="1"/>
  <c r="D30" i="1" s="1"/>
  <c r="G30" i="1" a="1"/>
  <c r="G30" i="1" l="1"/>
  <c r="H30" i="1" s="1"/>
  <c r="H24" i="1"/>
  <c r="H25" i="1"/>
  <c r="H27" i="1"/>
  <c r="L24" i="1" a="1"/>
  <c r="L23" i="1" a="1"/>
  <c r="G23" i="1" a="1"/>
  <c r="G22" i="1" a="1"/>
  <c r="G21" i="1" a="1"/>
  <c r="G28" i="1" a="1"/>
  <c r="L22" i="1" a="1"/>
  <c r="L21" i="1" a="1"/>
  <c r="L22" i="1" l="1"/>
  <c r="L21" i="1"/>
  <c r="G23" i="1"/>
  <c r="H23" i="1" s="1"/>
  <c r="G22" i="1"/>
  <c r="H22" i="1" s="1"/>
  <c r="G21" i="1"/>
  <c r="H21" i="1" s="1"/>
  <c r="G28" i="1"/>
  <c r="H28" i="1" s="1"/>
  <c r="L23" i="1"/>
  <c r="L24" i="1"/>
  <c r="D24" i="1"/>
  <c r="C24" i="1"/>
  <c r="G27" i="1" a="1"/>
  <c r="G25" i="1" a="1"/>
  <c r="G24" i="1" a="1"/>
  <c r="G27" i="1" l="1"/>
  <c r="G25" i="1"/>
  <c r="G24" i="1"/>
  <c r="H26" i="1"/>
  <c r="C23" i="1" a="1"/>
  <c r="C23" i="1" s="1"/>
  <c r="C22" i="1" a="1"/>
  <c r="C22" i="1" s="1"/>
  <c r="D23" i="1" a="1"/>
  <c r="D23" i="1" s="1"/>
  <c r="D22" i="1" a="1"/>
  <c r="D22" i="1" s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D28" i="1" l="1" a="1"/>
  <c r="D28" i="1" s="1"/>
  <c r="C28" i="1" a="1"/>
  <c r="C28" i="1" s="1"/>
  <c r="D25" i="1" l="1"/>
  <c r="C25" i="1"/>
  <c r="D21" i="1"/>
  <c r="D20" i="1"/>
  <c r="D19" i="1"/>
  <c r="C19" i="1"/>
  <c r="C27" i="1" s="1"/>
  <c r="B19" i="1"/>
  <c r="D27" i="1" l="1"/>
  <c r="D26" i="1"/>
  <c r="C21" i="1"/>
  <c r="C26" i="1" s="1"/>
  <c r="C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<sst xmlns="http://schemas.openxmlformats.org/spreadsheetml/2006/main" count="25" uniqueCount="22">
  <si>
    <t>RFR</t>
  </si>
  <si>
    <t>SP 500</t>
  </si>
  <si>
    <t>Mean</t>
  </si>
  <si>
    <t>Std Dev</t>
  </si>
  <si>
    <t>Sharpe Ratio</t>
  </si>
  <si>
    <t>Normal</t>
  </si>
  <si>
    <t>My UDF Results</t>
  </si>
  <si>
    <t>Treynor Index</t>
  </si>
  <si>
    <t>Beta</t>
  </si>
  <si>
    <t>M-Squared</t>
  </si>
  <si>
    <t>Asset</t>
  </si>
  <si>
    <t>Jensen's Alpha</t>
  </si>
  <si>
    <t>MKT</t>
  </si>
  <si>
    <t>Bull Beta</t>
  </si>
  <si>
    <t>Bear Beta</t>
  </si>
  <si>
    <t>Beta Timing Ratio</t>
  </si>
  <si>
    <t>Difference</t>
  </si>
  <si>
    <t>Normal expected data</t>
  </si>
  <si>
    <t>Excess returns</t>
  </si>
  <si>
    <t>Nothing but positive market  returns (should cause errors in some functions)</t>
  </si>
  <si>
    <t>Information Ratio</t>
  </si>
  <si>
    <t>Tracking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</si>
</sst>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%"/>
    <numFmt numFmtId="165" formatCode="_(* #,##0.000000_);_(* \(#,##0.000000\);_(* &quot;-&quot;??_);_(@_)"/>
    <numFmt numFmtId="166" formatCode="0.00000%"/>
    <numFmt numFmtId="167" formatCode="_(* #,##0.00000_);_(* \(#,##0.00000\);_(* &quot;-&quot;??_);_(@_)"/>
    <numFmt numFmtId="168" formatCode="_(* #,##0.00000_);_(* \(#,##0.00000\);_(* &quot;-&quot;?????_);_(@_)"/>
  </numFmts>
  <fonts count="3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166" fontId="0" fillId="0" borderId="0" xfId="2" applyNumberFormat="1" applyFont="1"/>
    <xf numFmtId="166" fontId="0" fillId="0" borderId="0" xfId="1" applyNumberFormat="1" applyFont="1"/>
    <xf numFmtId="167" fontId="0" fillId="0" borderId="0" xfId="1" applyNumberFormat="1" applyFont="1"/>
    <xf numFmtId="167" fontId="0" fillId="0" borderId="0" xfId="1" quotePrefix="1" applyNumberFormat="1" applyFont="1"/>
    <xf numFmtId="168" fontId="0" fillId="0" borderId="0" xfId="0" applyNumberFormat="1"/>
    <xf numFmtId="164" fontId="0" fillId="0" borderId="0" xfId="0" applyNumberFormat="1"/>
    <xf numFmtId="166" fontId="0" fillId="0" borderId="0" xfId="2" quotePrefix="1" applyNumberFormat="1" applyFont="1"/>
    <xf numFmtId="166" fontId="0" fillId="0" borderId="0" xfId="0" quotePrefix="1" applyNumberFormat="1"/>
    <xf numFmtId="10" fontId="0" fillId="0" borderId="0" xfId="2" applyNumberFormat="1" applyFont="1"/>
    <xf numFmtId="0" fontId="0" fillId="0" borderId="0" xfId="0" quotePrefix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F22F-5A0F-4104-B600-63C465102B60}">
  <dimension ref="A1:L33"/>
  <sheetViews>
    <sheetView tabSelected="1" workbookViewId="0">
      <selection activeCell="A31" sqref="A31"/>
    </sheetView>
  </sheetViews>
  <sheetFormatPr defaultRowHeight="15" x14ac:dyDescent="0.25"/>
  <cols>
    <col min="1" max="1" width="16.42578125" bestFit="1" customWidth="1"/>
    <col min="2" max="2" width="9.42578125" bestFit="1" customWidth="1"/>
    <col min="3" max="3" width="11.7109375" bestFit="1" customWidth="1"/>
    <col min="4" max="4" width="11.85546875" customWidth="1"/>
    <col min="5" max="6" width="10.7109375" bestFit="1" customWidth="1"/>
    <col min="7" max="7" width="22.5703125" bestFit="1" customWidth="1"/>
    <col min="8" max="8" width="14.5703125" bestFit="1" customWidth="1"/>
    <col min="12" max="12" width="10.140625" bestFit="1" customWidth="1"/>
  </cols>
  <sheetData>
    <row r="1" spans="2:12" x14ac:dyDescent="0.25">
      <c r="B1" t="s">
        <v>17</v>
      </c>
      <c r="G1" t="s">
        <v>18</v>
      </c>
      <c r="K1" t="s">
        <v>19</v>
      </c>
    </row>
    <row r="2" spans="2:12" x14ac:dyDescent="0.25">
      <c r="B2" t="s">
        <v>0</v>
      </c>
      <c r="C2" t="s">
        <v>1</v>
      </c>
      <c r="D2" t="s">
        <v>10</v>
      </c>
      <c r="G2" t="s">
        <v>12</v>
      </c>
      <c r="H2" t="s">
        <v>10</v>
      </c>
      <c r="K2" t="s">
        <v>1</v>
      </c>
      <c r="L2" t="s">
        <v>10</v>
      </c>
    </row>
    <row r="3" spans="2:12" x14ac:dyDescent="0.25">
      <c r="B3" s="1">
        <v>0</v>
      </c>
      <c r="C3" s="1">
        <v>-9.4000423002005284E-5</v>
      </c>
      <c r="D3" s="1">
        <v>0</v>
      </c>
      <c r="G3" s="11">
        <f>C3-$B3</f>
        <v>-9.4000423002005284E-5</v>
      </c>
      <c r="H3" s="11">
        <f>D3-$B3</f>
        <v>0</v>
      </c>
      <c r="K3" s="14">
        <v>9.4000423002005284E-5</v>
      </c>
      <c r="L3" s="14">
        <v>0</v>
      </c>
    </row>
    <row r="4" spans="2:12" x14ac:dyDescent="0.25">
      <c r="B4" s="1">
        <v>8.2200000000032247E-5</v>
      </c>
      <c r="C4" s="1">
        <v>3.2231746255595439E-4</v>
      </c>
      <c r="D4" s="1">
        <v>3.1331199999999892E-3</v>
      </c>
      <c r="G4" s="11">
        <f t="shared" ref="G4:H17" si="0">C4-$B4</f>
        <v>2.4011746255592215E-4</v>
      </c>
      <c r="H4" s="11">
        <f t="shared" si="0"/>
        <v>3.050919999999957E-3</v>
      </c>
      <c r="K4" s="14">
        <v>3.2231746255595439E-4</v>
      </c>
      <c r="L4" s="14">
        <v>3.1331199999999892E-3</v>
      </c>
    </row>
    <row r="5" spans="2:12" x14ac:dyDescent="0.25">
      <c r="B5" s="1">
        <v>8.2193243715389386E-5</v>
      </c>
      <c r="C5" s="1">
        <v>7.2296678179091245E-3</v>
      </c>
      <c r="D5" s="1">
        <v>1.113068622437674E-2</v>
      </c>
      <c r="G5" s="11">
        <f t="shared" si="0"/>
        <v>7.1474745741937351E-3</v>
      </c>
      <c r="H5" s="11">
        <f t="shared" si="0"/>
        <v>1.1048492980661351E-2</v>
      </c>
      <c r="K5" s="14">
        <v>7.2296678179091245E-3</v>
      </c>
      <c r="L5" s="14">
        <v>1.113068622437674E-2</v>
      </c>
    </row>
    <row r="6" spans="2:12" x14ac:dyDescent="0.25">
      <c r="B6" s="1">
        <v>8.2186488541191594E-5</v>
      </c>
      <c r="C6" s="1">
        <v>2.8791074766820746E-3</v>
      </c>
      <c r="D6" s="1">
        <v>-1.5737770653512229E-3</v>
      </c>
      <c r="G6" s="11">
        <f t="shared" si="0"/>
        <v>2.796920988140883E-3</v>
      </c>
      <c r="H6" s="11">
        <f t="shared" si="0"/>
        <v>-1.6559635538924145E-3</v>
      </c>
      <c r="K6" s="14">
        <v>2.8791074766820746E-3</v>
      </c>
      <c r="L6" s="14">
        <v>-1.5737770653512229E-3</v>
      </c>
    </row>
    <row r="7" spans="2:12" x14ac:dyDescent="0.25">
      <c r="B7" s="1">
        <v>8.2199729546594824E-5</v>
      </c>
      <c r="C7" s="1">
        <v>-7.2435597111886185E-4</v>
      </c>
      <c r="D7" s="1">
        <v>-1.2263622560784171E-3</v>
      </c>
      <c r="G7" s="11">
        <f t="shared" si="0"/>
        <v>-8.0655570066545668E-4</v>
      </c>
      <c r="H7" s="11">
        <f t="shared" si="0"/>
        <v>-1.3085619856250119E-3</v>
      </c>
      <c r="K7" s="14">
        <v>7.2435597111886185E-4</v>
      </c>
      <c r="L7" s="14">
        <v>-1.2263622560784171E-3</v>
      </c>
    </row>
    <row r="8" spans="2:12" x14ac:dyDescent="0.25">
      <c r="B8" s="1">
        <v>2.4657891991952674E-4</v>
      </c>
      <c r="C8" s="1">
        <v>-3.1356092824675885E-3</v>
      </c>
      <c r="D8" s="1">
        <v>-6.0585660461631718E-5</v>
      </c>
      <c r="G8" s="11">
        <f t="shared" si="0"/>
        <v>-3.3821882023871153E-3</v>
      </c>
      <c r="H8" s="11">
        <f t="shared" si="0"/>
        <v>-3.0716458038115846E-4</v>
      </c>
      <c r="K8" s="14">
        <v>3.1356092824675885E-3</v>
      </c>
      <c r="L8" s="14">
        <v>-6.0585660461631718E-5</v>
      </c>
    </row>
    <row r="9" spans="2:12" x14ac:dyDescent="0.25">
      <c r="B9" s="1">
        <v>8.219269974518717E-5</v>
      </c>
      <c r="C9" s="1">
        <v>2.5817555938039138E-3</v>
      </c>
      <c r="D9" s="1">
        <v>2.1230588697924713E-3</v>
      </c>
      <c r="G9" s="11">
        <f t="shared" si="0"/>
        <v>2.4995628940587267E-3</v>
      </c>
      <c r="H9" s="11">
        <f t="shared" si="0"/>
        <v>2.0408661700472841E-3</v>
      </c>
      <c r="K9" s="14">
        <v>2.5817555938039138E-3</v>
      </c>
      <c r="L9" s="14">
        <v>2.1230588697924713E-3</v>
      </c>
    </row>
    <row r="10" spans="2:12" x14ac:dyDescent="0.25">
      <c r="B10" s="1">
        <v>8.2185944660473353E-5</v>
      </c>
      <c r="C10" s="1">
        <v>3.4268223708289192E-4</v>
      </c>
      <c r="D10" s="1">
        <v>-1.2212168590912675E-3</v>
      </c>
      <c r="G10" s="11">
        <f t="shared" si="0"/>
        <v>2.6049629242241856E-4</v>
      </c>
      <c r="H10" s="11">
        <f t="shared" si="0"/>
        <v>-1.3034028037517409E-3</v>
      </c>
      <c r="K10" s="14">
        <v>3.4268223708289192E-4</v>
      </c>
      <c r="L10" s="14">
        <v>-1.2212168590912675E-3</v>
      </c>
    </row>
    <row r="11" spans="2:12" x14ac:dyDescent="0.25">
      <c r="B11" s="1">
        <v>8.2199175897912369E-5</v>
      </c>
      <c r="C11" s="1">
        <v>1.9955233758750524E-5</v>
      </c>
      <c r="D11" s="1">
        <v>5.190551166665891E-3</v>
      </c>
      <c r="G11" s="11">
        <f t="shared" si="0"/>
        <v>-6.2243942139161845E-5</v>
      </c>
      <c r="H11" s="11">
        <f t="shared" si="0"/>
        <v>5.1083519907679786E-3</v>
      </c>
      <c r="K11" s="14">
        <v>1.9955233758750524E-5</v>
      </c>
      <c r="L11" s="14">
        <v>5.190551166665891E-3</v>
      </c>
    </row>
    <row r="12" spans="2:12" x14ac:dyDescent="0.25">
      <c r="B12" s="1">
        <v>8.2192419748716716E-5</v>
      </c>
      <c r="C12" s="1">
        <v>-4.895586322955392E-3</v>
      </c>
      <c r="D12" s="1">
        <v>-1.1019876585149913E-2</v>
      </c>
      <c r="G12" s="11">
        <f t="shared" si="0"/>
        <v>-4.9777787427041087E-3</v>
      </c>
      <c r="H12" s="11">
        <f t="shared" si="0"/>
        <v>-1.1102069004898629E-2</v>
      </c>
      <c r="K12" s="14">
        <v>4.895586322955392E-3</v>
      </c>
      <c r="L12" s="14">
        <v>-1.1019876585149913E-2</v>
      </c>
    </row>
    <row r="13" spans="2:12" x14ac:dyDescent="0.25">
      <c r="B13" s="1">
        <v>2.4657697605667828E-4</v>
      </c>
      <c r="C13" s="1">
        <v>-9.6922866109405703E-5</v>
      </c>
      <c r="D13" s="1">
        <v>2.7731910686723538E-4</v>
      </c>
      <c r="G13" s="11">
        <f t="shared" si="0"/>
        <v>-3.4349984216608398E-4</v>
      </c>
      <c r="H13" s="11">
        <f t="shared" si="0"/>
        <v>3.07421308105571E-5</v>
      </c>
      <c r="K13" s="14">
        <v>9.6922866109405703E-5</v>
      </c>
      <c r="L13" s="14">
        <v>2.7731910686723538E-4</v>
      </c>
    </row>
    <row r="14" spans="2:12" x14ac:dyDescent="0.25">
      <c r="B14" s="1">
        <v>8.2185381613975039E-5</v>
      </c>
      <c r="C14" s="1">
        <v>-8.4163942535884217E-3</v>
      </c>
      <c r="D14" s="1">
        <v>-4.8789385894569826E-3</v>
      </c>
      <c r="G14" s="11">
        <f t="shared" si="0"/>
        <v>-8.4985796352023968E-3</v>
      </c>
      <c r="H14" s="11">
        <f t="shared" si="0"/>
        <v>-4.9611239710709576E-3</v>
      </c>
      <c r="K14" s="14">
        <v>8.4163942535884217E-3</v>
      </c>
      <c r="L14" s="14">
        <v>-4.8789385894569826E-3</v>
      </c>
    </row>
    <row r="15" spans="2:12" x14ac:dyDescent="0.25">
      <c r="B15" s="1">
        <v>8.2198603090999356E-5</v>
      </c>
      <c r="C15" s="1">
        <v>6.1585653610194413E-3</v>
      </c>
      <c r="D15" s="1">
        <v>7.5949356979387872E-3</v>
      </c>
      <c r="G15" s="11">
        <f t="shared" si="0"/>
        <v>6.0763667579284419E-3</v>
      </c>
      <c r="H15" s="11">
        <f t="shared" si="0"/>
        <v>7.5127370948477878E-3</v>
      </c>
      <c r="K15" s="14">
        <v>6.1585653610194413E-3</v>
      </c>
      <c r="L15" s="14">
        <v>7.5949356979387872E-3</v>
      </c>
    </row>
    <row r="16" spans="2:12" x14ac:dyDescent="0.25">
      <c r="B16" s="1">
        <v>8.2191847036172661E-5</v>
      </c>
      <c r="C16" s="1">
        <v>-2.4289165022262083E-3</v>
      </c>
      <c r="D16" s="1">
        <v>-6.3539265847126769E-3</v>
      </c>
      <c r="G16" s="11">
        <f t="shared" si="0"/>
        <v>-2.5111083492623809E-3</v>
      </c>
      <c r="H16" s="11">
        <f t="shared" si="0"/>
        <v>-6.4361184317488496E-3</v>
      </c>
      <c r="K16" s="14">
        <v>2.4289165022262083E-3</v>
      </c>
      <c r="L16" s="14">
        <v>-6.3539265847126769E-3</v>
      </c>
    </row>
    <row r="17" spans="1:12" x14ac:dyDescent="0.25">
      <c r="B17" s="1">
        <v>8.218509209156899E-5</v>
      </c>
      <c r="C17" s="1">
        <v>-5.3163264620735839E-3</v>
      </c>
      <c r="D17" s="1">
        <v>2.6039764394154563E-3</v>
      </c>
      <c r="G17" s="11">
        <f t="shared" si="0"/>
        <v>-5.3985115541651529E-3</v>
      </c>
      <c r="H17" s="11">
        <f t="shared" si="0"/>
        <v>2.5217913473238873E-3</v>
      </c>
      <c r="K17" s="14">
        <v>5.3163264620735839E-3</v>
      </c>
      <c r="L17" s="14">
        <v>2.6039764394154563E-3</v>
      </c>
    </row>
    <row r="18" spans="1:12" x14ac:dyDescent="0.25">
      <c r="B18" s="1"/>
      <c r="C18" s="1"/>
    </row>
    <row r="19" spans="1:12" x14ac:dyDescent="0.25">
      <c r="A19" t="s">
        <v>2</v>
      </c>
      <c r="B19" s="6">
        <f>AVERAGE(B3:B17)</f>
        <v>9.8631101444294586E-5</v>
      </c>
      <c r="C19" s="6">
        <f>AVERAGE(C3:C17)</f>
        <v>-3.7160406004862107E-4</v>
      </c>
      <c r="D19" s="6">
        <f>AVERAGE(D3:D17)</f>
        <v>3.8126426031696398E-4</v>
      </c>
      <c r="G19" s="3" t="s">
        <v>6</v>
      </c>
      <c r="H19" s="4"/>
    </row>
    <row r="20" spans="1:12" x14ac:dyDescent="0.25">
      <c r="A20" t="s">
        <v>3</v>
      </c>
      <c r="B20" s="1"/>
      <c r="C20" s="7">
        <f>_xlfn.STDEV.S(C3:C17)</f>
        <v>4.1631161702144655E-3</v>
      </c>
      <c r="D20" s="7">
        <f>_xlfn.STDEV.S(D3:D17)</f>
        <v>5.4681409263410462E-3</v>
      </c>
      <c r="G20" s="5" t="s">
        <v>5</v>
      </c>
      <c r="H20" t="s">
        <v>16</v>
      </c>
      <c r="I20" s="4"/>
    </row>
    <row r="21" spans="1:12" x14ac:dyDescent="0.25">
      <c r="A21" t="s">
        <v>8</v>
      </c>
      <c r="C21" s="8">
        <f>_xlfn.COVARIANCE.P(C3:C17,$C$3:$C$17)/_xlfn.VAR.P($C$3:$C$17)</f>
        <v>0.99999999999999978</v>
      </c>
      <c r="D21" s="8">
        <f>_xlfn.COVARIANCE.P(D3:D17,$C$3:$C$17)/_xlfn.VAR.P($C$3:$C$17)</f>
        <v>0.9424115940712039</v>
      </c>
      <c r="G21" s="9" cm="1">
        <f t="array" ref="G21">_xll.Beta(D3:D17,C3:C17)</f>
        <v>0.94241159407120412</v>
      </c>
      <c r="H21" s="10">
        <f>D21-G21</f>
        <v>0</v>
      </c>
      <c r="L21" cm="1">
        <f t="array" ref="L21">_xll.Beta(L3:L17,K3:K17)</f>
        <v>0.12710524781890767</v>
      </c>
    </row>
    <row r="22" spans="1:12" x14ac:dyDescent="0.25">
      <c r="A22" t="s">
        <v>13</v>
      </c>
      <c r="C22" s="8" cm="1">
        <f t="array" ref="C22">SLOPE(_xlfn._xlws.FILTER(C3:C17,C3:C17&gt;0),_xlfn._xlws.FILTER(C3:C17,C3:C17&gt;0))</f>
        <v>1</v>
      </c>
      <c r="D22" s="8" cm="1">
        <f t="array" ref="D22">SLOPE(_xlfn._xlws.FILTER(D3:D17,C3:C17&gt;0),_xlfn._xlws.FILTER(C3:C17,C3:C17&gt;0))</f>
        <v>1.0869212641710992</v>
      </c>
      <c r="G22" s="9" cm="1">
        <f t="array" ref="G22">_xll.BullBeta(D3:D17,C3:C17)</f>
        <v>1.0869212641710995</v>
      </c>
      <c r="H22" s="10">
        <f t="shared" ref="H22:H30" si="1">D22-G22</f>
        <v>0</v>
      </c>
      <c r="L22" cm="1">
        <f t="array" ref="L22">_xll.BullBeta(L3:L17,K3:K17)</f>
        <v>0.12710524781890767</v>
      </c>
    </row>
    <row r="23" spans="1:12" x14ac:dyDescent="0.25">
      <c r="A23" t="s">
        <v>14</v>
      </c>
      <c r="C23" s="8" cm="1">
        <f t="array" ref="C23">SLOPE(_xlfn._xlws.FILTER(C3:C17,C3:C17&lt;0),_xlfn._xlws.FILTER(C3:C17,C3:C17&lt;0))</f>
        <v>1</v>
      </c>
      <c r="D23" s="8" cm="1">
        <f t="array" ref="D23">SLOPE(_xlfn._xlws.FILTER(D3:D17,C3:C17&lt;0),_xlfn._xlws.FILTER(C3:C17,C3:C17&lt;0))</f>
        <v>0.54207326774062659</v>
      </c>
      <c r="G23" s="9" cm="1">
        <f t="array" ref="G23">_xll.BearBeta(D3:D17,C3:C17)</f>
        <v>0.54207326774062647</v>
      </c>
      <c r="H23" s="10">
        <f t="shared" si="1"/>
        <v>0</v>
      </c>
      <c r="L23" t="e" cm="1">
        <f t="array" ref="L23">_xll.BearBeta(L3:L17,K3:K17)</f>
        <v>#VALUE!</v>
      </c>
    </row>
    <row r="24" spans="1:12" x14ac:dyDescent="0.25">
      <c r="A24" t="s">
        <v>15</v>
      </c>
      <c r="C24" s="8">
        <f>C22/C23</f>
        <v>1</v>
      </c>
      <c r="D24" s="8">
        <f>D22/D23</f>
        <v>2.0051187336748981</v>
      </c>
      <c r="G24" s="9" cm="1">
        <f t="array" ref="G24">_xll.BetaTimingRatio(D3:D17,C3:C17)</f>
        <v>2.005118733674899</v>
      </c>
      <c r="H24" s="10">
        <f t="shared" si="1"/>
        <v>0</v>
      </c>
      <c r="L24" s="15" t="e" cm="1">
        <f t="array" ref="L24">_xll.BetaTimingRatio(L3:L17,K3:K17)</f>
        <v>#VALUE!</v>
      </c>
    </row>
    <row r="25" spans="1:12" x14ac:dyDescent="0.25">
      <c r="A25" t="s">
        <v>4</v>
      </c>
      <c r="B25" s="1"/>
      <c r="C25" s="8">
        <f>(AVERAGE(C3:C17)-AVERAGE($B$3:$B$17))/_xlfn.STDEV.S(C3:C17)</f>
        <v>-0.11295268790654267</v>
      </c>
      <c r="D25" s="8">
        <f>(AVERAGE(D3:D17)-AVERAGE($B$3:$B$17))/_xlfn.STDEV.S(D3:D17)</f>
        <v>5.1687248496316764E-2</v>
      </c>
      <c r="E25" s="2"/>
      <c r="G25" s="9" cm="1">
        <f t="array" ref="G25">_xll.SharpeRatio(D3:D17,B3:B17)</f>
        <v>5.1687248496316764E-2</v>
      </c>
      <c r="H25" s="10">
        <f t="shared" si="1"/>
        <v>0</v>
      </c>
    </row>
    <row r="26" spans="1:12" x14ac:dyDescent="0.25">
      <c r="A26" t="s">
        <v>7</v>
      </c>
      <c r="B26" s="1"/>
      <c r="C26" s="8">
        <f>(AVERAGE(C3:C17)-AVERAGE($B$3:$B$17))/C21</f>
        <v>-4.7023516149291577E-4</v>
      </c>
      <c r="D26" s="8">
        <f>(AVERAGE(D3:D17)-AVERAGE($B$3:$B$17))/D21</f>
        <v>2.9990416146271969E-4</v>
      </c>
      <c r="G26" s="9" cm="1">
        <f t="array" ref="G26">_xll.TreynorIndex(D3:D17,B3:B17,G21)</f>
        <v>2.9990416146271964E-4</v>
      </c>
      <c r="H26" s="10">
        <f t="shared" si="1"/>
        <v>0</v>
      </c>
    </row>
    <row r="27" spans="1:12" x14ac:dyDescent="0.25">
      <c r="A27" t="s">
        <v>9</v>
      </c>
      <c r="C27" s="8">
        <f>(_xlfn.STDEV.S($C$3:$C$17)/_xlfn.STDEV.S(C3:C17))*(C19-$B$19)+$B$19</f>
        <v>-3.7160406004862107E-4</v>
      </c>
      <c r="D27" s="8">
        <f>(_xlfn.STDEV.S($C$3:$C$17)/_xlfn.STDEV.S(D3:D17))*(D19-$B$19)+$B$19</f>
        <v>3.138111214532042E-4</v>
      </c>
      <c r="G27" s="9" cm="1">
        <f t="array" ref="G27">_xll.MSquared(D3:D17,C3:C17,B3:B17)</f>
        <v>3.1381112145320415E-4</v>
      </c>
      <c r="H27" s="10">
        <f t="shared" si="1"/>
        <v>0</v>
      </c>
    </row>
    <row r="28" spans="1:12" x14ac:dyDescent="0.25">
      <c r="A28" t="s">
        <v>11</v>
      </c>
      <c r="C28" s="12" cm="1">
        <f t="array" ref="C28">INTERCEPT(C3:C17-$B$3:$B$17,$C$3:$C$17-$B$3:$B$17)</f>
        <v>0</v>
      </c>
      <c r="D28" s="12" cm="1">
        <f t="array" ref="D28">INTERCEPT(D3:D17-$B$3:$B$17,$C$3:$C$17-$B$3:$B$17)</f>
        <v>7.2516916083697341E-4</v>
      </c>
      <c r="G28" s="13" cm="1">
        <f t="array" ref="G28">_xll.JensensAlpha(D3:D17,C3:C17,B3:B17)</f>
        <v>7.2578822700353814E-4</v>
      </c>
      <c r="H28" s="10">
        <f t="shared" si="1"/>
        <v>-6.1906616656472874E-7</v>
      </c>
    </row>
    <row r="29" spans="1:12" x14ac:dyDescent="0.25">
      <c r="A29" t="s">
        <v>21</v>
      </c>
      <c r="C29" s="12"/>
      <c r="D29" s="12" cm="1">
        <f t="array" ref="D29">_xlfn.STDEV.S(D3:D17-C3:C17)</f>
        <v>3.816440754566235E-3</v>
      </c>
      <c r="G29" s="13" cm="1">
        <f t="array" ref="G29">_xll.TrackingError(D3:D17,C3:C17)</f>
        <v>3.816440754566235E-3</v>
      </c>
      <c r="H29" s="10">
        <f t="shared" si="1"/>
        <v>0</v>
      </c>
    </row>
    <row r="30" spans="1:12" x14ac:dyDescent="0.25">
      <c r="A30" t="s">
        <v>20</v>
      </c>
      <c r="D30" s="8" cm="1">
        <f t="array" ref="D30">(AVERAGE(D3:D17)-AVERAGE(C3:C17))/_xlfn.STDEV.S(D3:D17-C3:C17)</f>
        <v>0.19726975178765843</v>
      </c>
      <c r="G30" s="8" cm="1">
        <f t="array" ref="G30">_xll.InformationRatio(D3:D17,C3:C17)</f>
        <v>0.19726975178765843</v>
      </c>
      <c r="H30" s="10">
        <f t="shared" si="1"/>
        <v>0</v>
      </c>
    </row>
    <row r="31" spans="1:12" x14ac:dyDescent="0.25">
      <c r="C31" s="6"/>
      <c r="D31" s="6"/>
      <c r="G31" s="10"/>
    </row>
    <row r="32" spans="1:12" x14ac:dyDescent="0.25">
      <c r="C32" s="1"/>
      <c r="G32" s="10"/>
    </row>
    <row r="33" spans="3:5" x14ac:dyDescent="0.25">
      <c r="C33" s="11"/>
      <c r="D33" s="11"/>
      <c r="E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R. Mayes, Ph.D.</dc:creator>
  <cp:lastModifiedBy>Timothy R. Mayes, Ph.D.</cp:lastModifiedBy>
  <dcterms:created xsi:type="dcterms:W3CDTF">2019-12-15T23:32:54Z</dcterms:created>
  <dcterms:modified xsi:type="dcterms:W3CDTF">2019-12-22T19:10:00Z</dcterms:modified>
</cp:coreProperties>
</file>