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OneDrive\C# Source\PortfolioPerformance\PortfolioPerformance\"/>
    </mc:Choice>
  </mc:AlternateContent>
  <xr:revisionPtr revIDLastSave="0" documentId="13_ncr:1_{0FCB2DF0-B7BE-484E-8D76-D29BF3E60827}" xr6:coauthVersionLast="45" xr6:coauthVersionMax="45" xr10:uidLastSave="{00000000-0000-0000-0000-000000000000}"/>
  <bookViews>
    <workbookView xWindow="9435" yWindow="5010" windowWidth="27480" windowHeight="15990" activeTab="4" xr2:uid="{344BB257-92D6-46F2-9766-17934D9BF305}"/>
  </bookViews>
  <sheets>
    <sheet name="Sheet1" sheetId="1" r:id="rId1"/>
    <sheet name="Sheet2" sheetId="2" r:id="rId2"/>
    <sheet name="Table 2.4 and 2.5" sheetId="4" r:id="rId3"/>
    <sheet name="Tables 2.7, 2.8, and 2.9" sheetId="5" r:id="rId4"/>
    <sheet name="Table 3.2" sheetId="6" r:id="rId5"/>
    <sheet name="Tables 3.4 and 3.5" sheetId="7" r:id="rId6"/>
    <sheet name="Sheet3" sheetId="8" r:id="rId7"/>
    <sheet name="K-Ratio" sheetId="9" r:id="rId8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Sheet1!$D$30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" i="6" l="1"/>
  <c r="G5" i="6"/>
  <c r="F26" i="6" a="1"/>
  <c r="F26" i="6" l="1"/>
  <c r="F16" i="6" a="1"/>
  <c r="F16" i="6" s="1"/>
  <c r="F33" i="6" a="1"/>
  <c r="F33" i="6" l="1"/>
  <c r="F31" i="6" a="1"/>
  <c r="F31" i="6" l="1"/>
  <c r="F34" i="6"/>
  <c r="F18" i="6" l="1" a="1"/>
  <c r="F18" i="6" s="1"/>
  <c r="F19" i="6" s="1"/>
  <c r="D27" i="9" l="1" a="1"/>
  <c r="D27" i="9" s="1"/>
  <c r="D23" i="9" a="1"/>
  <c r="F35" i="6" a="1"/>
  <c r="F35" i="6" l="1"/>
  <c r="D23" i="9"/>
  <c r="D25" i="9"/>
  <c r="D26" i="9"/>
  <c r="I3" i="9" l="1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" i="9"/>
  <c r="U43" i="9" l="1"/>
  <c r="T21" i="9" l="1"/>
  <c r="F6" i="9" l="1"/>
  <c r="F7" i="9" s="1"/>
  <c r="F8" i="9" s="1"/>
  <c r="F9" i="9" s="1"/>
  <c r="F10" i="9" s="1"/>
  <c r="F11" i="9" s="1"/>
  <c r="F12" i="9" s="1"/>
  <c r="F13" i="9" s="1"/>
  <c r="F14" i="9" s="1"/>
  <c r="F15" i="9" s="1"/>
  <c r="F16" i="9" s="1"/>
  <c r="F17" i="9" s="1"/>
  <c r="F18" i="9" s="1"/>
  <c r="F19" i="9" s="1"/>
  <c r="F20" i="9" s="1"/>
  <c r="F21" i="9" s="1"/>
  <c r="F4" i="9"/>
  <c r="F5" i="9" s="1"/>
  <c r="F3" i="9"/>
  <c r="D5" i="9" l="1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4" i="9"/>
  <c r="D3" i="9"/>
  <c r="E3" i="9" s="1"/>
  <c r="E4" i="9" s="1"/>
  <c r="E5" i="9" s="1"/>
  <c r="E6" i="9" l="1"/>
  <c r="E7" i="9" s="1"/>
  <c r="E8" i="9" s="1"/>
  <c r="E9" i="9" s="1"/>
  <c r="E10" i="9" s="1"/>
  <c r="E11" i="9" s="1"/>
  <c r="E12" i="9" s="1"/>
  <c r="E13" i="9" s="1"/>
  <c r="E14" i="9" s="1"/>
  <c r="E15" i="9" s="1"/>
  <c r="E16" i="9" s="1"/>
  <c r="E17" i="9" s="1"/>
  <c r="E18" i="9" s="1"/>
  <c r="E19" i="9" s="1"/>
  <c r="E20" i="9" s="1"/>
  <c r="E21" i="9" s="1"/>
  <c r="A2" i="9" l="1" a="1"/>
  <c r="A2" i="9" s="1"/>
  <c r="U43" i="6"/>
  <c r="N2" i="6" a="1"/>
  <c r="N2" i="6" s="1"/>
  <c r="R2" i="6" a="1"/>
  <c r="B23" i="9" l="1"/>
  <c r="E23" i="9"/>
  <c r="R2" i="6"/>
  <c r="V43" i="6" l="1"/>
  <c r="U45" i="6"/>
  <c r="U20" i="6"/>
  <c r="O3" i="6" l="1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2" i="6"/>
  <c r="P2" i="6" l="1" a="1"/>
  <c r="P2" i="6" s="1"/>
  <c r="F17" i="6"/>
  <c r="C13" i="8" a="1"/>
  <c r="F23" i="6" a="1"/>
  <c r="F32" i="6" a="1"/>
  <c r="F22" i="6" a="1"/>
  <c r="F32" i="6" l="1"/>
  <c r="F23" i="6"/>
  <c r="F22" i="6"/>
  <c r="C13" i="8"/>
  <c r="B2" i="8"/>
  <c r="B3" i="8"/>
  <c r="B4" i="8"/>
  <c r="B5" i="8"/>
  <c r="B6" i="8"/>
  <c r="B7" i="8"/>
  <c r="B8" i="8"/>
  <c r="B9" i="8"/>
  <c r="B10" i="8"/>
  <c r="B1" i="8"/>
  <c r="B13" i="8" l="1"/>
  <c r="H1" i="8"/>
  <c r="J8" i="6" l="1"/>
  <c r="F42" i="6"/>
  <c r="G42" i="6" s="1"/>
  <c r="F41" i="6"/>
  <c r="G41" i="6" s="1"/>
  <c r="H43" i="6" a="1"/>
  <c r="H44" i="6" a="1"/>
  <c r="H44" i="6" l="1"/>
  <c r="I44" i="6" s="1"/>
  <c r="H43" i="6"/>
  <c r="G22" i="6" a="1"/>
  <c r="F24" i="6" a="1"/>
  <c r="F29" i="6" a="1"/>
  <c r="G24" i="6" a="1"/>
  <c r="F30" i="6" a="1"/>
  <c r="G23" i="6" a="1"/>
  <c r="G29" i="6" a="1"/>
  <c r="I14" i="5" a="1"/>
  <c r="J42" i="1" a="1"/>
  <c r="G30" i="1" a="1"/>
  <c r="G42" i="1" a="1"/>
  <c r="H14" i="5" a="1"/>
  <c r="H45" i="6" l="1"/>
  <c r="I45" i="6" s="1"/>
  <c r="F30" i="6"/>
  <c r="I14" i="5"/>
  <c r="H14" i="5"/>
  <c r="G30" i="1"/>
  <c r="J42" i="1"/>
  <c r="G42" i="1"/>
  <c r="G24" i="6"/>
  <c r="F24" i="6"/>
  <c r="G23" i="6"/>
  <c r="G22" i="6"/>
  <c r="G29" i="6"/>
  <c r="F29" i="6"/>
  <c r="I4" i="6"/>
  <c r="J4" i="6" s="1"/>
  <c r="J3" i="6" a="1"/>
  <c r="J3" i="6" s="1"/>
  <c r="I3" i="6" a="1"/>
  <c r="I3" i="6" s="1"/>
  <c r="F12" i="6"/>
  <c r="K32" i="6" l="1"/>
  <c r="J32" i="6"/>
  <c r="J42" i="6"/>
  <c r="K42" i="6" s="1"/>
  <c r="F43" i="6"/>
  <c r="G43" i="6" s="1"/>
  <c r="F44" i="6"/>
  <c r="G44" i="6" s="1"/>
  <c r="L4" i="6"/>
  <c r="M4" i="6" s="1"/>
  <c r="M3" i="6" a="1"/>
  <c r="M3" i="6" s="1"/>
  <c r="L3" i="6" a="1"/>
  <c r="L3" i="6" s="1"/>
  <c r="F4" i="6"/>
  <c r="G4" i="6" s="1"/>
  <c r="G3" i="6" a="1"/>
  <c r="G3" i="6" s="1"/>
  <c r="F3" i="6" a="1"/>
  <c r="F3" i="6" s="1"/>
  <c r="G25" i="6" a="1"/>
  <c r="F25" i="6" a="1"/>
  <c r="F27" i="6" a="1"/>
  <c r="F15" i="7" a="1"/>
  <c r="E16" i="7" a="1"/>
  <c r="E15" i="7" a="1"/>
  <c r="F16" i="7" a="1"/>
  <c r="G14" i="6" l="1"/>
  <c r="F14" i="6"/>
  <c r="F15" i="6" s="1"/>
  <c r="G13" i="6"/>
  <c r="F7" i="6"/>
  <c r="F13" i="6"/>
  <c r="G7" i="6"/>
  <c r="F8" i="6" a="1"/>
  <c r="F8" i="6" s="1"/>
  <c r="G8" i="6" a="1"/>
  <c r="G8" i="6" s="1"/>
  <c r="F27" i="6"/>
  <c r="G25" i="6"/>
  <c r="F25" i="6"/>
  <c r="F16" i="7"/>
  <c r="E16" i="7"/>
  <c r="F15" i="7"/>
  <c r="E15" i="7"/>
  <c r="H5" i="7"/>
  <c r="I5" i="7" s="1"/>
  <c r="I4" i="7" a="1"/>
  <c r="I4" i="7" s="1"/>
  <c r="H4" i="7" a="1"/>
  <c r="H4" i="7" s="1"/>
  <c r="E5" i="7"/>
  <c r="F5" i="7" s="1"/>
  <c r="F4" i="7" a="1"/>
  <c r="F4" i="7" s="1"/>
  <c r="F10" i="7" s="1"/>
  <c r="E4" i="7" a="1"/>
  <c r="E4" i="7" s="1"/>
  <c r="E9" i="7" s="1"/>
  <c r="E8" i="7" a="1"/>
  <c r="E8" i="7" s="1"/>
  <c r="E7" i="7" a="1"/>
  <c r="E7" i="7" s="1"/>
  <c r="F8" i="7" a="1"/>
  <c r="F8" i="7" s="1"/>
  <c r="F7" i="7" a="1"/>
  <c r="F7" i="7" s="1"/>
  <c r="E14" i="7" a="1"/>
  <c r="F14" i="7" a="1"/>
  <c r="F13" i="7" a="1"/>
  <c r="E13" i="7" a="1"/>
  <c r="G28" i="6" a="1"/>
  <c r="F9" i="6" a="1"/>
  <c r="F28" i="6" a="1"/>
  <c r="F28" i="6" l="1"/>
  <c r="F10" i="6"/>
  <c r="G28" i="6"/>
  <c r="F9" i="6"/>
  <c r="G10" i="6"/>
  <c r="F9" i="7"/>
  <c r="E10" i="7"/>
  <c r="E14" i="7"/>
  <c r="E13" i="7"/>
  <c r="I13" i="7" s="1" a="1"/>
  <c r="I13" i="7" s="1"/>
  <c r="F14" i="7"/>
  <c r="F13" i="7"/>
  <c r="G9" i="6" a="1"/>
  <c r="G9" i="6" l="1"/>
  <c r="J22" i="6" s="1" a="1"/>
  <c r="J22" i="6" s="1"/>
  <c r="F2" i="4" l="1"/>
  <c r="E2" i="4"/>
  <c r="H13" i="5" a="1"/>
  <c r="H13" i="5" s="1"/>
  <c r="F11" i="4" a="1"/>
  <c r="F5" i="4" a="1"/>
  <c r="F8" i="4" a="1"/>
  <c r="F3" i="4" a="1"/>
  <c r="F10" i="4" a="1"/>
  <c r="F3" i="4" l="1"/>
  <c r="F5" i="4"/>
  <c r="F11" i="4"/>
  <c r="F10" i="4"/>
  <c r="F8" i="4"/>
  <c r="I12" i="5" a="1"/>
  <c r="I12" i="5" s="1"/>
  <c r="H12" i="5" a="1"/>
  <c r="H12" i="5" s="1"/>
  <c r="I11" i="5" a="1"/>
  <c r="I11" i="5" s="1"/>
  <c r="H11" i="5" a="1"/>
  <c r="H11" i="5" s="1"/>
  <c r="I10" i="5"/>
  <c r="I13" i="5" s="1" a="1"/>
  <c r="I13" i="5" s="1"/>
  <c r="F7" i="4" l="1"/>
  <c r="I6" i="5"/>
  <c r="H6" i="5"/>
  <c r="I3" i="5"/>
  <c r="H3" i="5"/>
  <c r="I5" i="5"/>
  <c r="H5" i="5"/>
  <c r="I4" i="5"/>
  <c r="H4" i="5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E4" i="5"/>
  <c r="E5" i="5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E27" i="5" s="1"/>
  <c r="E28" i="5" s="1"/>
  <c r="E29" i="5" s="1"/>
  <c r="E30" i="5" s="1"/>
  <c r="E31" i="5" s="1"/>
  <c r="E32" i="5" s="1"/>
  <c r="E33" i="5" s="1"/>
  <c r="E34" i="5" s="1"/>
  <c r="E35" i="5" s="1"/>
  <c r="E36" i="5" s="1"/>
  <c r="E37" i="5" s="1"/>
  <c r="E3" i="5"/>
  <c r="E2" i="5"/>
  <c r="D3" i="5"/>
  <c r="D2" i="5"/>
  <c r="I2" i="5"/>
  <c r="H2" i="5"/>
  <c r="H7" i="5" a="1"/>
  <c r="I7" i="5" a="1"/>
  <c r="I7" i="5" l="1"/>
  <c r="H7" i="5"/>
  <c r="C37" i="1" a="1"/>
  <c r="C37" i="1" s="1"/>
  <c r="D37" i="1" a="1"/>
  <c r="D37" i="1" s="1"/>
  <c r="C38" i="1" a="1"/>
  <c r="C38" i="1" s="1"/>
  <c r="D38" i="1" a="1"/>
  <c r="D38" i="1" s="1"/>
  <c r="G37" i="1" a="1"/>
  <c r="G38" i="1" a="1"/>
  <c r="G38" i="1" l="1"/>
  <c r="H38" i="1" s="1"/>
  <c r="G37" i="1"/>
  <c r="H37" i="1" s="1"/>
  <c r="C36" i="1" a="1"/>
  <c r="C36" i="1" s="1"/>
  <c r="C35" i="1" a="1"/>
  <c r="C35" i="1" s="1"/>
  <c r="D36" i="1" l="1" a="1"/>
  <c r="D36" i="1" s="1"/>
  <c r="D35" i="1" a="1"/>
  <c r="D35" i="1" s="1"/>
  <c r="G36" i="1" a="1"/>
  <c r="G35" i="1" a="1"/>
  <c r="G36" i="1" l="1"/>
  <c r="H36" i="1" s="1"/>
  <c r="G35" i="1"/>
  <c r="H35" i="1" s="1"/>
  <c r="C34" i="1" a="1"/>
  <c r="C34" i="1" s="1"/>
  <c r="D34" i="1" a="1"/>
  <c r="D34" i="1" s="1"/>
  <c r="C33" i="1" a="1"/>
  <c r="C33" i="1" s="1"/>
  <c r="D33" i="1" a="1"/>
  <c r="D33" i="1" s="1"/>
  <c r="G34" i="1" a="1"/>
  <c r="G33" i="1" a="1"/>
  <c r="G34" i="1" l="1"/>
  <c r="H34" i="1" s="1"/>
  <c r="G33" i="1"/>
  <c r="H33" i="1" s="1"/>
  <c r="E8" i="4" a="1"/>
  <c r="G23" i="1" a="1"/>
  <c r="E11" i="4" a="1"/>
  <c r="E3" i="4" a="1"/>
  <c r="E10" i="4" a="1"/>
  <c r="G23" i="1" l="1"/>
  <c r="E3" i="4"/>
  <c r="E8" i="4"/>
  <c r="E11" i="4"/>
  <c r="E10" i="4"/>
  <c r="E5" i="4" a="1"/>
  <c r="E5" i="4" l="1"/>
  <c r="E7" i="4" s="1"/>
  <c r="D24" i="1" l="1" a="1"/>
  <c r="D24" i="1" s="1"/>
  <c r="D23" i="1" a="1"/>
  <c r="D23" i="1" s="1"/>
  <c r="G21" i="1" a="1"/>
  <c r="G21" i="1" l="1"/>
  <c r="D21" i="1"/>
  <c r="M30" i="2" a="1"/>
  <c r="I30" i="2" a="1"/>
  <c r="K30" i="2" a="1"/>
  <c r="G24" i="1" a="1"/>
  <c r="G25" i="1" a="1"/>
  <c r="G22" i="1" a="1"/>
  <c r="L30" i="2" a="1"/>
  <c r="G29" i="1" a="1"/>
  <c r="J30" i="2" a="1"/>
  <c r="K30" i="2" l="1"/>
  <c r="G29" i="1"/>
  <c r="I30" i="2"/>
  <c r="L30" i="2"/>
  <c r="G22" i="1"/>
  <c r="J30" i="2"/>
  <c r="M30" i="2"/>
  <c r="G25" i="1"/>
  <c r="G24" i="1"/>
  <c r="G28" i="1" a="1"/>
  <c r="G28" i="1" l="1"/>
  <c r="J2" i="2"/>
  <c r="K2" i="2"/>
  <c r="L2" i="2"/>
  <c r="M2" i="2"/>
  <c r="J3" i="2"/>
  <c r="K3" i="2"/>
  <c r="L3" i="2"/>
  <c r="M3" i="2"/>
  <c r="J4" i="2"/>
  <c r="K4" i="2"/>
  <c r="L4" i="2"/>
  <c r="M4" i="2"/>
  <c r="J5" i="2"/>
  <c r="K5" i="2"/>
  <c r="L5" i="2"/>
  <c r="M5" i="2"/>
  <c r="J6" i="2"/>
  <c r="K6" i="2"/>
  <c r="L6" i="2"/>
  <c r="M6" i="2"/>
  <c r="J7" i="2"/>
  <c r="K7" i="2"/>
  <c r="L7" i="2"/>
  <c r="M7" i="2"/>
  <c r="J8" i="2"/>
  <c r="K8" i="2"/>
  <c r="L8" i="2"/>
  <c r="M8" i="2"/>
  <c r="J9" i="2"/>
  <c r="K9" i="2"/>
  <c r="L9" i="2"/>
  <c r="M9" i="2"/>
  <c r="J10" i="2"/>
  <c r="K10" i="2"/>
  <c r="L10" i="2"/>
  <c r="M10" i="2"/>
  <c r="J11" i="2"/>
  <c r="K11" i="2"/>
  <c r="L11" i="2"/>
  <c r="M11" i="2"/>
  <c r="I3" i="2"/>
  <c r="I4" i="2"/>
  <c r="I5" i="2"/>
  <c r="I6" i="2"/>
  <c r="I7" i="2"/>
  <c r="I8" i="2"/>
  <c r="I9" i="2"/>
  <c r="I10" i="2"/>
  <c r="I11" i="2"/>
  <c r="I2" i="2"/>
  <c r="M28" i="2" a="1"/>
  <c r="I27" i="2" a="1"/>
  <c r="G26" i="1" a="1"/>
  <c r="K28" i="2" a="1"/>
  <c r="L27" i="2" a="1"/>
  <c r="I28" i="2" a="1"/>
  <c r="J27" i="2" a="1"/>
  <c r="L28" i="2" a="1"/>
  <c r="K27" i="2" a="1"/>
  <c r="J28" i="2" a="1"/>
  <c r="M27" i="2" a="1"/>
  <c r="L24" i="2" l="1" a="1"/>
  <c r="L24" i="2" s="1"/>
  <c r="J16" i="2"/>
  <c r="L13" i="2" a="1"/>
  <c r="L13" i="2" s="1"/>
  <c r="I14" i="2"/>
  <c r="M15" i="2" a="1"/>
  <c r="M15" i="2" s="1"/>
  <c r="L18" i="2"/>
  <c r="L23" i="2" s="1" a="1"/>
  <c r="L23" i="2" s="1"/>
  <c r="J15" i="2" a="1"/>
  <c r="J15" i="2" s="1"/>
  <c r="K15" i="2" a="1"/>
  <c r="K15" i="2" s="1"/>
  <c r="L16" i="2"/>
  <c r="I13" i="2" a="1"/>
  <c r="I13" i="2" s="1"/>
  <c r="K16" i="2"/>
  <c r="M13" i="2" a="1"/>
  <c r="M13" i="2" s="1"/>
  <c r="J13" i="2" a="1"/>
  <c r="J13" i="2" s="1"/>
  <c r="M14" i="2"/>
  <c r="K14" i="2"/>
  <c r="L17" i="2"/>
  <c r="I15" i="2" a="1"/>
  <c r="I15" i="2" s="1"/>
  <c r="J17" i="2"/>
  <c r="M28" i="2"/>
  <c r="J28" i="2"/>
  <c r="L28" i="2"/>
  <c r="K28" i="2"/>
  <c r="I28" i="2"/>
  <c r="K27" i="2"/>
  <c r="M27" i="2"/>
  <c r="L27" i="2"/>
  <c r="J27" i="2"/>
  <c r="I27" i="2"/>
  <c r="G26" i="1"/>
  <c r="K17" i="2"/>
  <c r="M17" i="2"/>
  <c r="J14" i="2"/>
  <c r="M18" i="2"/>
  <c r="M23" i="2" s="1" a="1"/>
  <c r="M23" i="2" s="1"/>
  <c r="K18" i="2"/>
  <c r="K24" i="2" s="1" a="1"/>
  <c r="K24" i="2" s="1"/>
  <c r="I17" i="2"/>
  <c r="L15" i="2" a="1"/>
  <c r="L15" i="2" s="1"/>
  <c r="J18" i="2"/>
  <c r="J24" i="2" s="1" a="1"/>
  <c r="J24" i="2" s="1"/>
  <c r="K13" i="2" a="1"/>
  <c r="K13" i="2" s="1"/>
  <c r="I18" i="2"/>
  <c r="I24" i="2" s="1" a="1"/>
  <c r="I24" i="2" s="1"/>
  <c r="L14" i="2"/>
  <c r="I16" i="2"/>
  <c r="M16" i="2"/>
  <c r="D22" i="1"/>
  <c r="H22" i="1" s="1"/>
  <c r="I29" i="2" a="1"/>
  <c r="L29" i="2" a="1"/>
  <c r="M29" i="2" a="1"/>
  <c r="J29" i="2" a="1"/>
  <c r="K29" i="2" a="1"/>
  <c r="I29" i="2" l="1"/>
  <c r="M29" i="2"/>
  <c r="J29" i="2"/>
  <c r="K29" i="2"/>
  <c r="L29" i="2"/>
  <c r="J23" i="2" a="1"/>
  <c r="J23" i="2" s="1"/>
  <c r="K23" i="2" a="1"/>
  <c r="K23" i="2" s="1"/>
  <c r="K19" i="2"/>
  <c r="I23" i="2" a="1"/>
  <c r="I23" i="2" s="1"/>
  <c r="J20" i="2"/>
  <c r="M24" i="2" a="1"/>
  <c r="M24" i="2" s="1"/>
  <c r="M21" i="2"/>
  <c r="J22" i="2"/>
  <c r="I19" i="2"/>
  <c r="K20" i="2"/>
  <c r="K21" i="2"/>
  <c r="M20" i="2"/>
  <c r="K22" i="2"/>
  <c r="I20" i="2"/>
  <c r="I22" i="2"/>
  <c r="L19" i="2"/>
  <c r="L21" i="2"/>
  <c r="L22" i="2"/>
  <c r="L20" i="2"/>
  <c r="M22" i="2"/>
  <c r="M19" i="2"/>
  <c r="I21" i="2"/>
  <c r="J21" i="2"/>
  <c r="J19" i="2"/>
  <c r="C31" i="1" l="1" a="1"/>
  <c r="C31" i="1" s="1"/>
  <c r="D31" i="1" a="1"/>
  <c r="D31" i="1" s="1"/>
  <c r="D32" i="1" a="1"/>
  <c r="D32" i="1" s="1"/>
  <c r="C27" i="1" a="1"/>
  <c r="C27" i="1" s="1"/>
  <c r="D27" i="1" a="1"/>
  <c r="D27" i="1" s="1"/>
  <c r="G32" i="1" a="1"/>
  <c r="G27" i="1" a="1"/>
  <c r="G32" i="1" l="1"/>
  <c r="G27" i="1"/>
  <c r="H27" i="1" s="1"/>
  <c r="D28" i="1"/>
  <c r="G31" i="1" a="1"/>
  <c r="G31" i="1" l="1"/>
  <c r="Q3" i="1" a="1"/>
  <c r="Q3" i="1" s="1"/>
  <c r="R3" i="1" a="1"/>
  <c r="R3" i="1" s="1"/>
  <c r="P3" i="1" a="1"/>
  <c r="P3" i="1" s="1"/>
  <c r="L21" i="1" a="1"/>
  <c r="L25" i="1" a="1"/>
  <c r="L23" i="1" a="1"/>
  <c r="L24" i="1" a="1"/>
  <c r="L25" i="1" l="1"/>
  <c r="L24" i="1"/>
  <c r="L23" i="1"/>
  <c r="L21" i="1"/>
  <c r="P12" i="1" a="1"/>
  <c r="P12" i="1" s="1"/>
  <c r="U3" i="1" a="1"/>
  <c r="U3" i="1" s="1"/>
  <c r="V3" i="1" a="1"/>
  <c r="V3" i="1" s="1"/>
  <c r="T3" i="1" a="1"/>
  <c r="T3" i="1" s="1"/>
  <c r="C23" i="1" a="1"/>
  <c r="C23" i="1" s="1"/>
  <c r="C24" i="1" a="1"/>
  <c r="C24" i="1" s="1"/>
  <c r="C21" i="1" a="1"/>
  <c r="C21" i="1" s="1"/>
  <c r="C22" i="1" s="1"/>
  <c r="T12" i="1" l="1" a="1"/>
  <c r="T12" i="1" s="1"/>
  <c r="H31" i="1" l="1"/>
  <c r="H32" i="1" l="1"/>
  <c r="H24" i="1" l="1"/>
  <c r="H23" i="1"/>
  <c r="H21" i="1"/>
  <c r="D25" i="1"/>
  <c r="C25" i="1"/>
  <c r="H25" i="1" l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  <c r="D26" i="1" l="1"/>
  <c r="H26" i="1" s="1"/>
  <c r="C26" i="1"/>
  <c r="D20" i="1"/>
  <c r="D19" i="1"/>
  <c r="D30" i="1" s="1"/>
  <c r="H30" i="1" s="1"/>
  <c r="C19" i="1"/>
  <c r="B19" i="1"/>
  <c r="C29" i="1" l="1"/>
  <c r="C30" i="1"/>
  <c r="D29" i="1"/>
  <c r="H29" i="1" s="1"/>
  <c r="H28" i="1"/>
  <c r="C28" i="1"/>
  <c r="C2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Timothy R. Mayes, Ph.D.</author>
  </authors>
  <commentList>
    <comment ref="F2" authorId="0" shapeId="0" xr:uid="{CF8FD0E2-AB4C-42AE-B00C-02F694D08FF2}">
      <text>
        <r>
          <rPr>
            <b/>
            <sz val="9"/>
            <color indexed="81"/>
            <rFont val="Tahoma"/>
            <family val="2"/>
          </rPr>
          <t>Timothy R. Mayes, Ph.D.:</t>
        </r>
        <r>
          <rPr>
            <sz val="9"/>
            <color indexed="81"/>
            <rFont val="Tahoma"/>
            <family val="2"/>
          </rPr>
          <t xml:space="preserve">
Here I set the data frequency to 1, so the measures are per period.</t>
        </r>
      </text>
    </comment>
    <comment ref="G2" authorId="0" shapeId="0" xr:uid="{D7173E70-8DD5-487D-9D9A-A83733576780}">
      <text>
        <r>
          <rPr>
            <b/>
            <sz val="9"/>
            <color indexed="81"/>
            <rFont val="Tahoma"/>
            <family val="2"/>
          </rPr>
          <t>Timothy R. Mayes, Ph.D.:</t>
        </r>
        <r>
          <rPr>
            <sz val="9"/>
            <color indexed="81"/>
            <rFont val="Tahoma"/>
            <family val="2"/>
          </rPr>
          <t xml:space="preserve">
This is Bacon's methodology (i.e., use annualized returns instead of per period returns).</t>
        </r>
      </text>
    </comment>
    <comment ref="G24" authorId="0" shapeId="0" xr:uid="{5CCAA0DA-5FA8-4FC8-B47B-DA427260DD08}">
      <text>
        <r>
          <rPr>
            <b/>
            <sz val="9"/>
            <color indexed="81"/>
            <rFont val="Tahoma"/>
            <family val="2"/>
          </rPr>
          <t>Timothy R. Mayes, Ph.D.:</t>
        </r>
        <r>
          <rPr>
            <sz val="9"/>
            <color indexed="81"/>
            <rFont val="Tahoma"/>
            <family val="2"/>
          </rPr>
          <t xml:space="preserve">
Note that Bacon has the skewness with the wrong sign on page 52, though this doesn't affect his result.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<sst xmlns="http://schemas.openxmlformats.org/spreadsheetml/2006/main" count="281" uniqueCount="127">
  <si>
    <t>RFR</t>
  </si>
  <si>
    <t>SP 500</t>
  </si>
  <si>
    <t>Mean</t>
  </si>
  <si>
    <t>Std Dev</t>
  </si>
  <si>
    <t>Sharpe Ratio</t>
  </si>
  <si>
    <t>Normal</t>
  </si>
  <si>
    <t>My UDF Results</t>
  </si>
  <si>
    <t>Treynor Index</t>
  </si>
  <si>
    <t>Beta</t>
  </si>
  <si>
    <t>M-Squared</t>
  </si>
  <si>
    <t>Asset</t>
  </si>
  <si>
    <t>Jensen's Alpha</t>
  </si>
  <si>
    <t>MKT</t>
  </si>
  <si>
    <t>Bull Beta</t>
  </si>
  <si>
    <t>Bear Beta</t>
  </si>
  <si>
    <t>Beta Timing Ratio</t>
  </si>
  <si>
    <t>Difference</t>
  </si>
  <si>
    <t>Normal expected data</t>
  </si>
  <si>
    <t>Excess returns</t>
  </si>
  <si>
    <t>Nothing but positive market  returns (should cause errors in some functions)</t>
  </si>
  <si>
    <t>Information Ratio</t>
  </si>
  <si>
    <t>Tracking Error</t>
  </si>
  <si>
    <t>Bear Market</t>
  </si>
  <si>
    <t>Bull Market</t>
  </si>
  <si>
    <t>Revised Sharpe Ratio</t>
  </si>
  <si>
    <t>Adjusted Beta</t>
  </si>
  <si>
    <t>Year</t>
  </si>
  <si>
    <t>Magellan</t>
  </si>
  <si>
    <t>44 Wall Street</t>
  </si>
  <si>
    <t>New Horizons</t>
  </si>
  <si>
    <t>S&amp;P 500</t>
  </si>
  <si>
    <t>1Yr Treasury</t>
  </si>
  <si>
    <t>1-Yr Treasury</t>
  </si>
  <si>
    <t>HPR</t>
  </si>
  <si>
    <t>Avg Annual HPR (Arithmetic)</t>
  </si>
  <si>
    <t>Avg Annual HPR (Geometric)</t>
  </si>
  <si>
    <t>Standard Deviation</t>
  </si>
  <si>
    <t>Correlation with S&amp;P 500</t>
  </si>
  <si>
    <t>Sharpe Ratio (Arithmetic)</t>
  </si>
  <si>
    <t>Sharpe Ratio (Geometric)</t>
  </si>
  <si>
    <t>Treynor Index (Arithmetic)</t>
  </si>
  <si>
    <t>Treynor Index (Geometric)</t>
  </si>
  <si>
    <t>Jensen's Alpha (Arithmetic)</t>
  </si>
  <si>
    <t>Jensen's Alpha (Geometric)</t>
  </si>
  <si>
    <t>Sample Skewness</t>
  </si>
  <si>
    <t>Sample Kurtosis</t>
  </si>
  <si>
    <t>JB Test</t>
  </si>
  <si>
    <t>Up Capture Raio</t>
  </si>
  <si>
    <t>Down Capture Ratio</t>
  </si>
  <si>
    <t>Up Percentage Ratio</t>
  </si>
  <si>
    <t>Down Percentage Ratio</t>
  </si>
  <si>
    <t>Percentage Gain Ratio</t>
  </si>
  <si>
    <t>Percentage Loss Ratio</t>
  </si>
  <si>
    <t>Portfolio Return</t>
  </si>
  <si>
    <t>Benchmark Return</t>
  </si>
  <si>
    <t>Hurst Exponent</t>
  </si>
  <si>
    <t>Max Cum Dev</t>
  </si>
  <si>
    <t>Portfolio CD</t>
  </si>
  <si>
    <t>Benchmark CD</t>
  </si>
  <si>
    <t>Min Cum Dev</t>
  </si>
  <si>
    <t>Bias Ratio</t>
  </si>
  <si>
    <t>Portfolio</t>
  </si>
  <si>
    <t>Benchmark</t>
  </si>
  <si>
    <t>Number of Std Devs</t>
  </si>
  <si>
    <t>Count Above</t>
  </si>
  <si>
    <t>Count Below</t>
  </si>
  <si>
    <t>Population Skewness</t>
  </si>
  <si>
    <t>Population Kurtosis</t>
  </si>
  <si>
    <t>Risk-Free</t>
  </si>
  <si>
    <t>Adjusted Sharpe Ratio</t>
  </si>
  <si>
    <t>Using Annualized Returns</t>
  </si>
  <si>
    <t>Per Period</t>
  </si>
  <si>
    <t>Tracking Error Arith</t>
  </si>
  <si>
    <t>Tracking Error Geom</t>
  </si>
  <si>
    <t>Annualized</t>
  </si>
  <si>
    <t>Information Ratio Arith</t>
  </si>
  <si>
    <t>Information Ratio Geom</t>
  </si>
  <si>
    <t>Std Deviation</t>
  </si>
  <si>
    <t>All Match?</t>
  </si>
  <si>
    <r>
      <t>M</t>
    </r>
    <r>
      <rPr>
        <vertAlign val="superscript"/>
        <sz val="11"/>
        <color theme="1"/>
        <rFont val="Times New Roman"/>
        <family val="1"/>
      </rPr>
      <t>2</t>
    </r>
  </si>
  <si>
    <t>All Equal?</t>
  </si>
  <si>
    <t>Monthly</t>
  </si>
  <si>
    <t>Appraisal Ratio</t>
  </si>
  <si>
    <t>Var Asset</t>
  </si>
  <si>
    <t>Var Mkt</t>
  </si>
  <si>
    <t>Mkt Risk</t>
  </si>
  <si>
    <t>Unique Risk</t>
  </si>
  <si>
    <t>Degree</t>
  </si>
  <si>
    <t>K Ratio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</si>
  <si>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</si>
  <si>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</si>
  <si>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</si>
  <si>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</si>
  <si>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</si>
  <si>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</si>
  <si>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</si>
  <si>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</si>
  <si>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</si>
  <si>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</si>
  <si>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</si>
  <si>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</si>
  <si>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</si>
  <si>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</si>
  <si>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</si>
  <si>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</si>
  <si>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</si>
  <si>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</si>
  <si>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</si>
  <si>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</si>
  <si>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</si>
  <si>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</si>
  <si>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</si>
  <si>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</si>
  <si>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</si>
  <si>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Port Value</t>
  </si>
  <si>
    <t>Cum Ret</t>
  </si>
  <si>
    <t>Return</t>
  </si>
  <si>
    <t>Pred</t>
  </si>
  <si>
    <t>Error</t>
  </si>
  <si>
    <t>Slope</t>
  </si>
  <si>
    <t>SSE</t>
  </si>
  <si>
    <t>Semi-variance Below Mean</t>
  </si>
  <si>
    <t>Semi-deviation Below Mean</t>
  </si>
  <si>
    <t>Semi-variance Above Mean</t>
  </si>
  <si>
    <t>Sem--deviation Above Mean</t>
  </si>
  <si>
    <t>Minimum Target Return</t>
  </si>
  <si>
    <t>Roy Ratio (Safety First)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</si>
</sst>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(* #,##0.00_);_(* \(#,##0.00\);_(* &quot;-&quot;??_);_(@_)"/>
    <numFmt numFmtId="164" formatCode="0.000%"/>
    <numFmt numFmtId="165" formatCode="_(* #,##0.000000_);_(* \(#,##0.000000\);_(* &quot;-&quot;??_);_(@_)"/>
    <numFmt numFmtId="166" formatCode="0.00000%"/>
    <numFmt numFmtId="167" formatCode="_(* #,##0.00000_);_(* \(#,##0.00000\);_(* &quot;-&quot;??_);_(@_)"/>
    <numFmt numFmtId="168" formatCode="_(* #,##0.00000_);_(* \(#,##0.00000\);_(* &quot;-&quot;?????_);_(@_)"/>
    <numFmt numFmtId="169" formatCode="0.00000"/>
    <numFmt numFmtId="170" formatCode="0.0000%"/>
    <numFmt numFmtId="171" formatCode="_(* #,##0.0000_);_(* \(#,##0.0000\);_(* &quot;-&quot;??_);_(@_)"/>
    <numFmt numFmtId="172" formatCode="_(* #,##0.0_);_(* \(#,##0.0\);_(* &quot;-&quot;??_);_(@_)"/>
    <numFmt numFmtId="173" formatCode="_(* #,##0.000_);_(* \(#,##0.000\);_(* &quot;-&quot;??_);_(@_)"/>
    <numFmt numFmtId="174" formatCode="0.0%"/>
    <numFmt numFmtId="175" formatCode="_(* #,##0_);_(* \(#,##0\);_(* &quot;-&quot;??_);_(@_)"/>
    <numFmt numFmtId="176" formatCode="0.00000000%"/>
    <numFmt numFmtId="177" formatCode="0.00000000000000000"/>
  </numFmts>
  <fonts count="7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166" fontId="0" fillId="0" borderId="0" xfId="2" applyNumberFormat="1" applyFont="1"/>
    <xf numFmtId="166" fontId="0" fillId="0" borderId="0" xfId="1" applyNumberFormat="1" applyFont="1"/>
    <xf numFmtId="167" fontId="0" fillId="0" borderId="0" xfId="1" applyNumberFormat="1" applyFont="1"/>
    <xf numFmtId="167" fontId="0" fillId="0" borderId="0" xfId="1" quotePrefix="1" applyNumberFormat="1" applyFont="1"/>
    <xf numFmtId="168" fontId="0" fillId="0" borderId="0" xfId="0" applyNumberFormat="1"/>
    <xf numFmtId="164" fontId="0" fillId="0" borderId="0" xfId="0" applyNumberFormat="1"/>
    <xf numFmtId="166" fontId="0" fillId="0" borderId="0" xfId="2" quotePrefix="1" applyNumberFormat="1" applyFont="1"/>
    <xf numFmtId="166" fontId="0" fillId="0" borderId="0" xfId="0" quotePrefix="1" applyNumberFormat="1"/>
    <xf numFmtId="10" fontId="0" fillId="0" borderId="0" xfId="2" applyNumberFormat="1" applyFont="1"/>
    <xf numFmtId="0" fontId="0" fillId="0" borderId="0" xfId="0" quotePrefix="1"/>
    <xf numFmtId="168" fontId="0" fillId="0" borderId="0" xfId="0" quotePrefix="1" applyNumberFormat="1"/>
    <xf numFmtId="169" fontId="0" fillId="0" borderId="0" xfId="0" applyNumberFormat="1"/>
    <xf numFmtId="0" fontId="0" fillId="0" borderId="0" xfId="1" quotePrefix="1" applyNumberFormat="1" applyFont="1" applyAlignment="1">
      <alignment horizontal="left"/>
    </xf>
    <xf numFmtId="170" fontId="0" fillId="0" borderId="0" xfId="2" applyNumberFormat="1" applyFont="1"/>
    <xf numFmtId="165" fontId="0" fillId="0" borderId="0" xfId="0" applyNumberFormat="1"/>
    <xf numFmtId="171" fontId="0" fillId="0" borderId="0" xfId="1" applyNumberFormat="1" applyFont="1"/>
    <xf numFmtId="172" fontId="0" fillId="0" borderId="0" xfId="1" applyNumberFormat="1" applyFont="1"/>
    <xf numFmtId="0" fontId="0" fillId="0" borderId="0" xfId="1" applyNumberFormat="1" applyFont="1"/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10" fontId="0" fillId="0" borderId="0" xfId="0" applyNumberFormat="1"/>
    <xf numFmtId="171" fontId="0" fillId="0" borderId="0" xfId="0" applyNumberFormat="1"/>
    <xf numFmtId="43" fontId="0" fillId="0" borderId="0" xfId="1" applyFont="1"/>
    <xf numFmtId="173" fontId="0" fillId="0" borderId="0" xfId="1" applyNumberFormat="1" applyFont="1"/>
    <xf numFmtId="166" fontId="0" fillId="0" borderId="0" xfId="0" applyNumberFormat="1"/>
    <xf numFmtId="167" fontId="0" fillId="0" borderId="0" xfId="0" applyNumberFormat="1"/>
    <xf numFmtId="174" fontId="0" fillId="0" borderId="0" xfId="2" applyNumberFormat="1" applyFont="1"/>
    <xf numFmtId="175" fontId="0" fillId="0" borderId="0" xfId="1" applyNumberFormat="1" applyFont="1"/>
    <xf numFmtId="43" fontId="0" fillId="0" borderId="0" xfId="1" applyNumberFormat="1" applyFont="1"/>
    <xf numFmtId="43" fontId="0" fillId="0" borderId="0" xfId="0" applyNumberFormat="1"/>
    <xf numFmtId="0" fontId="0" fillId="0" borderId="0" xfId="0" applyNumberFormat="1"/>
    <xf numFmtId="0" fontId="0" fillId="0" borderId="0" xfId="2" applyNumberFormat="1" applyFont="1"/>
    <xf numFmtId="176" fontId="0" fillId="0" borderId="0" xfId="2" applyNumberFormat="1" applyFont="1"/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Continuous"/>
    </xf>
    <xf numFmtId="177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'K-Ratio'!$B$2:$B$21</c:f>
              <c:numCache>
                <c:formatCode>0.00%</c:formatCode>
                <c:ptCount val="20"/>
                <c:pt idx="0">
                  <c:v>0</c:v>
                </c:pt>
                <c:pt idx="1">
                  <c:v>-1.5E-3</c:v>
                </c:pt>
                <c:pt idx="2">
                  <c:v>7.1999999999999998E-3</c:v>
                </c:pt>
                <c:pt idx="3">
                  <c:v>1.23E-2</c:v>
                </c:pt>
                <c:pt idx="4">
                  <c:v>2.5000000000000001E-2</c:v>
                </c:pt>
                <c:pt idx="5">
                  <c:v>2.3300000000000001E-2</c:v>
                </c:pt>
                <c:pt idx="6">
                  <c:v>2.5399999999999999E-2</c:v>
                </c:pt>
                <c:pt idx="7">
                  <c:v>3.6299999999999999E-2</c:v>
                </c:pt>
                <c:pt idx="8">
                  <c:v>4.9100000000000005E-2</c:v>
                </c:pt>
                <c:pt idx="9">
                  <c:v>6.25E-2</c:v>
                </c:pt>
                <c:pt idx="10">
                  <c:v>6.3200000000000006E-2</c:v>
                </c:pt>
                <c:pt idx="11">
                  <c:v>6.6000000000000003E-2</c:v>
                </c:pt>
                <c:pt idx="12">
                  <c:v>6.7500000000000004E-2</c:v>
                </c:pt>
                <c:pt idx="13">
                  <c:v>7.9199999999999993E-2</c:v>
                </c:pt>
                <c:pt idx="14">
                  <c:v>8.3000000000000004E-2</c:v>
                </c:pt>
                <c:pt idx="15">
                  <c:v>0.09</c:v>
                </c:pt>
                <c:pt idx="16">
                  <c:v>9.2200000000000004E-2</c:v>
                </c:pt>
                <c:pt idx="17">
                  <c:v>9.3599999999999989E-2</c:v>
                </c:pt>
                <c:pt idx="18">
                  <c:v>9.3699999999999992E-2</c:v>
                </c:pt>
                <c:pt idx="19">
                  <c:v>0.1017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14-409B-8841-FDA775E4D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5381352"/>
        <c:axId val="885381680"/>
      </c:lineChart>
      <c:catAx>
        <c:axId val="885381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381680"/>
        <c:crosses val="autoZero"/>
        <c:auto val="1"/>
        <c:lblAlgn val="ctr"/>
        <c:lblOffset val="100"/>
        <c:noMultiLvlLbl val="0"/>
      </c:catAx>
      <c:valAx>
        <c:axId val="88538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381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DCED7E-B802-4702-B75A-25F1B3FA7BA5}"/>
            </a:ext>
          </a:extLst>
        </xdr:cNvPr>
        <xdr:cNvSpPr txBox="1"/>
      </xdr:nvSpPr>
      <xdr:spPr>
        <a:xfrm>
          <a:off x="0" y="2476500"/>
          <a:ext cx="50196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Source: Moses, E. A., &amp; Cheney, J. M. (1989). Investments: Analysis, Selection, and Management.West Publishing Company. Table 8.1, page 194.</a:t>
          </a:r>
        </a:p>
        <a:p>
          <a:endParaRPr lang="en-US" sz="1100"/>
        </a:p>
        <a:p>
          <a:r>
            <a:rPr lang="en-US" sz="1100"/>
            <a:t>The calculations at right match</a:t>
          </a:r>
          <a:r>
            <a:rPr lang="en-US" sz="1100" baseline="0"/>
            <a:t> those in the source after allowing for slight rounding in the source material.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100012</xdr:colOff>
      <xdr:row>10</xdr:row>
      <xdr:rowOff>85725</xdr:rowOff>
    </xdr:from>
    <xdr:to>
      <xdr:col>16</xdr:col>
      <xdr:colOff>404812</xdr:colOff>
      <xdr:row>24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D74C09-E992-4897-879D-A9C83468F9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F22F-5A0F-4104-B600-63C465102B60}">
  <dimension ref="A1:V54"/>
  <sheetViews>
    <sheetView topLeftCell="A13" workbookViewId="0">
      <selection activeCell="N43" sqref="N43"/>
    </sheetView>
  </sheetViews>
  <sheetFormatPr defaultRowHeight="15" x14ac:dyDescent="0.25"/>
  <cols>
    <col min="1" max="1" width="21.7109375" bestFit="1" customWidth="1"/>
    <col min="2" max="2" width="9.42578125" bestFit="1" customWidth="1"/>
    <col min="3" max="3" width="11.42578125" bestFit="1" customWidth="1"/>
    <col min="4" max="4" width="11.85546875" customWidth="1"/>
    <col min="5" max="5" width="10.7109375" bestFit="1" customWidth="1"/>
    <col min="6" max="6" width="9.140625" customWidth="1"/>
    <col min="7" max="7" width="24.42578125" bestFit="1" customWidth="1"/>
    <col min="8" max="8" width="10.140625" bestFit="1" customWidth="1"/>
    <col min="9" max="9" width="9.42578125" bestFit="1" customWidth="1"/>
    <col min="10" max="10" width="9" bestFit="1" customWidth="1"/>
    <col min="11" max="11" width="11.140625" customWidth="1"/>
    <col min="12" max="12" width="13.28515625" bestFit="1" customWidth="1"/>
    <col min="13" max="13" width="10" bestFit="1" customWidth="1"/>
    <col min="16" max="16" width="9.42578125" bestFit="1" customWidth="1"/>
    <col min="20" max="20" width="9.42578125" bestFit="1" customWidth="1"/>
  </cols>
  <sheetData>
    <row r="1" spans="2:22" x14ac:dyDescent="0.25">
      <c r="B1" t="s">
        <v>17</v>
      </c>
      <c r="G1" t="s">
        <v>18</v>
      </c>
      <c r="K1" t="s">
        <v>19</v>
      </c>
      <c r="P1" t="s">
        <v>22</v>
      </c>
      <c r="T1" t="s">
        <v>23</v>
      </c>
    </row>
    <row r="2" spans="2:22" x14ac:dyDescent="0.25">
      <c r="B2" t="s">
        <v>0</v>
      </c>
      <c r="C2" t="s">
        <v>1</v>
      </c>
      <c r="D2" t="s">
        <v>10</v>
      </c>
      <c r="G2" t="s">
        <v>12</v>
      </c>
      <c r="H2" t="s">
        <v>10</v>
      </c>
      <c r="K2" t="s">
        <v>1</v>
      </c>
      <c r="L2" t="s">
        <v>10</v>
      </c>
      <c r="P2" t="s">
        <v>0</v>
      </c>
      <c r="Q2" t="s">
        <v>1</v>
      </c>
      <c r="R2" t="s">
        <v>10</v>
      </c>
      <c r="T2" t="s">
        <v>0</v>
      </c>
      <c r="U2" t="s">
        <v>1</v>
      </c>
      <c r="V2" t="s">
        <v>10</v>
      </c>
    </row>
    <row r="3" spans="2:22" x14ac:dyDescent="0.25">
      <c r="B3" s="1">
        <v>0</v>
      </c>
      <c r="C3" s="1">
        <v>-9.4000423002005284E-5</v>
      </c>
      <c r="D3" s="1">
        <v>0</v>
      </c>
      <c r="F3" s="8"/>
      <c r="G3" s="11">
        <f>C3-$B3</f>
        <v>-9.4000423002005284E-5</v>
      </c>
      <c r="H3" s="11">
        <f>D3-$B3</f>
        <v>0</v>
      </c>
      <c r="K3" s="14">
        <v>9.4000423002005284E-5</v>
      </c>
      <c r="L3" s="14">
        <v>0</v>
      </c>
      <c r="P3" cm="1">
        <f t="array" ref="P3:P10">_xlfn._xlws.FILTER(B3:B17,$C$3:$C$17&lt;0)</f>
        <v>0</v>
      </c>
      <c r="Q3" cm="1">
        <f t="array" ref="Q3:Q10">_xlfn._xlws.FILTER(C3:C17,$C$3:$C$17&lt;0)</f>
        <v>-9.4000423002005284E-5</v>
      </c>
      <c r="R3" cm="1">
        <f t="array" ref="R3:R10">_xlfn._xlws.FILTER(D3:D17,$C$3:$C$17&lt;0)</f>
        <v>0</v>
      </c>
      <c r="T3" cm="1">
        <f t="array" ref="T3:T9">_xlfn._xlws.FILTER(B3:B17,$C$3:$C$17&gt;0)</f>
        <v>8.2200000000032247E-5</v>
      </c>
      <c r="U3" cm="1">
        <f t="array" ref="U3:U9">_xlfn._xlws.FILTER(C3:C17,$C$3:$C$17&gt;0)</f>
        <v>3.2231746255595439E-4</v>
      </c>
      <c r="V3" cm="1">
        <f t="array" ref="V3:V9">_xlfn._xlws.FILTER(D3:D17,$C$3:$C$17&gt;0)</f>
        <v>3.1331199999999892E-3</v>
      </c>
    </row>
    <row r="4" spans="2:22" x14ac:dyDescent="0.25">
      <c r="B4" s="1">
        <v>8.2200000000032247E-5</v>
      </c>
      <c r="C4" s="1">
        <v>3.2231746255595439E-4</v>
      </c>
      <c r="D4" s="1">
        <v>3.1331199999999892E-3</v>
      </c>
      <c r="F4" s="8"/>
      <c r="G4" s="11">
        <f t="shared" ref="G4:H17" si="0">C4-$B4</f>
        <v>2.4011746255592215E-4</v>
      </c>
      <c r="H4" s="11">
        <f t="shared" si="0"/>
        <v>3.050919999999957E-3</v>
      </c>
      <c r="K4" s="14">
        <v>3.2231746255595439E-4</v>
      </c>
      <c r="L4" s="14">
        <v>3.1331199999999892E-3</v>
      </c>
      <c r="P4">
        <v>8.2199729546594824E-5</v>
      </c>
      <c r="Q4">
        <v>-7.2435597111886185E-4</v>
      </c>
      <c r="R4">
        <v>-1.2263622560784171E-3</v>
      </c>
      <c r="T4">
        <v>8.2193243715389386E-5</v>
      </c>
      <c r="U4">
        <v>7.2296678179091245E-3</v>
      </c>
      <c r="V4">
        <v>1.113068622437674E-2</v>
      </c>
    </row>
    <row r="5" spans="2:22" x14ac:dyDescent="0.25">
      <c r="B5" s="1">
        <v>8.2193243715389386E-5</v>
      </c>
      <c r="C5" s="1">
        <v>7.2296678179091245E-3</v>
      </c>
      <c r="D5" s="1">
        <v>1.113068622437674E-2</v>
      </c>
      <c r="F5" s="8"/>
      <c r="G5" s="11">
        <f t="shared" si="0"/>
        <v>7.1474745741937351E-3</v>
      </c>
      <c r="H5" s="11">
        <f t="shared" si="0"/>
        <v>1.1048492980661351E-2</v>
      </c>
      <c r="K5" s="14">
        <v>7.2296678179091245E-3</v>
      </c>
      <c r="L5" s="14">
        <v>1.113068622437674E-2</v>
      </c>
      <c r="P5">
        <v>2.4657891991952674E-4</v>
      </c>
      <c r="Q5">
        <v>-3.1356092824675885E-3</v>
      </c>
      <c r="R5">
        <v>-6.0585660461631718E-5</v>
      </c>
      <c r="T5">
        <v>8.2186488541191594E-5</v>
      </c>
      <c r="U5">
        <v>2.8791074766820746E-3</v>
      </c>
      <c r="V5">
        <v>-1.5737770653512229E-3</v>
      </c>
    </row>
    <row r="6" spans="2:22" x14ac:dyDescent="0.25">
      <c r="B6" s="1">
        <v>8.2186488541191594E-5</v>
      </c>
      <c r="C6" s="1">
        <v>2.8791074766820746E-3</v>
      </c>
      <c r="D6" s="1">
        <v>-1.5737770653512229E-3</v>
      </c>
      <c r="F6" s="8"/>
      <c r="G6" s="11">
        <f t="shared" si="0"/>
        <v>2.796920988140883E-3</v>
      </c>
      <c r="H6" s="11">
        <f t="shared" si="0"/>
        <v>-1.6559635538924145E-3</v>
      </c>
      <c r="K6" s="14">
        <v>2.8791074766820746E-3</v>
      </c>
      <c r="L6" s="14">
        <v>-1.5737770653512229E-3</v>
      </c>
      <c r="P6">
        <v>8.2192419748716716E-5</v>
      </c>
      <c r="Q6">
        <v>-4.895586322955392E-3</v>
      </c>
      <c r="R6">
        <v>-1.1019876585149913E-2</v>
      </c>
      <c r="T6">
        <v>8.219269974518717E-5</v>
      </c>
      <c r="U6">
        <v>2.5817555938039138E-3</v>
      </c>
      <c r="V6">
        <v>2.1230588697924713E-3</v>
      </c>
    </row>
    <row r="7" spans="2:22" x14ac:dyDescent="0.25">
      <c r="B7" s="1">
        <v>8.2199729546594824E-5</v>
      </c>
      <c r="C7" s="1">
        <v>-7.2435597111886185E-4</v>
      </c>
      <c r="D7" s="1">
        <v>-1.2263622560784171E-3</v>
      </c>
      <c r="F7" s="8"/>
      <c r="G7" s="11">
        <f t="shared" si="0"/>
        <v>-8.0655570066545668E-4</v>
      </c>
      <c r="H7" s="11">
        <f t="shared" si="0"/>
        <v>-1.3085619856250119E-3</v>
      </c>
      <c r="K7" s="14">
        <v>7.2435597111886185E-4</v>
      </c>
      <c r="L7" s="14">
        <v>-1.2263622560784171E-3</v>
      </c>
      <c r="P7">
        <v>2.4657697605667828E-4</v>
      </c>
      <c r="Q7">
        <v>-9.6922866109405703E-5</v>
      </c>
      <c r="R7">
        <v>2.7731910686723538E-4</v>
      </c>
      <c r="T7">
        <v>8.2185944660473353E-5</v>
      </c>
      <c r="U7">
        <v>3.4268223708289192E-4</v>
      </c>
      <c r="V7">
        <v>-1.2212168590912675E-3</v>
      </c>
    </row>
    <row r="8" spans="2:22" x14ac:dyDescent="0.25">
      <c r="B8" s="1">
        <v>2.4657891991952674E-4</v>
      </c>
      <c r="C8" s="1">
        <v>-3.1356092824675885E-3</v>
      </c>
      <c r="D8" s="1">
        <v>-6.0585660461631718E-5</v>
      </c>
      <c r="F8" s="8"/>
      <c r="G8" s="11">
        <f t="shared" si="0"/>
        <v>-3.3821882023871153E-3</v>
      </c>
      <c r="H8" s="11">
        <f t="shared" si="0"/>
        <v>-3.0716458038115846E-4</v>
      </c>
      <c r="K8" s="14">
        <v>3.1356092824675885E-3</v>
      </c>
      <c r="L8" s="14">
        <v>-6.0585660461631718E-5</v>
      </c>
      <c r="P8">
        <v>8.2185381613975039E-5</v>
      </c>
      <c r="Q8">
        <v>-8.4163942535884217E-3</v>
      </c>
      <c r="R8">
        <v>-4.8789385894569826E-3</v>
      </c>
      <c r="T8">
        <v>8.2199175897912369E-5</v>
      </c>
      <c r="U8">
        <v>1.9955233758750524E-5</v>
      </c>
      <c r="V8">
        <v>5.190551166665891E-3</v>
      </c>
    </row>
    <row r="9" spans="2:22" x14ac:dyDescent="0.25">
      <c r="B9" s="1">
        <v>8.219269974518717E-5</v>
      </c>
      <c r="C9" s="1">
        <v>2.5817555938039138E-3</v>
      </c>
      <c r="D9" s="1">
        <v>2.1230588697924713E-3</v>
      </c>
      <c r="F9" s="8"/>
      <c r="G9" s="11">
        <f t="shared" si="0"/>
        <v>2.4995628940587267E-3</v>
      </c>
      <c r="H9" s="11">
        <f t="shared" si="0"/>
        <v>2.0408661700472841E-3</v>
      </c>
      <c r="K9" s="14">
        <v>2.5817555938039138E-3</v>
      </c>
      <c r="L9" s="14">
        <v>2.1230588697924713E-3</v>
      </c>
      <c r="P9">
        <v>8.2191847036172661E-5</v>
      </c>
      <c r="Q9">
        <v>-2.4289165022262083E-3</v>
      </c>
      <c r="R9">
        <v>-6.3539265847126769E-3</v>
      </c>
      <c r="T9">
        <v>8.2198603090999356E-5</v>
      </c>
      <c r="U9">
        <v>6.1585653610194413E-3</v>
      </c>
      <c r="V9">
        <v>7.5949356979387872E-3</v>
      </c>
    </row>
    <row r="10" spans="2:22" x14ac:dyDescent="0.25">
      <c r="B10" s="1">
        <v>8.2185944660473353E-5</v>
      </c>
      <c r="C10" s="1">
        <v>3.4268223708289192E-4</v>
      </c>
      <c r="D10" s="1">
        <v>-1.2212168590912675E-3</v>
      </c>
      <c r="F10" s="8"/>
      <c r="G10" s="11">
        <f t="shared" si="0"/>
        <v>2.6049629242241856E-4</v>
      </c>
      <c r="H10" s="11">
        <f t="shared" si="0"/>
        <v>-1.3034028037517409E-3</v>
      </c>
      <c r="K10" s="14">
        <v>3.4268223708289192E-4</v>
      </c>
      <c r="L10" s="14">
        <v>-1.2212168590912675E-3</v>
      </c>
      <c r="P10">
        <v>8.218509209156899E-5</v>
      </c>
      <c r="Q10">
        <v>-5.3163264620735839E-3</v>
      </c>
      <c r="R10">
        <v>2.6039764394154563E-3</v>
      </c>
    </row>
    <row r="11" spans="2:22" x14ac:dyDescent="0.25">
      <c r="B11" s="1">
        <v>8.2199175897912369E-5</v>
      </c>
      <c r="C11" s="1">
        <v>1.9955233758750524E-5</v>
      </c>
      <c r="D11" s="1">
        <v>5.190551166665891E-3</v>
      </c>
      <c r="F11" s="8"/>
      <c r="G11" s="11">
        <f t="shared" si="0"/>
        <v>-6.2243942139161845E-5</v>
      </c>
      <c r="H11" s="11">
        <f t="shared" si="0"/>
        <v>5.1083519907679786E-3</v>
      </c>
      <c r="K11" s="14">
        <v>1.9955233758750524E-5</v>
      </c>
      <c r="L11" s="14">
        <v>5.190551166665891E-3</v>
      </c>
    </row>
    <row r="12" spans="2:22" x14ac:dyDescent="0.25">
      <c r="B12" s="1">
        <v>8.2192419748716716E-5</v>
      </c>
      <c r="C12" s="1">
        <v>-4.895586322955392E-3</v>
      </c>
      <c r="D12" s="1">
        <v>-1.1019876585149913E-2</v>
      </c>
      <c r="F12" s="8"/>
      <c r="G12" s="11">
        <f t="shared" si="0"/>
        <v>-4.9777787427041087E-3</v>
      </c>
      <c r="H12" s="11">
        <f t="shared" si="0"/>
        <v>-1.1102069004898629E-2</v>
      </c>
      <c r="K12" s="14">
        <v>4.895586322955392E-3</v>
      </c>
      <c r="L12" s="14">
        <v>-1.1019876585149913E-2</v>
      </c>
      <c r="P12" s="17" cm="1">
        <f t="array" ref="P12">SLOPE(_xlfn.ANCHORARRAY(R3)-_xlfn.ANCHORARRAY(P3),_xlfn.ANCHORARRAY(Q3)-_xlfn.ANCHORARRAY(P3))</f>
        <v>0.53164017255257146</v>
      </c>
      <c r="T12" s="17" cm="1">
        <f t="array" ref="T12">SLOPE(_xlfn.ANCHORARRAY(V3)-_xlfn.ANCHORARRAY(T3),_xlfn.ANCHORARRAY(U3)-_xlfn.ANCHORARRAY(T3))</f>
        <v>1.0869193898495133</v>
      </c>
    </row>
    <row r="13" spans="2:22" x14ac:dyDescent="0.25">
      <c r="B13" s="1">
        <v>2.4657697605667828E-4</v>
      </c>
      <c r="C13" s="1">
        <v>-9.6922866109405703E-5</v>
      </c>
      <c r="D13" s="1">
        <v>2.7731910686723538E-4</v>
      </c>
      <c r="F13" s="8"/>
      <c r="G13" s="11">
        <f t="shared" si="0"/>
        <v>-3.4349984216608398E-4</v>
      </c>
      <c r="H13" s="11">
        <f t="shared" si="0"/>
        <v>3.07421308105571E-5</v>
      </c>
      <c r="K13" s="14">
        <v>9.6922866109405703E-5</v>
      </c>
      <c r="L13" s="14">
        <v>2.7731910686723538E-4</v>
      </c>
    </row>
    <row r="14" spans="2:22" x14ac:dyDescent="0.25">
      <c r="B14" s="1">
        <v>8.2185381613975039E-5</v>
      </c>
      <c r="C14" s="1">
        <v>-8.4163942535884217E-3</v>
      </c>
      <c r="D14" s="1">
        <v>-4.8789385894569826E-3</v>
      </c>
      <c r="F14" s="8"/>
      <c r="G14" s="11">
        <f t="shared" si="0"/>
        <v>-8.4985796352023968E-3</v>
      </c>
      <c r="H14" s="11">
        <f t="shared" si="0"/>
        <v>-4.9611239710709576E-3</v>
      </c>
      <c r="K14" s="14">
        <v>8.4163942535884217E-3</v>
      </c>
      <c r="L14" s="14">
        <v>-4.8789385894569826E-3</v>
      </c>
    </row>
    <row r="15" spans="2:22" x14ac:dyDescent="0.25">
      <c r="B15" s="1">
        <v>8.2198603090999356E-5</v>
      </c>
      <c r="C15" s="1">
        <v>6.1585653610194413E-3</v>
      </c>
      <c r="D15" s="1">
        <v>7.5949356979387872E-3</v>
      </c>
      <c r="F15" s="8"/>
      <c r="G15" s="11">
        <f t="shared" si="0"/>
        <v>6.0763667579284419E-3</v>
      </c>
      <c r="H15" s="11">
        <f t="shared" si="0"/>
        <v>7.5127370948477878E-3</v>
      </c>
      <c r="K15" s="14">
        <v>6.1585653610194413E-3</v>
      </c>
      <c r="L15" s="14">
        <v>7.5949356979387872E-3</v>
      </c>
    </row>
    <row r="16" spans="2:22" x14ac:dyDescent="0.25">
      <c r="B16" s="1">
        <v>8.2191847036172661E-5</v>
      </c>
      <c r="C16" s="1">
        <v>-2.4289165022262083E-3</v>
      </c>
      <c r="D16" s="1">
        <v>-6.3539265847126769E-3</v>
      </c>
      <c r="F16" s="8"/>
      <c r="G16" s="11">
        <f t="shared" si="0"/>
        <v>-2.5111083492623809E-3</v>
      </c>
      <c r="H16" s="11">
        <f t="shared" si="0"/>
        <v>-6.4361184317488496E-3</v>
      </c>
      <c r="K16" s="14">
        <v>2.4289165022262083E-3</v>
      </c>
      <c r="L16" s="14">
        <v>-6.3539265847126769E-3</v>
      </c>
    </row>
    <row r="17" spans="1:12" x14ac:dyDescent="0.25">
      <c r="B17" s="1">
        <v>8.218509209156899E-5</v>
      </c>
      <c r="C17" s="1">
        <v>-5.3163264620735839E-3</v>
      </c>
      <c r="D17" s="1">
        <v>2.6039764394154563E-3</v>
      </c>
      <c r="F17" s="8"/>
      <c r="G17" s="11">
        <f t="shared" si="0"/>
        <v>-5.3985115541651529E-3</v>
      </c>
      <c r="H17" s="11">
        <f t="shared" si="0"/>
        <v>2.5217913473238873E-3</v>
      </c>
      <c r="K17" s="14">
        <v>5.3163264620735839E-3</v>
      </c>
      <c r="L17" s="14">
        <v>2.6039764394154563E-3</v>
      </c>
    </row>
    <row r="18" spans="1:12" x14ac:dyDescent="0.25">
      <c r="B18" s="1"/>
      <c r="C18" s="1"/>
    </row>
    <row r="19" spans="1:12" x14ac:dyDescent="0.25">
      <c r="A19" t="s">
        <v>2</v>
      </c>
      <c r="B19" s="6">
        <f>AVERAGE(B3:B17)</f>
        <v>9.8631101444294586E-5</v>
      </c>
      <c r="C19" s="6">
        <f>AVERAGE(C3:C17)</f>
        <v>-3.7160406004862107E-4</v>
      </c>
      <c r="D19" s="6">
        <f>AVERAGE(D3:D17)</f>
        <v>3.8126426031696398E-4</v>
      </c>
      <c r="E19" s="30"/>
      <c r="G19" s="3" t="s">
        <v>6</v>
      </c>
      <c r="H19" s="4"/>
    </row>
    <row r="20" spans="1:12" x14ac:dyDescent="0.25">
      <c r="A20" t="s">
        <v>3</v>
      </c>
      <c r="B20" s="1"/>
      <c r="C20" s="7">
        <f>_xlfn.STDEV.S(C3:C17)</f>
        <v>4.1631161702144655E-3</v>
      </c>
      <c r="D20" s="7">
        <f>_xlfn.STDEV.S(D3:D17)</f>
        <v>5.4681409263410462E-3</v>
      </c>
      <c r="G20" s="5" t="s">
        <v>5</v>
      </c>
      <c r="H20" t="s">
        <v>16</v>
      </c>
      <c r="I20" s="4"/>
    </row>
    <row r="21" spans="1:12" x14ac:dyDescent="0.25">
      <c r="A21" t="s">
        <v>8</v>
      </c>
      <c r="C21" s="8" cm="1">
        <f t="array" ref="C21">_xlfn.COVARIANCE.P(C3:C17-$B$3:$B$17,$C$3:$C$17-$B$3:$B$17)/_xlfn.VAR.P($C$3:$C$17-$B$3:$B$17)</f>
        <v>1</v>
      </c>
      <c r="D21" s="8">
        <f>_xlfn.COVARIANCE.S(D3:D17,$C$3:$C$17)/_xlfn.VAR.S($C$3:$C$17)</f>
        <v>0.94241159407120378</v>
      </c>
      <c r="G21" s="9" cm="1">
        <f t="array" ref="G21">_xll.Beta(D3:D17,C3:C17)</f>
        <v>0.94241159407120412</v>
      </c>
      <c r="H21" s="10">
        <f>D21-G21</f>
        <v>0</v>
      </c>
      <c r="L21" cm="1">
        <f t="array" ref="L21">_xll.Beta(L3:L17,K3:K17)</f>
        <v>0.1271052478189077</v>
      </c>
    </row>
    <row r="22" spans="1:12" x14ac:dyDescent="0.25">
      <c r="A22" t="s">
        <v>25</v>
      </c>
      <c r="C22" s="8">
        <f>C21*2/3+1/3</f>
        <v>1</v>
      </c>
      <c r="D22" s="8">
        <f>D21*2/3+1/3</f>
        <v>0.96160772938080252</v>
      </c>
      <c r="G22" s="9" cm="1">
        <f t="array" ref="G22">_xll.AdjustedBeta(D3:D17,C3:C17)</f>
        <v>0.96160772938080274</v>
      </c>
      <c r="H22" s="10">
        <f>D22-G22</f>
        <v>0</v>
      </c>
    </row>
    <row r="23" spans="1:12" x14ac:dyDescent="0.25">
      <c r="A23" t="s">
        <v>13</v>
      </c>
      <c r="C23" s="8" cm="1">
        <f t="array" ref="C23">SLOPE(_xlfn._xlws.FILTER(C3:C17,$C$3:$C$17&gt;0)-_xlfn._xlws.FILTER($B$3:$B$17,$C$3:$C$17&gt;0),_xlfn._xlws.FILTER($C$3:$C$17,$C$3:$C$17&gt;0)-_xlfn._xlws.FILTER($B$3:$B$17,$C$3:$C$17&gt;0))</f>
        <v>1</v>
      </c>
      <c r="D23" s="8" cm="1">
        <f t="array" ref="D23">SLOPE(_xlfn._xlws.FILTER(D3:D17,$C$3:$C$17&gt;0),_xlfn._xlws.FILTER($C$3:$C$17,$C$3:$C$17&gt;0))</f>
        <v>1.0869212641710992</v>
      </c>
      <c r="G23" s="9" cm="1">
        <f t="array" ref="G23">_xll.BullBeta(D3:D17,C3:C17)</f>
        <v>1.0869212641710992</v>
      </c>
      <c r="H23" s="10">
        <f t="shared" ref="H23:H38" si="1">D23-G23</f>
        <v>0</v>
      </c>
      <c r="L23" cm="1">
        <f t="array" ref="L23">_xll.BullBeta(L3:L17,K3:K17)</f>
        <v>0.1271052478189077</v>
      </c>
    </row>
    <row r="24" spans="1:12" x14ac:dyDescent="0.25">
      <c r="A24" t="s">
        <v>14</v>
      </c>
      <c r="C24" s="8" cm="1">
        <f t="array" ref="C24">SLOPE(_xlfn._xlws.FILTER(C3:C17,$C$3:$C$17&lt;0)-_xlfn._xlws.FILTER($B$3:$B$17,$C$3:$C$17&lt;0),_xlfn._xlws.FILTER($C$3:$C$17,$C$3:$C$17&lt;0)-_xlfn._xlws.FILTER($B$3:$B$17,$C$3:$C$17&lt;0))</f>
        <v>1</v>
      </c>
      <c r="D24" s="8" cm="1">
        <f t="array" ref="D24">SLOPE(_xlfn._xlws.FILTER(D3:D17,$C$3:$C$17&lt;0),_xlfn._xlws.FILTER($C$3:$C$17,$C$3:$C$17&lt;0))</f>
        <v>0.54207326774062659</v>
      </c>
      <c r="G24" s="9" cm="1">
        <f t="array" ref="G24">_xll.BearBeta(D3:D17,C3:C17)</f>
        <v>0.54207326774062659</v>
      </c>
      <c r="H24" s="10">
        <f t="shared" si="1"/>
        <v>0</v>
      </c>
      <c r="L24" t="e" cm="1">
        <f t="array" ref="L24">_xll.BearBeta(L3:L17,K3:K17,B3:B17)</f>
        <v>#VALUE!</v>
      </c>
    </row>
    <row r="25" spans="1:12" x14ac:dyDescent="0.25">
      <c r="A25" t="s">
        <v>15</v>
      </c>
      <c r="C25" s="8">
        <f>C23/C24</f>
        <v>1</v>
      </c>
      <c r="D25" s="8">
        <f>D23/D24</f>
        <v>2.0051187336748981</v>
      </c>
      <c r="G25" s="9" cm="1">
        <f t="array" ref="G25">_xll.BetaTimingRatio(D3:D17,C3:C17)</f>
        <v>2.0051187336748981</v>
      </c>
      <c r="H25" s="10">
        <f t="shared" si="1"/>
        <v>0</v>
      </c>
      <c r="L25" s="15" t="e" cm="1">
        <f t="array" ref="L25">_xll.BetaTimingRatio(L3:L17,K3:K17)</f>
        <v>#VALUE!</v>
      </c>
    </row>
    <row r="26" spans="1:12" x14ac:dyDescent="0.25">
      <c r="A26" t="s">
        <v>4</v>
      </c>
      <c r="B26" s="1"/>
      <c r="C26" s="8">
        <f>(AVERAGE(C3:C17)-AVERAGE($B$3:$B$17))/_xlfn.STDEV.S(C3:C17)</f>
        <v>-0.11295268790654267</v>
      </c>
      <c r="D26" s="8">
        <f>(AVERAGE(D3:D17)-AVERAGE($B$3:$B$17))/_xlfn.STDEV.S(D3:D17)</f>
        <v>5.1687248496316764E-2</v>
      </c>
      <c r="E26" s="2"/>
      <c r="G26" s="9" cm="1">
        <f t="array" ref="G26">_xll.SharpeRatio(D3:D17,B3:B17)</f>
        <v>5.0860520440393318E-2</v>
      </c>
      <c r="H26" s="10">
        <f t="shared" si="1"/>
        <v>8.2672805592344523E-4</v>
      </c>
    </row>
    <row r="27" spans="1:12" x14ac:dyDescent="0.25">
      <c r="A27" t="s">
        <v>24</v>
      </c>
      <c r="B27" s="1"/>
      <c r="C27" s="8" cm="1">
        <f t="array" ref="C27">(AVERAGE(C3:C17)-AVERAGE($B$3:$B$17))/_xlfn.STDEV.S(C3:C17-$B$3:$B$17)</f>
        <v>-0.11273902975687349</v>
      </c>
      <c r="D27" s="8" cm="1">
        <f t="array" ref="D27">(AVERAGE(D3:D17)-AVERAGE($B$3:$B$17))/_xlfn.STDEV.S(D3:D17-$B$3:$B$17)</f>
        <v>5.1676557020390534E-2</v>
      </c>
      <c r="E27" s="2"/>
      <c r="G27" s="9" cm="1">
        <f t="array" ref="G27">_xll.RevisedSharpeRatio(D3:D17,B3:B17)</f>
        <v>5.0849999972662811E-2</v>
      </c>
      <c r="H27" s="10">
        <f t="shared" si="1"/>
        <v>8.2655704772772315E-4</v>
      </c>
    </row>
    <row r="28" spans="1:12" x14ac:dyDescent="0.25">
      <c r="A28" t="s">
        <v>7</v>
      </c>
      <c r="B28" s="1"/>
      <c r="C28" s="8">
        <f>(AVERAGE(C3:C17)-AVERAGE($B$3:$B$17))/C21</f>
        <v>-4.7023516149291567E-4</v>
      </c>
      <c r="D28" s="8">
        <f>(AVERAGE(D3:D17)-AVERAGE($B$3:$B$17))/D21</f>
        <v>2.9990416146271975E-4</v>
      </c>
      <c r="G28" s="9" cm="1">
        <f t="array" ref="G28">_xll.TreynorIndex(D3:D17,G21,B3:B17)</f>
        <v>2.8510068879922587E-4</v>
      </c>
      <c r="H28" s="10">
        <f t="shared" si="1"/>
        <v>1.4803472663493876E-5</v>
      </c>
    </row>
    <row r="29" spans="1:12" x14ac:dyDescent="0.25">
      <c r="A29" t="s">
        <v>9</v>
      </c>
      <c r="C29" s="8">
        <f>(_xlfn.STDEV.S($C$3:$C$17)/_xlfn.STDEV.S(C3:C17))*(C19-$B$19)+$B$19</f>
        <v>-3.7160406004862107E-4</v>
      </c>
      <c r="D29" s="8">
        <f>(_xlfn.STDEV.S($C$3:$C$17)/_xlfn.STDEV.S(D3:D17))*(D19-$B$19)+$B$19</f>
        <v>3.138111214532042E-4</v>
      </c>
      <c r="G29" s="9" cm="1">
        <f t="array" ref="G29">_xll.MSquared(D3:D17,C3:C17,B3:B17)</f>
        <v>3.0318779856168554E-4</v>
      </c>
      <c r="H29" s="10">
        <f t="shared" si="1"/>
        <v>1.0623322891518668E-5</v>
      </c>
    </row>
    <row r="30" spans="1:12" x14ac:dyDescent="0.25">
      <c r="A30" t="s">
        <v>11</v>
      </c>
      <c r="C30" s="12">
        <f>C19-$B$19-C21*($C$19-$B$19)</f>
        <v>0</v>
      </c>
      <c r="D30" s="12">
        <f>D19-$B$19-D21*($C$19-$B$19)</f>
        <v>7.2578822700353793E-4</v>
      </c>
      <c r="G30" s="13" cm="1">
        <f t="array" ref="G30">_xll.JensensAlpha(D3:D17,C3:C17,B3:B17)</f>
        <v>7.1946041713468107E-4</v>
      </c>
      <c r="H30" s="10">
        <f t="shared" si="1"/>
        <v>6.3278098688568547E-6</v>
      </c>
    </row>
    <row r="31" spans="1:12" x14ac:dyDescent="0.25">
      <c r="A31" t="s">
        <v>21</v>
      </c>
      <c r="C31" s="12" cm="1">
        <f t="array" ref="C31">_xlfn.STDEV.S(C3:C17-$C$3:$C$17)</f>
        <v>0</v>
      </c>
      <c r="D31" s="12" cm="1">
        <f t="array" ref="D31">_xlfn.STDEV.S(D3:D17-$C$3:$C$17)</f>
        <v>3.816440754566235E-3</v>
      </c>
      <c r="G31" s="13" cm="1">
        <f t="array" ref="G31">_xll.TrackingError(D3:D17,C3:C17)</f>
        <v>3.816440754566235E-3</v>
      </c>
      <c r="H31" s="10">
        <f t="shared" si="1"/>
        <v>0</v>
      </c>
    </row>
    <row r="32" spans="1:12" x14ac:dyDescent="0.25">
      <c r="A32" t="s">
        <v>20</v>
      </c>
      <c r="C32" s="8"/>
      <c r="D32" s="8" cm="1">
        <f t="array" ref="D32">(AVERAGE(D3:D17)-AVERAGE($C$3:$C$17))/_xlfn.STDEV.S(D3:D17-$C$3:$C$17)</f>
        <v>0.19726975178765843</v>
      </c>
      <c r="G32" s="8" cm="1">
        <f t="array" ref="G32">_xll.InformationRatio(D3:D17,C3:C17)</f>
        <v>0.19726975178765843</v>
      </c>
      <c r="H32" s="10">
        <f t="shared" si="1"/>
        <v>0</v>
      </c>
    </row>
    <row r="33" spans="1:13" x14ac:dyDescent="0.25">
      <c r="A33" t="s">
        <v>47</v>
      </c>
      <c r="C33" s="8" cm="1">
        <f t="array" ref="C33">AVERAGE(_xlfn._xlws.FILTER(C3:C17,$C$3:$C$17&gt;0))/AVERAGE(_xlfn._xlws.FILTER($C$3:$C$17,$C$3:$C$17&gt;0))</f>
        <v>1</v>
      </c>
      <c r="D33" s="8" cm="1">
        <f t="array" ref="D33">AVERAGE(_xlfn._xlws.FILTER(D3:D17,$C$3:$C$17&gt;0))/AVERAGE(_xlfn._xlws.FILTER($C$3:$C$17,$C$3:$C$17&gt;0))</f>
        <v>1.3503270666937031</v>
      </c>
      <c r="G33" s="10" cm="1">
        <f t="array" ref="G33">_xll.UpCaptureRatio(D3:D17,$C$3:$C$17)</f>
        <v>1.3503270666937031</v>
      </c>
      <c r="H33" s="10">
        <f t="shared" si="1"/>
        <v>0</v>
      </c>
      <c r="L33" s="11"/>
      <c r="M33" s="11"/>
    </row>
    <row r="34" spans="1:13" x14ac:dyDescent="0.25">
      <c r="A34" t="s">
        <v>48</v>
      </c>
      <c r="C34" s="8" cm="1">
        <f t="array" ref="C34">AVERAGE(_xlfn._xlws.FILTER(C3:C17,$C$3:$C$17&lt;0))/AVERAGE(_xlfn._xlws.FILTER($C$3:$C$17,$C$3:$C$17&lt;0))</f>
        <v>1</v>
      </c>
      <c r="D34" s="8" cm="1">
        <f t="array" ref="D34">AVERAGE(_xlfn._xlws.FILTER(D3:D17,$C$3:$C$17&lt;0))/AVERAGE(_xlfn._xlws.FILTER($C$3:$C$17,$C$3:$C$17&lt;0))</f>
        <v>0.82277767682575553</v>
      </c>
      <c r="G34" s="10" cm="1">
        <f t="array" ref="G34">_xll.DownCaptureRatio(D3:D17,C3:C17)</f>
        <v>0.82277767682575553</v>
      </c>
      <c r="H34" s="10">
        <f t="shared" si="1"/>
        <v>0</v>
      </c>
      <c r="L34" s="11"/>
      <c r="M34" s="11"/>
    </row>
    <row r="35" spans="1:13" x14ac:dyDescent="0.25">
      <c r="A35" t="s">
        <v>49</v>
      </c>
      <c r="C35" s="6" cm="1">
        <f t="array" ref="C35">SUM(--(_xlfn._xlws.FILTER(C3:C17-$C$3:$C$17,$C$3:$C$17&gt;0)&gt;0))/COUNT(_xlfn._xlws.FILTER(C3:C17-$C$3:$C$17,$C$3:$C$17&gt;0))</f>
        <v>0</v>
      </c>
      <c r="D35" s="6" cm="1">
        <f t="array" ref="D35">SUM(--(_xlfn._xlws.FILTER(D3:D17-$C$3:$C$17,$C$3:$C$17&gt;0)&gt;0))/COUNT(_xlfn._xlws.FILTER(D3:D17-$C$3:$C$17,$C$3:$C$17&gt;0))</f>
        <v>0.5714285714285714</v>
      </c>
      <c r="G35" s="6" cm="1">
        <f t="array" ref="G35">_xll.UpPercentageRatio(D3:D17,C3:C17)</f>
        <v>0.5714285714285714</v>
      </c>
      <c r="H35" s="10">
        <f t="shared" si="1"/>
        <v>0</v>
      </c>
      <c r="L35" s="11"/>
      <c r="M35" s="11"/>
    </row>
    <row r="36" spans="1:13" x14ac:dyDescent="0.25">
      <c r="A36" t="s">
        <v>50</v>
      </c>
      <c r="C36" s="6" cm="1">
        <f t="array" ref="C36">SUM(--(_xlfn._xlws.FILTER(C3:C17-$C$3:$C$17,$C$3:$C$17&lt;0)&gt;0))/COUNT(_xlfn._xlws.FILTER(C3:C17-$C$3:$C$17,$C$3:$C$17&lt;0))</f>
        <v>0</v>
      </c>
      <c r="D36" s="6" cm="1">
        <f t="array" ref="D36">SUM(--(_xlfn._xlws.FILTER(D3:D17-$C$3:$C$17,$C$3:$C$17&lt;0)&gt;0))/COUNT(_xlfn._xlws.FILTER(D3:D17-$C$3:$C$17,$C$3:$C$17&lt;0))</f>
        <v>0.625</v>
      </c>
      <c r="G36" s="6" cm="1">
        <f t="array" ref="G36">_xll.DownPercentageRatio(D3:D17,C3:C17)</f>
        <v>0.625</v>
      </c>
      <c r="H36" s="10">
        <f t="shared" si="1"/>
        <v>0</v>
      </c>
      <c r="L36" s="11"/>
      <c r="M36" s="11"/>
    </row>
    <row r="37" spans="1:13" x14ac:dyDescent="0.25">
      <c r="A37" t="s">
        <v>51</v>
      </c>
      <c r="C37" s="6" cm="1">
        <f t="array" ref="C37">SUM(--(C3:C17&gt;0))/SUM(--($C$3:$C$17&gt;0))</f>
        <v>1</v>
      </c>
      <c r="D37" s="6" cm="1">
        <f t="array" ref="D37">SUM(--(D3:D17&gt;0))/SUM(--($C$3:$C$17&gt;0))</f>
        <v>1</v>
      </c>
      <c r="G37" s="6" cm="1">
        <f t="array" ref="G37">_xll.PercentageGainRatio(D3:D17,C3:C17)</f>
        <v>1</v>
      </c>
      <c r="H37" s="10">
        <f t="shared" si="1"/>
        <v>0</v>
      </c>
      <c r="L37" s="11"/>
      <c r="M37" s="11"/>
    </row>
    <row r="38" spans="1:13" x14ac:dyDescent="0.25">
      <c r="A38" t="s">
        <v>52</v>
      </c>
      <c r="C38" s="6" cm="1">
        <f t="array" ref="C38">SUM(--(C3:C17&lt;0))/SUM(--($C$3:$C$17&lt;0))</f>
        <v>1</v>
      </c>
      <c r="D38" s="6" cm="1">
        <f t="array" ref="D38">SUM(--(D3:D17&lt;0))/SUM(--($C$3:$C$17&lt;0))</f>
        <v>0.875</v>
      </c>
      <c r="G38" s="6" cm="1">
        <f t="array" ref="G38">_xll.PercentageLossRatio(D3:D17,C3:C17)</f>
        <v>0.875</v>
      </c>
      <c r="H38" s="10">
        <f t="shared" si="1"/>
        <v>0</v>
      </c>
      <c r="L38" s="11"/>
      <c r="M38" s="11"/>
    </row>
    <row r="39" spans="1:13" x14ac:dyDescent="0.25">
      <c r="C39" s="6"/>
      <c r="D39" s="6"/>
      <c r="G39" s="6"/>
      <c r="H39" s="10"/>
      <c r="L39" s="11"/>
      <c r="M39" s="11"/>
    </row>
    <row r="40" spans="1:13" x14ac:dyDescent="0.25">
      <c r="C40" s="6"/>
      <c r="D40" s="6"/>
      <c r="G40" s="10"/>
      <c r="L40" s="11"/>
      <c r="M40" s="11"/>
    </row>
    <row r="41" spans="1:13" x14ac:dyDescent="0.25">
      <c r="F41" s="31"/>
      <c r="G41" s="16"/>
      <c r="H41" t="s">
        <v>81</v>
      </c>
      <c r="K41" t="s">
        <v>74</v>
      </c>
      <c r="L41" s="1"/>
    </row>
    <row r="42" spans="1:13" x14ac:dyDescent="0.25">
      <c r="E42" s="11"/>
      <c r="G42" s="18" t="str" cm="1">
        <f t="array" ref="G42:H51">_xll.FamaDecomposition(D3:D17,C3:C17,B3:B17,1.3,1)</f>
        <v>Risk Premium</v>
      </c>
      <c r="H42" s="1">
        <v>2.6868219460207676E-4</v>
      </c>
      <c r="I42" s="30"/>
      <c r="J42" s="36" t="str" cm="1">
        <f t="array" ref="J42:K51">_xll.FamaDecomposition(D3:D17,C3:C17,B3:B17,1.3,12)</f>
        <v>Risk Premium</v>
      </c>
      <c r="K42" s="1">
        <v>3.2324595721133775E-3</v>
      </c>
      <c r="L42" s="1"/>
      <c r="M42" s="11"/>
    </row>
    <row r="43" spans="1:13" x14ac:dyDescent="0.25">
      <c r="G43" t="str">
        <v>Due to Risk</v>
      </c>
      <c r="H43" s="1">
        <v>-4.5077822253260436E-4</v>
      </c>
      <c r="J43" s="36" t="str">
        <v>Due to Risk</v>
      </c>
      <c r="K43" s="1">
        <v>-5.4009881205370957E-3</v>
      </c>
      <c r="L43" s="1"/>
      <c r="M43" s="19"/>
    </row>
    <row r="44" spans="1:13" x14ac:dyDescent="0.25">
      <c r="G44" t="str">
        <v>Due to Investor's Risk</v>
      </c>
      <c r="H44" s="1">
        <v>-6.2182139203192932E-4</v>
      </c>
      <c r="J44" s="37" t="str">
        <v>Due to Investor's Risk</v>
      </c>
      <c r="K44" s="1">
        <v>-7.450337624101566E-3</v>
      </c>
    </row>
    <row r="45" spans="1:13" x14ac:dyDescent="0.25">
      <c r="G45" t="str">
        <v>Due to Manager's Risk</v>
      </c>
      <c r="H45" s="1">
        <v>1.7104316949932498E-4</v>
      </c>
      <c r="J45" s="37" t="str">
        <v>Due to Manager's Risk</v>
      </c>
      <c r="K45" s="1">
        <v>2.0493495035644707E-3</v>
      </c>
      <c r="L45" s="2"/>
      <c r="M45" s="20"/>
    </row>
    <row r="46" spans="1:13" x14ac:dyDescent="0.25">
      <c r="G46" t="str">
        <v>Due to Selectivity</v>
      </c>
      <c r="H46" s="1">
        <v>7.1946041713468107E-4</v>
      </c>
      <c r="J46" s="37" t="str">
        <v>Due to Selectivity</v>
      </c>
      <c r="K46" s="1">
        <v>8.6334476926504741E-3</v>
      </c>
    </row>
    <row r="47" spans="1:13" x14ac:dyDescent="0.25">
      <c r="G47" t="str">
        <v>Diversification</v>
      </c>
      <c r="H47" s="1">
        <v>8.6610762185780418E-5</v>
      </c>
      <c r="J47" s="37" t="str">
        <v>Diversification</v>
      </c>
      <c r="K47" s="1">
        <v>1.0377247042856628E-3</v>
      </c>
      <c r="L47" s="1"/>
    </row>
    <row r="48" spans="1:13" x14ac:dyDescent="0.25">
      <c r="G48" t="str">
        <v>Net Selectivity</v>
      </c>
      <c r="H48" s="1">
        <v>6.3284965494890067E-4</v>
      </c>
      <c r="J48" s="37" t="str">
        <v>Net Selectivity</v>
      </c>
      <c r="K48" s="1">
        <v>7.5957229883648111E-3</v>
      </c>
      <c r="L48" s="1"/>
    </row>
    <row r="49" spans="7:12" x14ac:dyDescent="0.25">
      <c r="G49" t="str">
        <v>Hypothetical Beta</v>
      </c>
      <c r="H49" s="29">
        <v>1.3134730578655347</v>
      </c>
      <c r="J49" s="23" t="str">
        <v>Hypothetical Beta</v>
      </c>
      <c r="K49" s="29">
        <v>1.3134730578655347</v>
      </c>
      <c r="L49" s="1"/>
    </row>
    <row r="50" spans="7:12" x14ac:dyDescent="0.25">
      <c r="G50" t="str">
        <v>Hypothetical Exp Return</v>
      </c>
      <c r="H50" s="1">
        <v>-5.2963667077848419E-4</v>
      </c>
      <c r="J50" s="37" t="str">
        <v>Hypothetical Exp Return</v>
      </c>
      <c r="K50" s="1">
        <v>-6.3433593458563399E-3</v>
      </c>
    </row>
    <row r="51" spans="7:12" x14ac:dyDescent="0.25">
      <c r="G51" t="str">
        <v>Hypothetical Risk Premium</v>
      </c>
      <c r="H51" s="1">
        <v>-6.2826588095260126E-4</v>
      </c>
      <c r="J51" s="37" t="str">
        <v>Hypothetical Risk Premium</v>
      </c>
      <c r="K51" s="1">
        <v>-7.527552108661021E-3</v>
      </c>
    </row>
    <row r="52" spans="7:12" x14ac:dyDescent="0.25">
      <c r="H52" s="28"/>
    </row>
    <row r="53" spans="7:12" x14ac:dyDescent="0.25">
      <c r="H53" s="1"/>
    </row>
    <row r="54" spans="7:12" x14ac:dyDescent="0.25">
      <c r="H5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2AEA-8CFA-45DF-BCFE-1A720439ADBA}">
  <dimension ref="A1:M30"/>
  <sheetViews>
    <sheetView workbookViewId="0">
      <selection activeCell="I30" sqref="I30"/>
    </sheetView>
  </sheetViews>
  <sheetFormatPr defaultRowHeight="15" x14ac:dyDescent="0.25"/>
  <cols>
    <col min="2" max="3" width="13.5703125" bestFit="1" customWidth="1"/>
    <col min="4" max="4" width="13.7109375" bestFit="1" customWidth="1"/>
    <col min="5" max="5" width="12.42578125" bestFit="1" customWidth="1"/>
    <col min="6" max="6" width="12.85546875" bestFit="1" customWidth="1"/>
    <col min="8" max="8" width="27.42578125" bestFit="1" customWidth="1"/>
    <col min="9" max="9" width="20.7109375" bestFit="1" customWidth="1"/>
    <col min="10" max="10" width="14.42578125" bestFit="1" customWidth="1"/>
    <col min="11" max="11" width="14.28515625" bestFit="1" customWidth="1"/>
    <col min="12" max="12" width="9.28515625" bestFit="1" customWidth="1"/>
    <col min="13" max="13" width="14.28515625" bestFit="1" customWidth="1"/>
  </cols>
  <sheetData>
    <row r="1" spans="1:13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H1" s="25" t="s">
        <v>26</v>
      </c>
      <c r="I1" s="25" t="s">
        <v>27</v>
      </c>
      <c r="J1" s="25" t="s">
        <v>28</v>
      </c>
      <c r="K1" s="25" t="s">
        <v>29</v>
      </c>
      <c r="L1" s="25" t="s">
        <v>30</v>
      </c>
      <c r="M1" s="25" t="s">
        <v>32</v>
      </c>
    </row>
    <row r="2" spans="1:13" x14ac:dyDescent="0.25">
      <c r="A2">
        <v>1975</v>
      </c>
      <c r="B2" s="22">
        <v>10000</v>
      </c>
      <c r="C2" s="22">
        <v>10000</v>
      </c>
      <c r="D2" s="22">
        <v>10000</v>
      </c>
      <c r="E2" s="22">
        <v>10000</v>
      </c>
      <c r="F2" s="22">
        <v>10000</v>
      </c>
      <c r="H2" s="24">
        <v>1976</v>
      </c>
      <c r="I2" s="14">
        <f>B3/B2-1</f>
        <v>0.33600000000000008</v>
      </c>
      <c r="J2" s="14">
        <f t="shared" ref="J2:M11" si="0">C3/C2-1</f>
        <v>0.46500000000000008</v>
      </c>
      <c r="K2" s="14">
        <f t="shared" si="0"/>
        <v>0.11099999999999999</v>
      </c>
      <c r="L2" s="14">
        <f t="shared" si="0"/>
        <v>0.17100000000000004</v>
      </c>
      <c r="M2" s="14">
        <f t="shared" si="0"/>
        <v>5.7700000000000085E-2</v>
      </c>
    </row>
    <row r="3" spans="1:13" x14ac:dyDescent="0.25">
      <c r="A3">
        <v>1976</v>
      </c>
      <c r="B3" s="22">
        <v>13360</v>
      </c>
      <c r="C3" s="22">
        <v>14650</v>
      </c>
      <c r="D3" s="22">
        <v>11110</v>
      </c>
      <c r="E3" s="22">
        <v>11710</v>
      </c>
      <c r="F3" s="22">
        <v>10577</v>
      </c>
      <c r="H3" s="24">
        <v>1977</v>
      </c>
      <c r="I3" s="14">
        <f t="shared" ref="I3:I11" si="1">B4/B3-1</f>
        <v>0.14498502994011986</v>
      </c>
      <c r="J3" s="14">
        <f t="shared" si="0"/>
        <v>0.16498293515358364</v>
      </c>
      <c r="K3" s="14">
        <f t="shared" si="0"/>
        <v>0.12700270027002691</v>
      </c>
      <c r="L3" s="14">
        <f t="shared" si="0"/>
        <v>0.14500426985482484</v>
      </c>
      <c r="M3" s="14">
        <f t="shared" si="0"/>
        <v>5.2945069490403673E-2</v>
      </c>
    </row>
    <row r="4" spans="1:13" x14ac:dyDescent="0.25">
      <c r="A4">
        <v>1977</v>
      </c>
      <c r="B4" s="22">
        <v>15297</v>
      </c>
      <c r="C4" s="22">
        <v>17067</v>
      </c>
      <c r="D4" s="22">
        <v>12521</v>
      </c>
      <c r="E4" s="22">
        <v>13408</v>
      </c>
      <c r="F4" s="22">
        <v>11137</v>
      </c>
      <c r="H4" s="24">
        <v>1978</v>
      </c>
      <c r="I4" s="14">
        <f t="shared" si="1"/>
        <v>0.31699025952801207</v>
      </c>
      <c r="J4" s="14">
        <f t="shared" si="0"/>
        <v>0.32899748051795874</v>
      </c>
      <c r="K4" s="14">
        <f t="shared" si="0"/>
        <v>0.20900886510662087</v>
      </c>
      <c r="L4" s="14">
        <f t="shared" si="0"/>
        <v>8.5023866348448607E-2</v>
      </c>
      <c r="M4" s="14">
        <f t="shared" si="0"/>
        <v>7.2730537846816823E-2</v>
      </c>
    </row>
    <row r="5" spans="1:13" x14ac:dyDescent="0.25">
      <c r="A5">
        <v>1978</v>
      </c>
      <c r="B5" s="22">
        <v>20146</v>
      </c>
      <c r="C5" s="22">
        <v>22682</v>
      </c>
      <c r="D5" s="22">
        <v>15138</v>
      </c>
      <c r="E5" s="22">
        <v>14548</v>
      </c>
      <c r="F5" s="22">
        <v>11947</v>
      </c>
      <c r="H5" s="24">
        <v>1979</v>
      </c>
      <c r="I5" s="14">
        <f t="shared" si="1"/>
        <v>0.51702571230020844</v>
      </c>
      <c r="J5" s="14">
        <f t="shared" si="0"/>
        <v>0.73604620403844456</v>
      </c>
      <c r="K5" s="14">
        <f t="shared" si="0"/>
        <v>0.35500066058924551</v>
      </c>
      <c r="L5" s="14">
        <f t="shared" si="0"/>
        <v>0.15596645587022273</v>
      </c>
      <c r="M5" s="14">
        <f t="shared" si="0"/>
        <v>0.10412655896877876</v>
      </c>
    </row>
    <row r="6" spans="1:13" x14ac:dyDescent="0.25">
      <c r="A6">
        <v>1979</v>
      </c>
      <c r="B6" s="22">
        <v>30562</v>
      </c>
      <c r="C6" s="22">
        <v>39377</v>
      </c>
      <c r="D6" s="22">
        <v>20512</v>
      </c>
      <c r="E6" s="22">
        <v>16817</v>
      </c>
      <c r="F6" s="22">
        <v>13191</v>
      </c>
      <c r="H6" s="24">
        <v>1980</v>
      </c>
      <c r="I6" s="14">
        <f t="shared" si="1"/>
        <v>0.76500229042601919</v>
      </c>
      <c r="J6" s="14">
        <f t="shared" si="0"/>
        <v>0.36399420981791408</v>
      </c>
      <c r="K6" s="14">
        <f t="shared" si="0"/>
        <v>0.57600429017160693</v>
      </c>
      <c r="L6" s="14">
        <f t="shared" si="0"/>
        <v>0.34102396384610811</v>
      </c>
      <c r="M6" s="14">
        <f t="shared" si="0"/>
        <v>0.12061253885224765</v>
      </c>
    </row>
    <row r="7" spans="1:13" x14ac:dyDescent="0.25">
      <c r="A7">
        <v>1980</v>
      </c>
      <c r="B7" s="22">
        <v>53942</v>
      </c>
      <c r="C7" s="22">
        <v>53710</v>
      </c>
      <c r="D7" s="22">
        <v>32327</v>
      </c>
      <c r="E7" s="22">
        <v>22552</v>
      </c>
      <c r="F7" s="22">
        <v>14782</v>
      </c>
      <c r="H7" s="24">
        <v>1981</v>
      </c>
      <c r="I7" s="14">
        <f t="shared" si="1"/>
        <v>0.1210003336917429</v>
      </c>
      <c r="J7" s="14">
        <f t="shared" si="0"/>
        <v>-0.22800223422081545</v>
      </c>
      <c r="K7" s="14">
        <f t="shared" si="0"/>
        <v>-7.8015281343768339E-2</v>
      </c>
      <c r="L7" s="14">
        <f t="shared" si="0"/>
        <v>-4.8022348350478916E-2</v>
      </c>
      <c r="M7" s="14">
        <f t="shared" si="0"/>
        <v>0.14077932620754963</v>
      </c>
    </row>
    <row r="8" spans="1:13" x14ac:dyDescent="0.25">
      <c r="A8">
        <v>1981</v>
      </c>
      <c r="B8" s="22">
        <v>60469</v>
      </c>
      <c r="C8" s="22">
        <v>41464</v>
      </c>
      <c r="D8" s="22">
        <v>29805</v>
      </c>
      <c r="E8" s="22">
        <v>21469</v>
      </c>
      <c r="F8" s="22">
        <v>16863</v>
      </c>
      <c r="H8" s="24">
        <v>1982</v>
      </c>
      <c r="I8" s="14">
        <f t="shared" si="1"/>
        <v>0.48100679687112402</v>
      </c>
      <c r="J8" s="14">
        <f t="shared" si="0"/>
        <v>8.4989388385105169E-2</v>
      </c>
      <c r="K8" s="14">
        <f t="shared" si="0"/>
        <v>0.22801543365207189</v>
      </c>
      <c r="L8" s="14">
        <f t="shared" si="0"/>
        <v>0.22199450370301355</v>
      </c>
      <c r="M8" s="14">
        <f t="shared" si="0"/>
        <v>0.14321295143212942</v>
      </c>
    </row>
    <row r="9" spans="1:13" x14ac:dyDescent="0.25">
      <c r="A9">
        <v>1982</v>
      </c>
      <c r="B9" s="22">
        <v>89555</v>
      </c>
      <c r="C9" s="22">
        <v>44988</v>
      </c>
      <c r="D9" s="22">
        <v>36601</v>
      </c>
      <c r="E9" s="22">
        <v>26235</v>
      </c>
      <c r="F9" s="22">
        <v>19278</v>
      </c>
      <c r="H9" s="24">
        <v>1983</v>
      </c>
      <c r="I9" s="14">
        <f t="shared" si="1"/>
        <v>0.38599743174585455</v>
      </c>
      <c r="J9" s="14">
        <f t="shared" si="0"/>
        <v>6.8018138170178766E-2</v>
      </c>
      <c r="K9" s="14">
        <f t="shared" si="0"/>
        <v>0.19499467227671374</v>
      </c>
      <c r="L9" s="14">
        <f t="shared" si="0"/>
        <v>0.21299790356394133</v>
      </c>
      <c r="M9" s="14">
        <f t="shared" si="0"/>
        <v>8.6212262682850982E-2</v>
      </c>
    </row>
    <row r="10" spans="1:13" x14ac:dyDescent="0.25">
      <c r="A10">
        <v>1983</v>
      </c>
      <c r="B10" s="22">
        <v>124123</v>
      </c>
      <c r="C10" s="22">
        <v>48048</v>
      </c>
      <c r="D10" s="22">
        <v>43738</v>
      </c>
      <c r="E10" s="22">
        <v>31823</v>
      </c>
      <c r="F10" s="22">
        <v>20940</v>
      </c>
      <c r="H10" s="24">
        <v>1984</v>
      </c>
      <c r="I10" s="14">
        <f t="shared" si="1"/>
        <v>1.9996293998694847E-2</v>
      </c>
      <c r="J10" s="14">
        <f t="shared" si="0"/>
        <v>-0.59600815850815847</v>
      </c>
      <c r="K10" s="14">
        <f t="shared" si="0"/>
        <v>-9.600347523892272E-2</v>
      </c>
      <c r="L10" s="14">
        <f t="shared" si="0"/>
        <v>4.1008075919932052E-2</v>
      </c>
      <c r="M10" s="14">
        <f t="shared" si="0"/>
        <v>9.8997134670487208E-2</v>
      </c>
    </row>
    <row r="11" spans="1:13" x14ac:dyDescent="0.25">
      <c r="A11">
        <v>1984</v>
      </c>
      <c r="B11" s="22">
        <v>126605</v>
      </c>
      <c r="C11" s="22">
        <v>19411</v>
      </c>
      <c r="D11" s="22">
        <v>39539</v>
      </c>
      <c r="E11" s="22">
        <v>33128</v>
      </c>
      <c r="F11" s="22">
        <v>23013</v>
      </c>
      <c r="H11" s="24">
        <v>1985</v>
      </c>
      <c r="I11" s="14">
        <f t="shared" si="1"/>
        <v>0.43100193515264018</v>
      </c>
      <c r="J11" s="14">
        <f t="shared" si="0"/>
        <v>-0.2009685230024213</v>
      </c>
      <c r="K11" s="14">
        <f t="shared" si="0"/>
        <v>0.24300058170414029</v>
      </c>
      <c r="L11" s="14">
        <f t="shared" si="0"/>
        <v>0.29899178942284466</v>
      </c>
      <c r="M11" s="14">
        <f t="shared" si="0"/>
        <v>9.3295094077260776E-2</v>
      </c>
    </row>
    <row r="12" spans="1:13" x14ac:dyDescent="0.25">
      <c r="A12">
        <v>1985</v>
      </c>
      <c r="B12" s="22">
        <v>181172</v>
      </c>
      <c r="C12" s="22">
        <v>15510</v>
      </c>
      <c r="D12" s="22">
        <v>49147</v>
      </c>
      <c r="E12" s="22">
        <v>43033</v>
      </c>
      <c r="F12" s="22">
        <v>25160</v>
      </c>
      <c r="H12" s="23"/>
    </row>
    <row r="13" spans="1:13" x14ac:dyDescent="0.25">
      <c r="H13" t="s">
        <v>33</v>
      </c>
      <c r="I13" s="26" cm="1">
        <f t="array" ref="I13">PRODUCT(1+I2:I11)-1</f>
        <v>17.117200000000004</v>
      </c>
      <c r="J13" s="26" cm="1">
        <f t="array" ref="J13">PRODUCT(1+J2:J11)-1</f>
        <v>0.5510000000000006</v>
      </c>
      <c r="K13" s="26" cm="1">
        <f t="array" ref="K13">PRODUCT(1+K2:K11)-1</f>
        <v>3.9146999999999998</v>
      </c>
      <c r="L13" s="26" cm="1">
        <f t="array" ref="L13">PRODUCT(1+L2:L11)-1</f>
        <v>3.3032999999999992</v>
      </c>
      <c r="M13" s="26" cm="1">
        <f t="array" ref="M13">PRODUCT(1+M2:M11)-1</f>
        <v>1.516</v>
      </c>
    </row>
    <row r="14" spans="1:13" x14ac:dyDescent="0.25">
      <c r="H14" t="s">
        <v>34</v>
      </c>
      <c r="I14" s="26">
        <f>AVERAGE(I2:I11)</f>
        <v>0.35190060836544157</v>
      </c>
      <c r="J14" s="26">
        <f t="shared" ref="J14:M14" si="2">AVERAGE(J2:J11)</f>
        <v>0.11870494403517898</v>
      </c>
      <c r="K14" s="26">
        <f t="shared" si="2"/>
        <v>0.18700084471877351</v>
      </c>
      <c r="L14" s="26">
        <f t="shared" si="2"/>
        <v>0.16249884801788569</v>
      </c>
      <c r="M14" s="26">
        <f t="shared" si="2"/>
        <v>9.7061147422852503E-2</v>
      </c>
    </row>
    <row r="15" spans="1:13" x14ac:dyDescent="0.25">
      <c r="H15" t="s">
        <v>35</v>
      </c>
      <c r="I15" s="26" cm="1">
        <f t="array" ref="I15">GEOMEAN(1+I2:I11)-1</f>
        <v>0.33600815124726502</v>
      </c>
      <c r="J15" s="26" cm="1">
        <f t="array" ref="J15">GEOMEAN(1+J2:J11)-1</f>
        <v>4.4867401051168043E-2</v>
      </c>
      <c r="K15" s="26" cm="1">
        <f t="array" ref="K15">GEOMEAN(1+K2:K11)-1</f>
        <v>0.17259949092949345</v>
      </c>
      <c r="L15" s="26" cm="1">
        <f t="array" ref="L15">GEOMEAN(1+L2:L11)-1</f>
        <v>0.15712469523352701</v>
      </c>
      <c r="M15" s="26" cm="1">
        <f t="array" ref="M15">GEOMEAN(1+M2:M11)-1</f>
        <v>9.6657627730115214E-2</v>
      </c>
    </row>
    <row r="16" spans="1:13" x14ac:dyDescent="0.25">
      <c r="H16" t="s">
        <v>36</v>
      </c>
      <c r="I16" s="14">
        <f>_xlfn.STDEV.S(I2:I11)</f>
        <v>0.21852239905084198</v>
      </c>
      <c r="J16" s="14">
        <f t="shared" ref="J16:M16" si="3">_xlfn.STDEV.S(J2:J11)</f>
        <v>0.38650566005190573</v>
      </c>
      <c r="K16" s="14">
        <f t="shared" si="3"/>
        <v>0.19567970936600529</v>
      </c>
      <c r="L16" s="14">
        <f t="shared" si="3"/>
        <v>0.11647316538757187</v>
      </c>
      <c r="M16" s="14">
        <f t="shared" si="3"/>
        <v>3.1391776300293349E-2</v>
      </c>
    </row>
    <row r="17" spans="8:13" x14ac:dyDescent="0.25">
      <c r="H17" t="s">
        <v>37</v>
      </c>
      <c r="I17" s="21">
        <f>CORREL(I2:I11,$L$2:$L$11)</f>
        <v>0.82068383022789493</v>
      </c>
      <c r="J17" s="21">
        <f t="shared" ref="J17:M17" si="4">CORREL(J2:J11,$L$2:$L$11)</f>
        <v>0.33868524468644617</v>
      </c>
      <c r="K17" s="21">
        <f t="shared" si="4"/>
        <v>0.81760384770774464</v>
      </c>
      <c r="L17" s="21">
        <f t="shared" si="4"/>
        <v>0.99999999999999989</v>
      </c>
      <c r="M17" s="21">
        <f t="shared" si="4"/>
        <v>-3.872533196034407E-2</v>
      </c>
    </row>
    <row r="18" spans="8:13" x14ac:dyDescent="0.25">
      <c r="H18" t="s">
        <v>8</v>
      </c>
      <c r="I18" s="21">
        <f>_xlfn.COVARIANCE.S(I2:I11,$L$2:$L$11)/_xlfn.VAR.S($L$2:$L$11)</f>
        <v>1.539734915307535</v>
      </c>
      <c r="J18" s="21">
        <f t="shared" ref="J18:M18" si="5">_xlfn.COVARIANCE.S(J2:J11,$L$2:$L$11)/_xlfn.VAR.S($L$2:$L$11)</f>
        <v>1.1238963379400353</v>
      </c>
      <c r="K18" s="21">
        <f t="shared" si="5"/>
        <v>1.3736080990295689</v>
      </c>
      <c r="L18" s="21">
        <f t="shared" si="5"/>
        <v>1.0000000000000002</v>
      </c>
      <c r="M18" s="21">
        <f t="shared" si="5"/>
        <v>-1.0437227785546531E-2</v>
      </c>
    </row>
    <row r="19" spans="8:13" x14ac:dyDescent="0.25">
      <c r="H19" t="s">
        <v>38</v>
      </c>
      <c r="I19" s="21">
        <f>(I14-$M$14)/I16</f>
        <v>1.1661937725811691</v>
      </c>
      <c r="J19" s="21">
        <f t="shared" ref="J19:M19" si="6">(J14-$M$14)/J16</f>
        <v>5.5998653705148387E-2</v>
      </c>
      <c r="K19" s="21">
        <f t="shared" si="6"/>
        <v>0.45962709975051658</v>
      </c>
      <c r="L19" s="21">
        <f t="shared" si="6"/>
        <v>0.56182641192316773</v>
      </c>
      <c r="M19" s="21">
        <f t="shared" si="6"/>
        <v>0</v>
      </c>
    </row>
    <row r="20" spans="8:13" x14ac:dyDescent="0.25">
      <c r="H20" t="s">
        <v>39</v>
      </c>
      <c r="I20" s="21">
        <f>(I15-$M$15)/I16</f>
        <v>1.0953134532513618</v>
      </c>
      <c r="J20" s="21">
        <f t="shared" ref="J20:M20" si="7">(J15-$M$15)/J16</f>
        <v>-0.13399603688078465</v>
      </c>
      <c r="K20" s="21">
        <f t="shared" si="7"/>
        <v>0.38809268189035512</v>
      </c>
      <c r="L20" s="21">
        <f t="shared" si="7"/>
        <v>0.5191502034155574</v>
      </c>
      <c r="M20" s="21">
        <f t="shared" si="7"/>
        <v>0</v>
      </c>
    </row>
    <row r="21" spans="8:13" x14ac:dyDescent="0.25">
      <c r="H21" t="s">
        <v>40</v>
      </c>
      <c r="I21" s="21">
        <f>(I14-$M$14)/I18</f>
        <v>0.16550865893152092</v>
      </c>
      <c r="J21" s="21">
        <f t="shared" ref="J21:M21" si="8">(J14-$M$14)/J18</f>
        <v>1.925782288070883E-2</v>
      </c>
      <c r="K21" s="21">
        <f t="shared" si="8"/>
        <v>6.5476970730925288E-2</v>
      </c>
      <c r="L21" s="21">
        <f t="shared" si="8"/>
        <v>6.5437700595033177E-2</v>
      </c>
      <c r="M21" s="21">
        <f t="shared" si="8"/>
        <v>0</v>
      </c>
    </row>
    <row r="22" spans="8:13" x14ac:dyDescent="0.25">
      <c r="H22" t="s">
        <v>41</v>
      </c>
      <c r="I22" s="27">
        <f>(I15-$M$15)/I18</f>
        <v>0.15544917578838155</v>
      </c>
      <c r="J22" s="27">
        <f t="shared" ref="J22:M22" si="9">(J15-$M$15)/J18</f>
        <v>-4.6080963991636748E-2</v>
      </c>
      <c r="K22" s="27">
        <f t="shared" si="9"/>
        <v>5.5286411934401002E-2</v>
      </c>
      <c r="L22" s="27">
        <f t="shared" si="9"/>
        <v>6.0467067503411784E-2</v>
      </c>
      <c r="M22" s="27">
        <f t="shared" si="9"/>
        <v>0</v>
      </c>
    </row>
    <row r="23" spans="8:13" x14ac:dyDescent="0.25">
      <c r="H23" t="s">
        <v>42</v>
      </c>
      <c r="I23" s="21" cm="1">
        <f t="array" ref="I23">AVERAGE(I2:I11-$M$2:$M$11)-I18*AVERAGE($L$2:$L$11-$M$2:$M$11)</f>
        <v>0.15408274855897586</v>
      </c>
      <c r="J23" s="21" cm="1">
        <f t="array" ref="J23">AVERAGE(J2:J11-$M$2:$M$11)-J18*AVERAGE($L$2:$L$11-$M$2:$M$11)</f>
        <v>-5.1901395449647801E-2</v>
      </c>
      <c r="K23" s="21" cm="1">
        <f t="array" ref="K23">AVERAGE(K2:K11-$M$2:$M$11)-K18*AVERAGE($L$2:$L$11-$M$2:$M$11)</f>
        <v>5.3941776711363687E-5</v>
      </c>
      <c r="L23" s="21" cm="1">
        <f t="array" ref="L23">AVERAGE(L2:L11-$M$2:$M$11)-L18*AVERAGE($L$2:$L$11-$M$2:$M$11)</f>
        <v>0</v>
      </c>
      <c r="M23" s="21" cm="1">
        <f t="array" ref="M23">AVERAGE(M2:M11-$M$2:$M$11)-M18*AVERAGE($L$2:$L$11-$M$2:$M$11)</f>
        <v>6.8298818687275538E-4</v>
      </c>
    </row>
    <row r="24" spans="8:13" x14ac:dyDescent="0.25">
      <c r="H24" t="s">
        <v>43</v>
      </c>
      <c r="I24" s="21" cm="1">
        <f t="array" ref="I24">(GEOMEAN(1+I2:I11-$M$2:$M$11)-1)-I18*(GEOMEAN(1+$L$2:$L$11-$M$2:$M$11)-1)</f>
        <v>0.14784041632705563</v>
      </c>
      <c r="J24" s="21" cm="1">
        <f t="array" ref="J24">(GEOMEAN(1+J2:J11-$M$2:$M$11)-1)-J18*(GEOMEAN(1+$L$2:$L$11-$M$2:$M$11)-1)</f>
        <v>-0.13274680018062748</v>
      </c>
      <c r="K24" s="21" cm="1">
        <f t="array" ref="K24">(GEOMEAN(1+K2:K11-$M$2:$M$11)-1)-K18*(GEOMEAN(1+$L$2:$L$11-$M$2:$M$11)-1)</f>
        <v>-7.0162470757607759E-3</v>
      </c>
      <c r="L24" s="21" cm="1">
        <f t="array" ref="L24">(GEOMEAN(1+L2:L11-$M$2:$M$11)-1)-L18*(GEOMEAN(1+$L$2:$L$11-$M$2:$M$11)-1)</f>
        <v>0</v>
      </c>
      <c r="M24" s="21" cm="1">
        <f t="array" ref="M24">(GEOMEAN(1+M2:M11-$M$2:$M$11)-1)-M18*(GEOMEAN(1+$L$2:$L$11-$M$2:$M$11)-1)</f>
        <v>6.1288769290833965E-4</v>
      </c>
    </row>
    <row r="27" spans="8:13" x14ac:dyDescent="0.25">
      <c r="H27" t="s">
        <v>8</v>
      </c>
      <c r="I27" s="21" cm="1">
        <f t="array" ref="I27">_xll.Beta(I2:I11,$L$2:$L$11)</f>
        <v>1.5397349153075346</v>
      </c>
      <c r="J27" s="21" cm="1">
        <f t="array" ref="J27">_xll.Beta(J2:J11,$L$2:$L$11)</f>
        <v>1.1238963379400351</v>
      </c>
      <c r="K27" s="21" cm="1">
        <f t="array" ref="K27">_xll.Beta(K2:K11,$L$2:$L$11)</f>
        <v>1.3736080990295683</v>
      </c>
      <c r="L27" s="21" cm="1">
        <f t="array" ref="L27">_xll.Beta(L2:L11,$L$2:$L$11)</f>
        <v>1</v>
      </c>
      <c r="M27" s="21" cm="1">
        <f t="array" ref="M27">_xll.Beta(M2:M11,$L$2:$L$11)</f>
        <v>-1.0437227785546527E-2</v>
      </c>
    </row>
    <row r="28" spans="8:13" x14ac:dyDescent="0.25">
      <c r="H28" t="s">
        <v>4</v>
      </c>
      <c r="I28" s="21" cm="1">
        <f t="array" ref="I28">_xll.SharpeRatio(I2:I11,$M$2:$M$11)</f>
        <v>1.1545617546995548</v>
      </c>
      <c r="J28" s="21" cm="1">
        <f t="array" ref="J28">_xll.SharpeRatio(J2:J11,$M$2:$M$11)</f>
        <v>-0.14124422465973449</v>
      </c>
      <c r="K28" s="21" cm="1">
        <f t="array" ref="K28">_xll.SharpeRatio(K2:K11,$M$2:$M$11)</f>
        <v>0.40908560600556776</v>
      </c>
      <c r="L28" s="21" cm="1">
        <f t="array" ref="L28">_xll.SharpeRatio(L2:L11,$M$2:$M$11)</f>
        <v>0.54723236351096227</v>
      </c>
      <c r="M28" s="21" cm="1">
        <f t="array" ref="M28">_xll.SharpeRatio(M2:M11,$M$2:$M$11)</f>
        <v>0</v>
      </c>
    </row>
    <row r="29" spans="8:13" x14ac:dyDescent="0.25">
      <c r="H29" t="s">
        <v>7</v>
      </c>
      <c r="I29" s="21" cm="1">
        <f t="array" ref="I29">_xll.TreynorIndex(I2:I11,I27,$M$2:$M$11)</f>
        <v>0.1554491757883816</v>
      </c>
      <c r="J29" s="21" cm="1">
        <f t="array" ref="J29">_xll.TreynorIndex(J2:J11,J27,$M$2:$M$11)</f>
        <v>-4.6080963991636754E-2</v>
      </c>
      <c r="K29" s="21" cm="1">
        <f t="array" ref="K29">_xll.TreynorIndex(K2:K11,K27,$M$2:$M$11)</f>
        <v>5.5286411934401029E-2</v>
      </c>
      <c r="L29" s="21" cm="1">
        <f t="array" ref="L29">_xll.TreynorIndex(L2:L11,L27,$M$2:$M$11)</f>
        <v>6.0467067503411798E-2</v>
      </c>
      <c r="M29" s="21" cm="1">
        <f t="array" ref="M29">_xll.TreynorIndex(M2:M11,M27,$M$2:$M$11)</f>
        <v>0</v>
      </c>
    </row>
    <row r="30" spans="8:13" x14ac:dyDescent="0.25">
      <c r="H30" t="s">
        <v>11</v>
      </c>
      <c r="I30" s="21" cm="1">
        <f t="array" ref="I30">_xll.JensensAlpha(I2:I11,$L$2:$L$11,$M$2:$M$11)</f>
        <v>0.14624726845588906</v>
      </c>
      <c r="J30" s="21" cm="1">
        <f t="array" ref="J30">_xll.JensensAlpha(J2:J11,$L$2:$L$11,$M$2:$M$11)</f>
        <v>-0.11974894241200459</v>
      </c>
      <c r="K30" s="21" cm="1">
        <f t="array" ref="K30">_xll.JensensAlpha(K2:K11,$L$2:$L$11,$M$2:$M$11)</f>
        <v>-7.1161904478758281E-3</v>
      </c>
      <c r="L30" s="21" cm="1">
        <f t="array" ref="L30">_xll.JensensAlpha(L2:L11,$L$2:$L$11,$M$2:$M$11)</f>
        <v>0</v>
      </c>
      <c r="M30" s="21" cm="1">
        <f t="array" ref="M30">_xll.JensensAlpha(M2:M11,$L$2:$L$11,$M$2:$M$11)</f>
        <v>6.3110855705712711E-4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11076-B722-4F8C-ADE7-A0B47C1E1E3C}">
  <dimension ref="A1:F37"/>
  <sheetViews>
    <sheetView workbookViewId="0">
      <selection activeCell="E13" sqref="E13"/>
    </sheetView>
  </sheetViews>
  <sheetFormatPr defaultRowHeight="15" x14ac:dyDescent="0.25"/>
  <cols>
    <col min="1" max="1" width="8.140625" bestFit="1" customWidth="1"/>
    <col min="2" max="2" width="10.7109375" bestFit="1" customWidth="1"/>
    <col min="3" max="3" width="16.28515625" bestFit="1" customWidth="1"/>
    <col min="4" max="4" width="19" bestFit="1" customWidth="1"/>
    <col min="5" max="5" width="12.7109375" bestFit="1" customWidth="1"/>
    <col min="6" max="6" width="10.7109375" bestFit="1" customWidth="1"/>
  </cols>
  <sheetData>
    <row r="1" spans="1:6" x14ac:dyDescent="0.25">
      <c r="A1" t="s">
        <v>61</v>
      </c>
      <c r="B1" t="s">
        <v>62</v>
      </c>
      <c r="E1" t="s">
        <v>61</v>
      </c>
      <c r="F1" t="s">
        <v>62</v>
      </c>
    </row>
    <row r="2" spans="1:6" x14ac:dyDescent="0.25">
      <c r="A2" s="14">
        <v>3.0000000000000001E-3</v>
      </c>
      <c r="B2" s="14">
        <v>2E-3</v>
      </c>
      <c r="D2" t="s">
        <v>66</v>
      </c>
      <c r="E2" s="21">
        <f>_xlfn.SKEW.P(A2:A37)</f>
        <v>-0.23799512754333593</v>
      </c>
      <c r="F2" s="21">
        <f>_xlfn.SKEW.P(B2:B37)</f>
        <v>-0.36250444107583124</v>
      </c>
    </row>
    <row r="3" spans="1:6" x14ac:dyDescent="0.25">
      <c r="A3" s="14">
        <v>2.6000000000000002E-2</v>
      </c>
      <c r="B3" s="14">
        <v>2.5000000000000001E-2</v>
      </c>
      <c r="D3" t="s">
        <v>66</v>
      </c>
      <c r="E3" s="21" cm="1">
        <f t="array" ref="E3">_xll.Skewness_P(A2:A37)</f>
        <v>-0.23799512754333596</v>
      </c>
      <c r="F3" s="21" cm="1">
        <f t="array" ref="F3">_xll.Skewness_P(B2:B37)</f>
        <v>-0.3625044410758313</v>
      </c>
    </row>
    <row r="4" spans="1:6" x14ac:dyDescent="0.25">
      <c r="A4" s="14">
        <v>1.1000000000000001E-2</v>
      </c>
      <c r="B4" s="14">
        <v>1.8000000000000002E-2</v>
      </c>
    </row>
    <row r="5" spans="1:6" x14ac:dyDescent="0.25">
      <c r="A5" s="14">
        <v>-9.0000000000000011E-3</v>
      </c>
      <c r="B5" s="14">
        <v>-1.1000000000000001E-2</v>
      </c>
      <c r="D5" t="s">
        <v>67</v>
      </c>
      <c r="E5" s="21" cm="1">
        <f t="array" ref="E5">_xll.Kurtosis_P_Excess(A2:A37)</f>
        <v>-2.2361140899221699E-2</v>
      </c>
      <c r="F5" s="21" cm="1">
        <f t="array" ref="F5">_xll.Kurtosis_P_Excess(B2:B37)</f>
        <v>4.4698088448780204E-2</v>
      </c>
    </row>
    <row r="6" spans="1:6" x14ac:dyDescent="0.25">
      <c r="A6" s="14">
        <v>1.3999999999999999E-2</v>
      </c>
      <c r="B6" s="14">
        <v>1.3999999999999999E-2</v>
      </c>
    </row>
    <row r="7" spans="1:6" x14ac:dyDescent="0.25">
      <c r="A7" s="14">
        <v>2.4E-2</v>
      </c>
      <c r="B7" s="14">
        <v>2.3E-2</v>
      </c>
      <c r="D7" t="s">
        <v>46</v>
      </c>
      <c r="E7" s="21">
        <f>COUNT(A2:A37)/6*(E3^2+E5^2/4)</f>
        <v>0.34060011533968482</v>
      </c>
      <c r="F7" s="21">
        <f>COUNT(B2:B37)/6*(F3^2+F5^2/4)</f>
        <v>0.79145369746466754</v>
      </c>
    </row>
    <row r="8" spans="1:6" x14ac:dyDescent="0.25">
      <c r="A8" s="14">
        <v>1.4999999999999999E-2</v>
      </c>
      <c r="B8" s="14">
        <v>1.3999999999999999E-2</v>
      </c>
      <c r="D8" t="s">
        <v>46</v>
      </c>
      <c r="E8" s="21" cm="1">
        <f t="array" ref="E8">_xll.JarqueBeraTest(A2:A37)</f>
        <v>0.34060011533968482</v>
      </c>
      <c r="F8" s="21" cm="1">
        <f t="array" ref="F8">_xll.JarqueBeraTest(B2:B37)</f>
        <v>0.79145369746466754</v>
      </c>
    </row>
    <row r="9" spans="1:6" x14ac:dyDescent="0.25">
      <c r="A9" s="14">
        <v>6.6000000000000003E-2</v>
      </c>
      <c r="B9" s="14">
        <v>6.5000000000000002E-2</v>
      </c>
    </row>
    <row r="10" spans="1:6" x14ac:dyDescent="0.25">
      <c r="A10" s="14">
        <v>-1.3999999999999999E-2</v>
      </c>
      <c r="B10" s="14">
        <v>-1.4999999999999999E-2</v>
      </c>
      <c r="D10" t="s">
        <v>44</v>
      </c>
      <c r="E10" s="21" cm="1">
        <f t="array" ref="E10">_xll.Skewness_S(A2:A37)</f>
        <v>-0.24847026397682553</v>
      </c>
      <c r="F10" s="21" cm="1">
        <f t="array" ref="F10">_xll.Skewness_S(B2:B37)</f>
        <v>-0.37845974031750912</v>
      </c>
    </row>
    <row r="11" spans="1:6" x14ac:dyDescent="0.25">
      <c r="A11" s="14">
        <v>3.9E-2</v>
      </c>
      <c r="B11" s="14">
        <v>4.2000000000000003E-2</v>
      </c>
      <c r="D11" t="s">
        <v>45</v>
      </c>
      <c r="E11" s="21" cm="1">
        <f t="array" ref="E11">_xll.Kurtosis_S(A2:A37)</f>
        <v>3.4367578632223772</v>
      </c>
      <c r="F11" s="21" cm="1">
        <f t="array" ref="F11">_xll.Kurtosis_S(B2:B37)</f>
        <v>3.5141568846177993</v>
      </c>
    </row>
    <row r="12" spans="1:6" x14ac:dyDescent="0.25">
      <c r="A12" s="14">
        <v>-5.0000000000000001E-3</v>
      </c>
      <c r="B12" s="14">
        <v>-3.0000000000000001E-3</v>
      </c>
    </row>
    <row r="13" spans="1:6" x14ac:dyDescent="0.25">
      <c r="A13" s="14">
        <v>8.1000000000000003E-2</v>
      </c>
      <c r="B13" s="14">
        <v>8.3000000000000004E-2</v>
      </c>
    </row>
    <row r="14" spans="1:6" x14ac:dyDescent="0.25">
      <c r="A14" s="14">
        <v>0.04</v>
      </c>
      <c r="B14" s="14">
        <v>3.9E-2</v>
      </c>
    </row>
    <row r="15" spans="1:6" x14ac:dyDescent="0.25">
      <c r="A15" s="14">
        <v>-3.7000000000000005E-2</v>
      </c>
      <c r="B15" s="14">
        <v>-3.7999999999999999E-2</v>
      </c>
    </row>
    <row r="16" spans="1:6" x14ac:dyDescent="0.25">
      <c r="A16" s="14">
        <v>-6.0999999999999999E-2</v>
      </c>
      <c r="B16" s="14">
        <v>-6.2E-2</v>
      </c>
    </row>
    <row r="17" spans="1:2" x14ac:dyDescent="0.25">
      <c r="A17" s="14">
        <v>1.3999999999999999E-2</v>
      </c>
      <c r="B17" s="14">
        <v>1.4999999999999999E-2</v>
      </c>
    </row>
    <row r="18" spans="1:2" x14ac:dyDescent="0.25">
      <c r="A18" s="14">
        <v>-4.9000000000000002E-2</v>
      </c>
      <c r="B18" s="14">
        <v>-4.8000000000000001E-2</v>
      </c>
    </row>
    <row r="19" spans="1:2" x14ac:dyDescent="0.25">
      <c r="A19" s="14">
        <v>-2.1000000000000001E-2</v>
      </c>
      <c r="B19" s="14">
        <v>-0.02</v>
      </c>
    </row>
    <row r="20" spans="1:2" x14ac:dyDescent="0.25">
      <c r="A20" s="14">
        <v>6.2E-2</v>
      </c>
      <c r="B20" s="14">
        <v>0.06</v>
      </c>
    </row>
    <row r="21" spans="1:2" x14ac:dyDescent="0.25">
      <c r="A21" s="14">
        <v>5.7999999999999996E-2</v>
      </c>
      <c r="B21" s="14">
        <v>5.5999999999999994E-2</v>
      </c>
    </row>
    <row r="22" spans="1:2" x14ac:dyDescent="0.25">
      <c r="A22" s="14">
        <v>-6.4000000000000001E-2</v>
      </c>
      <c r="B22" s="14">
        <v>-6.7000000000000004E-2</v>
      </c>
    </row>
    <row r="23" spans="1:2" x14ac:dyDescent="0.25">
      <c r="A23" s="14">
        <v>1.7000000000000001E-2</v>
      </c>
      <c r="B23" s="14">
        <v>1.9E-2</v>
      </c>
    </row>
    <row r="24" spans="1:2" x14ac:dyDescent="0.25">
      <c r="A24" s="14">
        <v>-4.0000000000000001E-3</v>
      </c>
      <c r="B24" s="14">
        <v>-3.0000000000000001E-3</v>
      </c>
    </row>
    <row r="25" spans="1:2" x14ac:dyDescent="0.25">
      <c r="A25" s="14">
        <v>-2E-3</v>
      </c>
      <c r="B25" s="14">
        <v>-1E-3</v>
      </c>
    </row>
    <row r="26" spans="1:2" x14ac:dyDescent="0.25">
      <c r="A26" s="14">
        <v>-2.1000000000000001E-2</v>
      </c>
      <c r="B26" s="14">
        <v>-2.6000000000000002E-2</v>
      </c>
    </row>
    <row r="27" spans="1:2" x14ac:dyDescent="0.25">
      <c r="A27" s="14">
        <v>1.1000000000000001E-2</v>
      </c>
      <c r="B27" s="14">
        <v>6.9999999999999993E-3</v>
      </c>
    </row>
    <row r="28" spans="1:2" x14ac:dyDescent="0.25">
      <c r="A28" s="14">
        <v>4.7E-2</v>
      </c>
      <c r="B28" s="14">
        <v>4.2999999999999997E-2</v>
      </c>
    </row>
    <row r="29" spans="1:2" x14ac:dyDescent="0.25">
      <c r="A29" s="14">
        <v>2.4E-2</v>
      </c>
      <c r="B29" s="14">
        <v>2.8999999999999998E-2</v>
      </c>
    </row>
    <row r="30" spans="1:2" x14ac:dyDescent="0.25">
      <c r="A30" s="14">
        <v>3.3000000000000002E-2</v>
      </c>
      <c r="B30" s="14">
        <v>3.7999999999999999E-2</v>
      </c>
    </row>
    <row r="31" spans="1:2" x14ac:dyDescent="0.25">
      <c r="A31" s="14">
        <v>-6.9999999999999993E-3</v>
      </c>
      <c r="B31" s="14">
        <v>-2E-3</v>
      </c>
    </row>
    <row r="32" spans="1:2" x14ac:dyDescent="0.25">
      <c r="A32" s="14">
        <v>4.7E-2</v>
      </c>
      <c r="B32" s="14">
        <v>5.0999999999999997E-2</v>
      </c>
    </row>
    <row r="33" spans="1:2" x14ac:dyDescent="0.25">
      <c r="A33" s="14">
        <v>6.0000000000000001E-3</v>
      </c>
      <c r="B33" s="14">
        <v>1.3999999999999999E-2</v>
      </c>
    </row>
    <row r="34" spans="1:2" x14ac:dyDescent="0.25">
      <c r="A34" s="14">
        <v>0.01</v>
      </c>
      <c r="B34" s="14">
        <v>1.3000000000000001E-2</v>
      </c>
    </row>
    <row r="35" spans="1:2" x14ac:dyDescent="0.25">
      <c r="A35" s="14">
        <v>-2E-3</v>
      </c>
      <c r="B35" s="14">
        <v>3.0000000000000001E-3</v>
      </c>
    </row>
    <row r="36" spans="1:2" x14ac:dyDescent="0.25">
      <c r="A36" s="14">
        <v>3.4000000000000002E-2</v>
      </c>
      <c r="B36" s="14">
        <v>3.4000000000000002E-2</v>
      </c>
    </row>
    <row r="37" spans="1:2" x14ac:dyDescent="0.25">
      <c r="A37" s="14">
        <v>0.01</v>
      </c>
      <c r="B37" s="14">
        <v>2.1000000000000001E-2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EC79-C9E3-4E9F-9D8B-C1C9DE78CC72}">
  <dimension ref="A1:I37"/>
  <sheetViews>
    <sheetView workbookViewId="0">
      <selection activeCell="I14" sqref="I14"/>
    </sheetView>
  </sheetViews>
  <sheetFormatPr defaultRowHeight="15" x14ac:dyDescent="0.25"/>
  <cols>
    <col min="1" max="1" width="14.5703125" bestFit="1" customWidth="1"/>
    <col min="2" max="2" width="17.28515625" bestFit="1" customWidth="1"/>
    <col min="3" max="5" width="17.28515625" customWidth="1"/>
    <col min="7" max="7" width="18.7109375" bestFit="1" customWidth="1"/>
    <col min="8" max="9" width="11.7109375" customWidth="1"/>
  </cols>
  <sheetData>
    <row r="1" spans="1:9" x14ac:dyDescent="0.25">
      <c r="A1" t="s">
        <v>53</v>
      </c>
      <c r="B1" t="s">
        <v>54</v>
      </c>
      <c r="D1" t="s">
        <v>57</v>
      </c>
      <c r="E1" t="s">
        <v>58</v>
      </c>
      <c r="H1" t="s">
        <v>61</v>
      </c>
      <c r="I1" t="s">
        <v>62</v>
      </c>
    </row>
    <row r="2" spans="1:9" x14ac:dyDescent="0.25">
      <c r="A2" s="32">
        <v>3.0000000000000001E-3</v>
      </c>
      <c r="B2" s="32">
        <v>2E-3</v>
      </c>
      <c r="C2" s="32"/>
      <c r="D2" s="14">
        <f>A2-H$2</f>
        <v>-8.0000000000000002E-3</v>
      </c>
      <c r="E2" s="14">
        <f>B2-I$2</f>
        <v>-1.0000000000000002E-2</v>
      </c>
      <c r="G2" t="s">
        <v>2</v>
      </c>
      <c r="H2" s="26">
        <f>AVERAGE(A2:A37)</f>
        <v>1.1000000000000001E-2</v>
      </c>
      <c r="I2" s="26">
        <f>AVERAGE(B2:B37)</f>
        <v>1.2000000000000002E-2</v>
      </c>
    </row>
    <row r="3" spans="1:9" x14ac:dyDescent="0.25">
      <c r="A3" s="32">
        <v>2.6000000000000002E-2</v>
      </c>
      <c r="B3" s="32">
        <v>2.5000000000000001E-2</v>
      </c>
      <c r="C3" s="32"/>
      <c r="D3" s="14">
        <f>D2+A3-H$2</f>
        <v>7.000000000000001E-3</v>
      </c>
      <c r="E3" s="14">
        <f>E2+B3-I$2</f>
        <v>2.9999999999999975E-3</v>
      </c>
      <c r="G3" t="s">
        <v>3</v>
      </c>
      <c r="H3" s="14">
        <f>_xlfn.STDEV.P(A2:A37)</f>
        <v>3.3173784830796742E-2</v>
      </c>
      <c r="I3" s="14">
        <f>_xlfn.STDEV.P(B2:B37)</f>
        <v>3.3620430296671298E-2</v>
      </c>
    </row>
    <row r="4" spans="1:9" x14ac:dyDescent="0.25">
      <c r="A4" s="32">
        <v>1.1000000000000001E-2</v>
      </c>
      <c r="B4" s="32">
        <v>1.8000000000000002E-2</v>
      </c>
      <c r="C4" s="32"/>
      <c r="D4" s="14">
        <f t="shared" ref="D4:D37" si="0">D3+A4-H$2</f>
        <v>7.000000000000001E-3</v>
      </c>
      <c r="E4" s="14">
        <f t="shared" ref="E4:E37" si="1">E3+B4-I$2</f>
        <v>8.9999999999999959E-3</v>
      </c>
      <c r="G4" t="s">
        <v>56</v>
      </c>
      <c r="H4" s="26">
        <f>MAX(D2:D37)</f>
        <v>0.14799999999999999</v>
      </c>
      <c r="I4" s="26">
        <f>MAX(E2:E37)</f>
        <v>0.13999999999999996</v>
      </c>
    </row>
    <row r="5" spans="1:9" x14ac:dyDescent="0.25">
      <c r="A5" s="32">
        <v>-9.0000000000000011E-3</v>
      </c>
      <c r="B5" s="32">
        <v>-1.1000000000000001E-2</v>
      </c>
      <c r="C5" s="32"/>
      <c r="D5" s="14">
        <f t="shared" si="0"/>
        <v>-1.3000000000000001E-2</v>
      </c>
      <c r="E5" s="14">
        <f t="shared" si="1"/>
        <v>-1.4000000000000007E-2</v>
      </c>
      <c r="G5" t="s">
        <v>59</v>
      </c>
      <c r="H5" s="26">
        <f>MIN(D2:D37)</f>
        <v>-9.200000000000004E-2</v>
      </c>
      <c r="I5" s="26">
        <f>MIN(E2:E37)</f>
        <v>-0.1240000000000001</v>
      </c>
    </row>
    <row r="6" spans="1:9" x14ac:dyDescent="0.25">
      <c r="A6" s="32">
        <v>1.3999999999999999E-2</v>
      </c>
      <c r="B6" s="32">
        <v>1.3999999999999999E-2</v>
      </c>
      <c r="C6" s="32"/>
      <c r="D6" s="14">
        <f t="shared" si="0"/>
        <v>-1.0000000000000004E-2</v>
      </c>
      <c r="E6" s="14">
        <f t="shared" si="1"/>
        <v>-1.2000000000000011E-2</v>
      </c>
      <c r="G6" t="s">
        <v>55</v>
      </c>
      <c r="H6" s="21">
        <f>LOG10((H4-H5)/H3)/LOG10(COUNT(A2:A37))</f>
        <v>0.55221669170563814</v>
      </c>
      <c r="I6" s="21">
        <f>LOG10((I4-I5)/I3)/LOG10(COUNT(B2:B37))</f>
        <v>0.57508142465835954</v>
      </c>
    </row>
    <row r="7" spans="1:9" x14ac:dyDescent="0.25">
      <c r="A7" s="32">
        <v>2.4E-2</v>
      </c>
      <c r="B7" s="32">
        <v>2.3E-2</v>
      </c>
      <c r="C7" s="32"/>
      <c r="D7" s="14">
        <f t="shared" si="0"/>
        <v>2.9999999999999957E-3</v>
      </c>
      <c r="E7" s="14">
        <f t="shared" si="1"/>
        <v>-1.000000000000013E-3</v>
      </c>
      <c r="G7" t="s">
        <v>55</v>
      </c>
      <c r="H7" s="21" cm="1">
        <f t="array" ref="H7">_xll.HurstExponent(A2:A37)</f>
        <v>0.55221669170563814</v>
      </c>
      <c r="I7" s="21" cm="1">
        <f t="array" ref="I7">_xll.HurstExponent(B2:B37)</f>
        <v>0.57508142465835954</v>
      </c>
    </row>
    <row r="8" spans="1:9" x14ac:dyDescent="0.25">
      <c r="A8" s="32">
        <v>1.4999999999999999E-2</v>
      </c>
      <c r="B8" s="32">
        <v>1.3999999999999999E-2</v>
      </c>
      <c r="C8" s="32"/>
      <c r="D8" s="14">
        <f t="shared" si="0"/>
        <v>6.9999999999999941E-3</v>
      </c>
      <c r="E8" s="14">
        <f t="shared" si="1"/>
        <v>9.9999999999998354E-4</v>
      </c>
    </row>
    <row r="9" spans="1:9" x14ac:dyDescent="0.25">
      <c r="A9" s="32">
        <v>6.6000000000000003E-2</v>
      </c>
      <c r="B9" s="32">
        <v>6.5000000000000002E-2</v>
      </c>
      <c r="C9" s="32"/>
      <c r="D9" s="14">
        <f t="shared" si="0"/>
        <v>6.1999999999999993E-2</v>
      </c>
      <c r="E9" s="14">
        <f t="shared" si="1"/>
        <v>5.3999999999999986E-2</v>
      </c>
      <c r="H9" t="s">
        <v>61</v>
      </c>
      <c r="I9" t="s">
        <v>62</v>
      </c>
    </row>
    <row r="10" spans="1:9" x14ac:dyDescent="0.25">
      <c r="A10" s="32">
        <v>-1.3999999999999999E-2</v>
      </c>
      <c r="B10" s="32">
        <v>-1.4999999999999999E-2</v>
      </c>
      <c r="C10" s="32"/>
      <c r="D10" s="14">
        <f t="shared" si="0"/>
        <v>3.6999999999999991E-2</v>
      </c>
      <c r="E10" s="14">
        <f t="shared" si="1"/>
        <v>2.6999999999999982E-2</v>
      </c>
      <c r="G10" t="s">
        <v>63</v>
      </c>
      <c r="H10" s="34">
        <v>1</v>
      </c>
      <c r="I10" s="34">
        <f>H10</f>
        <v>1</v>
      </c>
    </row>
    <row r="11" spans="1:9" x14ac:dyDescent="0.25">
      <c r="A11" s="32">
        <v>3.9E-2</v>
      </c>
      <c r="B11" s="32">
        <v>4.2000000000000003E-2</v>
      </c>
      <c r="C11" s="32"/>
      <c r="D11" s="14">
        <f t="shared" si="0"/>
        <v>6.4999999999999988E-2</v>
      </c>
      <c r="E11" s="14">
        <f t="shared" si="1"/>
        <v>5.6999999999999974E-2</v>
      </c>
      <c r="G11" t="s">
        <v>64</v>
      </c>
      <c r="H11" s="33" cm="1">
        <f t="array" ref="H11">SUM((A2:A37&gt;=0)*(A2:A37&lt;=H3))</f>
        <v>14</v>
      </c>
      <c r="I11" s="33" cm="1">
        <f t="array" ref="I11">SUM((B2:B37&gt;=0)*(B2:B37&lt;=I3))</f>
        <v>14</v>
      </c>
    </row>
    <row r="12" spans="1:9" x14ac:dyDescent="0.25">
      <c r="A12" s="32">
        <v>-5.0000000000000001E-3</v>
      </c>
      <c r="B12" s="32">
        <v>-3.0000000000000001E-3</v>
      </c>
      <c r="C12" s="32"/>
      <c r="D12" s="14">
        <f t="shared" si="0"/>
        <v>4.8999999999999988E-2</v>
      </c>
      <c r="E12" s="14">
        <f t="shared" si="1"/>
        <v>4.1999999999999968E-2</v>
      </c>
      <c r="G12" t="s">
        <v>65</v>
      </c>
      <c r="H12" s="33" cm="1">
        <f t="array" ref="H12">SUM((A2:A37&lt;0)*(A2:A37&gt;=-H3))</f>
        <v>9</v>
      </c>
      <c r="I12" s="33" cm="1">
        <f t="array" ref="I12">SUM((B2:B37&lt;0)*(B2:B37&gt;=-I3))</f>
        <v>8</v>
      </c>
    </row>
    <row r="13" spans="1:9" x14ac:dyDescent="0.25">
      <c r="A13" s="32">
        <v>8.1000000000000003E-2</v>
      </c>
      <c r="B13" s="32">
        <v>8.3000000000000004E-2</v>
      </c>
      <c r="C13" s="32"/>
      <c r="D13" s="14">
        <f t="shared" si="0"/>
        <v>0.11900000000000001</v>
      </c>
      <c r="E13" s="14">
        <f t="shared" si="1"/>
        <v>0.11299999999999998</v>
      </c>
      <c r="G13" t="s">
        <v>60</v>
      </c>
      <c r="H13" s="28" cm="1">
        <f t="array" ref="H13">SUM((A2:A37&gt;=0)*(A2:A37&lt;=H3*H10))/(1+SUM((A2:A37&lt;0)*(A2:A37&gt;=-H3*H10)))</f>
        <v>1.4</v>
      </c>
      <c r="I13" s="28" cm="1">
        <f t="array" ref="I13">SUM((B2:B37&gt;=0)*(B2:B37&lt;=I3*I10))/(1+SUM((B2:B37&lt;0)*(B2:B37&gt;=-I3*I10)))</f>
        <v>1.5555555555555556</v>
      </c>
    </row>
    <row r="14" spans="1:9" x14ac:dyDescent="0.25">
      <c r="A14" s="32">
        <v>0.04</v>
      </c>
      <c r="B14" s="32">
        <v>3.9E-2</v>
      </c>
      <c r="C14" s="32"/>
      <c r="D14" s="14">
        <f t="shared" si="0"/>
        <v>0.14799999999999999</v>
      </c>
      <c r="E14" s="14">
        <f t="shared" si="1"/>
        <v>0.13999999999999996</v>
      </c>
      <c r="G14" t="s">
        <v>60</v>
      </c>
      <c r="H14" s="28" cm="1">
        <f t="array" ref="H14">_xll.BiasRatio(A2:A37,H10)</f>
        <v>1.4</v>
      </c>
      <c r="I14" s="28" cm="1">
        <f t="array" ref="I14">_xll.BiasRatio(B2:B37,I10)</f>
        <v>1.5555555555555556</v>
      </c>
    </row>
    <row r="15" spans="1:9" x14ac:dyDescent="0.25">
      <c r="A15" s="32">
        <v>-3.7000000000000005E-2</v>
      </c>
      <c r="B15" s="32">
        <v>-3.7999999999999999E-2</v>
      </c>
      <c r="C15" s="32"/>
      <c r="D15" s="14">
        <f t="shared" si="0"/>
        <v>9.9999999999999992E-2</v>
      </c>
      <c r="E15" s="14">
        <f t="shared" si="1"/>
        <v>8.9999999999999955E-2</v>
      </c>
    </row>
    <row r="16" spans="1:9" x14ac:dyDescent="0.25">
      <c r="A16" s="32">
        <v>-6.0999999999999999E-2</v>
      </c>
      <c r="B16" s="32">
        <v>-6.2E-2</v>
      </c>
      <c r="C16" s="32"/>
      <c r="D16" s="14">
        <f t="shared" si="0"/>
        <v>2.799999999999999E-2</v>
      </c>
      <c r="E16" s="14">
        <f t="shared" si="1"/>
        <v>1.5999999999999952E-2</v>
      </c>
    </row>
    <row r="17" spans="1:5" x14ac:dyDescent="0.25">
      <c r="A17" s="32">
        <v>1.3999999999999999E-2</v>
      </c>
      <c r="B17" s="32">
        <v>1.4999999999999999E-2</v>
      </c>
      <c r="C17" s="32"/>
      <c r="D17" s="14">
        <f t="shared" si="0"/>
        <v>3.0999999999999986E-2</v>
      </c>
      <c r="E17" s="14">
        <f t="shared" si="1"/>
        <v>1.8999999999999947E-2</v>
      </c>
    </row>
    <row r="18" spans="1:5" x14ac:dyDescent="0.25">
      <c r="A18" s="32">
        <v>-4.9000000000000002E-2</v>
      </c>
      <c r="B18" s="32">
        <v>-4.8000000000000001E-2</v>
      </c>
      <c r="C18" s="32"/>
      <c r="D18" s="14">
        <f t="shared" si="0"/>
        <v>-2.9000000000000019E-2</v>
      </c>
      <c r="E18" s="14">
        <f t="shared" si="1"/>
        <v>-4.1000000000000057E-2</v>
      </c>
    </row>
    <row r="19" spans="1:5" x14ac:dyDescent="0.25">
      <c r="A19" s="32">
        <v>-2.1000000000000001E-2</v>
      </c>
      <c r="B19" s="32">
        <v>-0.02</v>
      </c>
      <c r="C19" s="32"/>
      <c r="D19" s="14">
        <f t="shared" si="0"/>
        <v>-6.1000000000000019E-2</v>
      </c>
      <c r="E19" s="14">
        <f t="shared" si="1"/>
        <v>-7.3000000000000051E-2</v>
      </c>
    </row>
    <row r="20" spans="1:5" x14ac:dyDescent="0.25">
      <c r="A20" s="32">
        <v>6.2E-2</v>
      </c>
      <c r="B20" s="32">
        <v>0.06</v>
      </c>
      <c r="C20" s="32"/>
      <c r="D20" s="14">
        <f t="shared" si="0"/>
        <v>-1.0000000000000021E-2</v>
      </c>
      <c r="E20" s="14">
        <f t="shared" si="1"/>
        <v>-2.5000000000000057E-2</v>
      </c>
    </row>
    <row r="21" spans="1:5" x14ac:dyDescent="0.25">
      <c r="A21" s="32">
        <v>5.7999999999999996E-2</v>
      </c>
      <c r="B21" s="32">
        <v>5.5999999999999994E-2</v>
      </c>
      <c r="C21" s="32"/>
      <c r="D21" s="14">
        <f t="shared" si="0"/>
        <v>3.699999999999997E-2</v>
      </c>
      <c r="E21" s="14">
        <f t="shared" si="1"/>
        <v>1.8999999999999934E-2</v>
      </c>
    </row>
    <row r="22" spans="1:5" x14ac:dyDescent="0.25">
      <c r="A22" s="32">
        <v>-6.4000000000000001E-2</v>
      </c>
      <c r="B22" s="32">
        <v>-6.7000000000000004E-2</v>
      </c>
      <c r="C22" s="32"/>
      <c r="D22" s="14">
        <f t="shared" si="0"/>
        <v>-3.8000000000000034E-2</v>
      </c>
      <c r="E22" s="14">
        <f t="shared" si="1"/>
        <v>-6.0000000000000074E-2</v>
      </c>
    </row>
    <row r="23" spans="1:5" x14ac:dyDescent="0.25">
      <c r="A23" s="32">
        <v>1.7000000000000001E-2</v>
      </c>
      <c r="B23" s="32">
        <v>1.9E-2</v>
      </c>
      <c r="C23" s="32"/>
      <c r="D23" s="14">
        <f t="shared" si="0"/>
        <v>-3.2000000000000035E-2</v>
      </c>
      <c r="E23" s="14">
        <f t="shared" si="1"/>
        <v>-5.3000000000000082E-2</v>
      </c>
    </row>
    <row r="24" spans="1:5" x14ac:dyDescent="0.25">
      <c r="A24" s="32">
        <v>-4.0000000000000001E-3</v>
      </c>
      <c r="B24" s="32">
        <v>-3.0000000000000001E-3</v>
      </c>
      <c r="C24" s="32"/>
      <c r="D24" s="14">
        <f t="shared" si="0"/>
        <v>-4.7000000000000035E-2</v>
      </c>
      <c r="E24" s="14">
        <f t="shared" si="1"/>
        <v>-6.8000000000000088E-2</v>
      </c>
    </row>
    <row r="25" spans="1:5" x14ac:dyDescent="0.25">
      <c r="A25" s="32">
        <v>-2E-3</v>
      </c>
      <c r="B25" s="32">
        <v>-1E-3</v>
      </c>
      <c r="C25" s="32"/>
      <c r="D25" s="14">
        <f t="shared" si="0"/>
        <v>-6.0000000000000039E-2</v>
      </c>
      <c r="E25" s="14">
        <f t="shared" si="1"/>
        <v>-8.1000000000000086E-2</v>
      </c>
    </row>
    <row r="26" spans="1:5" x14ac:dyDescent="0.25">
      <c r="A26" s="32">
        <v>-2.1000000000000001E-2</v>
      </c>
      <c r="B26" s="32">
        <v>-2.6000000000000002E-2</v>
      </c>
      <c r="C26" s="32"/>
      <c r="D26" s="14">
        <f t="shared" si="0"/>
        <v>-9.200000000000004E-2</v>
      </c>
      <c r="E26" s="14">
        <f t="shared" si="1"/>
        <v>-0.11900000000000009</v>
      </c>
    </row>
    <row r="27" spans="1:5" x14ac:dyDescent="0.25">
      <c r="A27" s="32">
        <v>1.1000000000000001E-2</v>
      </c>
      <c r="B27" s="32">
        <v>6.9999999999999993E-3</v>
      </c>
      <c r="C27" s="32"/>
      <c r="D27" s="14">
        <f t="shared" si="0"/>
        <v>-9.200000000000004E-2</v>
      </c>
      <c r="E27" s="14">
        <f t="shared" si="1"/>
        <v>-0.1240000000000001</v>
      </c>
    </row>
    <row r="28" spans="1:5" x14ac:dyDescent="0.25">
      <c r="A28" s="32">
        <v>4.7E-2</v>
      </c>
      <c r="B28" s="32">
        <v>4.2999999999999997E-2</v>
      </c>
      <c r="C28" s="32"/>
      <c r="D28" s="14">
        <f t="shared" si="0"/>
        <v>-5.6000000000000043E-2</v>
      </c>
      <c r="E28" s="14">
        <f t="shared" si="1"/>
        <v>-9.3000000000000096E-2</v>
      </c>
    </row>
    <row r="29" spans="1:5" x14ac:dyDescent="0.25">
      <c r="A29" s="32">
        <v>2.4E-2</v>
      </c>
      <c r="B29" s="32">
        <v>2.8999999999999998E-2</v>
      </c>
      <c r="C29" s="32"/>
      <c r="D29" s="14">
        <f t="shared" si="0"/>
        <v>-4.3000000000000045E-2</v>
      </c>
      <c r="E29" s="14">
        <f t="shared" si="1"/>
        <v>-7.6000000000000095E-2</v>
      </c>
    </row>
    <row r="30" spans="1:5" x14ac:dyDescent="0.25">
      <c r="A30" s="32">
        <v>3.3000000000000002E-2</v>
      </c>
      <c r="B30" s="32">
        <v>3.7999999999999999E-2</v>
      </c>
      <c r="C30" s="32"/>
      <c r="D30" s="14">
        <f t="shared" si="0"/>
        <v>-2.1000000000000046E-2</v>
      </c>
      <c r="E30" s="14">
        <f t="shared" si="1"/>
        <v>-5.00000000000001E-2</v>
      </c>
    </row>
    <row r="31" spans="1:5" x14ac:dyDescent="0.25">
      <c r="A31" s="32">
        <v>-6.9999999999999993E-3</v>
      </c>
      <c r="B31" s="32">
        <v>-2E-3</v>
      </c>
      <c r="C31" s="32"/>
      <c r="D31" s="14">
        <f t="shared" si="0"/>
        <v>-3.9000000000000049E-2</v>
      </c>
      <c r="E31" s="14">
        <f t="shared" si="1"/>
        <v>-6.4000000000000098E-2</v>
      </c>
    </row>
    <row r="32" spans="1:5" x14ac:dyDescent="0.25">
      <c r="A32" s="32">
        <v>4.7E-2</v>
      </c>
      <c r="B32" s="32">
        <v>5.0999999999999997E-2</v>
      </c>
      <c r="C32" s="32"/>
      <c r="D32" s="14">
        <f t="shared" si="0"/>
        <v>-3.0000000000000495E-3</v>
      </c>
      <c r="E32" s="14">
        <f t="shared" si="1"/>
        <v>-2.5000000000000105E-2</v>
      </c>
    </row>
    <row r="33" spans="1:5" x14ac:dyDescent="0.25">
      <c r="A33" s="32">
        <v>6.0000000000000001E-3</v>
      </c>
      <c r="B33" s="32">
        <v>1.3999999999999999E-2</v>
      </c>
      <c r="C33" s="32"/>
      <c r="D33" s="14">
        <f t="shared" si="0"/>
        <v>-8.0000000000000505E-3</v>
      </c>
      <c r="E33" s="14">
        <f t="shared" si="1"/>
        <v>-2.3000000000000111E-2</v>
      </c>
    </row>
    <row r="34" spans="1:5" x14ac:dyDescent="0.25">
      <c r="A34" s="32">
        <v>0.01</v>
      </c>
      <c r="B34" s="32">
        <v>1.3000000000000001E-2</v>
      </c>
      <c r="C34" s="32"/>
      <c r="D34" s="14">
        <f t="shared" si="0"/>
        <v>-9.0000000000000514E-3</v>
      </c>
      <c r="E34" s="14">
        <f t="shared" si="1"/>
        <v>-2.200000000000011E-2</v>
      </c>
    </row>
    <row r="35" spans="1:5" x14ac:dyDescent="0.25">
      <c r="A35" s="32">
        <v>-2E-3</v>
      </c>
      <c r="B35" s="32">
        <v>3.0000000000000001E-3</v>
      </c>
      <c r="C35" s="32"/>
      <c r="D35" s="14">
        <f t="shared" si="0"/>
        <v>-2.2000000000000054E-2</v>
      </c>
      <c r="E35" s="14">
        <f t="shared" si="1"/>
        <v>-3.1000000000000111E-2</v>
      </c>
    </row>
    <row r="36" spans="1:5" x14ac:dyDescent="0.25">
      <c r="A36" s="32">
        <v>3.4000000000000002E-2</v>
      </c>
      <c r="B36" s="32">
        <v>3.4000000000000002E-2</v>
      </c>
      <c r="C36" s="32"/>
      <c r="D36" s="14">
        <f t="shared" si="0"/>
        <v>9.9999999999994711E-4</v>
      </c>
      <c r="E36" s="14">
        <f t="shared" si="1"/>
        <v>-9.0000000000001103E-3</v>
      </c>
    </row>
    <row r="37" spans="1:5" x14ac:dyDescent="0.25">
      <c r="A37" s="32">
        <v>0.01</v>
      </c>
      <c r="B37" s="32">
        <v>2.1000000000000001E-2</v>
      </c>
      <c r="C37" s="32"/>
      <c r="D37" s="14">
        <f t="shared" si="0"/>
        <v>-5.377642775528102E-17</v>
      </c>
      <c r="E37" s="14">
        <f t="shared" si="1"/>
        <v>-1.1102230246251565E-16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20BF-B3A2-4768-8CA5-EE00905CFCE9}">
  <dimension ref="A1:AB45"/>
  <sheetViews>
    <sheetView tabSelected="1" topLeftCell="A2" workbookViewId="0">
      <selection activeCell="J14" sqref="J14"/>
    </sheetView>
  </sheetViews>
  <sheetFormatPr defaultRowHeight="15" x14ac:dyDescent="0.25"/>
  <cols>
    <col min="2" max="2" width="10.7109375" bestFit="1" customWidth="1"/>
    <col min="5" max="5" width="25.5703125" customWidth="1"/>
    <col min="6" max="6" width="20.7109375" bestFit="1" customWidth="1"/>
    <col min="7" max="7" width="23.28515625" bestFit="1" customWidth="1"/>
    <col min="8" max="8" width="9.42578125" bestFit="1" customWidth="1"/>
    <col min="9" max="9" width="12" bestFit="1" customWidth="1"/>
    <col min="10" max="10" width="23.28515625" bestFit="1" customWidth="1"/>
    <col min="12" max="12" width="10" bestFit="1" customWidth="1"/>
    <col min="13" max="13" width="23.28515625" bestFit="1" customWidth="1"/>
    <col min="15" max="15" width="10.28515625" customWidth="1"/>
    <col min="18" max="18" width="12.42578125" bestFit="1" customWidth="1"/>
  </cols>
  <sheetData>
    <row r="1" spans="1:28" x14ac:dyDescent="0.25">
      <c r="A1" t="s">
        <v>61</v>
      </c>
      <c r="B1" t="s">
        <v>62</v>
      </c>
      <c r="C1" t="s">
        <v>68</v>
      </c>
      <c r="F1" s="4" t="s">
        <v>61</v>
      </c>
      <c r="G1" s="4"/>
      <c r="I1" s="4" t="s">
        <v>62</v>
      </c>
      <c r="J1" s="4"/>
      <c r="L1" s="4" t="s">
        <v>68</v>
      </c>
      <c r="M1" s="4"/>
      <c r="T1" t="s">
        <v>89</v>
      </c>
    </row>
    <row r="2" spans="1:28" ht="15.75" thickBot="1" x14ac:dyDescent="0.3">
      <c r="A2" s="14">
        <v>3.0000000000000001E-3</v>
      </c>
      <c r="B2" s="32">
        <v>2E-3</v>
      </c>
      <c r="C2" s="14">
        <v>1E-3</v>
      </c>
      <c r="F2" t="s">
        <v>71</v>
      </c>
      <c r="G2" t="s">
        <v>70</v>
      </c>
      <c r="I2" t="s">
        <v>71</v>
      </c>
      <c r="J2" t="s">
        <v>70</v>
      </c>
      <c r="L2" t="s">
        <v>71</v>
      </c>
      <c r="M2" t="s">
        <v>70</v>
      </c>
      <c r="N2" cm="1">
        <f t="array" ref="N2:N38">_xlfn.SEQUENCE(37)</f>
        <v>1</v>
      </c>
      <c r="O2" s="26">
        <f>A2</f>
        <v>3.0000000000000001E-3</v>
      </c>
      <c r="P2" s="14" cm="1">
        <f t="array" ref="P2:P37">(1+O1:O36)*(1+O2:O37)-1</f>
        <v>2.9999999999998916E-3</v>
      </c>
      <c r="R2" s="21" cm="1">
        <f t="array" ref="R2:R38">TRANSPOSE(_xll.TotalReturnIndex(A2:A37,1000))</f>
        <v>1000</v>
      </c>
    </row>
    <row r="3" spans="1:28" x14ac:dyDescent="0.25">
      <c r="A3" s="14">
        <v>2.6000000000000002E-2</v>
      </c>
      <c r="B3" s="32">
        <v>2.5000000000000001E-2</v>
      </c>
      <c r="C3" s="14">
        <v>1E-3</v>
      </c>
      <c r="E3" t="s">
        <v>2</v>
      </c>
      <c r="F3" s="1" cm="1">
        <f t="array" ref="F3">GEOMEAN(1+A2:A37)-1</f>
        <v>1.0452163610398468E-2</v>
      </c>
      <c r="G3" s="1" cm="1">
        <f t="array" ref="G3">PRODUCT(1+A2:A37)^(12/36)-1</f>
        <v>0.13289353350977429</v>
      </c>
      <c r="I3" s="1" cm="1">
        <f t="array" ref="I3">GEOMEAN(1+B2:B37)-1</f>
        <v>1.1436247371426456E-2</v>
      </c>
      <c r="J3" s="1" cm="1">
        <f t="array" ref="J3">PRODUCT(1+B2:B37)^(12/36)-1</f>
        <v>0.14620464307207515</v>
      </c>
      <c r="L3" s="1" cm="1">
        <f t="array" ref="L3">GEOMEAN(1+C2:C37)-1</f>
        <v>1.9995843306364058E-3</v>
      </c>
      <c r="M3" s="1" cm="1">
        <f t="array" ref="M3">PRODUCT(1+C2:C37)^(12/36)-1</f>
        <v>2.4260669083983943E-2</v>
      </c>
      <c r="N3">
        <v>2</v>
      </c>
      <c r="O3" s="26">
        <f t="shared" ref="O3:O37" si="0">A3</f>
        <v>2.6000000000000002E-2</v>
      </c>
      <c r="P3" s="14">
        <v>2.9077999999999937E-2</v>
      </c>
      <c r="R3" s="21">
        <v>1002.9999999999999</v>
      </c>
      <c r="T3" s="43" t="s">
        <v>90</v>
      </c>
      <c r="U3" s="43"/>
    </row>
    <row r="4" spans="1:28" x14ac:dyDescent="0.25">
      <c r="A4" s="14">
        <v>1.1000000000000001E-2</v>
      </c>
      <c r="B4" s="32">
        <v>1.8000000000000002E-2</v>
      </c>
      <c r="C4" s="14">
        <v>2E-3</v>
      </c>
      <c r="E4" t="s">
        <v>77</v>
      </c>
      <c r="F4" s="1">
        <f>_xlfn.STDEV.P(A2:A37)</f>
        <v>3.3173784830796742E-2</v>
      </c>
      <c r="G4" s="1">
        <f>F4*SQRT(12)</f>
        <v>0.11491736161259533</v>
      </c>
      <c r="I4" s="1">
        <f>_xlfn.STDEV.P(B2:B37)</f>
        <v>3.3620430296671298E-2</v>
      </c>
      <c r="J4" s="1">
        <f>I4*SQRT(12)</f>
        <v>0.11646458689232533</v>
      </c>
      <c r="L4" s="1">
        <f>_xlfn.STDEV.P(C2:C37)</f>
        <v>9.1287092917527674E-4</v>
      </c>
      <c r="M4" s="1">
        <f>L4*SQRT(12)</f>
        <v>3.1622776601683785E-3</v>
      </c>
      <c r="N4">
        <v>3</v>
      </c>
      <c r="O4" s="26">
        <f t="shared" si="0"/>
        <v>1.1000000000000001E-2</v>
      </c>
      <c r="P4" s="14">
        <v>3.728599999999993E-2</v>
      </c>
      <c r="R4" s="21">
        <v>1029.078</v>
      </c>
      <c r="T4" s="40" t="s">
        <v>91</v>
      </c>
      <c r="U4" s="40">
        <v>1.0924384153101352E-2</v>
      </c>
    </row>
    <row r="5" spans="1:28" x14ac:dyDescent="0.25">
      <c r="A5" s="14">
        <v>-9.0000000000000011E-3</v>
      </c>
      <c r="B5" s="32">
        <v>-1.1000000000000001E-2</v>
      </c>
      <c r="C5" s="14">
        <v>2E-3</v>
      </c>
      <c r="E5" t="s">
        <v>125</v>
      </c>
      <c r="F5" s="1">
        <v>5.0000000000000001E-3</v>
      </c>
      <c r="G5" s="1">
        <f>(1+F5)^12-1</f>
        <v>6.1677811864497611E-2</v>
      </c>
      <c r="I5" s="1"/>
      <c r="J5" s="1"/>
      <c r="L5" s="1"/>
      <c r="M5" s="1"/>
      <c r="N5">
        <v>4</v>
      </c>
      <c r="O5" s="26">
        <f t="shared" si="0"/>
        <v>-9.0000000000000011E-3</v>
      </c>
      <c r="P5" s="14">
        <v>1.9009999999999305E-3</v>
      </c>
      <c r="R5" s="21">
        <v>1040.3978579999998</v>
      </c>
      <c r="T5" s="40" t="s">
        <v>92</v>
      </c>
      <c r="U5" s="40">
        <v>1.1934216912453192E-4</v>
      </c>
    </row>
    <row r="6" spans="1:28" x14ac:dyDescent="0.25">
      <c r="A6" s="14">
        <v>1.3999999999999999E-2</v>
      </c>
      <c r="B6" s="32">
        <v>1.3999999999999999E-2</v>
      </c>
      <c r="C6" s="14">
        <v>2E-3</v>
      </c>
      <c r="N6">
        <v>5</v>
      </c>
      <c r="O6" s="26">
        <f t="shared" si="0"/>
        <v>1.3999999999999999E-2</v>
      </c>
      <c r="P6" s="14">
        <v>4.874000000000045E-3</v>
      </c>
      <c r="R6" s="21">
        <v>1031.0342772779998</v>
      </c>
      <c r="T6" s="40" t="s">
        <v>93</v>
      </c>
      <c r="U6" s="40">
        <v>-2.9288912472960039E-2</v>
      </c>
    </row>
    <row r="7" spans="1:28" x14ac:dyDescent="0.25">
      <c r="A7" s="14">
        <v>2.4E-2</v>
      </c>
      <c r="B7" s="32">
        <v>2.3E-2</v>
      </c>
      <c r="C7" s="14">
        <v>2E-3</v>
      </c>
      <c r="E7" t="s">
        <v>4</v>
      </c>
      <c r="F7" s="21">
        <f>(F3-L3)/F4</f>
        <v>0.25479695255981605</v>
      </c>
      <c r="G7" s="21">
        <f>(G3-M3)/G4</f>
        <v>0.94531290051723404</v>
      </c>
      <c r="N7">
        <v>6</v>
      </c>
      <c r="O7" s="26">
        <f t="shared" si="0"/>
        <v>2.4E-2</v>
      </c>
      <c r="P7" s="14">
        <v>3.8335999999999926E-2</v>
      </c>
      <c r="R7" s="21">
        <v>1045.4687571598918</v>
      </c>
      <c r="T7" s="40" t="s">
        <v>94</v>
      </c>
      <c r="U7" s="40">
        <v>4.7995453798732747E-2</v>
      </c>
    </row>
    <row r="8" spans="1:28" ht="15.75" thickBot="1" x14ac:dyDescent="0.3">
      <c r="A8" s="14">
        <v>1.4999999999999999E-2</v>
      </c>
      <c r="B8" s="32">
        <v>1.3999999999999999E-2</v>
      </c>
      <c r="C8" s="14">
        <v>2E-3</v>
      </c>
      <c r="E8" s="14" t="s">
        <v>24</v>
      </c>
      <c r="F8" s="21" cm="1">
        <f t="array" ref="F8">(F3-L3)/_xlfn.STDEV.P(A2:A37-C2:C37)</f>
        <v>0.25497722129753936</v>
      </c>
      <c r="G8" s="21" cm="1">
        <f t="array" ref="G8">(G3-M3)/(_xlfn.STDEV.P(A2:A37-C2:C37)*SQRT(12))</f>
        <v>0.9459817090002941</v>
      </c>
      <c r="J8">
        <f>_xlfn.VAR.P(B2:B37)</f>
        <v>1.1303333333333335E-3</v>
      </c>
      <c r="N8">
        <v>7</v>
      </c>
      <c r="O8" s="26">
        <f t="shared" si="0"/>
        <v>1.4999999999999999E-2</v>
      </c>
      <c r="P8" s="14">
        <v>3.935999999999984E-2</v>
      </c>
      <c r="R8" s="21">
        <v>1070.5600073317291</v>
      </c>
      <c r="T8" s="41" t="s">
        <v>95</v>
      </c>
      <c r="U8" s="41">
        <v>36</v>
      </c>
    </row>
    <row r="9" spans="1:28" x14ac:dyDescent="0.25">
      <c r="A9" s="14">
        <v>6.6000000000000003E-2</v>
      </c>
      <c r="B9" s="32">
        <v>6.5000000000000002E-2</v>
      </c>
      <c r="C9" s="14">
        <v>3.0000000000000001E-3</v>
      </c>
      <c r="E9" t="s">
        <v>69</v>
      </c>
      <c r="F9" s="21" cm="1">
        <f t="array" ref="F9">F7+_xll.Skewness_P(A2:A37)/6*F7^2-(_xll.Kurtosis_P(A2:A37)-3)/24*F7^3</f>
        <v>0.25223719852260701</v>
      </c>
      <c r="G9" s="27" cm="1">
        <f t="array" ref="G9">G7+_xll.Skewness_P(A2:A37)/6*G7^2-(_xll.Kurtosis_P(A2:A37)-3)/24*G7^3</f>
        <v>0.91065390211902919</v>
      </c>
      <c r="H9" s="35"/>
      <c r="N9">
        <v>8</v>
      </c>
      <c r="O9" s="26">
        <f t="shared" si="0"/>
        <v>6.6000000000000003E-2</v>
      </c>
      <c r="P9" s="14">
        <v>8.1990000000000007E-2</v>
      </c>
      <c r="R9" s="21">
        <v>1086.6184074417049</v>
      </c>
    </row>
    <row r="10" spans="1:28" ht="18.75" thickBot="1" x14ac:dyDescent="0.3">
      <c r="A10" s="14">
        <v>-1.3999999999999999E-2</v>
      </c>
      <c r="B10" s="32">
        <v>-1.4999999999999999E-2</v>
      </c>
      <c r="C10" s="14">
        <v>3.0000000000000001E-3</v>
      </c>
      <c r="E10" t="s">
        <v>79</v>
      </c>
      <c r="F10" s="1">
        <f>F7*_xlfn.STDEV.P($B$2:$B$37)+$L$3</f>
        <v>1.0565967513977965E-2</v>
      </c>
      <c r="G10" s="1">
        <f>G7*_xlfn.STDEV.P($B$2:$B$37)*SQRT(12)+M3</f>
        <v>0.13435614552670944</v>
      </c>
      <c r="N10">
        <v>9</v>
      </c>
      <c r="O10" s="26">
        <f t="shared" si="0"/>
        <v>-1.3999999999999999E-2</v>
      </c>
      <c r="P10" s="14">
        <v>5.1076000000000121E-2</v>
      </c>
      <c r="R10" s="21">
        <v>1158.3352223328575</v>
      </c>
      <c r="T10" t="s">
        <v>96</v>
      </c>
    </row>
    <row r="11" spans="1:28" x14ac:dyDescent="0.25">
      <c r="A11" s="14">
        <v>3.9E-2</v>
      </c>
      <c r="B11" s="32">
        <v>4.2000000000000003E-2</v>
      </c>
      <c r="C11" s="14">
        <v>4.0000000000000001E-3</v>
      </c>
      <c r="E11" t="s">
        <v>126</v>
      </c>
      <c r="F11" s="21">
        <f>(F3-F5)/F4</f>
        <v>0.16435156971709106</v>
      </c>
      <c r="G11" s="1"/>
      <c r="N11">
        <v>10</v>
      </c>
      <c r="O11" s="26">
        <f t="shared" si="0"/>
        <v>3.9E-2</v>
      </c>
      <c r="P11" s="14">
        <v>2.4453999999999976E-2</v>
      </c>
      <c r="R11" s="21">
        <v>1142.1185292201974</v>
      </c>
      <c r="T11" s="42"/>
      <c r="U11" s="42" t="s">
        <v>101</v>
      </c>
      <c r="V11" s="42" t="s">
        <v>102</v>
      </c>
      <c r="W11" s="42" t="s">
        <v>103</v>
      </c>
      <c r="X11" s="42" t="s">
        <v>104</v>
      </c>
      <c r="Y11" s="42" t="s">
        <v>105</v>
      </c>
    </row>
    <row r="12" spans="1:28" x14ac:dyDescent="0.25">
      <c r="A12" s="14">
        <v>-5.0000000000000001E-3</v>
      </c>
      <c r="B12" s="32">
        <v>-3.0000000000000001E-3</v>
      </c>
      <c r="C12" s="14">
        <v>4.0000000000000001E-3</v>
      </c>
      <c r="E12" t="s">
        <v>8</v>
      </c>
      <c r="F12" s="21">
        <f>_xlfn.COVARIANCE.P(A2:A37,B2:B37)/_xlfn.VAR.P(B2:B37)</f>
        <v>0.98144598446869191</v>
      </c>
      <c r="G12" s="1"/>
      <c r="N12">
        <v>11</v>
      </c>
      <c r="O12" s="26">
        <f t="shared" si="0"/>
        <v>-5.0000000000000001E-3</v>
      </c>
      <c r="P12" s="14">
        <v>3.3804999999999863E-2</v>
      </c>
      <c r="R12" s="21">
        <v>1186.6611518597849</v>
      </c>
      <c r="T12" s="40" t="s">
        <v>97</v>
      </c>
      <c r="U12" s="40">
        <v>1</v>
      </c>
      <c r="V12" s="40">
        <v>9.3481329761779808E-6</v>
      </c>
      <c r="W12" s="40">
        <v>9.3481329761779808E-6</v>
      </c>
      <c r="X12" s="40">
        <v>4.0581180548453135E-3</v>
      </c>
      <c r="Y12" s="40">
        <v>0.94957948962616467</v>
      </c>
    </row>
    <row r="13" spans="1:28" x14ac:dyDescent="0.25">
      <c r="A13" s="14">
        <v>8.1000000000000003E-2</v>
      </c>
      <c r="B13" s="32">
        <v>8.3000000000000004E-2</v>
      </c>
      <c r="C13" s="14">
        <v>3.0000000000000001E-3</v>
      </c>
      <c r="E13" t="s">
        <v>7</v>
      </c>
      <c r="F13" s="21">
        <f>(F3-L3)/F12</f>
        <v>8.6123733893902332E-3</v>
      </c>
      <c r="G13" s="21">
        <f>(G3-M3)/F12</f>
        <v>0.11068654428760948</v>
      </c>
      <c r="N13">
        <v>12</v>
      </c>
      <c r="O13" s="26">
        <f t="shared" si="0"/>
        <v>8.1000000000000003E-2</v>
      </c>
      <c r="P13" s="14">
        <v>7.5594999999999857E-2</v>
      </c>
      <c r="R13" s="21">
        <v>1180.727846100486</v>
      </c>
      <c r="T13" s="40" t="s">
        <v>98</v>
      </c>
      <c r="U13" s="40">
        <v>34</v>
      </c>
      <c r="V13" s="40">
        <v>7.8321161901773836E-2</v>
      </c>
      <c r="W13" s="40">
        <v>2.3035635853462895E-3</v>
      </c>
      <c r="X13" s="40"/>
      <c r="Y13" s="40"/>
    </row>
    <row r="14" spans="1:28" ht="15.75" thickBot="1" x14ac:dyDescent="0.3">
      <c r="A14" s="14">
        <v>0.04</v>
      </c>
      <c r="B14" s="32">
        <v>3.9E-2</v>
      </c>
      <c r="C14" s="14">
        <v>3.0000000000000001E-3</v>
      </c>
      <c r="E14" t="s">
        <v>11</v>
      </c>
      <c r="F14" s="1">
        <f>F3-L3-F12*(I3-L3)</f>
        <v>-8.089957684054485E-4</v>
      </c>
      <c r="G14" s="1">
        <f>G3-M3-F12*(J3-M3)</f>
        <v>-1.104855917497638E-2</v>
      </c>
      <c r="I14" s="1"/>
      <c r="N14">
        <v>13</v>
      </c>
      <c r="O14" s="26">
        <f t="shared" si="0"/>
        <v>0.04</v>
      </c>
      <c r="P14" s="14">
        <v>0.12423999999999991</v>
      </c>
      <c r="R14" s="21">
        <v>1276.3668016346253</v>
      </c>
      <c r="T14" s="41" t="s">
        <v>99</v>
      </c>
      <c r="U14" s="41">
        <v>35</v>
      </c>
      <c r="V14" s="41">
        <v>7.8330510034750014E-2</v>
      </c>
      <c r="W14" s="41"/>
      <c r="X14" s="41"/>
      <c r="Y14" s="41"/>
    </row>
    <row r="15" spans="1:28" ht="15.75" thickBot="1" x14ac:dyDescent="0.3">
      <c r="A15" s="14">
        <v>-3.7000000000000005E-2</v>
      </c>
      <c r="B15" s="32">
        <v>-3.7999999999999999E-2</v>
      </c>
      <c r="C15" s="14">
        <v>3.0000000000000001E-3</v>
      </c>
      <c r="E15" t="s">
        <v>82</v>
      </c>
      <c r="F15" s="8">
        <f>F14/SQRT(_xlfn.VAR.P(A2:A37)-F12^2*_xlfn.VAR.P(B2:B37))</f>
        <v>-0.23629010561291675</v>
      </c>
      <c r="N15">
        <v>14</v>
      </c>
      <c r="O15" s="26">
        <f t="shared" si="0"/>
        <v>-3.7000000000000005E-2</v>
      </c>
      <c r="P15" s="14">
        <v>1.5199999999999658E-3</v>
      </c>
      <c r="R15" s="21">
        <v>1327.4214737000104</v>
      </c>
    </row>
    <row r="16" spans="1:28" x14ac:dyDescent="0.25">
      <c r="A16" s="14">
        <v>-6.0999999999999999E-2</v>
      </c>
      <c r="B16" s="32">
        <v>-6.2E-2</v>
      </c>
      <c r="C16" s="14">
        <v>3.0000000000000001E-3</v>
      </c>
      <c r="E16" t="s">
        <v>121</v>
      </c>
      <c r="F16" s="8" cm="1">
        <f t="array" ref="F16">SUM(IF(AVERAGE(A2:A37)-A2:A37&lt;0,0,(AVERAGE(A2:A37)-A2:A37)^2))/COUNT(A2:A37)</f>
        <v>5.83888888888889E-4</v>
      </c>
      <c r="N16">
        <v>15</v>
      </c>
      <c r="O16" s="26">
        <f t="shared" si="0"/>
        <v>-6.0999999999999999E-2</v>
      </c>
      <c r="P16" s="14">
        <v>-9.5743000000000023E-2</v>
      </c>
      <c r="R16" s="21">
        <v>1278.30687917311</v>
      </c>
      <c r="T16" s="42"/>
      <c r="U16" s="42" t="s">
        <v>106</v>
      </c>
      <c r="V16" s="42" t="s">
        <v>94</v>
      </c>
      <c r="W16" s="42" t="s">
        <v>107</v>
      </c>
      <c r="X16" s="42" t="s">
        <v>108</v>
      </c>
      <c r="Y16" s="42" t="s">
        <v>109</v>
      </c>
      <c r="Z16" s="42" t="s">
        <v>110</v>
      </c>
      <c r="AA16" s="42" t="s">
        <v>111</v>
      </c>
      <c r="AB16" s="42" t="s">
        <v>112</v>
      </c>
    </row>
    <row r="17" spans="1:28" x14ac:dyDescent="0.25">
      <c r="A17" s="14">
        <v>1.3999999999999999E-2</v>
      </c>
      <c r="B17" s="32">
        <v>1.4999999999999999E-2</v>
      </c>
      <c r="C17" s="14">
        <v>4.0000000000000001E-3</v>
      </c>
      <c r="E17" t="s">
        <v>122</v>
      </c>
      <c r="F17" s="8">
        <f>SQRT(F16)</f>
        <v>2.4163792932585915E-2</v>
      </c>
      <c r="N17">
        <v>16</v>
      </c>
      <c r="O17" s="26">
        <f t="shared" si="0"/>
        <v>1.3999999999999999E-2</v>
      </c>
      <c r="P17" s="14">
        <v>-4.7853999999999952E-2</v>
      </c>
      <c r="R17" s="21">
        <v>1200.3301595435503</v>
      </c>
      <c r="T17" s="40" t="s">
        <v>100</v>
      </c>
      <c r="U17" s="40">
        <v>2.0897433333333274E-2</v>
      </c>
      <c r="V17" s="40">
        <v>1.6337712810835302E-2</v>
      </c>
      <c r="W17" s="40">
        <v>1.2790917293804998</v>
      </c>
      <c r="X17" s="40">
        <v>0.20952592019712854</v>
      </c>
      <c r="Y17" s="40">
        <v>-1.2304793821296529E-2</v>
      </c>
      <c r="Z17" s="40">
        <v>5.409966048796308E-2</v>
      </c>
      <c r="AA17" s="40">
        <v>-1.2304793821296529E-2</v>
      </c>
      <c r="AB17" s="40">
        <v>5.409966048796308E-2</v>
      </c>
    </row>
    <row r="18" spans="1:28" ht="15.75" thickBot="1" x14ac:dyDescent="0.3">
      <c r="A18" s="14">
        <v>-4.9000000000000002E-2</v>
      </c>
      <c r="B18" s="32">
        <v>-4.8000000000000001E-2</v>
      </c>
      <c r="C18" s="14">
        <v>2E-3</v>
      </c>
      <c r="E18" t="s">
        <v>123</v>
      </c>
      <c r="F18" s="8" cm="1">
        <f t="array" ref="F18">SUM(IF(A2:A37-AVERAGE(A2:A37)&lt;0,0,(A2:A37-AVERAGE(A2:A37))^2))/COUNT(A2:A37)</f>
        <v>5.1661111111111103E-4</v>
      </c>
      <c r="N18">
        <v>17</v>
      </c>
      <c r="O18" s="26">
        <f t="shared" si="0"/>
        <v>-4.9000000000000002E-2</v>
      </c>
      <c r="P18" s="14">
        <v>-3.5685999999999996E-2</v>
      </c>
      <c r="R18" s="21">
        <v>1217.13478177716</v>
      </c>
      <c r="T18" s="41" t="s">
        <v>113</v>
      </c>
      <c r="U18" s="41">
        <v>4.9053153153154153E-5</v>
      </c>
      <c r="V18" s="41">
        <v>7.7002458389716024E-4</v>
      </c>
      <c r="W18" s="41">
        <v>6.3703359839359874E-2</v>
      </c>
      <c r="X18" s="41">
        <v>0.94957948962630323</v>
      </c>
      <c r="Y18" s="41">
        <v>-1.515825079511511E-3</v>
      </c>
      <c r="Z18" s="41">
        <v>1.6139313858178192E-3</v>
      </c>
      <c r="AA18" s="41">
        <v>-1.515825079511511E-3</v>
      </c>
      <c r="AB18" s="41">
        <v>1.6139313858178192E-3</v>
      </c>
    </row>
    <row r="19" spans="1:28" x14ac:dyDescent="0.25">
      <c r="A19" s="14">
        <v>-2.1000000000000001E-2</v>
      </c>
      <c r="B19" s="32">
        <v>-0.02</v>
      </c>
      <c r="C19" s="14">
        <v>2E-3</v>
      </c>
      <c r="E19" t="s">
        <v>124</v>
      </c>
      <c r="F19" s="8">
        <f>SQRT(F18)</f>
        <v>2.2729080736165089E-2</v>
      </c>
      <c r="N19">
        <v>18</v>
      </c>
      <c r="O19" s="26">
        <f t="shared" si="0"/>
        <v>-2.1000000000000001E-2</v>
      </c>
      <c r="P19" s="14">
        <v>-6.8971000000000116E-2</v>
      </c>
      <c r="R19" s="21">
        <v>1157.4951774700792</v>
      </c>
    </row>
    <row r="20" spans="1:28" x14ac:dyDescent="0.25">
      <c r="A20" s="14">
        <v>6.2E-2</v>
      </c>
      <c r="B20" s="32">
        <v>0.06</v>
      </c>
      <c r="C20" s="14">
        <v>2E-3</v>
      </c>
      <c r="F20" s="8"/>
      <c r="N20">
        <v>19</v>
      </c>
      <c r="O20" s="26">
        <f t="shared" si="0"/>
        <v>6.2E-2</v>
      </c>
      <c r="P20" s="14">
        <v>3.9698000000000011E-2</v>
      </c>
      <c r="R20" s="21">
        <v>1133.1877787432074</v>
      </c>
      <c r="U20">
        <f>U18/V18</f>
        <v>6.3703359839359874E-2</v>
      </c>
    </row>
    <row r="21" spans="1:28" x14ac:dyDescent="0.25">
      <c r="A21" s="14">
        <v>5.7999999999999996E-2</v>
      </c>
      <c r="B21" s="32">
        <v>5.5999999999999994E-2</v>
      </c>
      <c r="C21" s="14">
        <v>1E-3</v>
      </c>
      <c r="N21">
        <v>20</v>
      </c>
      <c r="O21" s="26">
        <f t="shared" si="0"/>
        <v>5.7999999999999996E-2</v>
      </c>
      <c r="P21" s="14">
        <v>0.12359600000000004</v>
      </c>
      <c r="R21" s="21">
        <v>1203.4454210252864</v>
      </c>
    </row>
    <row r="22" spans="1:28" x14ac:dyDescent="0.25">
      <c r="A22" s="14">
        <v>-6.4000000000000001E-2</v>
      </c>
      <c r="B22" s="32">
        <v>-6.7000000000000004E-2</v>
      </c>
      <c r="C22" s="14">
        <v>1E-3</v>
      </c>
      <c r="E22" t="s">
        <v>4</v>
      </c>
      <c r="F22" s="21" cm="1">
        <f t="array" ref="F22">_xll.SharpeRatio(A2:A37,C2:C37,1)</f>
        <v>0.25479695255981605</v>
      </c>
      <c r="G22" s="21" cm="1">
        <f t="array" ref="G22">_xll.SharpeRatio(A2:A37,C2:C37,12)</f>
        <v>0.94531290051723404</v>
      </c>
      <c r="I22" t="s">
        <v>80</v>
      </c>
      <c r="J22" t="b" cm="1">
        <f t="array" ref="J22">AND(ABS(F7:G19-F22:G34)&lt;0.000000001)</f>
        <v>1</v>
      </c>
      <c r="N22">
        <v>21</v>
      </c>
      <c r="O22" s="26">
        <f t="shared" si="0"/>
        <v>-6.4000000000000001E-2</v>
      </c>
      <c r="P22" s="14">
        <v>-9.7120000000000539E-3</v>
      </c>
      <c r="R22" s="21">
        <v>1273.245255444753</v>
      </c>
      <c r="T22" t="s">
        <v>89</v>
      </c>
    </row>
    <row r="23" spans="1:28" ht="15.75" thickBot="1" x14ac:dyDescent="0.3">
      <c r="A23" s="14">
        <v>1.7000000000000001E-2</v>
      </c>
      <c r="B23" s="32">
        <v>1.9E-2</v>
      </c>
      <c r="C23" s="14">
        <v>1E-3</v>
      </c>
      <c r="E23" s="14" t="s">
        <v>24</v>
      </c>
      <c r="F23" s="21" cm="1">
        <f t="array" ref="F23">_xll.RevisedSharpeRatio(A2:A37,C2:C37,1)</f>
        <v>0.25497722129753936</v>
      </c>
      <c r="G23" s="21" cm="1">
        <f t="array" ref="G23">_xll.RevisedSharpeRatio(A2:A37,C2:C37,12)</f>
        <v>0.9459817090002941</v>
      </c>
      <c r="N23">
        <v>22</v>
      </c>
      <c r="O23" s="26">
        <f t="shared" si="0"/>
        <v>1.7000000000000001E-2</v>
      </c>
      <c r="P23" s="14">
        <v>-4.8088000000000131E-2</v>
      </c>
      <c r="R23" s="21">
        <v>1191.7575590962888</v>
      </c>
    </row>
    <row r="24" spans="1:28" x14ac:dyDescent="0.25">
      <c r="A24" s="14">
        <v>-4.0000000000000001E-3</v>
      </c>
      <c r="B24" s="32">
        <v>-3.0000000000000001E-3</v>
      </c>
      <c r="C24" s="14">
        <v>1E-3</v>
      </c>
      <c r="E24" t="s">
        <v>69</v>
      </c>
      <c r="F24" s="21" cm="1">
        <f t="array" ref="F24">_xll.AdjustedSharpeRatio(A2:A37,C2:C37,1)</f>
        <v>0.25223719852260701</v>
      </c>
      <c r="G24" s="21" cm="1">
        <f t="array" ref="G24">_xll.AdjustedSharpeRatio(A2:A37,C2:C37,12)</f>
        <v>0.91065390211902919</v>
      </c>
      <c r="N24">
        <v>23</v>
      </c>
      <c r="O24" s="26">
        <f t="shared" si="0"/>
        <v>-4.0000000000000001E-3</v>
      </c>
      <c r="P24" s="14">
        <v>1.2931999999999944E-2</v>
      </c>
      <c r="R24" s="21">
        <v>1212.0174376009256</v>
      </c>
      <c r="T24" s="43" t="s">
        <v>90</v>
      </c>
      <c r="U24" s="43"/>
    </row>
    <row r="25" spans="1:28" ht="18" x14ac:dyDescent="0.25">
      <c r="A25" s="14">
        <v>-2E-3</v>
      </c>
      <c r="B25" s="32">
        <v>-1E-3</v>
      </c>
      <c r="C25" s="14">
        <v>1E-3</v>
      </c>
      <c r="E25" t="s">
        <v>79</v>
      </c>
      <c r="F25" s="1" cm="1">
        <f t="array" ref="F25">_xll.MSquared(A2:A37,B2:B37,C2:C37,1)</f>
        <v>1.0565967513977965E-2</v>
      </c>
      <c r="G25" s="1" cm="1">
        <f t="array" ref="G25">_xll.MSquared(A2:A37,B2:B37,C2:C37,12)</f>
        <v>0.13435614552670944</v>
      </c>
      <c r="N25">
        <v>24</v>
      </c>
      <c r="O25" s="26">
        <f t="shared" si="0"/>
        <v>-2E-3</v>
      </c>
      <c r="P25" s="14">
        <v>-5.9919999999999973E-3</v>
      </c>
      <c r="R25" s="21">
        <v>1207.1693678505219</v>
      </c>
      <c r="T25" s="40" t="s">
        <v>91</v>
      </c>
      <c r="U25" s="40">
        <v>0.87798755875532652</v>
      </c>
    </row>
    <row r="26" spans="1:28" x14ac:dyDescent="0.25">
      <c r="A26" s="14">
        <v>-2.1000000000000001E-2</v>
      </c>
      <c r="B26" s="32">
        <v>-2.6000000000000002E-2</v>
      </c>
      <c r="C26" s="14">
        <v>1E-3</v>
      </c>
      <c r="E26" t="s">
        <v>126</v>
      </c>
      <c r="F26" s="21" cm="1">
        <f t="array" ref="F26">_xll.RoyRatio(A2:A37,F5,1)</f>
        <v>0.16435156971709428</v>
      </c>
      <c r="G26" s="1"/>
      <c r="N26">
        <v>25</v>
      </c>
      <c r="O26" s="26">
        <f t="shared" si="0"/>
        <v>-2.1000000000000001E-2</v>
      </c>
      <c r="P26" s="14">
        <v>-2.2958000000000034E-2</v>
      </c>
      <c r="R26" s="21">
        <v>1204.7550291148209</v>
      </c>
      <c r="T26" s="40" t="s">
        <v>92</v>
      </c>
      <c r="U26" s="40">
        <v>0.77086215332913799</v>
      </c>
    </row>
    <row r="27" spans="1:28" x14ac:dyDescent="0.25">
      <c r="A27" s="14">
        <v>1.1000000000000001E-2</v>
      </c>
      <c r="B27" s="32">
        <v>6.9999999999999993E-3</v>
      </c>
      <c r="C27" s="14">
        <v>1E-3</v>
      </c>
      <c r="E27" t="s">
        <v>8</v>
      </c>
      <c r="F27" s="21" cm="1">
        <f t="array" ref="F27">_xll.Beta(A2:A37,B2:B37)</f>
        <v>0.98144598446869213</v>
      </c>
      <c r="N27">
        <v>26</v>
      </c>
      <c r="O27" s="26">
        <f t="shared" si="0"/>
        <v>1.1000000000000001E-2</v>
      </c>
      <c r="P27" s="14">
        <v>-1.0231000000000101E-2</v>
      </c>
      <c r="R27" s="21">
        <v>1179.4551735034097</v>
      </c>
      <c r="T27" s="40" t="s">
        <v>93</v>
      </c>
      <c r="U27" s="40">
        <v>0.7643153577099705</v>
      </c>
    </row>
    <row r="28" spans="1:28" x14ac:dyDescent="0.25">
      <c r="A28" s="14">
        <v>4.7E-2</v>
      </c>
      <c r="B28" s="32">
        <v>4.2999999999999997E-2</v>
      </c>
      <c r="C28" s="14">
        <v>1E-3</v>
      </c>
      <c r="E28" t="s">
        <v>7</v>
      </c>
      <c r="F28" s="21" cm="1">
        <f t="array" ref="F28">_xll.TreynorIndex(A2:A37,F27,C2:C37,1)</f>
        <v>8.6123733893902314E-3</v>
      </c>
      <c r="G28" s="21" cm="1">
        <f t="array" ref="G28">_xll.TreynorIndex(A2:A37,F27,C2:C37,12)</f>
        <v>0.11068654428760945</v>
      </c>
      <c r="N28">
        <v>27</v>
      </c>
      <c r="O28" s="26">
        <f t="shared" si="0"/>
        <v>4.7E-2</v>
      </c>
      <c r="P28" s="14">
        <v>5.851699999999993E-2</v>
      </c>
      <c r="R28" s="21">
        <v>1192.4291804119471</v>
      </c>
      <c r="T28" s="40" t="s">
        <v>94</v>
      </c>
      <c r="U28" s="40">
        <v>60.139733692262261</v>
      </c>
    </row>
    <row r="29" spans="1:28" ht="15.75" thickBot="1" x14ac:dyDescent="0.3">
      <c r="A29" s="14">
        <v>2.4E-2</v>
      </c>
      <c r="B29" s="32">
        <v>2.8999999999999998E-2</v>
      </c>
      <c r="C29" s="14">
        <v>1E-3</v>
      </c>
      <c r="E29" t="s">
        <v>11</v>
      </c>
      <c r="F29" s="1" cm="1">
        <f t="array" ref="F29">_xll.JensensAlpha(A2:A37,B2:B37,C2:C37,1)</f>
        <v>-8.0899576840545023E-4</v>
      </c>
      <c r="G29" s="1" cm="1">
        <f t="array" ref="G29">_xll.JensensAlpha(A2:A37,B2:B37,C2:C37,12)</f>
        <v>-1.1048559174976408E-2</v>
      </c>
      <c r="H29" s="35"/>
      <c r="I29" s="35"/>
      <c r="J29" s="35"/>
      <c r="K29" s="35"/>
      <c r="N29">
        <v>28</v>
      </c>
      <c r="O29" s="26">
        <f t="shared" si="0"/>
        <v>2.4E-2</v>
      </c>
      <c r="P29" s="14">
        <v>7.212799999999997E-2</v>
      </c>
      <c r="R29" s="21">
        <v>1248.4733518913085</v>
      </c>
      <c r="T29" s="41" t="s">
        <v>95</v>
      </c>
      <c r="U29" s="41">
        <v>37</v>
      </c>
    </row>
    <row r="30" spans="1:28" x14ac:dyDescent="0.25">
      <c r="A30" s="14">
        <v>3.3000000000000002E-2</v>
      </c>
      <c r="B30" s="32">
        <v>3.7999999999999999E-2</v>
      </c>
      <c r="C30" s="14">
        <v>1E-3</v>
      </c>
      <c r="E30" t="s">
        <v>82</v>
      </c>
      <c r="F30" s="8" cm="1">
        <f t="array" ref="F30">_xll.AppraisalRatio($A$2:$A$37,$B$2:$B$37,$C$2:$C$37,1)</f>
        <v>-0.23629010561292166</v>
      </c>
      <c r="G30" s="8"/>
      <c r="N30">
        <v>29</v>
      </c>
      <c r="O30" s="26">
        <f t="shared" si="0"/>
        <v>3.3000000000000002E-2</v>
      </c>
      <c r="P30" s="14">
        <v>5.7791999999999843E-2</v>
      </c>
      <c r="R30" s="21">
        <v>1278.4367123366999</v>
      </c>
    </row>
    <row r="31" spans="1:28" ht="15.75" thickBot="1" x14ac:dyDescent="0.3">
      <c r="A31" s="14">
        <v>-6.9999999999999993E-3</v>
      </c>
      <c r="B31" s="32">
        <v>-2E-3</v>
      </c>
      <c r="C31" s="14">
        <v>2E-3</v>
      </c>
      <c r="E31" t="s">
        <v>121</v>
      </c>
      <c r="F31" s="8" cm="1">
        <f t="array" ref="F31">_xll.SemiVariance(A2:A37)</f>
        <v>5.83888888888889E-4</v>
      </c>
      <c r="N31">
        <v>30</v>
      </c>
      <c r="O31" s="26">
        <f t="shared" si="0"/>
        <v>-6.9999999999999993E-3</v>
      </c>
      <c r="P31" s="14">
        <v>2.5768999999999931E-2</v>
      </c>
      <c r="R31" s="21">
        <v>1320.6251238438108</v>
      </c>
      <c r="T31" t="s">
        <v>96</v>
      </c>
    </row>
    <row r="32" spans="1:28" x14ac:dyDescent="0.25">
      <c r="A32" s="14">
        <v>4.7E-2</v>
      </c>
      <c r="B32" s="32">
        <v>5.0999999999999997E-2</v>
      </c>
      <c r="C32" s="14">
        <v>2E-3</v>
      </c>
      <c r="E32" t="s">
        <v>122</v>
      </c>
      <c r="F32" s="8" cm="1">
        <f t="array" ref="F32">_xll.SemiDeviation(A2:A37)</f>
        <v>2.4163792932585915E-2</v>
      </c>
      <c r="J32" s="1">
        <f>_xlfn.VAR.P(B2:B37)*12*F12^2</f>
        <v>1.3065336093908721E-2</v>
      </c>
      <c r="K32" s="14">
        <f>F12*_xlfn.STDEV.P(B2:B37)</f>
        <v>3.2996636310777601E-2</v>
      </c>
      <c r="N32">
        <v>31</v>
      </c>
      <c r="O32" s="26">
        <f t="shared" si="0"/>
        <v>4.7E-2</v>
      </c>
      <c r="P32" s="14">
        <v>3.9671000000000012E-2</v>
      </c>
      <c r="R32" s="21">
        <v>1311.3807479769041</v>
      </c>
      <c r="T32" s="42"/>
      <c r="U32" s="42" t="s">
        <v>101</v>
      </c>
      <c r="V32" s="42" t="s">
        <v>102</v>
      </c>
      <c r="W32" s="42" t="s">
        <v>103</v>
      </c>
      <c r="X32" s="42" t="s">
        <v>104</v>
      </c>
      <c r="Y32" s="42" t="s">
        <v>105</v>
      </c>
    </row>
    <row r="33" spans="1:28" x14ac:dyDescent="0.25">
      <c r="A33" s="14">
        <v>6.0000000000000001E-3</v>
      </c>
      <c r="B33" s="32">
        <v>1.3999999999999999E-2</v>
      </c>
      <c r="C33" s="14">
        <v>2E-3</v>
      </c>
      <c r="E33" t="s">
        <v>123</v>
      </c>
      <c r="F33" s="8" cm="1">
        <f t="array" ref="F33">_xll.UpperPartialMoment(A2:A37,,2,1)</f>
        <v>5.1661111111111103E-4</v>
      </c>
      <c r="N33">
        <v>32</v>
      </c>
      <c r="O33" s="26">
        <f t="shared" si="0"/>
        <v>6.0000000000000001E-3</v>
      </c>
      <c r="P33" s="14">
        <v>5.3281999999999829E-2</v>
      </c>
      <c r="R33" s="21">
        <v>1373.0156431318185</v>
      </c>
      <c r="T33" s="40" t="s">
        <v>97</v>
      </c>
      <c r="U33" s="40">
        <v>1</v>
      </c>
      <c r="V33" s="40">
        <v>425864.01278267859</v>
      </c>
      <c r="W33" s="40">
        <v>425864.01278267859</v>
      </c>
      <c r="X33" s="40">
        <v>117.74648212206812</v>
      </c>
      <c r="Y33" s="40">
        <v>9.5848430684232274E-13</v>
      </c>
    </row>
    <row r="34" spans="1:28" x14ac:dyDescent="0.25">
      <c r="A34" s="14">
        <v>0.01</v>
      </c>
      <c r="B34" s="32">
        <v>1.3000000000000001E-2</v>
      </c>
      <c r="C34" s="14">
        <v>2E-3</v>
      </c>
      <c r="E34" t="s">
        <v>124</v>
      </c>
      <c r="F34" s="8">
        <f>SQRT(F33)</f>
        <v>2.2729080736165089E-2</v>
      </c>
      <c r="N34">
        <v>33</v>
      </c>
      <c r="O34" s="26">
        <f t="shared" si="0"/>
        <v>0.01</v>
      </c>
      <c r="P34" s="14">
        <v>1.6059999999999963E-2</v>
      </c>
      <c r="R34" s="21">
        <v>1381.2537369906095</v>
      </c>
      <c r="T34" s="40" t="s">
        <v>98</v>
      </c>
      <c r="U34" s="40">
        <v>35</v>
      </c>
      <c r="V34" s="40">
        <v>126587.56490016784</v>
      </c>
      <c r="W34" s="40">
        <v>3616.7875685762242</v>
      </c>
      <c r="X34" s="40"/>
      <c r="Y34" s="40"/>
    </row>
    <row r="35" spans="1:28" ht="15.75" thickBot="1" x14ac:dyDescent="0.3">
      <c r="A35" s="14">
        <v>-2E-3</v>
      </c>
      <c r="B35" s="32">
        <v>3.0000000000000001E-3</v>
      </c>
      <c r="C35" s="14">
        <v>2E-3</v>
      </c>
      <c r="E35" t="s">
        <v>88</v>
      </c>
      <c r="F35" s="8" cm="1">
        <f t="array" ref="F35">_xll.KRatio(A2:A37)</f>
        <v>0.16768620342592805</v>
      </c>
      <c r="N35">
        <v>34</v>
      </c>
      <c r="O35" s="26">
        <f t="shared" si="0"/>
        <v>-2E-3</v>
      </c>
      <c r="P35" s="14">
        <v>7.9800000000000981E-3</v>
      </c>
      <c r="R35" s="21">
        <v>1395.0662743605155</v>
      </c>
      <c r="T35" s="41" t="s">
        <v>99</v>
      </c>
      <c r="U35" s="41">
        <v>36</v>
      </c>
      <c r="V35" s="41">
        <v>552451.57768284646</v>
      </c>
      <c r="W35" s="41"/>
      <c r="X35" s="41"/>
      <c r="Y35" s="41"/>
    </row>
    <row r="36" spans="1:28" ht="15.75" thickBot="1" x14ac:dyDescent="0.3">
      <c r="A36" s="14">
        <v>3.4000000000000002E-2</v>
      </c>
      <c r="B36" s="32">
        <v>3.4000000000000002E-2</v>
      </c>
      <c r="C36" s="14">
        <v>2E-3</v>
      </c>
      <c r="F36" s="8"/>
      <c r="N36">
        <v>35</v>
      </c>
      <c r="O36" s="26">
        <f t="shared" si="0"/>
        <v>3.4000000000000002E-2</v>
      </c>
      <c r="P36" s="14">
        <v>3.1932000000000071E-2</v>
      </c>
      <c r="R36" s="21">
        <v>1392.2761418117946</v>
      </c>
    </row>
    <row r="37" spans="1:28" x14ac:dyDescent="0.25">
      <c r="A37" s="14">
        <v>0.01</v>
      </c>
      <c r="B37" s="32">
        <v>2.1000000000000001E-2</v>
      </c>
      <c r="C37" s="14">
        <v>2E-3</v>
      </c>
      <c r="N37">
        <v>36</v>
      </c>
      <c r="O37" s="26">
        <f t="shared" si="0"/>
        <v>0.01</v>
      </c>
      <c r="P37" s="14">
        <v>4.4340000000000046E-2</v>
      </c>
      <c r="R37" s="21">
        <v>1439.6135306333956</v>
      </c>
      <c r="T37" s="42"/>
      <c r="U37" s="42" t="s">
        <v>106</v>
      </c>
      <c r="V37" s="42" t="s">
        <v>94</v>
      </c>
      <c r="W37" s="42" t="s">
        <v>107</v>
      </c>
      <c r="X37" s="42" t="s">
        <v>108</v>
      </c>
      <c r="Y37" s="42" t="s">
        <v>109</v>
      </c>
      <c r="Z37" s="42" t="s">
        <v>110</v>
      </c>
      <c r="AA37" s="42" t="s">
        <v>111</v>
      </c>
      <c r="AB37" s="42" t="s">
        <v>112</v>
      </c>
    </row>
    <row r="38" spans="1:28" x14ac:dyDescent="0.25">
      <c r="N38">
        <v>37</v>
      </c>
      <c r="R38" s="21">
        <v>1454.0096659397295</v>
      </c>
      <c r="T38" s="40" t="s">
        <v>100</v>
      </c>
      <c r="U38" s="40">
        <v>1020.5103479428813</v>
      </c>
      <c r="V38" s="40">
        <v>20.181573213260343</v>
      </c>
      <c r="W38" s="40">
        <v>50.566441830825802</v>
      </c>
      <c r="X38" s="40">
        <v>2.5839067739645967E-34</v>
      </c>
      <c r="Y38" s="40">
        <v>979.53957615807667</v>
      </c>
      <c r="Z38" s="40">
        <v>1061.4811197276858</v>
      </c>
      <c r="AA38" s="40">
        <v>979.53957615807667</v>
      </c>
      <c r="AB38" s="40">
        <v>1061.4811197276858</v>
      </c>
    </row>
    <row r="39" spans="1:28" ht="15.75" thickBot="1" x14ac:dyDescent="0.3">
      <c r="T39" s="41" t="s">
        <v>113</v>
      </c>
      <c r="U39" s="41">
        <v>10.048059157673292</v>
      </c>
      <c r="V39" s="41">
        <v>0.92599408587651855</v>
      </c>
      <c r="W39" s="41">
        <v>10.851105110635881</v>
      </c>
      <c r="X39" s="41">
        <v>9.5848430684231911E-13</v>
      </c>
      <c r="Y39" s="41">
        <v>8.1681912224224416</v>
      </c>
      <c r="Z39" s="41">
        <v>11.927927092924142</v>
      </c>
      <c r="AA39" s="41">
        <v>8.1681912224224416</v>
      </c>
      <c r="AB39" s="41">
        <v>11.927927092924142</v>
      </c>
    </row>
    <row r="41" spans="1:28" x14ac:dyDescent="0.25">
      <c r="E41" t="s">
        <v>83</v>
      </c>
      <c r="F41" s="1">
        <f>_xlfn.VAR.P(A2:A37)</f>
        <v>1.1005000000000001E-3</v>
      </c>
      <c r="G41" s="1">
        <f>SQRT(F41*12)</f>
        <v>0.11491736161259535</v>
      </c>
    </row>
    <row r="42" spans="1:28" x14ac:dyDescent="0.25">
      <c r="E42" t="s">
        <v>84</v>
      </c>
      <c r="F42" s="1">
        <f>_xlfn.VAR.P(B2:B37)</f>
        <v>1.1303333333333335E-3</v>
      </c>
      <c r="G42" s="1">
        <f>F42*12</f>
        <v>1.3564000000000001E-2</v>
      </c>
      <c r="J42" s="1">
        <f>F12^2*_xlfn.VAR.P(B2:B37)</f>
        <v>1.0887780078257267E-3</v>
      </c>
      <c r="K42">
        <f>SQRT(J42)</f>
        <v>3.2996636310777601E-2</v>
      </c>
    </row>
    <row r="43" spans="1:28" x14ac:dyDescent="0.25">
      <c r="E43" t="s">
        <v>85</v>
      </c>
      <c r="F43" s="1">
        <f>F12^2*F42</f>
        <v>1.0887780078257267E-3</v>
      </c>
      <c r="G43" s="14">
        <f>SQRT(F43)</f>
        <v>3.2996636310777601E-2</v>
      </c>
      <c r="H43" s="1" cm="1">
        <f t="array" ref="H43">SQRT(_xll.MarketRisk(A2:A37,B2:B37,1))</f>
        <v>3.2996636310777601E-2</v>
      </c>
      <c r="U43">
        <f>U39/U28</f>
        <v>0.16707854426309343</v>
      </c>
      <c r="V43" s="35">
        <f>_xlfn.COVARIANCE.P(_xlfn.ANCHORARRAY(R2),_xlfn.ANCHORARRAY(N2))/_xlfn.VAR.P(_xlfn.ANCHORARRAY(N2))</f>
        <v>10.048059157673293</v>
      </c>
    </row>
    <row r="44" spans="1:28" x14ac:dyDescent="0.25">
      <c r="E44" t="s">
        <v>86</v>
      </c>
      <c r="F44" s="1">
        <f>F41-F12^2*F42</f>
        <v>1.1721992174273423E-5</v>
      </c>
      <c r="G44" s="1">
        <f>SQRT(F44)</f>
        <v>3.4237395015207311E-3</v>
      </c>
      <c r="H44" s="1" cm="1">
        <f t="array" ref="H44">_xll.UniqueRisk(A2:A37,B2:B37,1)</f>
        <v>1.1721992174272989E-5</v>
      </c>
      <c r="I44">
        <f>SQRT(H44)</f>
        <v>3.4237395015206673E-3</v>
      </c>
    </row>
    <row r="45" spans="1:28" x14ac:dyDescent="0.25">
      <c r="H45" s="11">
        <f>SUM(H43:H44)</f>
        <v>3.3008358302951873E-2</v>
      </c>
      <c r="I45">
        <f>SQRT(H45)</f>
        <v>0.18168202526103641</v>
      </c>
      <c r="U45" s="35">
        <f>STEYX(_xlfn.ANCHORARRAY(R2),_xlfn.ANCHORARRAY(N2))/SQRT(DEVSQ(_xlfn.ANCHORARRAY(N2)))</f>
        <v>0.9259940858765181</v>
      </c>
    </row>
  </sheetData>
  <conditionalFormatting sqref="F30:G35">
    <cfRule type="expression" dxfId="2" priority="2">
      <formula>ABS(F30:G42-F15:G27) &gt; 0.0000000001</formula>
    </cfRule>
  </conditionalFormatting>
  <conditionalFormatting sqref="F27:G29">
    <cfRule type="expression" dxfId="1" priority="3">
      <formula>ABS(F27:G39-F12:G23) &gt; 0.0000000001</formula>
    </cfRule>
  </conditionalFormatting>
  <conditionalFormatting sqref="F22:G25 G26">
    <cfRule type="expression" dxfId="0" priority="5">
      <formula>ABS(F22:G35-F7:G19) &gt; 0.0000000001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5904-470D-4D59-8599-F50297C87148}">
  <dimension ref="A1:I37"/>
  <sheetViews>
    <sheetView workbookViewId="0">
      <selection activeCell="E13" sqref="E13"/>
    </sheetView>
  </sheetViews>
  <sheetFormatPr defaultRowHeight="15" x14ac:dyDescent="0.25"/>
  <cols>
    <col min="1" max="1" width="14.5703125" bestFit="1" customWidth="1"/>
    <col min="2" max="2" width="17.28515625" bestFit="1" customWidth="1"/>
    <col min="3" max="3" width="9.140625" customWidth="1"/>
    <col min="4" max="4" width="20.85546875" bestFit="1" customWidth="1"/>
    <col min="5" max="6" width="11.7109375" customWidth="1"/>
    <col min="8" max="8" width="10.5703125" customWidth="1"/>
    <col min="9" max="9" width="10.28515625" bestFit="1" customWidth="1"/>
  </cols>
  <sheetData>
    <row r="1" spans="1:9" x14ac:dyDescent="0.25">
      <c r="A1" t="s">
        <v>53</v>
      </c>
      <c r="B1" t="s">
        <v>54</v>
      </c>
    </row>
    <row r="2" spans="1:9" x14ac:dyDescent="0.25">
      <c r="A2" s="32">
        <v>3.0000000000000001E-3</v>
      </c>
      <c r="B2" s="32">
        <v>2E-3</v>
      </c>
      <c r="C2" s="32"/>
      <c r="E2" s="4" t="s">
        <v>61</v>
      </c>
      <c r="F2" s="4"/>
      <c r="H2" s="4" t="s">
        <v>62</v>
      </c>
      <c r="I2" s="4"/>
    </row>
    <row r="3" spans="1:9" x14ac:dyDescent="0.25">
      <c r="A3" s="32">
        <v>2.6000000000000002E-2</v>
      </c>
      <c r="B3" s="32">
        <v>2.5000000000000001E-2</v>
      </c>
      <c r="C3" s="32"/>
      <c r="E3" t="s">
        <v>71</v>
      </c>
      <c r="F3" t="s">
        <v>74</v>
      </c>
      <c r="H3" t="s">
        <v>71</v>
      </c>
      <c r="I3" t="s">
        <v>74</v>
      </c>
    </row>
    <row r="4" spans="1:9" x14ac:dyDescent="0.25">
      <c r="A4" s="32">
        <v>1.1000000000000001E-2</v>
      </c>
      <c r="B4" s="32">
        <v>1.8000000000000002E-2</v>
      </c>
      <c r="C4" s="32"/>
      <c r="D4" t="s">
        <v>2</v>
      </c>
      <c r="E4" s="14" cm="1">
        <f t="array" ref="E4">GEOMEAN(1+A2:A37)-1</f>
        <v>1.0452163610398468E-2</v>
      </c>
      <c r="F4" s="14" cm="1">
        <f t="array" ref="F4">PRODUCT(1+A2:A37)^(12/36)-1</f>
        <v>0.13289353350977429</v>
      </c>
      <c r="H4" s="14" cm="1">
        <f t="array" ref="H4">GEOMEAN(1+B2:B37)-1</f>
        <v>1.1436247371426456E-2</v>
      </c>
      <c r="I4" s="14" cm="1">
        <f t="array" ref="I4">PRODUCT(1+B2:B37)^(12/36)-1</f>
        <v>0.14620464307207515</v>
      </c>
    </row>
    <row r="5" spans="1:9" x14ac:dyDescent="0.25">
      <c r="A5" s="32">
        <v>-9.0000000000000011E-3</v>
      </c>
      <c r="B5" s="32">
        <v>-1.1000000000000001E-2</v>
      </c>
      <c r="C5" s="32"/>
      <c r="D5" t="s">
        <v>77</v>
      </c>
      <c r="E5" s="14">
        <f>_xlfn.STDEV.P(A2:A37)</f>
        <v>3.3173784830796742E-2</v>
      </c>
      <c r="F5" s="14">
        <f>E5*SQRT(12)</f>
        <v>0.11491736161259533</v>
      </c>
      <c r="H5" s="14">
        <f>_xlfn.STDEV.P(B2:B37)</f>
        <v>3.3620430296671298E-2</v>
      </c>
      <c r="I5" s="14">
        <f>H5*SQRT(12)</f>
        <v>0.11646458689232533</v>
      </c>
    </row>
    <row r="6" spans="1:9" x14ac:dyDescent="0.25">
      <c r="A6" s="32">
        <v>1.3999999999999999E-2</v>
      </c>
      <c r="B6" s="32">
        <v>1.3999999999999999E-2</v>
      </c>
      <c r="C6" s="32"/>
    </row>
    <row r="7" spans="1:9" x14ac:dyDescent="0.25">
      <c r="A7" s="32">
        <v>2.4E-2</v>
      </c>
      <c r="B7" s="32">
        <v>2.3E-2</v>
      </c>
      <c r="C7" s="32"/>
      <c r="D7" t="s">
        <v>72</v>
      </c>
      <c r="E7" s="1" cm="1">
        <f t="array" ref="E7">_xlfn.STDEV.P(A2:A37-B2:B37)</f>
        <v>3.4801021696368502E-3</v>
      </c>
      <c r="F7" s="1" cm="1">
        <f t="array" ref="F7">_xlfn.STDEV.P(A2:A37-B2:B37)*SQRT(12)</f>
        <v>1.2055427546683416E-2</v>
      </c>
    </row>
    <row r="8" spans="1:9" x14ac:dyDescent="0.25">
      <c r="A8" s="32">
        <v>1.4999999999999999E-2</v>
      </c>
      <c r="B8" s="32">
        <v>1.3999999999999999E-2</v>
      </c>
      <c r="C8" s="32"/>
      <c r="D8" t="s">
        <v>73</v>
      </c>
      <c r="E8" s="1" cm="1">
        <f t="array" ref="E8">_xlfn.STDEV.P((1+A2:A37)/(1+B2:B37)-1)</f>
        <v>3.4318750190674599E-3</v>
      </c>
      <c r="F8" s="1" cm="1">
        <f t="array" ref="F8">_xlfn.STDEV.P((1+A2:A37)/(1+B2:B37)-1)*SQRT(12)</f>
        <v>1.18883637965025E-2</v>
      </c>
    </row>
    <row r="9" spans="1:9" x14ac:dyDescent="0.25">
      <c r="A9" s="32">
        <v>6.6000000000000003E-2</v>
      </c>
      <c r="B9" s="32">
        <v>6.5000000000000002E-2</v>
      </c>
      <c r="C9" s="32"/>
      <c r="D9" t="s">
        <v>75</v>
      </c>
      <c r="E9" s="29">
        <f>(E4-H4)/E7</f>
        <v>-0.2827743879515689</v>
      </c>
      <c r="F9" s="29">
        <f>(F4-I4)/F7</f>
        <v>-1.1041590611991938</v>
      </c>
    </row>
    <row r="10" spans="1:9" x14ac:dyDescent="0.25">
      <c r="A10" s="32">
        <v>-1.3999999999999999E-2</v>
      </c>
      <c r="B10" s="32">
        <v>-1.4999999999999999E-2</v>
      </c>
      <c r="C10" s="32"/>
      <c r="D10" t="s">
        <v>76</v>
      </c>
      <c r="E10" s="29">
        <f>((1+E4)/(1+H4)-1)/E8</f>
        <v>-0.28350589142369115</v>
      </c>
      <c r="F10" s="29">
        <f>((1+F4)/(1+I4)-1)/F8</f>
        <v>-0.97685478507947687</v>
      </c>
    </row>
    <row r="11" spans="1:9" x14ac:dyDescent="0.25">
      <c r="A11" s="32">
        <v>3.9E-2</v>
      </c>
      <c r="B11" s="32">
        <v>4.2000000000000003E-2</v>
      </c>
      <c r="C11" s="32"/>
    </row>
    <row r="12" spans="1:9" x14ac:dyDescent="0.25">
      <c r="A12" s="32">
        <v>-5.0000000000000001E-3</v>
      </c>
      <c r="B12" s="32">
        <v>-3.0000000000000001E-3</v>
      </c>
      <c r="C12" s="32"/>
    </row>
    <row r="13" spans="1:9" x14ac:dyDescent="0.25">
      <c r="A13" s="32">
        <v>8.1000000000000003E-2</v>
      </c>
      <c r="B13" s="32">
        <v>8.3000000000000004E-2</v>
      </c>
      <c r="C13" s="32"/>
      <c r="D13" t="s">
        <v>72</v>
      </c>
      <c r="E13" s="1" cm="1">
        <f t="array" ref="E13">_xll.TrackingErrorArithmetic(A2:A37,B2:B37,1)</f>
        <v>3.4801021696368507E-3</v>
      </c>
      <c r="F13" s="1" cm="1">
        <f t="array" ref="F13">_xll.TrackingErrorArithmetic(A2:A37,B2:B37,12)</f>
        <v>1.2055427546683418E-2</v>
      </c>
      <c r="H13" t="s">
        <v>78</v>
      </c>
      <c r="I13" t="b" cm="1">
        <f t="array" ref="I13">AND(E7:F10=E13:F16)</f>
        <v>1</v>
      </c>
    </row>
    <row r="14" spans="1:9" x14ac:dyDescent="0.25">
      <c r="A14" s="32">
        <v>0.04</v>
      </c>
      <c r="B14" s="32">
        <v>3.9E-2</v>
      </c>
      <c r="C14" s="32"/>
      <c r="D14" t="s">
        <v>73</v>
      </c>
      <c r="E14" s="1" cm="1">
        <f t="array" ref="E14">_xll.TrackingErrorGeometric(A2:A37,B2:B37,1)</f>
        <v>3.4318750190674599E-3</v>
      </c>
      <c r="F14" s="1" cm="1">
        <f t="array" ref="F14">_xll.TrackingErrorGeometric(A2:A37,B2:B37,12)</f>
        <v>1.18883637965025E-2</v>
      </c>
    </row>
    <row r="15" spans="1:9" x14ac:dyDescent="0.25">
      <c r="A15" s="32">
        <v>-3.7000000000000005E-2</v>
      </c>
      <c r="B15" s="32">
        <v>-3.7999999999999999E-2</v>
      </c>
      <c r="C15" s="32"/>
      <c r="D15" t="s">
        <v>75</v>
      </c>
      <c r="E15" s="29" cm="1">
        <f t="array" ref="E15">_xll.InformationRatioArithmetic(A2:A37,B2:B37,1)</f>
        <v>-0.28277438795156884</v>
      </c>
      <c r="F15" s="29" cm="1">
        <f t="array" ref="F15">_xll.InformationRatioArithmetic(A2:A37,B2:B37,12)</f>
        <v>-1.1041590611991936</v>
      </c>
    </row>
    <row r="16" spans="1:9" x14ac:dyDescent="0.25">
      <c r="A16" s="32">
        <v>-6.0999999999999999E-2</v>
      </c>
      <c r="B16" s="32">
        <v>-6.2E-2</v>
      </c>
      <c r="C16" s="32"/>
      <c r="D16" t="s">
        <v>76</v>
      </c>
      <c r="E16" s="29" cm="1">
        <f t="array" ref="E16">_xll.InformationRatioGeometric(A2:A37,B2:B37,1)</f>
        <v>-0.28350589142369115</v>
      </c>
      <c r="F16" s="29" cm="1">
        <f t="array" ref="F16">_xll.InformationRatioGeometric(A2:A37,B2:B37,12)</f>
        <v>-0.97685478507947687</v>
      </c>
    </row>
    <row r="17" spans="1:6" x14ac:dyDescent="0.25">
      <c r="A17" s="32">
        <v>1.3999999999999999E-2</v>
      </c>
      <c r="B17" s="32">
        <v>1.4999999999999999E-2</v>
      </c>
      <c r="C17" s="32"/>
    </row>
    <row r="18" spans="1:6" x14ac:dyDescent="0.25">
      <c r="A18" s="32">
        <v>-4.9000000000000002E-2</v>
      </c>
      <c r="B18" s="32">
        <v>-4.8000000000000001E-2</v>
      </c>
      <c r="C18" s="32"/>
      <c r="E18" s="6"/>
      <c r="F18" s="30"/>
    </row>
    <row r="19" spans="1:6" x14ac:dyDescent="0.25">
      <c r="A19" s="32">
        <v>-2.1000000000000001E-2</v>
      </c>
      <c r="B19" s="32">
        <v>-0.02</v>
      </c>
      <c r="C19" s="32"/>
    </row>
    <row r="20" spans="1:6" x14ac:dyDescent="0.25">
      <c r="A20" s="32">
        <v>6.2E-2</v>
      </c>
      <c r="B20" s="32">
        <v>0.06</v>
      </c>
      <c r="C20" s="32"/>
    </row>
    <row r="21" spans="1:6" x14ac:dyDescent="0.25">
      <c r="A21" s="32">
        <v>5.7999999999999996E-2</v>
      </c>
      <c r="B21" s="32">
        <v>5.5999999999999994E-2</v>
      </c>
      <c r="C21" s="32"/>
    </row>
    <row r="22" spans="1:6" x14ac:dyDescent="0.25">
      <c r="A22" s="32">
        <v>-6.4000000000000001E-2</v>
      </c>
      <c r="B22" s="32">
        <v>-6.7000000000000004E-2</v>
      </c>
      <c r="C22" s="32"/>
    </row>
    <row r="23" spans="1:6" x14ac:dyDescent="0.25">
      <c r="A23" s="32">
        <v>1.7000000000000001E-2</v>
      </c>
      <c r="B23" s="32">
        <v>1.9E-2</v>
      </c>
      <c r="C23" s="32"/>
    </row>
    <row r="24" spans="1:6" x14ac:dyDescent="0.25">
      <c r="A24" s="32">
        <v>-4.0000000000000001E-3</v>
      </c>
      <c r="B24" s="32">
        <v>-3.0000000000000001E-3</v>
      </c>
      <c r="C24" s="32"/>
    </row>
    <row r="25" spans="1:6" x14ac:dyDescent="0.25">
      <c r="A25" s="32">
        <v>-2E-3</v>
      </c>
      <c r="B25" s="32">
        <v>-1E-3</v>
      </c>
      <c r="C25" s="32"/>
    </row>
    <row r="26" spans="1:6" x14ac:dyDescent="0.25">
      <c r="A26" s="32">
        <v>-2.1000000000000001E-2</v>
      </c>
      <c r="B26" s="32">
        <v>-2.6000000000000002E-2</v>
      </c>
      <c r="C26" s="32"/>
    </row>
    <row r="27" spans="1:6" x14ac:dyDescent="0.25">
      <c r="A27" s="32">
        <v>1.1000000000000001E-2</v>
      </c>
      <c r="B27" s="32">
        <v>6.9999999999999993E-3</v>
      </c>
      <c r="C27" s="32"/>
    </row>
    <row r="28" spans="1:6" x14ac:dyDescent="0.25">
      <c r="A28" s="32">
        <v>4.7E-2</v>
      </c>
      <c r="B28" s="32">
        <v>4.2999999999999997E-2</v>
      </c>
      <c r="C28" s="32"/>
    </row>
    <row r="29" spans="1:6" x14ac:dyDescent="0.25">
      <c r="A29" s="32">
        <v>2.4E-2</v>
      </c>
      <c r="B29" s="32">
        <v>2.8999999999999998E-2</v>
      </c>
      <c r="C29" s="32"/>
    </row>
    <row r="30" spans="1:6" x14ac:dyDescent="0.25">
      <c r="A30" s="32">
        <v>3.3000000000000002E-2</v>
      </c>
      <c r="B30" s="32">
        <v>3.7999999999999999E-2</v>
      </c>
      <c r="C30" s="32"/>
    </row>
    <row r="31" spans="1:6" x14ac:dyDescent="0.25">
      <c r="A31" s="32">
        <v>-6.9999999999999993E-3</v>
      </c>
      <c r="B31" s="32">
        <v>-2E-3</v>
      </c>
      <c r="C31" s="32"/>
    </row>
    <row r="32" spans="1:6" x14ac:dyDescent="0.25">
      <c r="A32" s="32">
        <v>4.7E-2</v>
      </c>
      <c r="B32" s="32">
        <v>5.0999999999999997E-2</v>
      </c>
      <c r="C32" s="32"/>
    </row>
    <row r="33" spans="1:3" x14ac:dyDescent="0.25">
      <c r="A33" s="32">
        <v>6.0000000000000001E-3</v>
      </c>
      <c r="B33" s="32">
        <v>1.3999999999999999E-2</v>
      </c>
      <c r="C33" s="32"/>
    </row>
    <row r="34" spans="1:3" x14ac:dyDescent="0.25">
      <c r="A34" s="32">
        <v>0.01</v>
      </c>
      <c r="B34" s="32">
        <v>1.3000000000000001E-2</v>
      </c>
      <c r="C34" s="32"/>
    </row>
    <row r="35" spans="1:3" x14ac:dyDescent="0.25">
      <c r="A35" s="32">
        <v>-2E-3</v>
      </c>
      <c r="B35" s="32">
        <v>3.0000000000000001E-3</v>
      </c>
      <c r="C35" s="32"/>
    </row>
    <row r="36" spans="1:3" x14ac:dyDescent="0.25">
      <c r="A36" s="32">
        <v>3.4000000000000002E-2</v>
      </c>
      <c r="B36" s="32">
        <v>3.4000000000000002E-2</v>
      </c>
      <c r="C36" s="32"/>
    </row>
    <row r="37" spans="1:3" x14ac:dyDescent="0.25">
      <c r="A37" s="32">
        <v>0.01</v>
      </c>
      <c r="B37" s="32">
        <v>2.1000000000000001E-2</v>
      </c>
      <c r="C37" s="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41C9-4B35-43C1-9DE0-DEF26697FEC8}">
  <dimension ref="A1:H13"/>
  <sheetViews>
    <sheetView workbookViewId="0">
      <selection activeCell="C13" sqref="C13"/>
    </sheetView>
  </sheetViews>
  <sheetFormatPr defaultRowHeight="15" x14ac:dyDescent="0.25"/>
  <cols>
    <col min="2" max="2" width="12.42578125" bestFit="1" customWidth="1"/>
    <col min="4" max="4" width="10.140625" bestFit="1" customWidth="1"/>
  </cols>
  <sheetData>
    <row r="1" spans="1:8" x14ac:dyDescent="0.25">
      <c r="A1">
        <v>10</v>
      </c>
      <c r="B1">
        <f>MAX(0,$H$1-A1)^$H$2</f>
        <v>25</v>
      </c>
      <c r="G1" t="s">
        <v>2</v>
      </c>
      <c r="H1">
        <f>AVERAGE(A1:A10)</f>
        <v>15</v>
      </c>
    </row>
    <row r="2" spans="1:8" x14ac:dyDescent="0.25">
      <c r="A2">
        <v>10</v>
      </c>
      <c r="B2">
        <f t="shared" ref="B2:B10" si="0">MAX(0,$H$1-A2)^$H$2</f>
        <v>25</v>
      </c>
      <c r="G2" t="s">
        <v>87</v>
      </c>
      <c r="H2">
        <v>2</v>
      </c>
    </row>
    <row r="3" spans="1:8" x14ac:dyDescent="0.25">
      <c r="A3">
        <v>10</v>
      </c>
      <c r="B3">
        <f t="shared" si="0"/>
        <v>25</v>
      </c>
    </row>
    <row r="4" spans="1:8" x14ac:dyDescent="0.25">
      <c r="A4">
        <v>10</v>
      </c>
      <c r="B4">
        <f t="shared" si="0"/>
        <v>25</v>
      </c>
    </row>
    <row r="5" spans="1:8" x14ac:dyDescent="0.25">
      <c r="A5">
        <v>10</v>
      </c>
      <c r="B5">
        <f t="shared" si="0"/>
        <v>25</v>
      </c>
    </row>
    <row r="6" spans="1:8" x14ac:dyDescent="0.25">
      <c r="A6">
        <v>10</v>
      </c>
      <c r="B6">
        <f t="shared" si="0"/>
        <v>25</v>
      </c>
    </row>
    <row r="7" spans="1:8" x14ac:dyDescent="0.25">
      <c r="A7">
        <v>10</v>
      </c>
      <c r="B7">
        <f t="shared" si="0"/>
        <v>25</v>
      </c>
    </row>
    <row r="8" spans="1:8" x14ac:dyDescent="0.25">
      <c r="A8">
        <v>10</v>
      </c>
      <c r="B8">
        <f t="shared" si="0"/>
        <v>25</v>
      </c>
    </row>
    <row r="9" spans="1:8" x14ac:dyDescent="0.25">
      <c r="A9">
        <v>35</v>
      </c>
      <c r="B9">
        <f t="shared" si="0"/>
        <v>0</v>
      </c>
    </row>
    <row r="10" spans="1:8" x14ac:dyDescent="0.25">
      <c r="A10">
        <v>35</v>
      </c>
      <c r="B10">
        <f t="shared" si="0"/>
        <v>0</v>
      </c>
    </row>
    <row r="12" spans="1:8" x14ac:dyDescent="0.25">
      <c r="B12" s="38"/>
    </row>
    <row r="13" spans="1:8" x14ac:dyDescent="0.25">
      <c r="B13" s="39">
        <f>SUM(B1:B10)*(1/COUNT(B1:B10))</f>
        <v>20</v>
      </c>
      <c r="C13" cm="1">
        <f t="array" ref="C13">_xll.LowerPartialMoment(A1:A10, H1, H2,1)</f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2073D-9724-4911-AFA1-DE839FEC917E}">
  <dimension ref="A1:Z43"/>
  <sheetViews>
    <sheetView workbookViewId="0">
      <selection activeCell="D23" sqref="D23"/>
    </sheetView>
  </sheetViews>
  <sheetFormatPr defaultRowHeight="15" x14ac:dyDescent="0.25"/>
  <cols>
    <col min="4" max="4" width="22.85546875" customWidth="1"/>
    <col min="20" max="20" width="12.42578125" bestFit="1" customWidth="1"/>
  </cols>
  <sheetData>
    <row r="1" spans="1:26" x14ac:dyDescent="0.25">
      <c r="D1" t="s">
        <v>116</v>
      </c>
      <c r="E1" t="s">
        <v>114</v>
      </c>
      <c r="F1" t="s">
        <v>115</v>
      </c>
      <c r="H1" t="s">
        <v>117</v>
      </c>
      <c r="I1" t="s">
        <v>118</v>
      </c>
      <c r="R1" t="s">
        <v>89</v>
      </c>
    </row>
    <row r="2" spans="1:26" ht="15.75" thickBot="1" x14ac:dyDescent="0.3">
      <c r="A2" cm="1">
        <f t="array" ref="A2:A21">_xlfn.SEQUENCE(20)</f>
        <v>1</v>
      </c>
      <c r="B2" s="14">
        <v>0</v>
      </c>
      <c r="E2">
        <v>100</v>
      </c>
      <c r="F2">
        <v>0</v>
      </c>
      <c r="H2">
        <f>$S$17+$S$18*A2</f>
        <v>-1.67000000000001E-3</v>
      </c>
      <c r="I2" s="26">
        <f>B2-H2</f>
        <v>1.67000000000001E-3</v>
      </c>
    </row>
    <row r="3" spans="1:26" x14ac:dyDescent="0.25">
      <c r="A3">
        <v>2</v>
      </c>
      <c r="B3" s="14">
        <v>-1.5E-3</v>
      </c>
      <c r="D3" s="14">
        <f>(1+B3)/(1+B2)-1</f>
        <v>-1.4999999999999458E-3</v>
      </c>
      <c r="E3">
        <f>E2*(1+D3)</f>
        <v>99.850000000000009</v>
      </c>
      <c r="F3" s="14">
        <f>(1+F2)*(1+D3)-1</f>
        <v>-1.4999999999999458E-3</v>
      </c>
      <c r="H3">
        <f t="shared" ref="H3:H21" si="0">$S$17+$S$18*A3</f>
        <v>4.1357894736842003E-3</v>
      </c>
      <c r="I3" s="26">
        <f t="shared" ref="I3:I21" si="1">B3-H3</f>
        <v>-5.6357894736841999E-3</v>
      </c>
      <c r="R3" s="43" t="s">
        <v>90</v>
      </c>
      <c r="S3" s="43"/>
    </row>
    <row r="4" spans="1:26" x14ac:dyDescent="0.25">
      <c r="A4">
        <v>3</v>
      </c>
      <c r="B4" s="14">
        <v>7.1999999999999998E-3</v>
      </c>
      <c r="D4" s="14">
        <f>(1+B4)/(1+B3)-1</f>
        <v>8.7130696044066536E-3</v>
      </c>
      <c r="E4">
        <f t="shared" ref="E4:E21" si="2">E3*(1+D4)</f>
        <v>100.72000000000001</v>
      </c>
      <c r="F4" s="14">
        <f t="shared" ref="F4:F21" si="3">(1+F3)*(1+D4)-1</f>
        <v>7.2000000000000952E-3</v>
      </c>
      <c r="H4">
        <f t="shared" si="0"/>
        <v>9.9415789473684124E-3</v>
      </c>
      <c r="I4" s="26">
        <f t="shared" si="1"/>
        <v>-2.7415789473684126E-3</v>
      </c>
      <c r="R4" s="40" t="s">
        <v>91</v>
      </c>
      <c r="S4" s="40">
        <v>0.98736178085940562</v>
      </c>
    </row>
    <row r="5" spans="1:26" x14ac:dyDescent="0.25">
      <c r="A5">
        <v>4</v>
      </c>
      <c r="B5" s="14">
        <v>1.23E-2</v>
      </c>
      <c r="D5" s="14">
        <f t="shared" ref="D5:D21" si="4">(1+B5)/(1+B4)-1</f>
        <v>5.0635424940428386E-3</v>
      </c>
      <c r="E5">
        <f t="shared" si="2"/>
        <v>101.23</v>
      </c>
      <c r="F5" s="14">
        <f t="shared" si="3"/>
        <v>1.2299999999999978E-2</v>
      </c>
      <c r="H5">
        <f t="shared" si="0"/>
        <v>1.5747368421052621E-2</v>
      </c>
      <c r="I5" s="26">
        <f t="shared" si="1"/>
        <v>-3.4473684210526209E-3</v>
      </c>
      <c r="R5" s="40" t="s">
        <v>92</v>
      </c>
      <c r="S5" s="40">
        <v>0.97488328630185694</v>
      </c>
    </row>
    <row r="6" spans="1:26" x14ac:dyDescent="0.25">
      <c r="A6">
        <v>5</v>
      </c>
      <c r="B6" s="14">
        <v>2.5000000000000001E-2</v>
      </c>
      <c r="D6" s="14">
        <f t="shared" si="4"/>
        <v>1.2545688037143066E-2</v>
      </c>
      <c r="E6">
        <f t="shared" si="2"/>
        <v>102.5</v>
      </c>
      <c r="F6" s="14">
        <f t="shared" si="3"/>
        <v>2.4999999999999911E-2</v>
      </c>
      <c r="H6">
        <f t="shared" si="0"/>
        <v>2.155315789473683E-2</v>
      </c>
      <c r="I6" s="26">
        <f t="shared" si="1"/>
        <v>3.4468421052631718E-3</v>
      </c>
      <c r="R6" s="40" t="s">
        <v>93</v>
      </c>
      <c r="S6" s="40">
        <v>0.97348791331862672</v>
      </c>
    </row>
    <row r="7" spans="1:26" x14ac:dyDescent="0.25">
      <c r="A7">
        <v>6</v>
      </c>
      <c r="B7" s="14">
        <v>2.3300000000000001E-2</v>
      </c>
      <c r="D7" s="14">
        <f t="shared" si="4"/>
        <v>-1.6585365853656331E-3</v>
      </c>
      <c r="E7">
        <f t="shared" si="2"/>
        <v>102.33000000000003</v>
      </c>
      <c r="F7" s="14">
        <f t="shared" si="3"/>
        <v>2.3300000000000098E-2</v>
      </c>
      <c r="H7">
        <f t="shared" si="0"/>
        <v>2.7358947368421045E-2</v>
      </c>
      <c r="I7" s="26">
        <f t="shared" si="1"/>
        <v>-4.0589473684210439E-3</v>
      </c>
      <c r="R7" s="40" t="s">
        <v>94</v>
      </c>
      <c r="S7" s="40">
        <v>5.6642309006524841E-3</v>
      </c>
    </row>
    <row r="8" spans="1:26" ht="15.75" thickBot="1" x14ac:dyDescent="0.3">
      <c r="A8">
        <v>7</v>
      </c>
      <c r="B8" s="14">
        <v>2.5399999999999999E-2</v>
      </c>
      <c r="D8" s="14">
        <f t="shared" si="4"/>
        <v>2.0521841102316696E-3</v>
      </c>
      <c r="E8">
        <f t="shared" si="2"/>
        <v>102.54000000000003</v>
      </c>
      <c r="F8" s="14">
        <f t="shared" si="3"/>
        <v>2.5400000000000089E-2</v>
      </c>
      <c r="H8">
        <f t="shared" si="0"/>
        <v>3.3164736842105254E-2</v>
      </c>
      <c r="I8" s="26">
        <f t="shared" si="1"/>
        <v>-7.7647368421052548E-3</v>
      </c>
      <c r="R8" s="41" t="s">
        <v>95</v>
      </c>
      <c r="S8" s="41">
        <v>20</v>
      </c>
    </row>
    <row r="9" spans="1:26" x14ac:dyDescent="0.25">
      <c r="A9">
        <v>8</v>
      </c>
      <c r="B9" s="14">
        <v>3.6299999999999999E-2</v>
      </c>
      <c r="D9" s="14">
        <f t="shared" si="4"/>
        <v>1.0629998049541456E-2</v>
      </c>
      <c r="E9">
        <f t="shared" si="2"/>
        <v>103.63000000000001</v>
      </c>
      <c r="F9" s="14">
        <f t="shared" si="3"/>
        <v>3.6299999999999999E-2</v>
      </c>
      <c r="H9">
        <f t="shared" si="0"/>
        <v>3.8970526315789462E-2</v>
      </c>
      <c r="I9" s="26">
        <f t="shared" si="1"/>
        <v>-2.6705263157894635E-3</v>
      </c>
    </row>
    <row r="10" spans="1:26" ht="15.75" thickBot="1" x14ac:dyDescent="0.3">
      <c r="A10">
        <v>9</v>
      </c>
      <c r="B10" s="14">
        <v>4.9100000000000005E-2</v>
      </c>
      <c r="D10" s="14">
        <f t="shared" si="4"/>
        <v>1.2351635626749013E-2</v>
      </c>
      <c r="E10">
        <f t="shared" si="2"/>
        <v>104.91000000000001</v>
      </c>
      <c r="F10" s="14">
        <f t="shared" si="3"/>
        <v>4.9099999999999921E-2</v>
      </c>
      <c r="H10">
        <f t="shared" si="0"/>
        <v>4.4776315789473671E-2</v>
      </c>
      <c r="I10" s="26">
        <f t="shared" si="1"/>
        <v>4.3236842105263337E-3</v>
      </c>
      <c r="R10" t="s">
        <v>96</v>
      </c>
    </row>
    <row r="11" spans="1:26" x14ac:dyDescent="0.25">
      <c r="A11">
        <v>10</v>
      </c>
      <c r="B11" s="14">
        <v>6.25E-2</v>
      </c>
      <c r="D11" s="14">
        <f t="shared" si="4"/>
        <v>1.2772852921551836E-2</v>
      </c>
      <c r="E11">
        <f t="shared" si="2"/>
        <v>106.25000000000001</v>
      </c>
      <c r="F11" s="14">
        <f t="shared" si="3"/>
        <v>6.25E-2</v>
      </c>
      <c r="H11">
        <f t="shared" si="0"/>
        <v>5.058210526315788E-2</v>
      </c>
      <c r="I11" s="26">
        <f t="shared" si="1"/>
        <v>1.191789473684212E-2</v>
      </c>
      <c r="R11" s="42"/>
      <c r="S11" s="42" t="s">
        <v>101</v>
      </c>
      <c r="T11" s="42" t="s">
        <v>102</v>
      </c>
      <c r="U11" s="42" t="s">
        <v>103</v>
      </c>
      <c r="V11" s="42" t="s">
        <v>104</v>
      </c>
      <c r="W11" s="42" t="s">
        <v>105</v>
      </c>
    </row>
    <row r="12" spans="1:26" x14ac:dyDescent="0.25">
      <c r="A12">
        <v>11</v>
      </c>
      <c r="B12" s="14">
        <v>6.3200000000000006E-2</v>
      </c>
      <c r="D12" s="14">
        <f t="shared" si="4"/>
        <v>6.5882352941160072E-4</v>
      </c>
      <c r="E12">
        <f t="shared" si="2"/>
        <v>106.32</v>
      </c>
      <c r="F12" s="14">
        <f t="shared" si="3"/>
        <v>6.3199999999999923E-2</v>
      </c>
      <c r="H12">
        <f t="shared" si="0"/>
        <v>5.6387894736842088E-2</v>
      </c>
      <c r="I12" s="26">
        <f t="shared" si="1"/>
        <v>6.8121052631579179E-3</v>
      </c>
      <c r="R12" s="40" t="s">
        <v>97</v>
      </c>
      <c r="S12" s="40">
        <v>1</v>
      </c>
      <c r="T12" s="40">
        <v>2.2415282289473679E-2</v>
      </c>
      <c r="U12" s="40">
        <v>2.2415282289473679E-2</v>
      </c>
      <c r="V12" s="40">
        <v>698.6542652166612</v>
      </c>
      <c r="W12" s="40">
        <v>7.4628755475986974E-16</v>
      </c>
    </row>
    <row r="13" spans="1:26" x14ac:dyDescent="0.25">
      <c r="A13">
        <v>12</v>
      </c>
      <c r="B13" s="14">
        <v>6.6000000000000003E-2</v>
      </c>
      <c r="D13" s="14">
        <f t="shared" si="4"/>
        <v>2.6335590669677167E-3</v>
      </c>
      <c r="E13">
        <f t="shared" si="2"/>
        <v>106.6</v>
      </c>
      <c r="F13" s="14">
        <f t="shared" si="3"/>
        <v>6.6000000000000059E-2</v>
      </c>
      <c r="H13">
        <f t="shared" si="0"/>
        <v>6.2193684210526311E-2</v>
      </c>
      <c r="I13" s="26">
        <f t="shared" si="1"/>
        <v>3.8063157894736924E-3</v>
      </c>
      <c r="R13" s="40" t="s">
        <v>98</v>
      </c>
      <c r="S13" s="40">
        <v>18</v>
      </c>
      <c r="T13" s="40">
        <v>5.7750321052631626E-4</v>
      </c>
      <c r="U13" s="40">
        <v>3.2083511695906456E-5</v>
      </c>
      <c r="V13" s="40"/>
      <c r="W13" s="40"/>
    </row>
    <row r="14" spans="1:26" ht="15.75" thickBot="1" x14ac:dyDescent="0.3">
      <c r="A14">
        <v>13</v>
      </c>
      <c r="B14" s="14">
        <v>6.7500000000000004E-2</v>
      </c>
      <c r="D14" s="14">
        <f t="shared" si="4"/>
        <v>1.4071294559097058E-3</v>
      </c>
      <c r="E14">
        <f t="shared" si="2"/>
        <v>106.74999999999997</v>
      </c>
      <c r="F14" s="14">
        <f t="shared" si="3"/>
        <v>6.7499999999999893E-2</v>
      </c>
      <c r="H14">
        <f t="shared" si="0"/>
        <v>6.7999473684210526E-2</v>
      </c>
      <c r="I14" s="26">
        <f t="shared" si="1"/>
        <v>-4.9947368421052185E-4</v>
      </c>
      <c r="R14" s="41" t="s">
        <v>99</v>
      </c>
      <c r="S14" s="41">
        <v>19</v>
      </c>
      <c r="T14" s="41">
        <v>2.2992785499999994E-2</v>
      </c>
      <c r="U14" s="41"/>
      <c r="V14" s="41"/>
      <c r="W14" s="41"/>
    </row>
    <row r="15" spans="1:26" ht="15.75" thickBot="1" x14ac:dyDescent="0.3">
      <c r="A15">
        <v>14</v>
      </c>
      <c r="B15" s="14">
        <v>7.9199999999999993E-2</v>
      </c>
      <c r="D15" s="14">
        <f t="shared" si="4"/>
        <v>1.0960187353630024E-2</v>
      </c>
      <c r="E15">
        <f t="shared" si="2"/>
        <v>107.91999999999997</v>
      </c>
      <c r="F15" s="14">
        <f t="shared" si="3"/>
        <v>7.9199999999999937E-2</v>
      </c>
      <c r="H15">
        <f t="shared" si="0"/>
        <v>7.3805263157894735E-2</v>
      </c>
      <c r="I15" s="26">
        <f t="shared" si="1"/>
        <v>5.3947368421052577E-3</v>
      </c>
    </row>
    <row r="16" spans="1:26" x14ac:dyDescent="0.25">
      <c r="A16">
        <v>15</v>
      </c>
      <c r="B16" s="14">
        <v>8.3000000000000004E-2</v>
      </c>
      <c r="D16" s="14">
        <f t="shared" si="4"/>
        <v>3.5211267605634866E-3</v>
      </c>
      <c r="E16">
        <f t="shared" si="2"/>
        <v>108.29999999999998</v>
      </c>
      <c r="F16" s="14">
        <f t="shared" si="3"/>
        <v>8.2999999999999963E-2</v>
      </c>
      <c r="H16">
        <f t="shared" si="0"/>
        <v>7.9611052631578944E-2</v>
      </c>
      <c r="I16" s="26">
        <f t="shared" si="1"/>
        <v>3.3889473684210608E-3</v>
      </c>
      <c r="R16" s="42"/>
      <c r="S16" s="42" t="s">
        <v>106</v>
      </c>
      <c r="T16" s="42" t="s">
        <v>94</v>
      </c>
      <c r="U16" s="42" t="s">
        <v>107</v>
      </c>
      <c r="V16" s="42" t="s">
        <v>108</v>
      </c>
      <c r="W16" s="42" t="s">
        <v>109</v>
      </c>
      <c r="X16" s="42" t="s">
        <v>110</v>
      </c>
      <c r="Y16" s="42" t="s">
        <v>111</v>
      </c>
      <c r="Z16" s="42" t="s">
        <v>112</v>
      </c>
    </row>
    <row r="17" spans="1:26" x14ac:dyDescent="0.25">
      <c r="A17">
        <v>16</v>
      </c>
      <c r="B17" s="14">
        <v>0.09</v>
      </c>
      <c r="D17" s="14">
        <f t="shared" si="4"/>
        <v>6.4635272391506682E-3</v>
      </c>
      <c r="E17">
        <f t="shared" si="2"/>
        <v>109</v>
      </c>
      <c r="F17" s="14">
        <f t="shared" si="3"/>
        <v>9.000000000000008E-2</v>
      </c>
      <c r="H17">
        <f t="shared" si="0"/>
        <v>8.5416842105263152E-2</v>
      </c>
      <c r="I17" s="26">
        <f t="shared" si="1"/>
        <v>4.5831578947368445E-3</v>
      </c>
      <c r="R17" s="40" t="s">
        <v>100</v>
      </c>
      <c r="S17" s="40">
        <v>-7.4757894736842204E-3</v>
      </c>
      <c r="T17" s="40">
        <v>2.631213427831514E-3</v>
      </c>
      <c r="U17" s="40">
        <v>-2.8411946346159045</v>
      </c>
      <c r="V17" s="40">
        <v>1.0835016469266913E-2</v>
      </c>
      <c r="W17" s="40">
        <v>-1.3003763756793619E-2</v>
      </c>
      <c r="X17" s="40">
        <v>-1.947815190574821E-3</v>
      </c>
      <c r="Y17" s="40">
        <v>-1.3003763756793619E-2</v>
      </c>
      <c r="Z17" s="40">
        <v>-1.947815190574821E-3</v>
      </c>
    </row>
    <row r="18" spans="1:26" ht="15.75" thickBot="1" x14ac:dyDescent="0.3">
      <c r="A18">
        <v>17</v>
      </c>
      <c r="B18" s="14">
        <v>9.2200000000000004E-2</v>
      </c>
      <c r="D18" s="14">
        <f t="shared" si="4"/>
        <v>2.0183486238531945E-3</v>
      </c>
      <c r="E18">
        <f t="shared" si="2"/>
        <v>109.22</v>
      </c>
      <c r="F18" s="14">
        <f t="shared" si="3"/>
        <v>9.220000000000006E-2</v>
      </c>
      <c r="H18">
        <f t="shared" si="0"/>
        <v>9.1222631578947361E-2</v>
      </c>
      <c r="I18" s="26">
        <f t="shared" si="1"/>
        <v>9.7736842105264343E-4</v>
      </c>
      <c r="R18" s="41" t="s">
        <v>113</v>
      </c>
      <c r="S18" s="41">
        <v>5.8057894736842103E-3</v>
      </c>
      <c r="T18" s="41">
        <v>2.1964945310535921E-4</v>
      </c>
      <c r="U18" s="41">
        <v>26.43206887885739</v>
      </c>
      <c r="V18" s="41">
        <v>7.4628755475986974E-16</v>
      </c>
      <c r="W18" s="41">
        <v>5.3443230965282713E-3</v>
      </c>
      <c r="X18" s="41">
        <v>6.2672558508401494E-3</v>
      </c>
      <c r="Y18" s="41">
        <v>5.3443230965282713E-3</v>
      </c>
      <c r="Z18" s="41">
        <v>6.2672558508401494E-3</v>
      </c>
    </row>
    <row r="19" spans="1:26" x14ac:dyDescent="0.25">
      <c r="A19">
        <v>18</v>
      </c>
      <c r="B19" s="14">
        <v>9.3599999999999989E-2</v>
      </c>
      <c r="D19" s="14">
        <f t="shared" si="4"/>
        <v>1.2818165171213369E-3</v>
      </c>
      <c r="E19">
        <f t="shared" si="2"/>
        <v>109.35999999999999</v>
      </c>
      <c r="F19" s="14">
        <f t="shared" si="3"/>
        <v>9.3599999999999905E-2</v>
      </c>
      <c r="H19">
        <f t="shared" si="0"/>
        <v>9.7028421052631569E-2</v>
      </c>
      <c r="I19" s="26">
        <f t="shared" si="1"/>
        <v>-3.4284210526315806E-3</v>
      </c>
    </row>
    <row r="20" spans="1:26" x14ac:dyDescent="0.25">
      <c r="A20">
        <v>19</v>
      </c>
      <c r="B20" s="14">
        <v>9.3699999999999992E-2</v>
      </c>
      <c r="D20" s="14">
        <f t="shared" si="4"/>
        <v>9.1441111923939999E-5</v>
      </c>
      <c r="E20">
        <f t="shared" si="2"/>
        <v>109.36999999999999</v>
      </c>
      <c r="F20" s="14">
        <f t="shared" si="3"/>
        <v>9.3699999999999894E-2</v>
      </c>
      <c r="H20">
        <f t="shared" si="0"/>
        <v>0.10283421052631578</v>
      </c>
      <c r="I20" s="26">
        <f t="shared" si="1"/>
        <v>-9.1342105263157863E-3</v>
      </c>
    </row>
    <row r="21" spans="1:26" x14ac:dyDescent="0.25">
      <c r="A21">
        <v>20</v>
      </c>
      <c r="B21" s="14">
        <v>0.1017</v>
      </c>
      <c r="D21" s="14">
        <f t="shared" si="4"/>
        <v>7.3146200969187447E-3</v>
      </c>
      <c r="E21">
        <f t="shared" si="2"/>
        <v>110.16999999999999</v>
      </c>
      <c r="F21" s="14">
        <f t="shared" si="3"/>
        <v>0.1016999999999999</v>
      </c>
      <c r="H21">
        <f t="shared" si="0"/>
        <v>0.10863999999999999</v>
      </c>
      <c r="I21" s="26">
        <f t="shared" si="1"/>
        <v>-6.9399999999999878E-3</v>
      </c>
      <c r="T21">
        <f>U18/SQRT(20)</f>
        <v>5.9103902799081771</v>
      </c>
    </row>
    <row r="23" spans="1:26" x14ac:dyDescent="0.25">
      <c r="B23">
        <f>SLOPE(B2:B21,_xlfn.ANCHORARRAY(A2))*SQRT(DEVSQ(_xlfn.ANCHORARRAY(A2)))/STEYX(B2:B21,_xlfn.ANCHORARRAY(A2))/SQRT(20)</f>
        <v>5.9103902799082544</v>
      </c>
      <c r="D23" s="14" cm="1">
        <f t="array" ref="D23">_xll.KRatio(D2:D21)</f>
        <v>1.0804360835735838</v>
      </c>
      <c r="E23">
        <f>SLOPE(E2:E21,_xlfn.ANCHORARRAY(A2))*SQRT(DEVSQ(_xlfn.ANCHORARRAY(A2)))/STEYX(E2:E21,_xlfn.ANCHORARRAY(A2))/SQRT(20)</f>
        <v>5.9103902799081878</v>
      </c>
      <c r="R23" t="s">
        <v>89</v>
      </c>
    </row>
    <row r="24" spans="1:26" ht="15.75" thickBot="1" x14ac:dyDescent="0.3"/>
    <row r="25" spans="1:26" x14ac:dyDescent="0.25">
      <c r="C25" t="s">
        <v>100</v>
      </c>
      <c r="D25" s="44">
        <f>INTERCEPT(F2:F21,_xlfn.ANCHORARRAY(A2))</f>
        <v>-7.4757894736841718E-3</v>
      </c>
      <c r="R25" s="43" t="s">
        <v>90</v>
      </c>
      <c r="S25" s="43"/>
    </row>
    <row r="26" spans="1:26" x14ac:dyDescent="0.25">
      <c r="C26" t="s">
        <v>119</v>
      </c>
      <c r="D26" s="44">
        <f>SLOPE(F2:F21,_xlfn.ANCHORARRAY(A2))</f>
        <v>5.8057894736842051E-3</v>
      </c>
      <c r="R26" s="40" t="s">
        <v>91</v>
      </c>
      <c r="S26" s="40">
        <v>0.98736178085940574</v>
      </c>
    </row>
    <row r="27" spans="1:26" x14ac:dyDescent="0.25">
      <c r="C27" t="s">
        <v>120</v>
      </c>
      <c r="D27" s="44" cm="1">
        <f t="array" ref="D27">SUM(I2:I21^2)</f>
        <v>5.7750321052631615E-4</v>
      </c>
      <c r="R27" s="40" t="s">
        <v>92</v>
      </c>
      <c r="S27" s="40">
        <v>0.97488328630185705</v>
      </c>
    </row>
    <row r="28" spans="1:26" x14ac:dyDescent="0.25">
      <c r="R28" s="40" t="s">
        <v>93</v>
      </c>
      <c r="S28" s="40">
        <v>0.97348791331862694</v>
      </c>
    </row>
    <row r="29" spans="1:26" x14ac:dyDescent="0.25">
      <c r="R29" s="40" t="s">
        <v>94</v>
      </c>
      <c r="S29" s="40">
        <v>0.56642309006524494</v>
      </c>
    </row>
    <row r="30" spans="1:26" ht="15.75" thickBot="1" x14ac:dyDescent="0.3">
      <c r="R30" s="41" t="s">
        <v>95</v>
      </c>
      <c r="S30" s="41">
        <v>20</v>
      </c>
    </row>
    <row r="32" spans="1:26" ht="15.75" thickBot="1" x14ac:dyDescent="0.3">
      <c r="R32" t="s">
        <v>96</v>
      </c>
    </row>
    <row r="33" spans="18:26" x14ac:dyDescent="0.25">
      <c r="R33" s="42"/>
      <c r="S33" s="42" t="s">
        <v>101</v>
      </c>
      <c r="T33" s="42" t="s">
        <v>102</v>
      </c>
      <c r="U33" s="42" t="s">
        <v>103</v>
      </c>
      <c r="V33" s="42" t="s">
        <v>104</v>
      </c>
      <c r="W33" s="42" t="s">
        <v>105</v>
      </c>
    </row>
    <row r="34" spans="18:26" x14ac:dyDescent="0.25">
      <c r="R34" s="40" t="s">
        <v>97</v>
      </c>
      <c r="S34" s="40">
        <v>1</v>
      </c>
      <c r="T34" s="40">
        <v>224.15282289473561</v>
      </c>
      <c r="U34" s="40">
        <v>224.15282289473561</v>
      </c>
      <c r="V34" s="40">
        <v>698.65426521666598</v>
      </c>
      <c r="W34" s="40">
        <v>7.4628755475982725E-16</v>
      </c>
    </row>
    <row r="35" spans="18:26" x14ac:dyDescent="0.25">
      <c r="R35" s="40" t="s">
        <v>98</v>
      </c>
      <c r="S35" s="40">
        <v>18</v>
      </c>
      <c r="T35" s="40">
        <v>5.775032105263092</v>
      </c>
      <c r="U35" s="40">
        <v>0.32083511695906064</v>
      </c>
      <c r="V35" s="40"/>
      <c r="W35" s="40"/>
    </row>
    <row r="36" spans="18:26" ht="15.75" thickBot="1" x14ac:dyDescent="0.3">
      <c r="R36" s="41" t="s">
        <v>99</v>
      </c>
      <c r="S36" s="41">
        <v>19</v>
      </c>
      <c r="T36" s="41">
        <v>229.92785499999869</v>
      </c>
      <c r="U36" s="41"/>
      <c r="V36" s="41"/>
      <c r="W36" s="41"/>
    </row>
    <row r="37" spans="18:26" ht="15.75" thickBot="1" x14ac:dyDescent="0.3"/>
    <row r="38" spans="18:26" x14ac:dyDescent="0.25">
      <c r="R38" s="42"/>
      <c r="S38" s="42" t="s">
        <v>106</v>
      </c>
      <c r="T38" s="42" t="s">
        <v>94</v>
      </c>
      <c r="U38" s="42" t="s">
        <v>107</v>
      </c>
      <c r="V38" s="42" t="s">
        <v>108</v>
      </c>
      <c r="W38" s="42" t="s">
        <v>109</v>
      </c>
      <c r="X38" s="42" t="s">
        <v>110</v>
      </c>
      <c r="Y38" s="42" t="s">
        <v>111</v>
      </c>
      <c r="Z38" s="42" t="s">
        <v>112</v>
      </c>
    </row>
    <row r="39" spans="18:26" x14ac:dyDescent="0.25">
      <c r="R39" s="40" t="s">
        <v>100</v>
      </c>
      <c r="S39" s="40">
        <v>99.25242105263159</v>
      </c>
      <c r="T39" s="40">
        <v>0.26312134278314986</v>
      </c>
      <c r="U39" s="40">
        <v>377.21159371868202</v>
      </c>
      <c r="V39" s="40">
        <v>1.5371890743051605E-36</v>
      </c>
      <c r="W39" s="40">
        <v>98.699623624320651</v>
      </c>
      <c r="X39" s="40">
        <v>99.805218480942528</v>
      </c>
      <c r="Y39" s="40">
        <v>98.699623624320651</v>
      </c>
      <c r="Z39" s="40">
        <v>99.805218480942528</v>
      </c>
    </row>
    <row r="40" spans="18:26" ht="15.75" thickBot="1" x14ac:dyDescent="0.3">
      <c r="R40" s="41" t="s">
        <v>113</v>
      </c>
      <c r="S40" s="41">
        <v>0.58057894736841931</v>
      </c>
      <c r="T40" s="41">
        <v>2.1964945310535788E-2</v>
      </c>
      <c r="U40" s="41">
        <v>26.432068878857468</v>
      </c>
      <c r="V40" s="41">
        <v>7.4628755475982725E-16</v>
      </c>
      <c r="W40" s="41">
        <v>0.53443230965282562</v>
      </c>
      <c r="X40" s="41">
        <v>0.62672558508401299</v>
      </c>
      <c r="Y40" s="41">
        <v>0.53443230965282562</v>
      </c>
      <c r="Z40" s="41">
        <v>0.62672558508401299</v>
      </c>
    </row>
    <row r="43" spans="18:26" x14ac:dyDescent="0.25">
      <c r="U43">
        <f>U40/SQRT(20)</f>
        <v>5.9103902799081949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Table 2.4 and 2.5</vt:lpstr>
      <vt:lpstr>Tables 2.7, 2.8, and 2.9</vt:lpstr>
      <vt:lpstr>Table 3.2</vt:lpstr>
      <vt:lpstr>Tables 3.4 and 3.5</vt:lpstr>
      <vt:lpstr>Sheet3</vt:lpstr>
      <vt:lpstr>K-Ratio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R. Mayes, Ph.D.</dc:creator>
  <cp:lastModifiedBy>Timothy R. Mayes, Ph.D.</cp:lastModifiedBy>
  <dcterms:created xsi:type="dcterms:W3CDTF">2019-12-15T23:32:54Z</dcterms:created>
  <dcterms:modified xsi:type="dcterms:W3CDTF">2020-01-13T02:39:50Z</dcterms:modified>
</cp:coreProperties>
</file>