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OneDrive\C# Source\PortfolioPerformance\PortfolioPerformance\"/>
    </mc:Choice>
  </mc:AlternateContent>
  <xr:revisionPtr revIDLastSave="0" documentId="13_ncr:1_{CF9766FE-7A33-4C9D-A101-9E4833EA5B23}" xr6:coauthVersionLast="45" xr6:coauthVersionMax="45" xr10:uidLastSave="{00000000-0000-0000-0000-000000000000}"/>
  <bookViews>
    <workbookView xWindow="3255" yWindow="2040" windowWidth="27150" windowHeight="17460" firstSheet="3" activeTab="6" xr2:uid="{344BB257-92D6-46F2-9766-17934D9BF305}"/>
  </bookViews>
  <sheets>
    <sheet name="Sheet1" sheetId="1" r:id="rId1"/>
    <sheet name="Sheet2" sheetId="2" r:id="rId2"/>
    <sheet name="Table 2.4 and 2.5" sheetId="4" r:id="rId3"/>
    <sheet name="Tables 2.7, 2.8, and 2.9" sheetId="5" r:id="rId4"/>
    <sheet name="Table 3.2" sheetId="6" r:id="rId5"/>
    <sheet name="Tables 3.4 and 3.5" sheetId="7" r:id="rId6"/>
    <sheet name="Table 5.1 Drawdown Statistics" sheetId="10" r:id="rId7"/>
    <sheet name="K-Ratio" sheetId="9" r:id="rId8"/>
    <sheet name="Value at Risk" sheetId="11" r:id="rId9"/>
    <sheet name="Calculating Returns" sheetId="12" r:id="rId10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2" l="1"/>
  <c r="E5" i="12"/>
  <c r="E6" i="12"/>
  <c r="E3" i="12"/>
  <c r="H3" i="12" a="1"/>
  <c r="I3" i="12" a="1"/>
  <c r="E27" i="10" a="1"/>
  <c r="E25" i="10" a="1"/>
  <c r="E23" i="10" a="1"/>
  <c r="E21" i="10" a="1"/>
  <c r="E11" i="10" a="1"/>
  <c r="E9" i="10" a="1"/>
  <c r="E8" i="10" a="1"/>
  <c r="E27" i="10" l="1"/>
  <c r="E25" i="10"/>
  <c r="E23" i="10"/>
  <c r="E21" i="10"/>
  <c r="E11" i="10"/>
  <c r="E9" i="10"/>
  <c r="E8" i="10"/>
  <c r="I3" i="12"/>
  <c r="H3" i="12"/>
  <c r="B9" i="12" a="1"/>
  <c r="B12" i="12" a="1"/>
  <c r="B9" i="12" l="1"/>
  <c r="B12" i="12"/>
  <c r="B11" i="12" a="1"/>
  <c r="B11" i="12" s="1"/>
  <c r="B8" i="12" l="1"/>
  <c r="F29" i="6" a="1"/>
  <c r="F28" i="6" a="1"/>
  <c r="F27" i="6" a="1"/>
  <c r="F26" i="6" a="1"/>
  <c r="E16" i="7" a="1"/>
  <c r="E15" i="7" a="1"/>
  <c r="E14" i="7" a="1"/>
  <c r="E13" i="7" a="1"/>
  <c r="F9" i="11" a="1"/>
  <c r="F29" i="6" l="1"/>
  <c r="F28" i="6"/>
  <c r="F27" i="6"/>
  <c r="F26" i="6"/>
  <c r="E16" i="7"/>
  <c r="E15" i="7"/>
  <c r="E14" i="7"/>
  <c r="E13" i="7"/>
  <c r="F9" i="11"/>
  <c r="F8" i="11"/>
  <c r="I5" i="11" l="1"/>
  <c r="F2" i="11" s="1"/>
  <c r="L2" i="11" a="1"/>
  <c r="L2" i="11" s="1"/>
  <c r="M2" i="11" s="1"/>
  <c r="N66" i="11" a="1"/>
  <c r="N77" i="11" a="1"/>
  <c r="N70" i="11" a="1"/>
  <c r="N44" i="11" a="1"/>
  <c r="N25" i="11" a="1"/>
  <c r="N82" i="11" a="1"/>
  <c r="N29" i="11" a="1"/>
  <c r="N36" i="11" a="1"/>
  <c r="N13" i="11" a="1"/>
  <c r="N6" i="11" a="1"/>
  <c r="N51" i="11" a="1"/>
  <c r="N74" i="11" a="1"/>
  <c r="N89" i="11" a="1"/>
  <c r="N22" i="11" a="1"/>
  <c r="N55" i="11" a="1"/>
  <c r="N21" i="11" a="1"/>
  <c r="N85" i="11" a="1"/>
  <c r="N48" i="11" a="1"/>
  <c r="N14" i="11" a="1"/>
  <c r="N78" i="11" a="1"/>
  <c r="N3" i="11" a="1"/>
  <c r="N67" i="11" a="1"/>
  <c r="N33" i="11" a="1"/>
  <c r="N97" i="11" a="1"/>
  <c r="N60" i="11" a="1"/>
  <c r="N26" i="11" a="1"/>
  <c r="N90" i="11" a="1"/>
  <c r="N10" i="11" a="1"/>
  <c r="N52" i="11" a="1"/>
  <c r="I6" i="11" a="1"/>
  <c r="N7" i="11" a="1"/>
  <c r="N71" i="11" a="1"/>
  <c r="N37" i="11" a="1"/>
  <c r="N101" i="11" a="1"/>
  <c r="N64" i="11" a="1"/>
  <c r="N30" i="11" a="1"/>
  <c r="N94" i="11" a="1"/>
  <c r="N81" i="11" a="1"/>
  <c r="N59" i="11" a="1"/>
  <c r="N18" i="11" a="1"/>
  <c r="N63" i="11" a="1"/>
  <c r="N86" i="11" a="1"/>
  <c r="N11" i="11" a="1"/>
  <c r="N75" i="11" a="1"/>
  <c r="N41" i="11" a="1"/>
  <c r="N4" i="11" a="1"/>
  <c r="N68" i="11" a="1"/>
  <c r="N34" i="11" a="1"/>
  <c r="N98" i="11" a="1"/>
  <c r="N19" i="11" a="1"/>
  <c r="N12" i="11" a="1"/>
  <c r="N42" i="11" a="1"/>
  <c r="N87" i="11" a="1"/>
  <c r="N16" i="11" a="1"/>
  <c r="N46" i="11" a="1"/>
  <c r="N27" i="11" a="1"/>
  <c r="N57" i="11" a="1"/>
  <c r="N84" i="11" a="1"/>
  <c r="N31" i="11" a="1"/>
  <c r="N61" i="11" a="1"/>
  <c r="N88" i="11" a="1"/>
  <c r="N35" i="11" a="1"/>
  <c r="N65" i="11" a="1"/>
  <c r="N92" i="11" a="1"/>
  <c r="N15" i="11" a="1"/>
  <c r="N79" i="11" a="1"/>
  <c r="N45" i="11" a="1"/>
  <c r="N8" i="11" a="1"/>
  <c r="N72" i="11" a="1"/>
  <c r="N38" i="11" a="1"/>
  <c r="N2" i="11" a="1"/>
  <c r="N83" i="11" a="1"/>
  <c r="N49" i="11" a="1"/>
  <c r="N76" i="11" a="1"/>
  <c r="N23" i="11" a="1"/>
  <c r="N53" i="11" a="1"/>
  <c r="N80" i="11" a="1"/>
  <c r="N91" i="11" a="1"/>
  <c r="N20" i="11" a="1"/>
  <c r="N50" i="11" a="1"/>
  <c r="N95" i="11" a="1"/>
  <c r="N24" i="11" a="1"/>
  <c r="N54" i="11" a="1"/>
  <c r="N99" i="11" a="1"/>
  <c r="N28" i="11" a="1"/>
  <c r="N58" i="11" a="1"/>
  <c r="N39" i="11" a="1"/>
  <c r="N5" i="11" a="1"/>
  <c r="N69" i="11" a="1"/>
  <c r="N32" i="11" a="1"/>
  <c r="N96" i="11" a="1"/>
  <c r="N62" i="11" a="1"/>
  <c r="N43" i="11" a="1"/>
  <c r="N9" i="11" a="1"/>
  <c r="N73" i="11" a="1"/>
  <c r="N100" i="11" a="1"/>
  <c r="N47" i="11" a="1"/>
  <c r="N40" i="11" a="1"/>
  <c r="N17" i="11" a="1"/>
  <c r="N56" i="11" a="1"/>
  <c r="N93" i="11" a="1"/>
  <c r="M8" i="11" l="1"/>
  <c r="M37" i="11"/>
  <c r="M68" i="11"/>
  <c r="O68" i="11" s="1"/>
  <c r="M52" i="11"/>
  <c r="M36" i="11"/>
  <c r="M20" i="11"/>
  <c r="M4" i="11"/>
  <c r="O4" i="11" s="1"/>
  <c r="M99" i="11"/>
  <c r="M83" i="11"/>
  <c r="M67" i="11"/>
  <c r="M51" i="11"/>
  <c r="M35" i="11"/>
  <c r="M19" i="11"/>
  <c r="M3" i="11"/>
  <c r="M98" i="11"/>
  <c r="O98" i="11" s="1"/>
  <c r="M82" i="11"/>
  <c r="M66" i="11"/>
  <c r="O66" i="11" s="1"/>
  <c r="M50" i="11"/>
  <c r="M34" i="11"/>
  <c r="O34" i="11" s="1"/>
  <c r="M18" i="11"/>
  <c r="M97" i="11"/>
  <c r="M65" i="11"/>
  <c r="M33" i="11"/>
  <c r="M17" i="11"/>
  <c r="M96" i="11"/>
  <c r="M80" i="11"/>
  <c r="M48" i="11"/>
  <c r="M32" i="11"/>
  <c r="M16" i="11"/>
  <c r="M95" i="11"/>
  <c r="M63" i="11"/>
  <c r="M15" i="11"/>
  <c r="O15" i="11" s="1"/>
  <c r="M78" i="11"/>
  <c r="M62" i="11"/>
  <c r="M14" i="11"/>
  <c r="O14" i="11" s="1"/>
  <c r="M93" i="11"/>
  <c r="O93" i="11" s="1"/>
  <c r="M61" i="11"/>
  <c r="M13" i="11"/>
  <c r="O13" i="11" s="1"/>
  <c r="M92" i="11"/>
  <c r="O92" i="11" s="1"/>
  <c r="M76" i="11"/>
  <c r="M60" i="11"/>
  <c r="M44" i="11"/>
  <c r="M28" i="11"/>
  <c r="M12" i="11"/>
  <c r="O12" i="11" s="1"/>
  <c r="M81" i="11"/>
  <c r="M49" i="11"/>
  <c r="M64" i="11"/>
  <c r="M79" i="11"/>
  <c r="M47" i="11"/>
  <c r="M31" i="11"/>
  <c r="M94" i="11"/>
  <c r="O94" i="11" s="1"/>
  <c r="M46" i="11"/>
  <c r="O46" i="11" s="1"/>
  <c r="M30" i="11"/>
  <c r="M77" i="11"/>
  <c r="M45" i="11"/>
  <c r="O45" i="11" s="1"/>
  <c r="M29" i="11"/>
  <c r="M91" i="11"/>
  <c r="O91" i="11" s="1"/>
  <c r="M75" i="11"/>
  <c r="O75" i="11" s="1"/>
  <c r="M59" i="11"/>
  <c r="M43" i="11"/>
  <c r="O43" i="11" s="1"/>
  <c r="M27" i="11"/>
  <c r="M11" i="11"/>
  <c r="O11" i="11" s="1"/>
  <c r="M72" i="11"/>
  <c r="M53" i="11"/>
  <c r="O53" i="11" s="1"/>
  <c r="M90" i="11"/>
  <c r="O90" i="11" s="1"/>
  <c r="M74" i="11"/>
  <c r="M58" i="11"/>
  <c r="O58" i="11" s="1"/>
  <c r="M42" i="11"/>
  <c r="O42" i="11" s="1"/>
  <c r="M26" i="11"/>
  <c r="M10" i="11"/>
  <c r="O10" i="11" s="1"/>
  <c r="M24" i="11"/>
  <c r="O24" i="11" s="1"/>
  <c r="M85" i="11"/>
  <c r="M89" i="11"/>
  <c r="O89" i="11" s="1"/>
  <c r="M73" i="11"/>
  <c r="O73" i="11" s="1"/>
  <c r="M57" i="11"/>
  <c r="M41" i="11"/>
  <c r="O41" i="11" s="1"/>
  <c r="M25" i="11"/>
  <c r="M9" i="11"/>
  <c r="O9" i="11" s="1"/>
  <c r="M87" i="11"/>
  <c r="O87" i="11" s="1"/>
  <c r="M71" i="11"/>
  <c r="M55" i="11"/>
  <c r="O55" i="11" s="1"/>
  <c r="M39" i="11"/>
  <c r="M23" i="11"/>
  <c r="O23" i="11" s="1"/>
  <c r="M7" i="11"/>
  <c r="M86" i="11"/>
  <c r="M70" i="11"/>
  <c r="O70" i="11" s="1"/>
  <c r="M54" i="11"/>
  <c r="O54" i="11" s="1"/>
  <c r="M38" i="11"/>
  <c r="M22" i="11"/>
  <c r="O22" i="11" s="1"/>
  <c r="M6" i="11"/>
  <c r="M88" i="11"/>
  <c r="O88" i="11" s="1"/>
  <c r="M40" i="11"/>
  <c r="M69" i="11"/>
  <c r="M21" i="11"/>
  <c r="O21" i="11" s="1"/>
  <c r="M84" i="11"/>
  <c r="M56" i="11"/>
  <c r="O56" i="11" s="1"/>
  <c r="M101" i="11"/>
  <c r="M5" i="11"/>
  <c r="M100" i="11"/>
  <c r="O100" i="11" s="1"/>
  <c r="I6" i="11"/>
  <c r="F3" i="11" s="1"/>
  <c r="N98" i="11"/>
  <c r="N94" i="11"/>
  <c r="N90" i="11"/>
  <c r="N86" i="11"/>
  <c r="N82" i="11"/>
  <c r="N78" i="11"/>
  <c r="N74" i="11"/>
  <c r="N70" i="11"/>
  <c r="N66" i="11"/>
  <c r="N62" i="11"/>
  <c r="N58" i="11"/>
  <c r="N54" i="11"/>
  <c r="N50" i="11"/>
  <c r="N46" i="11"/>
  <c r="N42" i="11"/>
  <c r="N38" i="11"/>
  <c r="N34" i="11"/>
  <c r="N30" i="11"/>
  <c r="N26" i="11"/>
  <c r="N22" i="11"/>
  <c r="N18" i="11"/>
  <c r="N14" i="11"/>
  <c r="N10" i="11"/>
  <c r="N6" i="11"/>
  <c r="N100" i="11"/>
  <c r="N96" i="11"/>
  <c r="N92" i="11"/>
  <c r="N88" i="11"/>
  <c r="N84" i="11"/>
  <c r="N80" i="11"/>
  <c r="N76" i="11"/>
  <c r="N72" i="11"/>
  <c r="N68" i="11"/>
  <c r="N64" i="11"/>
  <c r="N60" i="11"/>
  <c r="N56" i="11"/>
  <c r="N52" i="11"/>
  <c r="N48" i="11"/>
  <c r="N44" i="11"/>
  <c r="N40" i="11"/>
  <c r="N36" i="11"/>
  <c r="N32" i="11"/>
  <c r="N28" i="11"/>
  <c r="N24" i="11"/>
  <c r="N20" i="11"/>
  <c r="N16" i="11"/>
  <c r="N12" i="11"/>
  <c r="N8" i="11"/>
  <c r="N4" i="11"/>
  <c r="N101" i="11"/>
  <c r="N97" i="11"/>
  <c r="N93" i="11"/>
  <c r="N89" i="11"/>
  <c r="N85" i="11"/>
  <c r="N81" i="11"/>
  <c r="N77" i="11"/>
  <c r="N73" i="11"/>
  <c r="N69" i="11"/>
  <c r="N65" i="11"/>
  <c r="N61" i="11"/>
  <c r="N57" i="11"/>
  <c r="N53" i="11"/>
  <c r="N49" i="11"/>
  <c r="N45" i="11"/>
  <c r="N41" i="11"/>
  <c r="N37" i="11"/>
  <c r="N33" i="11"/>
  <c r="N29" i="11"/>
  <c r="N25" i="11"/>
  <c r="N21" i="11"/>
  <c r="N17" i="11"/>
  <c r="N13" i="11"/>
  <c r="N9" i="11"/>
  <c r="N5" i="11"/>
  <c r="N99" i="11"/>
  <c r="N95" i="11"/>
  <c r="N91" i="11"/>
  <c r="N87" i="11"/>
  <c r="N83" i="11"/>
  <c r="N79" i="11"/>
  <c r="N75" i="11"/>
  <c r="N71" i="11"/>
  <c r="N67" i="11"/>
  <c r="N63" i="11"/>
  <c r="N59" i="11"/>
  <c r="N55" i="11"/>
  <c r="N51" i="11"/>
  <c r="N47" i="11"/>
  <c r="N43" i="11"/>
  <c r="N39" i="11"/>
  <c r="N35" i="11"/>
  <c r="N31" i="11"/>
  <c r="N27" i="11"/>
  <c r="N23" i="11"/>
  <c r="N19" i="11"/>
  <c r="N15" i="11"/>
  <c r="N11" i="11"/>
  <c r="N7" i="11"/>
  <c r="N3" i="11"/>
  <c r="N2" i="11"/>
  <c r="O2" i="11" s="1"/>
  <c r="F6" i="11" a="1"/>
  <c r="F4" i="11" a="1"/>
  <c r="O72" i="11" l="1"/>
  <c r="O64" i="11"/>
  <c r="O63" i="11"/>
  <c r="O95" i="11"/>
  <c r="O49" i="11"/>
  <c r="O3" i="11"/>
  <c r="O69" i="11"/>
  <c r="O25" i="11"/>
  <c r="O27" i="11"/>
  <c r="O81" i="11"/>
  <c r="O16" i="11"/>
  <c r="O19" i="11"/>
  <c r="O32" i="11"/>
  <c r="O35" i="11"/>
  <c r="O57" i="11"/>
  <c r="O59" i="11"/>
  <c r="O28" i="11"/>
  <c r="O48" i="11"/>
  <c r="O51" i="11"/>
  <c r="O7" i="11"/>
  <c r="O101" i="11"/>
  <c r="O71" i="11"/>
  <c r="O79" i="11"/>
  <c r="O84" i="11"/>
  <c r="O40" i="11"/>
  <c r="O6" i="11"/>
  <c r="O44" i="11"/>
  <c r="O80" i="11"/>
  <c r="O67" i="11"/>
  <c r="O60" i="11"/>
  <c r="O96" i="11"/>
  <c r="O83" i="11"/>
  <c r="O38" i="11"/>
  <c r="O85" i="11"/>
  <c r="O29" i="11"/>
  <c r="O76" i="11"/>
  <c r="O17" i="11"/>
  <c r="O99" i="11"/>
  <c r="O33" i="11"/>
  <c r="O65" i="11"/>
  <c r="O20" i="11"/>
  <c r="O77" i="11"/>
  <c r="O86" i="11"/>
  <c r="O26" i="11"/>
  <c r="O30" i="11"/>
  <c r="O61" i="11"/>
  <c r="O97" i="11"/>
  <c r="O36" i="11"/>
  <c r="O18" i="11"/>
  <c r="O52" i="11"/>
  <c r="O5" i="11"/>
  <c r="O39" i="11"/>
  <c r="O74" i="11"/>
  <c r="O31" i="11"/>
  <c r="O62" i="11"/>
  <c r="O50" i="11"/>
  <c r="O37" i="11"/>
  <c r="O47" i="11"/>
  <c r="O78" i="11"/>
  <c r="O8" i="11"/>
  <c r="O82" i="11"/>
  <c r="F4" i="11"/>
  <c r="F6" i="11"/>
  <c r="I4" i="11" a="1"/>
  <c r="I4" i="11" l="1"/>
  <c r="I3" i="11" a="1"/>
  <c r="I3" i="11" l="1"/>
  <c r="F5" i="11" s="1"/>
  <c r="F22" i="6" l="1" a="1"/>
  <c r="F22" i="6" s="1"/>
  <c r="F41" i="6" a="1"/>
  <c r="F41" i="6" l="1"/>
  <c r="J26" i="6" a="1"/>
  <c r="J26" i="6" s="1"/>
  <c r="F21" i="6" a="1"/>
  <c r="F21" i="6" s="1"/>
  <c r="F40" i="6" l="1" a="1"/>
  <c r="F40" i="6" l="1"/>
  <c r="F39" i="6" a="1"/>
  <c r="F39" i="6" l="1"/>
  <c r="E26" i="10" l="1" a="1"/>
  <c r="E26" i="10" s="1"/>
  <c r="E24" i="10" l="1" a="1"/>
  <c r="E24" i="10" s="1"/>
  <c r="E22" i="10" l="1" a="1"/>
  <c r="E22" i="10" s="1"/>
  <c r="E10" i="10" l="1" a="1"/>
  <c r="P2" i="10" a="1"/>
  <c r="P2" i="10" l="1"/>
  <c r="E10" i="10"/>
  <c r="H3" i="10" a="1"/>
  <c r="H3" i="10" s="1"/>
  <c r="N4" i="10" l="1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K3" i="10" a="1"/>
  <c r="M3" i="10" a="1"/>
  <c r="M3" i="10" l="1"/>
  <c r="N3" i="10" s="1"/>
  <c r="K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" i="10" l="1"/>
  <c r="E3" i="10" a="1"/>
  <c r="E3" i="10" l="1"/>
  <c r="E6" i="10" a="1"/>
  <c r="E5" i="10" a="1"/>
  <c r="E4" i="10" a="1"/>
  <c r="E6" i="10" l="1"/>
  <c r="E5" i="10"/>
  <c r="E4" i="10"/>
  <c r="I3" i="10" l="1"/>
  <c r="I4" i="10" l="1"/>
  <c r="J3" i="10"/>
  <c r="I5" i="10" l="1"/>
  <c r="J4" i="10"/>
  <c r="I6" i="10" l="1"/>
  <c r="J5" i="10"/>
  <c r="D23" i="9" a="1"/>
  <c r="I7" i="10" l="1"/>
  <c r="J6" i="10"/>
  <c r="D23" i="9"/>
  <c r="F44" i="6"/>
  <c r="G44" i="6" s="1"/>
  <c r="I8" i="10" l="1"/>
  <c r="J7" i="10"/>
  <c r="F23" i="9"/>
  <c r="E23" i="9"/>
  <c r="I9" i="10" l="1"/>
  <c r="J8" i="10"/>
  <c r="D28" i="9"/>
  <c r="D29" i="9"/>
  <c r="D30" i="9" s="1"/>
  <c r="I10" i="10" l="1"/>
  <c r="J9" i="10"/>
  <c r="D32" i="9"/>
  <c r="E30" i="9"/>
  <c r="E29" i="9"/>
  <c r="E28" i="9"/>
  <c r="E27" i="9"/>
  <c r="E26" i="9"/>
  <c r="E25" i="9"/>
  <c r="D27" i="9" a="1"/>
  <c r="D27" i="9" s="1"/>
  <c r="I11" i="10" l="1"/>
  <c r="J10" i="10"/>
  <c r="G5" i="6"/>
  <c r="F30" i="6" a="1"/>
  <c r="I12" i="10" l="1"/>
  <c r="J11" i="10"/>
  <c r="F30" i="6"/>
  <c r="F16" i="6" a="1"/>
  <c r="F16" i="6" s="1"/>
  <c r="F37" i="6" a="1"/>
  <c r="I13" i="10" l="1"/>
  <c r="J12" i="10"/>
  <c r="F37" i="6"/>
  <c r="F35" i="6" a="1"/>
  <c r="I14" i="10" l="1"/>
  <c r="J13" i="10"/>
  <c r="F35" i="6"/>
  <c r="F38" i="6"/>
  <c r="I15" i="10" l="1"/>
  <c r="J14" i="10"/>
  <c r="F18" i="6" a="1"/>
  <c r="F18" i="6" s="1"/>
  <c r="F19" i="6" s="1"/>
  <c r="I16" i="10" l="1"/>
  <c r="J15" i="10"/>
  <c r="D25" i="9"/>
  <c r="D26" i="9"/>
  <c r="I17" i="10" l="1"/>
  <c r="J16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" i="9"/>
  <c r="I18" i="10" l="1"/>
  <c r="J17" i="10"/>
  <c r="T21" i="9"/>
  <c r="I19" i="10" l="1"/>
  <c r="J18" i="10"/>
  <c r="F6" i="9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4" i="9"/>
  <c r="F5" i="9" s="1"/>
  <c r="F3" i="9"/>
  <c r="I20" i="10" l="1"/>
  <c r="J19" i="10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4" i="9"/>
  <c r="D3" i="9"/>
  <c r="E3" i="9" s="1"/>
  <c r="E4" i="9" s="1"/>
  <c r="E5" i="9" s="1"/>
  <c r="I21" i="10" l="1"/>
  <c r="J20" i="10"/>
  <c r="E6" i="9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I22" i="10" l="1"/>
  <c r="J21" i="10"/>
  <c r="A2" i="9" a="1"/>
  <c r="A2" i="9" s="1"/>
  <c r="U43" i="6"/>
  <c r="N2" i="6" a="1"/>
  <c r="N2" i="6" s="1"/>
  <c r="R2" i="6" a="1"/>
  <c r="I23" i="10" l="1"/>
  <c r="J22" i="10"/>
  <c r="B23" i="9"/>
  <c r="R2" i="6"/>
  <c r="I24" i="10" l="1"/>
  <c r="J23" i="10"/>
  <c r="V43" i="6"/>
  <c r="U45" i="6"/>
  <c r="I25" i="10" l="1"/>
  <c r="J24" i="10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" i="6"/>
  <c r="P2" i="6" s="1"/>
  <c r="P3" i="6" l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F20" i="6"/>
  <c r="I26" i="10"/>
  <c r="J25" i="10"/>
  <c r="F17" i="6"/>
  <c r="F36" i="6" a="1"/>
  <c r="I27" i="10" l="1"/>
  <c r="J26" i="10"/>
  <c r="F36" i="6"/>
  <c r="I28" i="10" l="1"/>
  <c r="J27" i="10"/>
  <c r="F49" i="6"/>
  <c r="G49" i="6" s="1"/>
  <c r="F48" i="6"/>
  <c r="G48" i="6" s="1"/>
  <c r="H51" i="6" a="1"/>
  <c r="H50" i="6" a="1"/>
  <c r="I29" i="10" l="1"/>
  <c r="J28" i="10"/>
  <c r="H51" i="6"/>
  <c r="I51" i="6" s="1"/>
  <c r="H50" i="6"/>
  <c r="I14" i="5" a="1"/>
  <c r="J42" i="1" a="1"/>
  <c r="G30" i="1" a="1"/>
  <c r="G42" i="1" a="1"/>
  <c r="H14" i="5" a="1"/>
  <c r="G28" i="6" a="1"/>
  <c r="G26" i="6" a="1"/>
  <c r="G27" i="6" a="1"/>
  <c r="F33" i="6" a="1"/>
  <c r="G33" i="6" a="1"/>
  <c r="F34" i="6" a="1"/>
  <c r="I30" i="10" l="1"/>
  <c r="J29" i="10"/>
  <c r="H52" i="6"/>
  <c r="I52" i="6" s="1"/>
  <c r="F34" i="6"/>
  <c r="I14" i="5"/>
  <c r="H14" i="5"/>
  <c r="G30" i="1"/>
  <c r="J42" i="1"/>
  <c r="G42" i="1"/>
  <c r="G28" i="6"/>
  <c r="G27" i="6"/>
  <c r="G26" i="6"/>
  <c r="G33" i="6"/>
  <c r="F33" i="6"/>
  <c r="I4" i="6"/>
  <c r="J4" i="6" s="1"/>
  <c r="J3" i="6" a="1"/>
  <c r="J3" i="6" s="1"/>
  <c r="I3" i="6" a="1"/>
  <c r="I3" i="6" s="1"/>
  <c r="F12" i="6"/>
  <c r="I31" i="10" l="1"/>
  <c r="J30" i="10"/>
  <c r="K36" i="6"/>
  <c r="J36" i="6"/>
  <c r="J49" i="6"/>
  <c r="K49" i="6" s="1"/>
  <c r="F50" i="6"/>
  <c r="G50" i="6" s="1"/>
  <c r="F51" i="6"/>
  <c r="G51" i="6" s="1"/>
  <c r="L4" i="6"/>
  <c r="M4" i="6" s="1"/>
  <c r="M3" i="6" a="1"/>
  <c r="M3" i="6" s="1"/>
  <c r="L3" i="6" a="1"/>
  <c r="L3" i="6" s="1"/>
  <c r="F4" i="6"/>
  <c r="G4" i="6" s="1"/>
  <c r="G3" i="6" a="1"/>
  <c r="G3" i="6" s="1"/>
  <c r="F3" i="6" a="1"/>
  <c r="F3" i="6" s="1"/>
  <c r="F11" i="6" s="1"/>
  <c r="F15" i="7" a="1"/>
  <c r="F16" i="7" a="1"/>
  <c r="G29" i="6" a="1"/>
  <c r="F31" i="6" a="1"/>
  <c r="I32" i="10" l="1"/>
  <c r="J31" i="10"/>
  <c r="G14" i="6"/>
  <c r="F14" i="6"/>
  <c r="F15" i="6" s="1"/>
  <c r="G13" i="6"/>
  <c r="F7" i="6"/>
  <c r="F13" i="6"/>
  <c r="G7" i="6"/>
  <c r="F8" i="6" a="1"/>
  <c r="F8" i="6" s="1"/>
  <c r="G8" i="6" a="1"/>
  <c r="G8" i="6" s="1"/>
  <c r="F31" i="6"/>
  <c r="G29" i="6"/>
  <c r="F16" i="7"/>
  <c r="F15" i="7"/>
  <c r="H5" i="7"/>
  <c r="I5" i="7" s="1"/>
  <c r="I4" i="7" a="1"/>
  <c r="I4" i="7" s="1"/>
  <c r="H4" i="7" a="1"/>
  <c r="H4" i="7" s="1"/>
  <c r="E5" i="7"/>
  <c r="F5" i="7" s="1"/>
  <c r="F4" i="7" a="1"/>
  <c r="F4" i="7" s="1"/>
  <c r="F10" i="7" s="1"/>
  <c r="E4" i="7" a="1"/>
  <c r="E4" i="7" s="1"/>
  <c r="E9" i="7" s="1"/>
  <c r="E8" i="7" a="1"/>
  <c r="E8" i="7" s="1"/>
  <c r="E7" i="7" a="1"/>
  <c r="E7" i="7" s="1"/>
  <c r="F8" i="7" a="1"/>
  <c r="F8" i="7" s="1"/>
  <c r="F7" i="7" a="1"/>
  <c r="F7" i="7" s="1"/>
  <c r="F14" i="7" a="1"/>
  <c r="F13" i="7" a="1"/>
  <c r="G32" i="6" a="1"/>
  <c r="F9" i="6" a="1"/>
  <c r="F32" i="6" a="1"/>
  <c r="I33" i="10" l="1"/>
  <c r="J32" i="10"/>
  <c r="F32" i="6"/>
  <c r="F10" i="6"/>
  <c r="G32" i="6"/>
  <c r="F9" i="6"/>
  <c r="G10" i="6"/>
  <c r="F9" i="7"/>
  <c r="E10" i="7"/>
  <c r="I13" i="7" a="1"/>
  <c r="I13" i="7" s="1"/>
  <c r="F14" i="7"/>
  <c r="F13" i="7"/>
  <c r="G9" i="6" a="1"/>
  <c r="I34" i="10" l="1"/>
  <c r="J33" i="10"/>
  <c r="G9" i="6"/>
  <c r="I35" i="10" l="1"/>
  <c r="J34" i="10"/>
  <c r="F2" i="4"/>
  <c r="E2" i="4"/>
  <c r="H13" i="5" a="1"/>
  <c r="H13" i="5" s="1"/>
  <c r="F11" i="4" a="1"/>
  <c r="F5" i="4" a="1"/>
  <c r="F8" i="4" a="1"/>
  <c r="F3" i="4" a="1"/>
  <c r="F10" i="4" a="1"/>
  <c r="I36" i="10" l="1"/>
  <c r="J35" i="10"/>
  <c r="F3" i="4"/>
  <c r="F5" i="4"/>
  <c r="F11" i="4"/>
  <c r="F10" i="4"/>
  <c r="F8" i="4"/>
  <c r="I12" i="5" a="1"/>
  <c r="I12" i="5" s="1"/>
  <c r="H12" i="5" a="1"/>
  <c r="H12" i="5" s="1"/>
  <c r="I11" i="5" a="1"/>
  <c r="I11" i="5" s="1"/>
  <c r="H11" i="5" a="1"/>
  <c r="H11" i="5" s="1"/>
  <c r="I10" i="5"/>
  <c r="I13" i="5" s="1" a="1"/>
  <c r="I13" i="5" s="1"/>
  <c r="I37" i="10" l="1"/>
  <c r="J36" i="10"/>
  <c r="F7" i="4"/>
  <c r="I6" i="5"/>
  <c r="H6" i="5"/>
  <c r="I3" i="5"/>
  <c r="H3" i="5"/>
  <c r="I5" i="5"/>
  <c r="H5" i="5"/>
  <c r="I4" i="5"/>
  <c r="H4" i="5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E4" i="5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" i="5"/>
  <c r="E2" i="5"/>
  <c r="D3" i="5"/>
  <c r="D2" i="5"/>
  <c r="I2" i="5"/>
  <c r="H2" i="5"/>
  <c r="H7" i="5" a="1"/>
  <c r="I7" i="5" a="1"/>
  <c r="I38" i="10" l="1"/>
  <c r="J38" i="10" s="1"/>
  <c r="J37" i="10"/>
  <c r="I7" i="5"/>
  <c r="H7" i="5"/>
  <c r="C37" i="1" a="1"/>
  <c r="C37" i="1" s="1"/>
  <c r="D37" i="1" a="1"/>
  <c r="D37" i="1" s="1"/>
  <c r="C38" i="1" a="1"/>
  <c r="C38" i="1" s="1"/>
  <c r="D38" i="1" a="1"/>
  <c r="D38" i="1" s="1"/>
  <c r="G37" i="1" a="1"/>
  <c r="G38" i="1" a="1"/>
  <c r="E2" i="10" l="1"/>
  <c r="E20" i="10" s="1" a="1"/>
  <c r="E20" i="10" s="1"/>
  <c r="G38" i="1"/>
  <c r="H38" i="1" s="1"/>
  <c r="G37" i="1"/>
  <c r="H37" i="1" s="1"/>
  <c r="C36" i="1" a="1"/>
  <c r="C36" i="1" s="1"/>
  <c r="C35" i="1" a="1"/>
  <c r="C35" i="1" s="1"/>
  <c r="D36" i="1" l="1" a="1"/>
  <c r="D36" i="1" s="1"/>
  <c r="D35" i="1" a="1"/>
  <c r="D35" i="1" s="1"/>
  <c r="G36" i="1" a="1"/>
  <c r="G35" i="1" a="1"/>
  <c r="G36" i="1" l="1"/>
  <c r="H36" i="1" s="1"/>
  <c r="G35" i="1"/>
  <c r="H35" i="1" s="1"/>
  <c r="C34" i="1" a="1"/>
  <c r="C34" i="1" s="1"/>
  <c r="D34" i="1" a="1"/>
  <c r="D34" i="1" s="1"/>
  <c r="C33" i="1" a="1"/>
  <c r="C33" i="1" s="1"/>
  <c r="D33" i="1" a="1"/>
  <c r="D33" i="1" s="1"/>
  <c r="G34" i="1" a="1"/>
  <c r="G33" i="1" a="1"/>
  <c r="G34" i="1" l="1"/>
  <c r="H34" i="1" s="1"/>
  <c r="G33" i="1"/>
  <c r="H33" i="1" s="1"/>
  <c r="E8" i="4" a="1"/>
  <c r="G23" i="1" a="1"/>
  <c r="E11" i="4" a="1"/>
  <c r="E3" i="4" a="1"/>
  <c r="E10" i="4" a="1"/>
  <c r="G23" i="1" l="1"/>
  <c r="E3" i="4"/>
  <c r="E8" i="4"/>
  <c r="E11" i="4"/>
  <c r="E10" i="4"/>
  <c r="E5" i="4" a="1"/>
  <c r="E5" i="4" l="1"/>
  <c r="E7" i="4" s="1"/>
  <c r="D24" i="1" l="1" a="1"/>
  <c r="D24" i="1" s="1"/>
  <c r="D23" i="1" a="1"/>
  <c r="D23" i="1" s="1"/>
  <c r="G21" i="1" a="1"/>
  <c r="G21" i="1" l="1"/>
  <c r="D21" i="1"/>
  <c r="M30" i="2" a="1"/>
  <c r="I30" i="2" a="1"/>
  <c r="K30" i="2" a="1"/>
  <c r="G24" i="1" a="1"/>
  <c r="G25" i="1" a="1"/>
  <c r="G22" i="1" a="1"/>
  <c r="L30" i="2" a="1"/>
  <c r="G29" i="1" a="1"/>
  <c r="J30" i="2" a="1"/>
  <c r="K30" i="2" l="1"/>
  <c r="G29" i="1"/>
  <c r="I30" i="2"/>
  <c r="L30" i="2"/>
  <c r="G22" i="1"/>
  <c r="J30" i="2"/>
  <c r="M30" i="2"/>
  <c r="G25" i="1"/>
  <c r="G24" i="1"/>
  <c r="G28" i="1" a="1"/>
  <c r="G28" i="1" l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I3" i="2"/>
  <c r="I4" i="2"/>
  <c r="I5" i="2"/>
  <c r="I6" i="2"/>
  <c r="I7" i="2"/>
  <c r="I8" i="2"/>
  <c r="I9" i="2"/>
  <c r="I10" i="2"/>
  <c r="I11" i="2"/>
  <c r="I2" i="2"/>
  <c r="M28" i="2" a="1"/>
  <c r="I27" i="2" a="1"/>
  <c r="G26" i="1" a="1"/>
  <c r="K28" i="2" a="1"/>
  <c r="L27" i="2" a="1"/>
  <c r="I28" i="2" a="1"/>
  <c r="J27" i="2" a="1"/>
  <c r="L28" i="2" a="1"/>
  <c r="K27" i="2" a="1"/>
  <c r="J28" i="2" a="1"/>
  <c r="M27" i="2" a="1"/>
  <c r="L24" i="2" l="1" a="1"/>
  <c r="L24" i="2" s="1"/>
  <c r="J16" i="2"/>
  <c r="L13" i="2" a="1"/>
  <c r="L13" i="2" s="1"/>
  <c r="I14" i="2"/>
  <c r="M15" i="2" a="1"/>
  <c r="M15" i="2" s="1"/>
  <c r="L18" i="2"/>
  <c r="L23" i="2" s="1" a="1"/>
  <c r="L23" i="2" s="1"/>
  <c r="J15" i="2" a="1"/>
  <c r="J15" i="2" s="1"/>
  <c r="K15" i="2" a="1"/>
  <c r="K15" i="2" s="1"/>
  <c r="L16" i="2"/>
  <c r="I13" i="2" a="1"/>
  <c r="I13" i="2" s="1"/>
  <c r="K16" i="2"/>
  <c r="M13" i="2" a="1"/>
  <c r="M13" i="2" s="1"/>
  <c r="J13" i="2" a="1"/>
  <c r="J13" i="2" s="1"/>
  <c r="M14" i="2"/>
  <c r="K14" i="2"/>
  <c r="L17" i="2"/>
  <c r="I15" i="2" a="1"/>
  <c r="I15" i="2" s="1"/>
  <c r="J17" i="2"/>
  <c r="M28" i="2"/>
  <c r="J28" i="2"/>
  <c r="L28" i="2"/>
  <c r="K28" i="2"/>
  <c r="I28" i="2"/>
  <c r="K27" i="2"/>
  <c r="M27" i="2"/>
  <c r="L27" i="2"/>
  <c r="J27" i="2"/>
  <c r="I27" i="2"/>
  <c r="G26" i="1"/>
  <c r="K17" i="2"/>
  <c r="M17" i="2"/>
  <c r="J14" i="2"/>
  <c r="M18" i="2"/>
  <c r="M23" i="2" s="1" a="1"/>
  <c r="M23" i="2" s="1"/>
  <c r="K18" i="2"/>
  <c r="K24" i="2" s="1" a="1"/>
  <c r="K24" i="2" s="1"/>
  <c r="I17" i="2"/>
  <c r="L15" i="2" a="1"/>
  <c r="L15" i="2" s="1"/>
  <c r="J18" i="2"/>
  <c r="J24" i="2" s="1" a="1"/>
  <c r="J24" i="2" s="1"/>
  <c r="K13" i="2" a="1"/>
  <c r="K13" i="2" s="1"/>
  <c r="I18" i="2"/>
  <c r="I24" i="2" s="1" a="1"/>
  <c r="I24" i="2" s="1"/>
  <c r="L14" i="2"/>
  <c r="I16" i="2"/>
  <c r="M16" i="2"/>
  <c r="D22" i="1"/>
  <c r="H22" i="1" s="1"/>
  <c r="I29" i="2" a="1"/>
  <c r="L29" i="2" a="1"/>
  <c r="M29" i="2" a="1"/>
  <c r="J29" i="2" a="1"/>
  <c r="K29" i="2" a="1"/>
  <c r="I29" i="2" l="1"/>
  <c r="M29" i="2"/>
  <c r="J29" i="2"/>
  <c r="K29" i="2"/>
  <c r="L29" i="2"/>
  <c r="J23" i="2" a="1"/>
  <c r="J23" i="2" s="1"/>
  <c r="K23" i="2" a="1"/>
  <c r="K23" i="2" s="1"/>
  <c r="K19" i="2"/>
  <c r="I23" i="2" a="1"/>
  <c r="I23" i="2" s="1"/>
  <c r="J20" i="2"/>
  <c r="M24" i="2" a="1"/>
  <c r="M24" i="2" s="1"/>
  <c r="M21" i="2"/>
  <c r="J22" i="2"/>
  <c r="I19" i="2"/>
  <c r="K20" i="2"/>
  <c r="K21" i="2"/>
  <c r="M20" i="2"/>
  <c r="K22" i="2"/>
  <c r="I20" i="2"/>
  <c r="I22" i="2"/>
  <c r="L19" i="2"/>
  <c r="L21" i="2"/>
  <c r="L22" i="2"/>
  <c r="L20" i="2"/>
  <c r="M22" i="2"/>
  <c r="M19" i="2"/>
  <c r="I21" i="2"/>
  <c r="J21" i="2"/>
  <c r="J19" i="2"/>
  <c r="C31" i="1" l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G32" i="1" l="1"/>
  <c r="G27" i="1"/>
  <c r="H27" i="1" s="1"/>
  <c r="D28" i="1"/>
  <c r="G31" i="1" a="1"/>
  <c r="G31" i="1" l="1"/>
  <c r="Q3" i="1" a="1"/>
  <c r="Q3" i="1" s="1"/>
  <c r="R3" i="1" a="1"/>
  <c r="R3" i="1" s="1"/>
  <c r="P3" i="1" a="1"/>
  <c r="P3" i="1" s="1"/>
  <c r="L21" i="1" a="1"/>
  <c r="L25" i="1" a="1"/>
  <c r="L23" i="1" a="1"/>
  <c r="L24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C24" i="1" a="1"/>
  <c r="C24" i="1" s="1"/>
  <c r="C21" i="1" a="1"/>
  <c r="C21" i="1" s="1"/>
  <c r="C22" i="1" s="1"/>
  <c r="T12" i="1" l="1" a="1"/>
  <c r="T12" i="1" s="1"/>
  <c r="H31" i="1" l="1"/>
  <c r="H32" i="1" l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6" i="1" l="1"/>
  <c r="H26" i="1" s="1"/>
  <c r="C26" i="1"/>
  <c r="D20" i="1"/>
  <c r="D19" i="1"/>
  <c r="D30" i="1" s="1"/>
  <c r="H30" i="1" s="1"/>
  <c r="C19" i="1"/>
  <c r="B19" i="1"/>
  <c r="C29" i="1" l="1"/>
  <c r="C30" i="1"/>
  <c r="D29" i="1"/>
  <c r="H29" i="1" s="1"/>
  <c r="H28" i="1"/>
  <c r="C28" i="1"/>
  <c r="C2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Timothy R. Mayes, Ph.D.</author>
  </authors>
  <commentList>
    <comment ref="F2" authorId="0" shapeId="0" xr:uid="{CF8FD0E2-AB4C-42AE-B00C-02F694D08FF2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Here I set the data frequency to 1, so the measures are per period.</t>
        </r>
      </text>
    </comment>
    <comment ref="G2" authorId="0" shapeId="0" xr:uid="{D7173E70-8DD5-487D-9D9A-A83733576780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This is Bacon's methodology (i.e., use annualized returns instead of per period returns).</t>
        </r>
      </text>
    </comment>
    <comment ref="G28" authorId="0" shapeId="0" xr:uid="{5CCAA0DA-5FA8-4FC8-B47B-DA427260DD08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Note that Bacon has the skewness with the wrong sign on page 52, though this doesn't affect his result.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<sst xmlns="http://schemas.openxmlformats.org/spreadsheetml/2006/main" count="313" uniqueCount="169">
  <si>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</si>
  <si>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</si>
  <si>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</si>
  <si>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</si>
  <si>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</si>
  <si>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</si>
  <si>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</si>
  <si>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</si>
  <si>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</si>
  <si>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</si>
  <si>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</si>
  <si>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</si>
  <si>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</si>
  <si>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</si>
  <si>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</si>
  <si>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</si>
  <si>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</si>
  <si>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</si>
  <si>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</si>
  <si>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</si>
  <si>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</si>
  <si>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</si>
  <si>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</si>
  <si>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</si>
  <si>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</si>
  <si>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Adjusted Beta</t>
  </si>
  <si>
    <t>Year</t>
  </si>
  <si>
    <t>Magellan</t>
  </si>
  <si>
    <t>44 Wall Street</t>
  </si>
  <si>
    <t>New Horizons</t>
  </si>
  <si>
    <t>S&amp;P 500</t>
  </si>
  <si>
    <t>1Yr Treasury</t>
  </si>
  <si>
    <t>1-Yr Treasury</t>
  </si>
  <si>
    <t>HPR</t>
  </si>
  <si>
    <t>Avg Annual HPR (Arithmetic)</t>
  </si>
  <si>
    <t>Avg Annual HPR (Geometric)</t>
  </si>
  <si>
    <t>Standard Deviation</t>
  </si>
  <si>
    <t>Correlation with S&amp;P 500</t>
  </si>
  <si>
    <t>Sharpe Ratio (Arithmetic)</t>
  </si>
  <si>
    <t>Sharpe Ratio (Geometric)</t>
  </si>
  <si>
    <t>Treynor Index (Arithmetic)</t>
  </si>
  <si>
    <t>Treynor Index (Geometric)</t>
  </si>
  <si>
    <t>Jensen's Alpha (Arithmetic)</t>
  </si>
  <si>
    <t>Jensen's Alpha (Geometric)</t>
  </si>
  <si>
    <t>Sample Skewness</t>
  </si>
  <si>
    <t>Sample Kurtosis</t>
  </si>
  <si>
    <t>JB Test</t>
  </si>
  <si>
    <t>Up Capture Raio</t>
  </si>
  <si>
    <t>Down Capture Ratio</t>
  </si>
  <si>
    <t>Up Percentage Ratio</t>
  </si>
  <si>
    <t>Down Percentage Ratio</t>
  </si>
  <si>
    <t>Percentage Gain Ratio</t>
  </si>
  <si>
    <t>Percentage Loss Ratio</t>
  </si>
  <si>
    <t>Portfolio Return</t>
  </si>
  <si>
    <t>Benchmark Return</t>
  </si>
  <si>
    <t>Hurst Exponent</t>
  </si>
  <si>
    <t>Max Cum Dev</t>
  </si>
  <si>
    <t>Portfolio CD</t>
  </si>
  <si>
    <t>Benchmark CD</t>
  </si>
  <si>
    <t>Min Cum Dev</t>
  </si>
  <si>
    <t>Bias Ratio</t>
  </si>
  <si>
    <t>Portfolio</t>
  </si>
  <si>
    <t>Benchmark</t>
  </si>
  <si>
    <t>Number of Std Devs</t>
  </si>
  <si>
    <t>Count Above</t>
  </si>
  <si>
    <t>Count Below</t>
  </si>
  <si>
    <t>Population Skewness</t>
  </si>
  <si>
    <t>Population Kurtosis</t>
  </si>
  <si>
    <t>Risk-Free</t>
  </si>
  <si>
    <t>Adjusted Sharpe Ratio</t>
  </si>
  <si>
    <t>Using Annualized Returns</t>
  </si>
  <si>
    <t>Per Period</t>
  </si>
  <si>
    <t>Tracking Error Arith</t>
  </si>
  <si>
    <t>Tracking Error Geom</t>
  </si>
  <si>
    <t>Annualized</t>
  </si>
  <si>
    <t>Information Ratio Arith</t>
  </si>
  <si>
    <t>Information Ratio Geom</t>
  </si>
  <si>
    <t>Std Deviation</t>
  </si>
  <si>
    <t>All Match?</t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</si>
  <si>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</si>
  <si>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t>All Equal?</t>
  </si>
  <si>
    <t>Monthly</t>
  </si>
  <si>
    <t>Appraisal Ratio</t>
  </si>
  <si>
    <t>Var Asset</t>
  </si>
  <si>
    <t>Var Mkt</t>
  </si>
  <si>
    <t>Mkt Risk</t>
  </si>
  <si>
    <t>Unique Risk</t>
  </si>
  <si>
    <t>K Ratio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</si>
  <si>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</si>
  <si>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</si>
  <si>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</si>
  <si>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</si>
  <si>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</si>
  <si>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</si>
  <si>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</si>
  <si>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</si>
  <si>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</si>
  <si>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</si>
  <si>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</si>
  <si>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</si>
  <si>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</si>
  <si>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</si>
  <si>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</si>
  <si>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</si>
  <si>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</si>
  <si>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</si>
  <si>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</si>
  <si>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</si>
  <si>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</si>
  <si>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</si>
  <si>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</si>
  <si>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</si>
  <si>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</si>
  <si>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Port Value</t>
  </si>
  <si>
    <t>Cum Ret</t>
  </si>
  <si>
    <t>Return</t>
  </si>
  <si>
    <t>Pred</t>
  </si>
  <si>
    <t>Error</t>
  </si>
  <si>
    <t>Slope</t>
  </si>
  <si>
    <t>SSE</t>
  </si>
  <si>
    <t>Semi-variance Below Mean</t>
  </si>
  <si>
    <t>Semi-deviation Below Mean</t>
  </si>
  <si>
    <t>Semi-variance Above Mean</t>
  </si>
  <si>
    <t>Minimum Target Return</t>
  </si>
  <si>
    <t>Roy Ratio (Safety First)</t>
  </si>
  <si>
    <t>MSE</t>
  </si>
  <si>
    <r>
      <t xml:space="preserve">SE </t>
    </r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>1</t>
    </r>
  </si>
  <si>
    <t>K-Ratio</t>
  </si>
  <si>
    <t>Var Periods</t>
  </si>
  <si>
    <t>Sem-deviation Above Mean</t>
  </si>
  <si>
    <t>k Ratio</t>
  </si>
  <si>
    <t>T-Stat</t>
  </si>
  <si>
    <t>Max Drawdown</t>
  </si>
  <si>
    <t>Period</t>
  </si>
  <si>
    <t>Cum Returns</t>
  </si>
  <si>
    <t>Max DD Year 1</t>
  </si>
  <si>
    <t>Max DD Year 2</t>
  </si>
  <si>
    <t>Max DD Year 3</t>
  </si>
  <si>
    <t>Calmar Ratio</t>
  </si>
  <si>
    <t>Average DD (All)</t>
  </si>
  <si>
    <t>Drawdown</t>
  </si>
  <si>
    <t>Average DD (Worst 3)</t>
  </si>
  <si>
    <t>Peaks</t>
  </si>
  <si>
    <t>Troughs</t>
  </si>
  <si>
    <t>Maximum DD Duration</t>
  </si>
  <si>
    <t>Ulcer Index</t>
  </si>
  <si>
    <t>Drawdowns</t>
  </si>
  <si>
    <t>Ulcer Performance Index</t>
  </si>
  <si>
    <t>Sterling Ratio (3 drawdowns)</t>
  </si>
  <si>
    <t>Average Max Drawdown per Year</t>
  </si>
  <si>
    <t>Omega Ratio</t>
  </si>
  <si>
    <t>Kappa Index</t>
  </si>
  <si>
    <t>Para VaR</t>
  </si>
  <si>
    <t>Mod Para VaR</t>
  </si>
  <si>
    <t>Skewness</t>
  </si>
  <si>
    <t>Kurtosis</t>
  </si>
  <si>
    <t>Portfolio Returns</t>
  </si>
  <si>
    <t>Benmark Returns</t>
  </si>
  <si>
    <t>Risk-Free Rate</t>
  </si>
  <si>
    <t>Testing Excel's Norm.S.Inv against my NormalCdfInverse</t>
  </si>
  <si>
    <t>Conf Level</t>
  </si>
  <si>
    <t>Norm.S.Inv</t>
  </si>
  <si>
    <t>NormalCdfInverse</t>
  </si>
  <si>
    <t>Hist Sim VaR</t>
  </si>
  <si>
    <t>Price</t>
  </si>
  <si>
    <t>Cash Flow</t>
  </si>
  <si>
    <t>HPR Reinvest</t>
  </si>
  <si>
    <t>Returns</t>
  </si>
  <si>
    <t>Log Price Relatives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</si>
</sst>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  <numFmt numFmtId="171" formatCode="_(* #,##0.0000_);_(* \(#,##0.0000\);_(* &quot;-&quot;??_);_(@_)"/>
    <numFmt numFmtId="172" formatCode="_(* #,##0.0_);_(* \(#,##0.0\);_(* &quot;-&quot;??_);_(@_)"/>
    <numFmt numFmtId="173" formatCode="_(* #,##0.000_);_(* \(#,##0.000\);_(* &quot;-&quot;??_);_(@_)"/>
    <numFmt numFmtId="174" formatCode="0.0%"/>
    <numFmt numFmtId="175" formatCode="_(* #,##0_);_(* \(#,##0\);_(* &quot;-&quot;??_);_(@_)"/>
    <numFmt numFmtId="176" formatCode="0.00000000"/>
    <numFmt numFmtId="177" formatCode="0.000000000"/>
    <numFmt numFmtId="178" formatCode="_(* #,##0.0000000_);_(* \(#,##0.0000000\);_(* &quot;-&quot;??_);_(@_)"/>
    <numFmt numFmtId="179" formatCode="0.0000"/>
  </numFmts>
  <fonts count="10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2"/>
    </font>
    <font>
      <vertAlign val="subscript"/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71" fontId="0" fillId="0" borderId="0" xfId="0" applyNumberFormat="1"/>
    <xf numFmtId="43" fontId="0" fillId="0" borderId="0" xfId="1" applyFont="1"/>
    <xf numFmtId="173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74" fontId="0" fillId="0" borderId="0" xfId="2" applyNumberFormat="1" applyFont="1"/>
    <xf numFmtId="175" fontId="0" fillId="0" borderId="0" xfId="1" applyNumberFormat="1" applyFont="1"/>
    <xf numFmtId="43" fontId="0" fillId="0" borderId="0" xfId="1" applyNumberFormat="1" applyFont="1"/>
    <xf numFmtId="43" fontId="0" fillId="0" borderId="0" xfId="0" applyNumberFormat="1"/>
    <xf numFmtId="0" fontId="0" fillId="0" borderId="0" xfId="0" applyNumberFormat="1"/>
    <xf numFmtId="0" fontId="0" fillId="0" borderId="0" xfId="2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176" fontId="0" fillId="0" borderId="0" xfId="0" applyNumberFormat="1"/>
    <xf numFmtId="177" fontId="0" fillId="0" borderId="0" xfId="0" applyNumberFormat="1"/>
    <xf numFmtId="178" fontId="0" fillId="0" borderId="0" xfId="1" applyNumberFormat="1" applyFont="1"/>
    <xf numFmtId="178" fontId="0" fillId="0" borderId="0" xfId="0" applyNumberFormat="1"/>
    <xf numFmtId="17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Return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Returns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5.1 Drawdown Statistics'!$H$3:$H$38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'Table 5.1 Drawdown Statistics'!$I$3:$I$38</c:f>
              <c:numCache>
                <c:formatCode>0.0000</c:formatCode>
                <c:ptCount val="36"/>
                <c:pt idx="0">
                  <c:v>1.0029999999999999</c:v>
                </c:pt>
                <c:pt idx="1">
                  <c:v>1.0290779999999999</c:v>
                </c:pt>
                <c:pt idx="2">
                  <c:v>1.0403978579999997</c:v>
                </c:pt>
                <c:pt idx="3">
                  <c:v>1.0310342772779997</c:v>
                </c:pt>
                <c:pt idx="4">
                  <c:v>1.0454687571598917</c:v>
                </c:pt>
                <c:pt idx="5">
                  <c:v>1.0705600073317292</c:v>
                </c:pt>
                <c:pt idx="6">
                  <c:v>1.0866184074417049</c:v>
                </c:pt>
                <c:pt idx="7">
                  <c:v>1.1583352223328576</c:v>
                </c:pt>
                <c:pt idx="8">
                  <c:v>1.1421185292201976</c:v>
                </c:pt>
                <c:pt idx="9">
                  <c:v>1.1866611518597852</c:v>
                </c:pt>
                <c:pt idx="10">
                  <c:v>1.1807278461004862</c:v>
                </c:pt>
                <c:pt idx="11">
                  <c:v>1.2763668016346255</c:v>
                </c:pt>
                <c:pt idx="12">
                  <c:v>1.3274214737000105</c:v>
                </c:pt>
                <c:pt idx="13">
                  <c:v>1.27830687917311</c:v>
                </c:pt>
                <c:pt idx="14">
                  <c:v>1.2003301595435505</c:v>
                </c:pt>
                <c:pt idx="15">
                  <c:v>1.2171347817771603</c:v>
                </c:pt>
                <c:pt idx="16">
                  <c:v>1.1574951774700795</c:v>
                </c:pt>
                <c:pt idx="17">
                  <c:v>1.1331877787432079</c:v>
                </c:pt>
                <c:pt idx="18">
                  <c:v>1.2034454210252867</c:v>
                </c:pt>
                <c:pt idx="19">
                  <c:v>1.2732452554447535</c:v>
                </c:pt>
                <c:pt idx="20">
                  <c:v>1.1917575590962892</c:v>
                </c:pt>
                <c:pt idx="21">
                  <c:v>1.2120174376009261</c:v>
                </c:pt>
                <c:pt idx="22">
                  <c:v>1.2071693678505224</c:v>
                </c:pt>
                <c:pt idx="23">
                  <c:v>1.2047550291148215</c:v>
                </c:pt>
                <c:pt idx="24">
                  <c:v>1.1794551735034102</c:v>
                </c:pt>
                <c:pt idx="25">
                  <c:v>1.1924291804119476</c:v>
                </c:pt>
                <c:pt idx="26">
                  <c:v>1.2484733518913089</c:v>
                </c:pt>
                <c:pt idx="27">
                  <c:v>1.2784367123367004</c:v>
                </c:pt>
                <c:pt idx="28">
                  <c:v>1.3206251238438114</c:v>
                </c:pt>
                <c:pt idx="29">
                  <c:v>1.3113807479769046</c:v>
                </c:pt>
                <c:pt idx="30">
                  <c:v>1.373015643131819</c:v>
                </c:pt>
                <c:pt idx="31">
                  <c:v>1.3812537369906099</c:v>
                </c:pt>
                <c:pt idx="32">
                  <c:v>1.395066274360516</c:v>
                </c:pt>
                <c:pt idx="33">
                  <c:v>1.392276141811795</c:v>
                </c:pt>
                <c:pt idx="34">
                  <c:v>1.4396135306333961</c:v>
                </c:pt>
                <c:pt idx="35">
                  <c:v>1.4540096659397301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C-4F4F-96E2-4360D9073DB0}"/>
            </c:ext>
          </c:extLst>
        </c:ser>
        <c:ser>
          <c:idx val="1"/>
          <c:order val="1"/>
          <c:tx>
            <c:v>Peaks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'Table 5.1 Drawdown Statistics'!$H$3:$H$38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'Table 5.1 Drawdown Statistics'!$L$3:$L$38</c:f>
              <c:numCache>
                <c:formatCode>_(* #,##0.0000_);_(* \(#,##0.0000\);_(* "-"??_);_(@_)</c:formatCode>
                <c:ptCount val="36"/>
                <c:pt idx="0">
                  <c:v>#N/A</c:v>
                </c:pt>
                <c:pt idx="1">
                  <c:v>#N/A</c:v>
                </c:pt>
                <c:pt idx="2">
                  <c:v>1.0403978579999997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1.1583352223328576</c:v>
                </c:pt>
                <c:pt idx="8">
                  <c:v>#N/A</c:v>
                </c:pt>
                <c:pt idx="9">
                  <c:v>1.1866611518597852</c:v>
                </c:pt>
                <c:pt idx="10">
                  <c:v>#N/A</c:v>
                </c:pt>
                <c:pt idx="11">
                  <c:v>#N/A</c:v>
                </c:pt>
                <c:pt idx="12">
                  <c:v>1.3274214737000105</c:v>
                </c:pt>
                <c:pt idx="13">
                  <c:v>#N/A</c:v>
                </c:pt>
                <c:pt idx="14">
                  <c:v>#N/A</c:v>
                </c:pt>
                <c:pt idx="15">
                  <c:v>1.2171347817771603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1.2732452554447535</c:v>
                </c:pt>
                <c:pt idx="20">
                  <c:v>#N/A</c:v>
                </c:pt>
                <c:pt idx="21">
                  <c:v>1.2120174376009261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1.3206251238438114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1.395066274360516</c:v>
                </c:pt>
                <c:pt idx="33">
                  <c:v>#N/A</c:v>
                </c:pt>
                <c:pt idx="34">
                  <c:v>#N/A</c:v>
                </c:pt>
                <c:pt idx="35">
                  <c:v>1.4540096659397301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72-4003-ACDC-681C2BE72C5B}"/>
            </c:ext>
          </c:extLst>
        </c:ser>
        <c:ser>
          <c:idx val="2"/>
          <c:order val="2"/>
          <c:tx>
            <c:v>Troughs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'Table 5.1 Drawdown Statistics'!$H$3:$H$38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'Table 5.1 Drawdown Statistics'!$N$3:$N$38</c:f>
              <c:numCache>
                <c:formatCode>_(* #,##0.0000_);_(* \(#,##0.0000\);_(* "-"??_);_(@_)</c:formatCode>
                <c:ptCount val="36"/>
                <c:pt idx="0">
                  <c:v>1.0029999999999999</c:v>
                </c:pt>
                <c:pt idx="1">
                  <c:v>#N/A</c:v>
                </c:pt>
                <c:pt idx="2">
                  <c:v>#N/A</c:v>
                </c:pt>
                <c:pt idx="3">
                  <c:v>1.0310342772779997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1.1421185292201976</c:v>
                </c:pt>
                <c:pt idx="9">
                  <c:v>#N/A</c:v>
                </c:pt>
                <c:pt idx="10">
                  <c:v>1.1807278461004862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1.2003301595435505</c:v>
                </c:pt>
                <c:pt idx="15">
                  <c:v>#N/A</c:v>
                </c:pt>
                <c:pt idx="16">
                  <c:v>#N/A</c:v>
                </c:pt>
                <c:pt idx="17">
                  <c:v>1.1331877787432079</c:v>
                </c:pt>
                <c:pt idx="18">
                  <c:v>#N/A</c:v>
                </c:pt>
                <c:pt idx="19">
                  <c:v>#N/A</c:v>
                </c:pt>
                <c:pt idx="20">
                  <c:v>1.1917575590962892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1.1794551735034102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1.3113807479769046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1.392276141811795</c:v>
                </c:pt>
                <c:pt idx="34">
                  <c:v>#N/A</c:v>
                </c:pt>
                <c:pt idx="3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2-47F3-ADD1-806220C32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109472"/>
        <c:axId val="872112424"/>
      </c:scatterChart>
      <c:valAx>
        <c:axId val="87210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12424"/>
        <c:crosses val="autoZero"/>
        <c:crossBetween val="midCat"/>
      </c:valAx>
      <c:valAx>
        <c:axId val="87211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0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'K-Ratio'!$B$2:$B$21</c:f>
              <c:numCache>
                <c:formatCode>0.00%</c:formatCode>
                <c:ptCount val="20"/>
                <c:pt idx="0">
                  <c:v>0</c:v>
                </c:pt>
                <c:pt idx="1">
                  <c:v>-1.5E-3</c:v>
                </c:pt>
                <c:pt idx="2">
                  <c:v>7.1999999999999998E-3</c:v>
                </c:pt>
                <c:pt idx="3">
                  <c:v>1.23E-2</c:v>
                </c:pt>
                <c:pt idx="4">
                  <c:v>2.5000000000000001E-2</c:v>
                </c:pt>
                <c:pt idx="5">
                  <c:v>2.3300000000000001E-2</c:v>
                </c:pt>
                <c:pt idx="6">
                  <c:v>2.5399999999999999E-2</c:v>
                </c:pt>
                <c:pt idx="7">
                  <c:v>3.6299999999999999E-2</c:v>
                </c:pt>
                <c:pt idx="8">
                  <c:v>4.9100000000000005E-2</c:v>
                </c:pt>
                <c:pt idx="9">
                  <c:v>6.25E-2</c:v>
                </c:pt>
                <c:pt idx="10">
                  <c:v>6.3200000000000006E-2</c:v>
                </c:pt>
                <c:pt idx="11">
                  <c:v>6.6000000000000003E-2</c:v>
                </c:pt>
                <c:pt idx="12">
                  <c:v>6.7500000000000004E-2</c:v>
                </c:pt>
                <c:pt idx="13">
                  <c:v>7.9199999999999993E-2</c:v>
                </c:pt>
                <c:pt idx="14">
                  <c:v>8.3000000000000004E-2</c:v>
                </c:pt>
                <c:pt idx="15">
                  <c:v>0.09</c:v>
                </c:pt>
                <c:pt idx="16">
                  <c:v>9.2200000000000004E-2</c:v>
                </c:pt>
                <c:pt idx="17">
                  <c:v>9.3599999999999989E-2</c:v>
                </c:pt>
                <c:pt idx="18">
                  <c:v>9.3699999999999992E-2</c:v>
                </c:pt>
                <c:pt idx="19">
                  <c:v>0.1017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4-409B-8841-FDA775E4D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381352"/>
        <c:axId val="885381680"/>
      </c:lineChart>
      <c:catAx>
        <c:axId val="885381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81680"/>
        <c:crosses val="autoZero"/>
        <c:auto val="1"/>
        <c:lblAlgn val="ctr"/>
        <c:lblOffset val="100"/>
        <c:noMultiLvlLbl val="0"/>
      </c:catAx>
      <c:valAx>
        <c:axId val="8853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8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CED7E-B802-4702-B75A-25F1B3FA7BA5}"/>
            </a:ext>
          </a:extLst>
        </xdr:cNvPr>
        <xdr:cNvSpPr txBox="1"/>
      </xdr:nvSpPr>
      <xdr:spPr>
        <a:xfrm>
          <a:off x="0" y="2476500"/>
          <a:ext cx="5019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Moses, E. A., &amp; Cheney, J. M. (1989). Investments: Analysis, Selection, and Management.West Publishing Company. Table 8.1, page 194.</a:t>
          </a:r>
        </a:p>
        <a:p>
          <a:endParaRPr lang="en-US" sz="1100"/>
        </a:p>
        <a:p>
          <a:r>
            <a:rPr lang="en-US" sz="1100"/>
            <a:t>The calculations at right match</a:t>
          </a:r>
          <a:r>
            <a:rPr lang="en-US" sz="1100" baseline="0"/>
            <a:t> those in the source after allowing for slight rounding in the source material.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304800</xdr:colOff>
      <xdr:row>1</xdr:row>
      <xdr:rowOff>0</xdr:rowOff>
    </xdr:from>
    <xdr:to>
      <xdr:col>23</xdr:col>
      <xdr:colOff>152400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5697E3-E527-4714-B4B5-5BED95AC9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100012</xdr:colOff>
      <xdr:row>10</xdr:row>
      <xdr:rowOff>85725</xdr:rowOff>
    </xdr:from>
    <xdr:to>
      <xdr:col>16</xdr:col>
      <xdr:colOff>404812</xdr:colOff>
      <xdr:row>24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D74C09-E992-4897-879D-A9C83468F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54"/>
  <sheetViews>
    <sheetView topLeftCell="A13" workbookViewId="0">
      <selection activeCell="N43" sqref="N43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1.42578125" bestFit="1" customWidth="1"/>
    <col min="4" max="4" width="11.85546875" customWidth="1"/>
    <col min="5" max="5" width="10.7109375" bestFit="1" customWidth="1"/>
    <col min="6" max="6" width="9.140625" customWidth="1"/>
    <col min="7" max="7" width="24.4257812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1.140625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F3" s="8"/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F4" s="8"/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F5" s="8"/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F6" s="8"/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F7" s="8"/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F8" s="8"/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F9" s="8"/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F10" s="8"/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F11" s="8"/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F12" s="8"/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F13" s="8"/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F14" s="8"/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F15" s="8"/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F16" s="8"/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F17" s="8"/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E19" s="30"/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>
        <f>_xlfn.COVARIANCE.S(D3:D17,$C$3:$C$17)/_xlfn.VAR.S($C$3:$C$17)</f>
        <v>0.94241159407120378</v>
      </c>
      <c r="G21" s="9" cm="1">
        <f t="array" ref="G21">_xll.Beta(D3:D17,C3:C17)</f>
        <v>0.94241159407120412</v>
      </c>
      <c r="H21" s="10">
        <f>D21-G21</f>
        <v>0</v>
      </c>
      <c r="L21" cm="1">
        <f t="array" ref="L21">_xll.Beta(L3:L17,K3:K17)</f>
        <v>0.1271052478189077</v>
      </c>
    </row>
    <row r="22" spans="1:12" x14ac:dyDescent="0.25">
      <c r="A22" t="s">
        <v>25</v>
      </c>
      <c r="C22" s="8">
        <f>C21*2/3+1/3</f>
        <v>1</v>
      </c>
      <c r="D22" s="8">
        <f>D21*2/3+1/3</f>
        <v>0.96160772938080252</v>
      </c>
      <c r="G22" s="9" cm="1">
        <f t="array" ref="G22">_xll.AdjustedBeta(D3:D17,C3:C17)</f>
        <v>0.96160772938080274</v>
      </c>
      <c r="H22" s="10">
        <f>D22-G22</f>
        <v>0</v>
      </c>
    </row>
    <row r="23" spans="1:12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SLOPE(_xlfn._xlws.FILTER(D3:D17,$C$3:$C$17&gt;0),_xlfn._xlws.FILTER($C$3:$C$17,$C$3:$C$17&gt;0))</f>
        <v>1.0869212641710992</v>
      </c>
      <c r="G23" s="9" cm="1">
        <f t="array" ref="G23">_xll.BullBeta(D3:D17,C3:C17)</f>
        <v>1.0869212641710992</v>
      </c>
      <c r="H23" s="10">
        <f t="shared" ref="H23:H38" si="1">D23-G23</f>
        <v>0</v>
      </c>
      <c r="L23" cm="1">
        <f t="array" ref="L23">_xll.BullBeta(L3:L17,K3:K17)</f>
        <v>0.1271052478189077</v>
      </c>
    </row>
    <row r="24" spans="1:12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SLOPE(_xlfn._xlws.FILTER(D3:D17,$C$3:$C$17&lt;0),_xlfn._xlws.FILTER($C$3:$C$17,$C$3:$C$17&lt;0))</f>
        <v>0.54207326774062659</v>
      </c>
      <c r="G24" s="9" cm="1">
        <f t="array" ref="G24">_xll.BearBeta(D3:D17,C3:C17)</f>
        <v>0.54207326774062659</v>
      </c>
      <c r="H24" s="10">
        <f t="shared" si="1"/>
        <v>0</v>
      </c>
      <c r="L24" t="e" cm="1">
        <f t="array" ref="L24">_xll.BearBeta(L3:L17,K3:K17,B3:B17)</f>
        <v>#VALUE!</v>
      </c>
    </row>
    <row r="25" spans="1:12" x14ac:dyDescent="0.25">
      <c r="A25" t="s">
        <v>15</v>
      </c>
      <c r="C25" s="8">
        <f>C23/C24</f>
        <v>1</v>
      </c>
      <c r="D25" s="8">
        <f>D23/D24</f>
        <v>2.0051187336748981</v>
      </c>
      <c r="G25" s="9" cm="1">
        <f t="array" ref="G25">_xll.BetaTimingRatio(D3:D17,C3:C17)</f>
        <v>2.0051187336748981</v>
      </c>
      <c r="H25" s="10">
        <f t="shared" si="1"/>
        <v>0</v>
      </c>
      <c r="L25" s="15" t="e" cm="1">
        <f t="array" ref="L25">_xll.BetaTimingRatio(L3:L17,K3:K17)</f>
        <v>#VALUE!</v>
      </c>
    </row>
    <row r="26" spans="1:12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cm="1">
        <f t="array" ref="G26">_xll.SharpeRatio(D3:D17,B3:B17)</f>
        <v>5.0860520440393318E-2</v>
      </c>
      <c r="H26" s="10">
        <f t="shared" si="1"/>
        <v>8.2672805592344523E-4</v>
      </c>
    </row>
    <row r="27" spans="1:12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cm="1">
        <f t="array" ref="G27">_xll.RevisedSharpeRatio(D3:D17,B3:B17)</f>
        <v>5.0849999972662811E-2</v>
      </c>
      <c r="H27" s="10">
        <f t="shared" si="1"/>
        <v>8.2655704772772315E-4</v>
      </c>
    </row>
    <row r="28" spans="1:12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2.9990416146271975E-4</v>
      </c>
      <c r="G28" s="9" cm="1">
        <f t="array" ref="G28">_xll.TreynorIndex(D3:D17,G21,B3:B17)</f>
        <v>2.8510068879922587E-4</v>
      </c>
      <c r="H28" s="10">
        <f t="shared" si="1"/>
        <v>1.4803472663493876E-5</v>
      </c>
    </row>
    <row r="29" spans="1:12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cm="1">
        <f t="array" ref="G29">_xll.MSquared(D3:D17,C3:C17,B3:B17)</f>
        <v>3.0318779856168554E-4</v>
      </c>
      <c r="H29" s="10">
        <f t="shared" si="1"/>
        <v>1.0623322891518668E-5</v>
      </c>
    </row>
    <row r="30" spans="1:12" x14ac:dyDescent="0.25">
      <c r="A30" t="s">
        <v>11</v>
      </c>
      <c r="C30" s="12">
        <f>C19-$B$19-C21*($C$19-$B$19)</f>
        <v>0</v>
      </c>
      <c r="D30" s="12">
        <f>D19-$B$19-D21*($C$19-$B$19)</f>
        <v>7.2578822700353793E-4</v>
      </c>
      <c r="G30" s="13" cm="1">
        <f t="array" ref="G30">_xll.JensensAlpha(D3:D17,C3:C17,B3:B17)</f>
        <v>7.1946041713468107E-4</v>
      </c>
      <c r="H30" s="10">
        <f t="shared" si="1"/>
        <v>6.3278098688568547E-6</v>
      </c>
    </row>
    <row r="31" spans="1:12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cm="1">
        <f t="array" ref="G31">_xll.TrackingError(D3:D17,C3:C17)</f>
        <v>3.816440754566235E-3</v>
      </c>
      <c r="H31" s="10">
        <f t="shared" si="1"/>
        <v>0</v>
      </c>
    </row>
    <row r="32" spans="1:12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cm="1">
        <f t="array" ref="G32">_xll.InformationRatio(D3:D17,C3:C17)</f>
        <v>0.19726975178765843</v>
      </c>
      <c r="H32" s="10">
        <f t="shared" si="1"/>
        <v>0</v>
      </c>
    </row>
    <row r="33" spans="1:13" x14ac:dyDescent="0.25">
      <c r="A33" t="s">
        <v>47</v>
      </c>
      <c r="C33" s="8" cm="1">
        <f t="array" ref="C33">AVERAGE(_xlfn._xlws.FILTER(C3:C17,$C$3:$C$17&gt;0))/AVERAGE(_xlfn._xlws.FILTER($C$3:$C$17,$C$3:$C$17&gt;0))</f>
        <v>1</v>
      </c>
      <c r="D33" s="8" cm="1">
        <f t="array" ref="D33">AVERAGE(_xlfn._xlws.FILTER(D3:D17,$C$3:$C$17&gt;0))/AVERAGE(_xlfn._xlws.FILTER($C$3:$C$17,$C$3:$C$17&gt;0))</f>
        <v>1.3503270666937031</v>
      </c>
      <c r="G33" s="10" cm="1">
        <f t="array" ref="G33">_xll.UpCaptureRatio(D3:D17,$C$3:$C$17)</f>
        <v>1.3503270666937031</v>
      </c>
      <c r="H33" s="10">
        <f t="shared" si="1"/>
        <v>0</v>
      </c>
      <c r="L33" s="11"/>
      <c r="M33" s="11"/>
    </row>
    <row r="34" spans="1:13" x14ac:dyDescent="0.25">
      <c r="A34" t="s">
        <v>48</v>
      </c>
      <c r="C34" s="8" cm="1">
        <f t="array" ref="C34">AVERAGE(_xlfn._xlws.FILTER(C3:C17,$C$3:$C$17&lt;0))/AVERAGE(_xlfn._xlws.FILTER($C$3:$C$17,$C$3:$C$17&lt;0))</f>
        <v>1</v>
      </c>
      <c r="D34" s="8" cm="1">
        <f t="array" ref="D34">AVERAGE(_xlfn._xlws.FILTER(D3:D17,$C$3:$C$17&lt;0))/AVERAGE(_xlfn._xlws.FILTER($C$3:$C$17,$C$3:$C$17&lt;0))</f>
        <v>0.82277767682575553</v>
      </c>
      <c r="G34" s="10" cm="1">
        <f t="array" ref="G34">_xll.DownCaptureRatio(D3:D17,C3:C17)</f>
        <v>0.82277767682575553</v>
      </c>
      <c r="H34" s="10">
        <f t="shared" si="1"/>
        <v>0</v>
      </c>
      <c r="L34" s="11"/>
      <c r="M34" s="11"/>
    </row>
    <row r="35" spans="1:13" x14ac:dyDescent="0.25">
      <c r="A35" t="s">
        <v>49</v>
      </c>
      <c r="C35" s="6" cm="1">
        <f t="array" ref="C35">SUM(--(_xlfn._xlws.FILTER(C3:C17-$C$3:$C$17,$C$3:$C$17&gt;0)&gt;0))/COUNT(_xlfn._xlws.FILTER(C3:C17-$C$3:$C$17,$C$3:$C$17&gt;0))</f>
        <v>0</v>
      </c>
      <c r="D35" s="6" cm="1">
        <f t="array" ref="D35">SUM(--(_xlfn._xlws.FILTER(D3:D17-$C$3:$C$17,$C$3:$C$17&gt;0)&gt;0))/COUNT(_xlfn._xlws.FILTER(D3:D17-$C$3:$C$17,$C$3:$C$17&gt;0))</f>
        <v>0.5714285714285714</v>
      </c>
      <c r="G35" s="6" cm="1">
        <f t="array" ref="G35">_xll.UpPercentageRatio(D3:D17,C3:C17)</f>
        <v>0.5714285714285714</v>
      </c>
      <c r="H35" s="10">
        <f t="shared" si="1"/>
        <v>0</v>
      </c>
      <c r="L35" s="11"/>
      <c r="M35" s="11"/>
    </row>
    <row r="36" spans="1:13" x14ac:dyDescent="0.25">
      <c r="A36" t="s">
        <v>50</v>
      </c>
      <c r="C36" s="6" cm="1">
        <f t="array" ref="C36">SUM(--(_xlfn._xlws.FILTER(C3:C17-$C$3:$C$17,$C$3:$C$17&lt;0)&gt;0))/COUNT(_xlfn._xlws.FILTER(C3:C17-$C$3:$C$17,$C$3:$C$17&lt;0))</f>
        <v>0</v>
      </c>
      <c r="D36" s="6" cm="1">
        <f t="array" ref="D36">SUM(--(_xlfn._xlws.FILTER(D3:D17-$C$3:$C$17,$C$3:$C$17&lt;0)&gt;0))/COUNT(_xlfn._xlws.FILTER(D3:D17-$C$3:$C$17,$C$3:$C$17&lt;0))</f>
        <v>0.625</v>
      </c>
      <c r="G36" s="6" cm="1">
        <f t="array" ref="G36">_xll.DownPercentageRatio(D3:D17,C3:C17)</f>
        <v>0.625</v>
      </c>
      <c r="H36" s="10">
        <f t="shared" si="1"/>
        <v>0</v>
      </c>
      <c r="L36" s="11"/>
      <c r="M36" s="11"/>
    </row>
    <row r="37" spans="1:13" x14ac:dyDescent="0.25">
      <c r="A37" t="s">
        <v>51</v>
      </c>
      <c r="C37" s="6" cm="1">
        <f t="array" ref="C37">SUM(--(C3:C17&gt;0))/SUM(--($C$3:$C$17&gt;0))</f>
        <v>1</v>
      </c>
      <c r="D37" s="6" cm="1">
        <f t="array" ref="D37">SUM(--(D3:D17&gt;0))/SUM(--($C$3:$C$17&gt;0))</f>
        <v>1</v>
      </c>
      <c r="G37" s="6" cm="1">
        <f t="array" ref="G37">_xll.PercentageGainRatio(D3:D17,C3:C17)</f>
        <v>1</v>
      </c>
      <c r="H37" s="10">
        <f t="shared" si="1"/>
        <v>0</v>
      </c>
      <c r="L37" s="11"/>
      <c r="M37" s="11"/>
    </row>
    <row r="38" spans="1:13" x14ac:dyDescent="0.25">
      <c r="A38" t="s">
        <v>52</v>
      </c>
      <c r="C38" s="6" cm="1">
        <f t="array" ref="C38">SUM(--(C3:C17&lt;0))/SUM(--($C$3:$C$17&lt;0))</f>
        <v>1</v>
      </c>
      <c r="D38" s="6" cm="1">
        <f t="array" ref="D38">SUM(--(D3:D17&lt;0))/SUM(--($C$3:$C$17&lt;0))</f>
        <v>0.875</v>
      </c>
      <c r="G38" s="6" cm="1">
        <f t="array" ref="G38">_xll.PercentageLossRatio(D3:D17,C3:C17)</f>
        <v>0.875</v>
      </c>
      <c r="H38" s="10">
        <f t="shared" si="1"/>
        <v>0</v>
      </c>
      <c r="L38" s="11"/>
      <c r="M38" s="11"/>
    </row>
    <row r="39" spans="1:13" x14ac:dyDescent="0.25">
      <c r="C39" s="6"/>
      <c r="D39" s="6"/>
      <c r="G39" s="6"/>
      <c r="H39" s="10"/>
      <c r="L39" s="11"/>
      <c r="M39" s="11"/>
    </row>
    <row r="40" spans="1:13" x14ac:dyDescent="0.25">
      <c r="C40" s="6"/>
      <c r="D40" s="6"/>
      <c r="G40" s="10"/>
      <c r="L40" s="11"/>
      <c r="M40" s="11"/>
    </row>
    <row r="41" spans="1:13" x14ac:dyDescent="0.25">
      <c r="F41" s="31"/>
      <c r="G41" s="16"/>
      <c r="H41" t="s">
        <v>81</v>
      </c>
      <c r="K41" t="s">
        <v>74</v>
      </c>
      <c r="L41" s="1"/>
    </row>
    <row r="42" spans="1:13" x14ac:dyDescent="0.25">
      <c r="E42" s="11"/>
      <c r="G42" s="18" t="str" cm="1">
        <f t="array" ref="G42:H51">_xll.FamaDecomposition(D3:D17,C3:C17,B3:B17,1.3,1)</f>
        <v>Risk Premium</v>
      </c>
      <c r="H42" s="1">
        <v>2.6868219460207676E-4</v>
      </c>
      <c r="I42" s="30"/>
      <c r="J42" s="36" t="str" cm="1">
        <f t="array" ref="J42:K51">_xll.FamaDecomposition(D3:D17,C3:C17,B3:B17,1.3,12)</f>
        <v>Risk Premium</v>
      </c>
      <c r="K42" s="1">
        <v>3.2324595721133775E-3</v>
      </c>
      <c r="L42" s="1"/>
      <c r="M42" s="11"/>
    </row>
    <row r="43" spans="1:13" x14ac:dyDescent="0.25">
      <c r="G43" t="str">
        <v>Due to Risk</v>
      </c>
      <c r="H43" s="1">
        <v>-4.5077822253260436E-4</v>
      </c>
      <c r="J43" s="36" t="str">
        <v>Due to Risk</v>
      </c>
      <c r="K43" s="1">
        <v>-5.4009881205370957E-3</v>
      </c>
      <c r="L43" s="1"/>
      <c r="M43" s="19"/>
    </row>
    <row r="44" spans="1:13" x14ac:dyDescent="0.25">
      <c r="G44" t="str">
        <v>Due to Investor's Risk</v>
      </c>
      <c r="H44" s="1">
        <v>-6.2182139203192932E-4</v>
      </c>
      <c r="J44" s="37" t="str">
        <v>Due to Investor's Risk</v>
      </c>
      <c r="K44" s="1">
        <v>-7.450337624101566E-3</v>
      </c>
    </row>
    <row r="45" spans="1:13" x14ac:dyDescent="0.25">
      <c r="G45" t="str">
        <v>Due to Manager's Risk</v>
      </c>
      <c r="H45" s="1">
        <v>1.7104316949932498E-4</v>
      </c>
      <c r="J45" s="37" t="str">
        <v>Due to Manager's Risk</v>
      </c>
      <c r="K45" s="1">
        <v>2.0493495035644707E-3</v>
      </c>
      <c r="L45" s="2"/>
      <c r="M45" s="20"/>
    </row>
    <row r="46" spans="1:13" x14ac:dyDescent="0.25">
      <c r="G46" t="str">
        <v>Due to Selectivity</v>
      </c>
      <c r="H46" s="1">
        <v>7.1946041713468107E-4</v>
      </c>
      <c r="J46" s="37" t="str">
        <v>Due to Selectivity</v>
      </c>
      <c r="K46" s="1">
        <v>8.6334476926504741E-3</v>
      </c>
    </row>
    <row r="47" spans="1:13" x14ac:dyDescent="0.25">
      <c r="G47" t="str">
        <v>Diversification</v>
      </c>
      <c r="H47" s="1">
        <v>8.6610762185780418E-5</v>
      </c>
      <c r="J47" s="37" t="str">
        <v>Diversification</v>
      </c>
      <c r="K47" s="1">
        <v>1.0377247042856628E-3</v>
      </c>
      <c r="L47" s="1"/>
    </row>
    <row r="48" spans="1:13" x14ac:dyDescent="0.25">
      <c r="G48" t="str">
        <v>Net Selectivity</v>
      </c>
      <c r="H48" s="1">
        <v>6.3284965494890067E-4</v>
      </c>
      <c r="J48" s="37" t="str">
        <v>Net Selectivity</v>
      </c>
      <c r="K48" s="1">
        <v>7.5957229883648111E-3</v>
      </c>
      <c r="L48" s="1"/>
    </row>
    <row r="49" spans="7:12" x14ac:dyDescent="0.25">
      <c r="G49" t="str">
        <v>Hypothetical Beta</v>
      </c>
      <c r="H49" s="29">
        <v>1.3134730578655347</v>
      </c>
      <c r="J49" s="23" t="str">
        <v>Hypothetical Beta</v>
      </c>
      <c r="K49" s="29">
        <v>1.3134730578655347</v>
      </c>
      <c r="L49" s="1"/>
    </row>
    <row r="50" spans="7:12" x14ac:dyDescent="0.25">
      <c r="G50" t="str">
        <v>Hypothetical Exp Return</v>
      </c>
      <c r="H50" s="1">
        <v>-5.2963667077848419E-4</v>
      </c>
      <c r="J50" s="37" t="str">
        <v>Hypothetical Exp Return</v>
      </c>
      <c r="K50" s="1">
        <v>-6.3433593458563399E-3</v>
      </c>
    </row>
    <row r="51" spans="7:12" x14ac:dyDescent="0.25">
      <c r="G51" t="str">
        <v>Hypothetical Risk Premium</v>
      </c>
      <c r="H51" s="1">
        <v>-6.2826588095260126E-4</v>
      </c>
      <c r="J51" s="37" t="str">
        <v>Hypothetical Risk Premium</v>
      </c>
      <c r="K51" s="1">
        <v>-7.527552108661021E-3</v>
      </c>
    </row>
    <row r="52" spans="7:12" x14ac:dyDescent="0.25">
      <c r="H52" s="28"/>
    </row>
    <row r="53" spans="7:12" x14ac:dyDescent="0.25">
      <c r="H53" s="1"/>
    </row>
    <row r="54" spans="7:12" x14ac:dyDescent="0.25">
      <c r="H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AEA-8CFA-45DF-BCFE-1A720439ADBA}">
  <dimension ref="A1:M30"/>
  <sheetViews>
    <sheetView workbookViewId="0">
      <selection activeCell="I30" sqref="I30"/>
    </sheetView>
  </sheetViews>
  <sheetFormatPr defaultRowHeight="15" x14ac:dyDescent="0.25"/>
  <cols>
    <col min="2" max="3" width="13.5703125" bestFit="1" customWidth="1"/>
    <col min="4" max="4" width="13.7109375" bestFit="1" customWidth="1"/>
    <col min="5" max="5" width="12.42578125" bestFit="1" customWidth="1"/>
    <col min="6" max="6" width="12.85546875" bestFit="1" customWidth="1"/>
    <col min="8" max="8" width="27.42578125" bestFit="1" customWidth="1"/>
    <col min="9" max="9" width="20.710937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14.285156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25" t="s">
        <v>26</v>
      </c>
      <c r="I1" s="25" t="s">
        <v>27</v>
      </c>
      <c r="J1" s="25" t="s">
        <v>28</v>
      </c>
      <c r="K1" s="25" t="s">
        <v>29</v>
      </c>
      <c r="L1" s="25" t="s">
        <v>30</v>
      </c>
      <c r="M1" s="25" t="s">
        <v>32</v>
      </c>
    </row>
    <row r="2" spans="1:13" x14ac:dyDescent="0.25">
      <c r="A2">
        <v>1975</v>
      </c>
      <c r="B2" s="22">
        <v>10000</v>
      </c>
      <c r="C2" s="22">
        <v>10000</v>
      </c>
      <c r="D2" s="22">
        <v>10000</v>
      </c>
      <c r="E2" s="22">
        <v>10000</v>
      </c>
      <c r="F2" s="22">
        <v>10000</v>
      </c>
      <c r="H2" s="24">
        <v>1976</v>
      </c>
      <c r="I2" s="14">
        <f>B3/B2-1</f>
        <v>0.33600000000000008</v>
      </c>
      <c r="J2" s="14">
        <f t="shared" ref="J2:M11" si="0">C3/C2-1</f>
        <v>0.46500000000000008</v>
      </c>
      <c r="K2" s="14">
        <f t="shared" si="0"/>
        <v>0.11099999999999999</v>
      </c>
      <c r="L2" s="14">
        <f t="shared" si="0"/>
        <v>0.17100000000000004</v>
      </c>
      <c r="M2" s="14">
        <f t="shared" si="0"/>
        <v>5.7700000000000085E-2</v>
      </c>
    </row>
    <row r="3" spans="1:13" x14ac:dyDescent="0.25">
      <c r="A3">
        <v>1976</v>
      </c>
      <c r="B3" s="22">
        <v>13360</v>
      </c>
      <c r="C3" s="22">
        <v>14650</v>
      </c>
      <c r="D3" s="22">
        <v>11110</v>
      </c>
      <c r="E3" s="22">
        <v>11710</v>
      </c>
      <c r="F3" s="22">
        <v>10577</v>
      </c>
      <c r="H3" s="24">
        <v>1977</v>
      </c>
      <c r="I3" s="14">
        <f t="shared" ref="I3:I11" si="1">B4/B3-1</f>
        <v>0.14498502994011986</v>
      </c>
      <c r="J3" s="14">
        <f t="shared" si="0"/>
        <v>0.16498293515358364</v>
      </c>
      <c r="K3" s="14">
        <f t="shared" si="0"/>
        <v>0.12700270027002691</v>
      </c>
      <c r="L3" s="14">
        <f t="shared" si="0"/>
        <v>0.14500426985482484</v>
      </c>
      <c r="M3" s="14">
        <f t="shared" si="0"/>
        <v>5.2945069490403673E-2</v>
      </c>
    </row>
    <row r="4" spans="1:13" x14ac:dyDescent="0.25">
      <c r="A4">
        <v>1977</v>
      </c>
      <c r="B4" s="22">
        <v>15297</v>
      </c>
      <c r="C4" s="22">
        <v>17067</v>
      </c>
      <c r="D4" s="22">
        <v>12521</v>
      </c>
      <c r="E4" s="22">
        <v>13408</v>
      </c>
      <c r="F4" s="22">
        <v>11137</v>
      </c>
      <c r="H4" s="24">
        <v>1978</v>
      </c>
      <c r="I4" s="14">
        <f t="shared" si="1"/>
        <v>0.31699025952801207</v>
      </c>
      <c r="J4" s="14">
        <f t="shared" si="0"/>
        <v>0.32899748051795874</v>
      </c>
      <c r="K4" s="14">
        <f t="shared" si="0"/>
        <v>0.20900886510662087</v>
      </c>
      <c r="L4" s="14">
        <f t="shared" si="0"/>
        <v>8.5023866348448607E-2</v>
      </c>
      <c r="M4" s="14">
        <f t="shared" si="0"/>
        <v>7.2730537846816823E-2</v>
      </c>
    </row>
    <row r="5" spans="1:13" x14ac:dyDescent="0.25">
      <c r="A5">
        <v>1978</v>
      </c>
      <c r="B5" s="22">
        <v>20146</v>
      </c>
      <c r="C5" s="22">
        <v>22682</v>
      </c>
      <c r="D5" s="22">
        <v>15138</v>
      </c>
      <c r="E5" s="22">
        <v>14548</v>
      </c>
      <c r="F5" s="22">
        <v>11947</v>
      </c>
      <c r="H5" s="24">
        <v>1979</v>
      </c>
      <c r="I5" s="14">
        <f t="shared" si="1"/>
        <v>0.51702571230020844</v>
      </c>
      <c r="J5" s="14">
        <f t="shared" si="0"/>
        <v>0.73604620403844456</v>
      </c>
      <c r="K5" s="14">
        <f t="shared" si="0"/>
        <v>0.35500066058924551</v>
      </c>
      <c r="L5" s="14">
        <f t="shared" si="0"/>
        <v>0.15596645587022273</v>
      </c>
      <c r="M5" s="14">
        <f t="shared" si="0"/>
        <v>0.10412655896877876</v>
      </c>
    </row>
    <row r="6" spans="1:13" x14ac:dyDescent="0.25">
      <c r="A6">
        <v>1979</v>
      </c>
      <c r="B6" s="22">
        <v>30562</v>
      </c>
      <c r="C6" s="22">
        <v>39377</v>
      </c>
      <c r="D6" s="22">
        <v>20512</v>
      </c>
      <c r="E6" s="22">
        <v>16817</v>
      </c>
      <c r="F6" s="22">
        <v>13191</v>
      </c>
      <c r="H6" s="24">
        <v>1980</v>
      </c>
      <c r="I6" s="14">
        <f t="shared" si="1"/>
        <v>0.76500229042601919</v>
      </c>
      <c r="J6" s="14">
        <f t="shared" si="0"/>
        <v>0.36399420981791408</v>
      </c>
      <c r="K6" s="14">
        <f t="shared" si="0"/>
        <v>0.57600429017160693</v>
      </c>
      <c r="L6" s="14">
        <f t="shared" si="0"/>
        <v>0.34102396384610811</v>
      </c>
      <c r="M6" s="14">
        <f t="shared" si="0"/>
        <v>0.12061253885224765</v>
      </c>
    </row>
    <row r="7" spans="1:13" x14ac:dyDescent="0.25">
      <c r="A7">
        <v>1980</v>
      </c>
      <c r="B7" s="22">
        <v>53942</v>
      </c>
      <c r="C7" s="22">
        <v>53710</v>
      </c>
      <c r="D7" s="22">
        <v>32327</v>
      </c>
      <c r="E7" s="22">
        <v>22552</v>
      </c>
      <c r="F7" s="22">
        <v>14782</v>
      </c>
      <c r="H7" s="24">
        <v>1981</v>
      </c>
      <c r="I7" s="14">
        <f t="shared" si="1"/>
        <v>0.1210003336917429</v>
      </c>
      <c r="J7" s="14">
        <f t="shared" si="0"/>
        <v>-0.22800223422081545</v>
      </c>
      <c r="K7" s="14">
        <f t="shared" si="0"/>
        <v>-7.8015281343768339E-2</v>
      </c>
      <c r="L7" s="14">
        <f t="shared" si="0"/>
        <v>-4.8022348350478916E-2</v>
      </c>
      <c r="M7" s="14">
        <f t="shared" si="0"/>
        <v>0.14077932620754963</v>
      </c>
    </row>
    <row r="8" spans="1:13" x14ac:dyDescent="0.25">
      <c r="A8">
        <v>1981</v>
      </c>
      <c r="B8" s="22">
        <v>60469</v>
      </c>
      <c r="C8" s="22">
        <v>41464</v>
      </c>
      <c r="D8" s="22">
        <v>29805</v>
      </c>
      <c r="E8" s="22">
        <v>21469</v>
      </c>
      <c r="F8" s="22">
        <v>16863</v>
      </c>
      <c r="H8" s="24">
        <v>1982</v>
      </c>
      <c r="I8" s="14">
        <f t="shared" si="1"/>
        <v>0.48100679687112402</v>
      </c>
      <c r="J8" s="14">
        <f t="shared" si="0"/>
        <v>8.4989388385105169E-2</v>
      </c>
      <c r="K8" s="14">
        <f t="shared" si="0"/>
        <v>0.22801543365207189</v>
      </c>
      <c r="L8" s="14">
        <f t="shared" si="0"/>
        <v>0.22199450370301355</v>
      </c>
      <c r="M8" s="14">
        <f t="shared" si="0"/>
        <v>0.14321295143212942</v>
      </c>
    </row>
    <row r="9" spans="1:13" x14ac:dyDescent="0.25">
      <c r="A9">
        <v>1982</v>
      </c>
      <c r="B9" s="22">
        <v>89555</v>
      </c>
      <c r="C9" s="22">
        <v>44988</v>
      </c>
      <c r="D9" s="22">
        <v>36601</v>
      </c>
      <c r="E9" s="22">
        <v>26235</v>
      </c>
      <c r="F9" s="22">
        <v>19278</v>
      </c>
      <c r="H9" s="24">
        <v>1983</v>
      </c>
      <c r="I9" s="14">
        <f t="shared" si="1"/>
        <v>0.38599743174585455</v>
      </c>
      <c r="J9" s="14">
        <f t="shared" si="0"/>
        <v>6.8018138170178766E-2</v>
      </c>
      <c r="K9" s="14">
        <f t="shared" si="0"/>
        <v>0.19499467227671374</v>
      </c>
      <c r="L9" s="14">
        <f t="shared" si="0"/>
        <v>0.21299790356394133</v>
      </c>
      <c r="M9" s="14">
        <f t="shared" si="0"/>
        <v>8.6212262682850982E-2</v>
      </c>
    </row>
    <row r="10" spans="1:13" x14ac:dyDescent="0.25">
      <c r="A10">
        <v>1983</v>
      </c>
      <c r="B10" s="22">
        <v>124123</v>
      </c>
      <c r="C10" s="22">
        <v>48048</v>
      </c>
      <c r="D10" s="22">
        <v>43738</v>
      </c>
      <c r="E10" s="22">
        <v>31823</v>
      </c>
      <c r="F10" s="22">
        <v>20940</v>
      </c>
      <c r="H10" s="24">
        <v>1984</v>
      </c>
      <c r="I10" s="14">
        <f t="shared" si="1"/>
        <v>1.9996293998694847E-2</v>
      </c>
      <c r="J10" s="14">
        <f t="shared" si="0"/>
        <v>-0.59600815850815847</v>
      </c>
      <c r="K10" s="14">
        <f t="shared" si="0"/>
        <v>-9.600347523892272E-2</v>
      </c>
      <c r="L10" s="14">
        <f t="shared" si="0"/>
        <v>4.1008075919932052E-2</v>
      </c>
      <c r="M10" s="14">
        <f t="shared" si="0"/>
        <v>9.8997134670487208E-2</v>
      </c>
    </row>
    <row r="11" spans="1:13" x14ac:dyDescent="0.25">
      <c r="A11">
        <v>1984</v>
      </c>
      <c r="B11" s="22">
        <v>126605</v>
      </c>
      <c r="C11" s="22">
        <v>19411</v>
      </c>
      <c r="D11" s="22">
        <v>39539</v>
      </c>
      <c r="E11" s="22">
        <v>33128</v>
      </c>
      <c r="F11" s="22">
        <v>23013</v>
      </c>
      <c r="H11" s="24">
        <v>1985</v>
      </c>
      <c r="I11" s="14">
        <f t="shared" si="1"/>
        <v>0.43100193515264018</v>
      </c>
      <c r="J11" s="14">
        <f t="shared" si="0"/>
        <v>-0.2009685230024213</v>
      </c>
      <c r="K11" s="14">
        <f t="shared" si="0"/>
        <v>0.24300058170414029</v>
      </c>
      <c r="L11" s="14">
        <f t="shared" si="0"/>
        <v>0.29899178942284466</v>
      </c>
      <c r="M11" s="14">
        <f t="shared" si="0"/>
        <v>9.3295094077260776E-2</v>
      </c>
    </row>
    <row r="12" spans="1:13" x14ac:dyDescent="0.25">
      <c r="A12">
        <v>1985</v>
      </c>
      <c r="B12" s="22">
        <v>181172</v>
      </c>
      <c r="C12" s="22">
        <v>15510</v>
      </c>
      <c r="D12" s="22">
        <v>49147</v>
      </c>
      <c r="E12" s="22">
        <v>43033</v>
      </c>
      <c r="F12" s="22">
        <v>25160</v>
      </c>
      <c r="H12" s="23"/>
    </row>
    <row r="13" spans="1:13" x14ac:dyDescent="0.25">
      <c r="H13" t="s">
        <v>33</v>
      </c>
      <c r="I13" s="26" cm="1">
        <f t="array" ref="I13">PRODUCT(1+I2:I11)-1</f>
        <v>17.117200000000004</v>
      </c>
      <c r="J13" s="26" cm="1">
        <f t="array" ref="J13">PRODUCT(1+J2:J11)-1</f>
        <v>0.5510000000000006</v>
      </c>
      <c r="K13" s="26" cm="1">
        <f t="array" ref="K13">PRODUCT(1+K2:K11)-1</f>
        <v>3.9146999999999998</v>
      </c>
      <c r="L13" s="26" cm="1">
        <f t="array" ref="L13">PRODUCT(1+L2:L11)-1</f>
        <v>3.3032999999999992</v>
      </c>
      <c r="M13" s="26" cm="1">
        <f t="array" ref="M13">PRODUCT(1+M2:M11)-1</f>
        <v>1.516</v>
      </c>
    </row>
    <row r="14" spans="1:13" x14ac:dyDescent="0.25">
      <c r="H14" t="s">
        <v>34</v>
      </c>
      <c r="I14" s="26">
        <f>AVERAGE(I2:I11)</f>
        <v>0.35190060836544157</v>
      </c>
      <c r="J14" s="26">
        <f t="shared" ref="J14:M14" si="2">AVERAGE(J2:J11)</f>
        <v>0.11870494403517898</v>
      </c>
      <c r="K14" s="26">
        <f t="shared" si="2"/>
        <v>0.18700084471877351</v>
      </c>
      <c r="L14" s="26">
        <f t="shared" si="2"/>
        <v>0.16249884801788569</v>
      </c>
      <c r="M14" s="26">
        <f t="shared" si="2"/>
        <v>9.7061147422852503E-2</v>
      </c>
    </row>
    <row r="15" spans="1:13" x14ac:dyDescent="0.25">
      <c r="H15" t="s">
        <v>35</v>
      </c>
      <c r="I15" s="26" cm="1">
        <f t="array" ref="I15">GEOMEAN(1+I2:I11)-1</f>
        <v>0.33600815124726502</v>
      </c>
      <c r="J15" s="26" cm="1">
        <f t="array" ref="J15">GEOMEAN(1+J2:J11)-1</f>
        <v>4.4867401051168043E-2</v>
      </c>
      <c r="K15" s="26" cm="1">
        <f t="array" ref="K15">GEOMEAN(1+K2:K11)-1</f>
        <v>0.17259949092949345</v>
      </c>
      <c r="L15" s="26" cm="1">
        <f t="array" ref="L15">GEOMEAN(1+L2:L11)-1</f>
        <v>0.15712469523352701</v>
      </c>
      <c r="M15" s="26" cm="1">
        <f t="array" ref="M15">GEOMEAN(1+M2:M11)-1</f>
        <v>9.6657627730115214E-2</v>
      </c>
    </row>
    <row r="16" spans="1:13" x14ac:dyDescent="0.25">
      <c r="H16" t="s">
        <v>36</v>
      </c>
      <c r="I16" s="14">
        <f>_xlfn.STDEV.S(I2:I11)</f>
        <v>0.21852239905084198</v>
      </c>
      <c r="J16" s="14">
        <f t="shared" ref="J16:M16" si="3">_xlfn.STDEV.S(J2:J11)</f>
        <v>0.38650566005190573</v>
      </c>
      <c r="K16" s="14">
        <f t="shared" si="3"/>
        <v>0.19567970936600529</v>
      </c>
      <c r="L16" s="14">
        <f t="shared" si="3"/>
        <v>0.11647316538757187</v>
      </c>
      <c r="M16" s="14">
        <f t="shared" si="3"/>
        <v>3.1391776300293349E-2</v>
      </c>
    </row>
    <row r="17" spans="8:13" x14ac:dyDescent="0.25">
      <c r="H17" t="s">
        <v>37</v>
      </c>
      <c r="I17" s="21">
        <f>CORREL(I2:I11,$L$2:$L$11)</f>
        <v>0.82068383022789493</v>
      </c>
      <c r="J17" s="21">
        <f t="shared" ref="J17:M17" si="4">CORREL(J2:J11,$L$2:$L$11)</f>
        <v>0.33868524468644617</v>
      </c>
      <c r="K17" s="21">
        <f t="shared" si="4"/>
        <v>0.81760384770774464</v>
      </c>
      <c r="L17" s="21">
        <f t="shared" si="4"/>
        <v>0.99999999999999989</v>
      </c>
      <c r="M17" s="21">
        <f t="shared" si="4"/>
        <v>-3.872533196034407E-2</v>
      </c>
    </row>
    <row r="18" spans="8:13" x14ac:dyDescent="0.25">
      <c r="H18" t="s">
        <v>8</v>
      </c>
      <c r="I18" s="21">
        <f>_xlfn.COVARIANCE.S(I2:I11,$L$2:$L$11)/_xlfn.VAR.S($L$2:$L$11)</f>
        <v>1.539734915307535</v>
      </c>
      <c r="J18" s="21">
        <f t="shared" ref="J18:M18" si="5">_xlfn.COVARIANCE.S(J2:J11,$L$2:$L$11)/_xlfn.VAR.S($L$2:$L$11)</f>
        <v>1.1238963379400353</v>
      </c>
      <c r="K18" s="21">
        <f t="shared" si="5"/>
        <v>1.3736080990295689</v>
      </c>
      <c r="L18" s="21">
        <f t="shared" si="5"/>
        <v>1.0000000000000002</v>
      </c>
      <c r="M18" s="21">
        <f t="shared" si="5"/>
        <v>-1.0437227785546531E-2</v>
      </c>
    </row>
    <row r="19" spans="8:13" x14ac:dyDescent="0.25">
      <c r="H19" t="s">
        <v>38</v>
      </c>
      <c r="I19" s="21">
        <f>(I14-$M$14)/I16</f>
        <v>1.1661937725811691</v>
      </c>
      <c r="J19" s="21">
        <f t="shared" ref="J19:M19" si="6">(J14-$M$14)/J16</f>
        <v>5.5998653705148387E-2</v>
      </c>
      <c r="K19" s="21">
        <f t="shared" si="6"/>
        <v>0.45962709975051658</v>
      </c>
      <c r="L19" s="21">
        <f t="shared" si="6"/>
        <v>0.56182641192316773</v>
      </c>
      <c r="M19" s="21">
        <f t="shared" si="6"/>
        <v>0</v>
      </c>
    </row>
    <row r="20" spans="8:13" x14ac:dyDescent="0.25">
      <c r="H20" t="s">
        <v>39</v>
      </c>
      <c r="I20" s="21">
        <f>(I15-$M$15)/I16</f>
        <v>1.0953134532513618</v>
      </c>
      <c r="J20" s="21">
        <f t="shared" ref="J20:M20" si="7">(J15-$M$15)/J16</f>
        <v>-0.13399603688078465</v>
      </c>
      <c r="K20" s="21">
        <f t="shared" si="7"/>
        <v>0.38809268189035512</v>
      </c>
      <c r="L20" s="21">
        <f t="shared" si="7"/>
        <v>0.5191502034155574</v>
      </c>
      <c r="M20" s="21">
        <f t="shared" si="7"/>
        <v>0</v>
      </c>
    </row>
    <row r="21" spans="8:13" x14ac:dyDescent="0.25">
      <c r="H21" t="s">
        <v>40</v>
      </c>
      <c r="I21" s="21">
        <f>(I14-$M$14)/I18</f>
        <v>0.16550865893152092</v>
      </c>
      <c r="J21" s="21">
        <f t="shared" ref="J21:M21" si="8">(J14-$M$14)/J18</f>
        <v>1.925782288070883E-2</v>
      </c>
      <c r="K21" s="21">
        <f t="shared" si="8"/>
        <v>6.5476970730925288E-2</v>
      </c>
      <c r="L21" s="21">
        <f t="shared" si="8"/>
        <v>6.5437700595033177E-2</v>
      </c>
      <c r="M21" s="21">
        <f t="shared" si="8"/>
        <v>0</v>
      </c>
    </row>
    <row r="22" spans="8:13" x14ac:dyDescent="0.25">
      <c r="H22" t="s">
        <v>41</v>
      </c>
      <c r="I22" s="27">
        <f>(I15-$M$15)/I18</f>
        <v>0.15544917578838155</v>
      </c>
      <c r="J22" s="27">
        <f t="shared" ref="J22:M22" si="9">(J15-$M$15)/J18</f>
        <v>-4.6080963991636748E-2</v>
      </c>
      <c r="K22" s="27">
        <f t="shared" si="9"/>
        <v>5.5286411934401002E-2</v>
      </c>
      <c r="L22" s="27">
        <f t="shared" si="9"/>
        <v>6.0467067503411784E-2</v>
      </c>
      <c r="M22" s="27">
        <f t="shared" si="9"/>
        <v>0</v>
      </c>
    </row>
    <row r="23" spans="8:13" x14ac:dyDescent="0.25">
      <c r="H23" t="s">
        <v>42</v>
      </c>
      <c r="I23" s="21" cm="1">
        <f t="array" ref="I23">AVERAGE(I2:I11-$M$2:$M$11)-I18*AVERAGE($L$2:$L$11-$M$2:$M$11)</f>
        <v>0.15408274855897586</v>
      </c>
      <c r="J23" s="21" cm="1">
        <f t="array" ref="J23">AVERAGE(J2:J11-$M$2:$M$11)-J18*AVERAGE($L$2:$L$11-$M$2:$M$11)</f>
        <v>-5.1901395449647801E-2</v>
      </c>
      <c r="K23" s="21" cm="1">
        <f t="array" ref="K23">AVERAGE(K2:K11-$M$2:$M$11)-K18*AVERAGE($L$2:$L$11-$M$2:$M$11)</f>
        <v>5.3941776711363687E-5</v>
      </c>
      <c r="L23" s="21" cm="1">
        <f t="array" ref="L23">AVERAGE(L2:L11-$M$2:$M$11)-L18*AVERAGE($L$2:$L$11-$M$2:$M$11)</f>
        <v>0</v>
      </c>
      <c r="M23" s="21" cm="1">
        <f t="array" ref="M23">AVERAGE(M2:M11-$M$2:$M$11)-M18*AVERAGE($L$2:$L$11-$M$2:$M$11)</f>
        <v>6.8298818687275538E-4</v>
      </c>
    </row>
    <row r="24" spans="8:13" x14ac:dyDescent="0.25">
      <c r="H24" t="s">
        <v>43</v>
      </c>
      <c r="I24" s="21" cm="1">
        <f t="array" ref="I24">(GEOMEAN(1+I2:I11-$M$2:$M$11)-1)-I18*(GEOMEAN(1+$L$2:$L$11-$M$2:$M$11)-1)</f>
        <v>0.14784041632705563</v>
      </c>
      <c r="J24" s="21" cm="1">
        <f t="array" ref="J24">(GEOMEAN(1+J2:J11-$M$2:$M$11)-1)-J18*(GEOMEAN(1+$L$2:$L$11-$M$2:$M$11)-1)</f>
        <v>-0.13274680018062748</v>
      </c>
      <c r="K24" s="21" cm="1">
        <f t="array" ref="K24">(GEOMEAN(1+K2:K11-$M$2:$M$11)-1)-K18*(GEOMEAN(1+$L$2:$L$11-$M$2:$M$11)-1)</f>
        <v>-7.0162470757607759E-3</v>
      </c>
      <c r="L24" s="21" cm="1">
        <f t="array" ref="L24">(GEOMEAN(1+L2:L11-$M$2:$M$11)-1)-L18*(GEOMEAN(1+$L$2:$L$11-$M$2:$M$11)-1)</f>
        <v>0</v>
      </c>
      <c r="M24" s="21" cm="1">
        <f t="array" ref="M24">(GEOMEAN(1+M2:M11-$M$2:$M$11)-1)-M18*(GEOMEAN(1+$L$2:$L$11-$M$2:$M$11)-1)</f>
        <v>6.1288769290833965E-4</v>
      </c>
    </row>
    <row r="27" spans="8:13" x14ac:dyDescent="0.25">
      <c r="H27" t="s">
        <v>8</v>
      </c>
      <c r="I27" s="21" cm="1">
        <f t="array" ref="I27">_xll.Beta(I2:I11,$L$2:$L$11)</f>
        <v>1.5397349153075346</v>
      </c>
      <c r="J27" s="21" cm="1">
        <f t="array" ref="J27">_xll.Beta(J2:J11,$L$2:$L$11)</f>
        <v>1.1238963379400351</v>
      </c>
      <c r="K27" s="21" cm="1">
        <f t="array" ref="K27">_xll.Beta(K2:K11,$L$2:$L$11)</f>
        <v>1.3736080990295683</v>
      </c>
      <c r="L27" s="21" cm="1">
        <f t="array" ref="L27">_xll.Beta(L2:L11,$L$2:$L$11)</f>
        <v>1</v>
      </c>
      <c r="M27" s="21" cm="1">
        <f t="array" ref="M27">_xll.Beta(M2:M11,$L$2:$L$11)</f>
        <v>-1.0437227785546527E-2</v>
      </c>
    </row>
    <row r="28" spans="8:13" x14ac:dyDescent="0.25">
      <c r="H28" t="s">
        <v>4</v>
      </c>
      <c r="I28" s="21" cm="1">
        <f t="array" ref="I28">_xll.SharpeRatio(I2:I11,$M$2:$M$11)</f>
        <v>1.1545617546995548</v>
      </c>
      <c r="J28" s="21" cm="1">
        <f t="array" ref="J28">_xll.SharpeRatio(J2:J11,$M$2:$M$11)</f>
        <v>-0.14124422465973449</v>
      </c>
      <c r="K28" s="21" cm="1">
        <f t="array" ref="K28">_xll.SharpeRatio(K2:K11,$M$2:$M$11)</f>
        <v>0.40908560600556776</v>
      </c>
      <c r="L28" s="21" cm="1">
        <f t="array" ref="L28">_xll.SharpeRatio(L2:L11,$M$2:$M$11)</f>
        <v>0.54723236351096227</v>
      </c>
      <c r="M28" s="21" cm="1">
        <f t="array" ref="M28">_xll.SharpeRatio(M2:M11,$M$2:$M$11)</f>
        <v>0</v>
      </c>
    </row>
    <row r="29" spans="8:13" x14ac:dyDescent="0.25">
      <c r="H29" t="s">
        <v>7</v>
      </c>
      <c r="I29" s="21" cm="1">
        <f t="array" ref="I29">_xll.TreynorIndex(I2:I11,I27,$M$2:$M$11)</f>
        <v>0.1554491757883816</v>
      </c>
      <c r="J29" s="21" cm="1">
        <f t="array" ref="J29">_xll.TreynorIndex(J2:J11,J27,$M$2:$M$11)</f>
        <v>-4.6080963991636754E-2</v>
      </c>
      <c r="K29" s="21" cm="1">
        <f t="array" ref="K29">_xll.TreynorIndex(K2:K11,K27,$M$2:$M$11)</f>
        <v>5.5286411934401029E-2</v>
      </c>
      <c r="L29" s="21" cm="1">
        <f t="array" ref="L29">_xll.TreynorIndex(L2:L11,L27,$M$2:$M$11)</f>
        <v>6.0467067503411798E-2</v>
      </c>
      <c r="M29" s="21" cm="1">
        <f t="array" ref="M29">_xll.TreynorIndex(M2:M11,M27,$M$2:$M$11)</f>
        <v>0</v>
      </c>
    </row>
    <row r="30" spans="8:13" x14ac:dyDescent="0.25">
      <c r="H30" t="s">
        <v>11</v>
      </c>
      <c r="I30" s="21" cm="1">
        <f t="array" ref="I30">_xll.JensensAlpha(I2:I11,$L$2:$L$11,$M$2:$M$11)</f>
        <v>0.14624726845588906</v>
      </c>
      <c r="J30" s="21" cm="1">
        <f t="array" ref="J30">_xll.JensensAlpha(J2:J11,$L$2:$L$11,$M$2:$M$11)</f>
        <v>-0.11974894241200459</v>
      </c>
      <c r="K30" s="21" cm="1">
        <f t="array" ref="K30">_xll.JensensAlpha(K2:K11,$L$2:$L$11,$M$2:$M$11)</f>
        <v>-7.1161904478758281E-3</v>
      </c>
      <c r="L30" s="21" cm="1">
        <f t="array" ref="L30">_xll.JensensAlpha(L2:L11,$L$2:$L$11,$M$2:$M$11)</f>
        <v>0</v>
      </c>
      <c r="M30" s="21" cm="1">
        <f t="array" ref="M30">_xll.JensensAlpha(M2:M11,$L$2:$L$11,$M$2:$M$11)</f>
        <v>6.3110855705712711E-4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1076-B722-4F8C-ADE7-A0B47C1E1E3C}">
  <dimension ref="A1:F37"/>
  <sheetViews>
    <sheetView workbookViewId="0">
      <selection activeCell="E13" sqref="E13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6.28515625" bestFit="1" customWidth="1"/>
    <col min="4" max="4" width="19" bestFit="1" customWidth="1"/>
    <col min="5" max="5" width="12.7109375" bestFit="1" customWidth="1"/>
    <col min="6" max="6" width="10.7109375" bestFit="1" customWidth="1"/>
  </cols>
  <sheetData>
    <row r="1" spans="1:6" x14ac:dyDescent="0.25">
      <c r="A1" t="s">
        <v>61</v>
      </c>
      <c r="B1" t="s">
        <v>62</v>
      </c>
      <c r="E1" t="s">
        <v>61</v>
      </c>
      <c r="F1" t="s">
        <v>62</v>
      </c>
    </row>
    <row r="2" spans="1:6" x14ac:dyDescent="0.25">
      <c r="A2" s="14">
        <v>3.0000000000000001E-3</v>
      </c>
      <c r="B2" s="14">
        <v>2E-3</v>
      </c>
      <c r="D2" t="s">
        <v>66</v>
      </c>
      <c r="E2" s="21">
        <f>_xlfn.SKEW.P(A2:A37)</f>
        <v>-0.23799512754333593</v>
      </c>
      <c r="F2" s="21">
        <f>_xlfn.SKEW.P(B2:B37)</f>
        <v>-0.36250444107583124</v>
      </c>
    </row>
    <row r="3" spans="1:6" x14ac:dyDescent="0.25">
      <c r="A3" s="14">
        <v>2.6000000000000002E-2</v>
      </c>
      <c r="B3" s="14">
        <v>2.5000000000000001E-2</v>
      </c>
      <c r="D3" t="s">
        <v>66</v>
      </c>
      <c r="E3" s="21" cm="1">
        <f t="array" ref="E3">_xll.Skewness_P(A2:A37)</f>
        <v>-0.23799512754333596</v>
      </c>
      <c r="F3" s="21" cm="1">
        <f t="array" ref="F3">_xll.Skewness_P(B2:B37)</f>
        <v>-0.3625044410758313</v>
      </c>
    </row>
    <row r="4" spans="1:6" x14ac:dyDescent="0.25">
      <c r="A4" s="14">
        <v>1.1000000000000001E-2</v>
      </c>
      <c r="B4" s="14">
        <v>1.8000000000000002E-2</v>
      </c>
    </row>
    <row r="5" spans="1:6" x14ac:dyDescent="0.25">
      <c r="A5" s="14">
        <v>-9.0000000000000011E-3</v>
      </c>
      <c r="B5" s="14">
        <v>-1.1000000000000001E-2</v>
      </c>
      <c r="D5" t="s">
        <v>67</v>
      </c>
      <c r="E5" s="21" cm="1">
        <f t="array" ref="E5">_xll.Kurtosis_P_Excess(A2:A37)</f>
        <v>-2.2361140899221699E-2</v>
      </c>
      <c r="F5" s="21" cm="1">
        <f t="array" ref="F5">_xll.Kurtosis_P_Excess(B2:B37)</f>
        <v>4.4698088448780204E-2</v>
      </c>
    </row>
    <row r="6" spans="1:6" x14ac:dyDescent="0.25">
      <c r="A6" s="14">
        <v>1.3999999999999999E-2</v>
      </c>
      <c r="B6" s="14">
        <v>1.3999999999999999E-2</v>
      </c>
    </row>
    <row r="7" spans="1:6" x14ac:dyDescent="0.25">
      <c r="A7" s="14">
        <v>2.4E-2</v>
      </c>
      <c r="B7" s="14">
        <v>2.3E-2</v>
      </c>
      <c r="D7" t="s">
        <v>46</v>
      </c>
      <c r="E7" s="21">
        <f>COUNT(A2:A37)/6*(E3^2+E5^2/4)</f>
        <v>0.34060011533968482</v>
      </c>
      <c r="F7" s="21">
        <f>COUNT(B2:B37)/6*(F3^2+F5^2/4)</f>
        <v>0.79145369746466754</v>
      </c>
    </row>
    <row r="8" spans="1:6" x14ac:dyDescent="0.25">
      <c r="A8" s="14">
        <v>1.4999999999999999E-2</v>
      </c>
      <c r="B8" s="14">
        <v>1.3999999999999999E-2</v>
      </c>
      <c r="D8" t="s">
        <v>46</v>
      </c>
      <c r="E8" s="21" cm="1">
        <f t="array" ref="E8">_xll.JarqueBeraTest(A2:A37)</f>
        <v>0.34060011533968482</v>
      </c>
      <c r="F8" s="21" cm="1">
        <f t="array" ref="F8">_xll.JarqueBeraTest(B2:B37)</f>
        <v>0.79145369746466754</v>
      </c>
    </row>
    <row r="9" spans="1:6" x14ac:dyDescent="0.25">
      <c r="A9" s="14">
        <v>6.6000000000000003E-2</v>
      </c>
      <c r="B9" s="14">
        <v>6.5000000000000002E-2</v>
      </c>
    </row>
    <row r="10" spans="1:6" x14ac:dyDescent="0.25">
      <c r="A10" s="14">
        <v>-1.3999999999999999E-2</v>
      </c>
      <c r="B10" s="14">
        <v>-1.4999999999999999E-2</v>
      </c>
      <c r="D10" t="s">
        <v>44</v>
      </c>
      <c r="E10" s="21" cm="1">
        <f t="array" ref="E10">_xll.Skewness_S(A2:A37)</f>
        <v>-0.24847026397682553</v>
      </c>
      <c r="F10" s="21" cm="1">
        <f t="array" ref="F10">_xll.Skewness_S(B2:B37)</f>
        <v>-0.37845974031750912</v>
      </c>
    </row>
    <row r="11" spans="1:6" x14ac:dyDescent="0.25">
      <c r="A11" s="14">
        <v>3.9E-2</v>
      </c>
      <c r="B11" s="14">
        <v>4.2000000000000003E-2</v>
      </c>
      <c r="D11" t="s">
        <v>45</v>
      </c>
      <c r="E11" s="21" cm="1">
        <f t="array" ref="E11">_xll.Kurtosis_S(A2:A37)</f>
        <v>3.4367578632223772</v>
      </c>
      <c r="F11" s="21" cm="1">
        <f t="array" ref="F11">_xll.Kurtosis_S(B2:B37)</f>
        <v>3.5141568846177993</v>
      </c>
    </row>
    <row r="12" spans="1:6" x14ac:dyDescent="0.25">
      <c r="A12" s="14">
        <v>-5.0000000000000001E-3</v>
      </c>
      <c r="B12" s="14">
        <v>-3.0000000000000001E-3</v>
      </c>
    </row>
    <row r="13" spans="1:6" x14ac:dyDescent="0.25">
      <c r="A13" s="14">
        <v>8.1000000000000003E-2</v>
      </c>
      <c r="B13" s="14">
        <v>8.3000000000000004E-2</v>
      </c>
    </row>
    <row r="14" spans="1:6" x14ac:dyDescent="0.25">
      <c r="A14" s="14">
        <v>0.04</v>
      </c>
      <c r="B14" s="14">
        <v>3.9E-2</v>
      </c>
    </row>
    <row r="15" spans="1:6" x14ac:dyDescent="0.25">
      <c r="A15" s="14">
        <v>-3.7000000000000005E-2</v>
      </c>
      <c r="B15" s="14">
        <v>-3.7999999999999999E-2</v>
      </c>
    </row>
    <row r="16" spans="1:6" x14ac:dyDescent="0.25">
      <c r="A16" s="14">
        <v>-6.0999999999999999E-2</v>
      </c>
      <c r="B16" s="14">
        <v>-6.2E-2</v>
      </c>
    </row>
    <row r="17" spans="1:2" x14ac:dyDescent="0.25">
      <c r="A17" s="14">
        <v>1.3999999999999999E-2</v>
      </c>
      <c r="B17" s="14">
        <v>1.4999999999999999E-2</v>
      </c>
    </row>
    <row r="18" spans="1:2" x14ac:dyDescent="0.25">
      <c r="A18" s="14">
        <v>-4.9000000000000002E-2</v>
      </c>
      <c r="B18" s="14">
        <v>-4.8000000000000001E-2</v>
      </c>
    </row>
    <row r="19" spans="1:2" x14ac:dyDescent="0.25">
      <c r="A19" s="14">
        <v>-2.1000000000000001E-2</v>
      </c>
      <c r="B19" s="14">
        <v>-0.02</v>
      </c>
    </row>
    <row r="20" spans="1:2" x14ac:dyDescent="0.25">
      <c r="A20" s="14">
        <v>6.2E-2</v>
      </c>
      <c r="B20" s="14">
        <v>0.06</v>
      </c>
    </row>
    <row r="21" spans="1:2" x14ac:dyDescent="0.25">
      <c r="A21" s="14">
        <v>5.7999999999999996E-2</v>
      </c>
      <c r="B21" s="14">
        <v>5.5999999999999994E-2</v>
      </c>
    </row>
    <row r="22" spans="1:2" x14ac:dyDescent="0.25">
      <c r="A22" s="14">
        <v>-6.4000000000000001E-2</v>
      </c>
      <c r="B22" s="14">
        <v>-6.7000000000000004E-2</v>
      </c>
    </row>
    <row r="23" spans="1:2" x14ac:dyDescent="0.25">
      <c r="A23" s="14">
        <v>1.7000000000000001E-2</v>
      </c>
      <c r="B23" s="14">
        <v>1.9E-2</v>
      </c>
    </row>
    <row r="24" spans="1:2" x14ac:dyDescent="0.25">
      <c r="A24" s="14">
        <v>-4.0000000000000001E-3</v>
      </c>
      <c r="B24" s="14">
        <v>-3.0000000000000001E-3</v>
      </c>
    </row>
    <row r="25" spans="1:2" x14ac:dyDescent="0.25">
      <c r="A25" s="14">
        <v>-2E-3</v>
      </c>
      <c r="B25" s="14">
        <v>-1E-3</v>
      </c>
    </row>
    <row r="26" spans="1:2" x14ac:dyDescent="0.25">
      <c r="A26" s="14">
        <v>-2.1000000000000001E-2</v>
      </c>
      <c r="B26" s="14">
        <v>-2.6000000000000002E-2</v>
      </c>
    </row>
    <row r="27" spans="1:2" x14ac:dyDescent="0.25">
      <c r="A27" s="14">
        <v>1.1000000000000001E-2</v>
      </c>
      <c r="B27" s="14">
        <v>6.9999999999999993E-3</v>
      </c>
    </row>
    <row r="28" spans="1:2" x14ac:dyDescent="0.25">
      <c r="A28" s="14">
        <v>4.7E-2</v>
      </c>
      <c r="B28" s="14">
        <v>4.2999999999999997E-2</v>
      </c>
    </row>
    <row r="29" spans="1:2" x14ac:dyDescent="0.25">
      <c r="A29" s="14">
        <v>2.4E-2</v>
      </c>
      <c r="B29" s="14">
        <v>2.8999999999999998E-2</v>
      </c>
    </row>
    <row r="30" spans="1:2" x14ac:dyDescent="0.25">
      <c r="A30" s="14">
        <v>3.3000000000000002E-2</v>
      </c>
      <c r="B30" s="14">
        <v>3.7999999999999999E-2</v>
      </c>
    </row>
    <row r="31" spans="1:2" x14ac:dyDescent="0.25">
      <c r="A31" s="14">
        <v>-6.9999999999999993E-3</v>
      </c>
      <c r="B31" s="14">
        <v>-2E-3</v>
      </c>
    </row>
    <row r="32" spans="1:2" x14ac:dyDescent="0.25">
      <c r="A32" s="14">
        <v>4.7E-2</v>
      </c>
      <c r="B32" s="14">
        <v>5.0999999999999997E-2</v>
      </c>
    </row>
    <row r="33" spans="1:2" x14ac:dyDescent="0.25">
      <c r="A33" s="14">
        <v>6.0000000000000001E-3</v>
      </c>
      <c r="B33" s="14">
        <v>1.3999999999999999E-2</v>
      </c>
    </row>
    <row r="34" spans="1:2" x14ac:dyDescent="0.25">
      <c r="A34" s="14">
        <v>0.01</v>
      </c>
      <c r="B34" s="14">
        <v>1.3000000000000001E-2</v>
      </c>
    </row>
    <row r="35" spans="1:2" x14ac:dyDescent="0.25">
      <c r="A35" s="14">
        <v>-2E-3</v>
      </c>
      <c r="B35" s="14">
        <v>3.0000000000000001E-3</v>
      </c>
    </row>
    <row r="36" spans="1:2" x14ac:dyDescent="0.25">
      <c r="A36" s="14">
        <v>3.4000000000000002E-2</v>
      </c>
      <c r="B36" s="14">
        <v>3.4000000000000002E-2</v>
      </c>
    </row>
    <row r="37" spans="1:2" x14ac:dyDescent="0.25">
      <c r="A37" s="14">
        <v>0.01</v>
      </c>
      <c r="B37" s="14">
        <v>2.1000000000000001E-2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EC79-C9E3-4E9F-9D8B-C1C9DE78CC72}">
  <dimension ref="A1:I37"/>
  <sheetViews>
    <sheetView workbookViewId="0">
      <selection activeCell="I14" sqref="I14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5" width="17.28515625" customWidth="1"/>
    <col min="7" max="7" width="18.7109375" bestFit="1" customWidth="1"/>
    <col min="8" max="9" width="11.7109375" customWidth="1"/>
  </cols>
  <sheetData>
    <row r="1" spans="1:9" x14ac:dyDescent="0.25">
      <c r="A1" t="s">
        <v>53</v>
      </c>
      <c r="B1" t="s">
        <v>54</v>
      </c>
      <c r="D1" t="s">
        <v>57</v>
      </c>
      <c r="E1" t="s">
        <v>58</v>
      </c>
      <c r="H1" t="s">
        <v>61</v>
      </c>
      <c r="I1" t="s">
        <v>62</v>
      </c>
    </row>
    <row r="2" spans="1:9" x14ac:dyDescent="0.25">
      <c r="A2" s="32">
        <v>3.0000000000000001E-3</v>
      </c>
      <c r="B2" s="32">
        <v>2E-3</v>
      </c>
      <c r="C2" s="32"/>
      <c r="D2" s="14">
        <f>A2-H$2</f>
        <v>-8.0000000000000002E-3</v>
      </c>
      <c r="E2" s="14">
        <f>B2-I$2</f>
        <v>-1.0000000000000002E-2</v>
      </c>
      <c r="G2" t="s">
        <v>2</v>
      </c>
      <c r="H2" s="26">
        <f>AVERAGE(A2:A37)</f>
        <v>1.1000000000000001E-2</v>
      </c>
      <c r="I2" s="26">
        <f>AVERAGE(B2:B37)</f>
        <v>1.2000000000000002E-2</v>
      </c>
    </row>
    <row r="3" spans="1:9" x14ac:dyDescent="0.25">
      <c r="A3" s="32">
        <v>2.6000000000000002E-2</v>
      </c>
      <c r="B3" s="32">
        <v>2.5000000000000001E-2</v>
      </c>
      <c r="C3" s="32"/>
      <c r="D3" s="14">
        <f>D2+A3-H$2</f>
        <v>7.000000000000001E-3</v>
      </c>
      <c r="E3" s="14">
        <f>E2+B3-I$2</f>
        <v>2.9999999999999975E-3</v>
      </c>
      <c r="G3" t="s">
        <v>3</v>
      </c>
      <c r="H3" s="14">
        <f>_xlfn.STDEV.P(A2:A37)</f>
        <v>3.3173784830796742E-2</v>
      </c>
      <c r="I3" s="14">
        <f>_xlfn.STDEV.P(B2:B37)</f>
        <v>3.3620430296671298E-2</v>
      </c>
    </row>
    <row r="4" spans="1:9" x14ac:dyDescent="0.25">
      <c r="A4" s="32">
        <v>1.1000000000000001E-2</v>
      </c>
      <c r="B4" s="32">
        <v>1.8000000000000002E-2</v>
      </c>
      <c r="C4" s="32"/>
      <c r="D4" s="14">
        <f t="shared" ref="D4:D37" si="0">D3+A4-H$2</f>
        <v>7.000000000000001E-3</v>
      </c>
      <c r="E4" s="14">
        <f t="shared" ref="E4:E37" si="1">E3+B4-I$2</f>
        <v>8.9999999999999959E-3</v>
      </c>
      <c r="G4" t="s">
        <v>56</v>
      </c>
      <c r="H4" s="26">
        <f>MAX(D2:D37)</f>
        <v>0.14799999999999999</v>
      </c>
      <c r="I4" s="26">
        <f>MAX(E2:E37)</f>
        <v>0.13999999999999996</v>
      </c>
    </row>
    <row r="5" spans="1:9" x14ac:dyDescent="0.25">
      <c r="A5" s="32">
        <v>-9.0000000000000011E-3</v>
      </c>
      <c r="B5" s="32">
        <v>-1.1000000000000001E-2</v>
      </c>
      <c r="C5" s="32"/>
      <c r="D5" s="14">
        <f t="shared" si="0"/>
        <v>-1.3000000000000001E-2</v>
      </c>
      <c r="E5" s="14">
        <f t="shared" si="1"/>
        <v>-1.4000000000000007E-2</v>
      </c>
      <c r="G5" t="s">
        <v>59</v>
      </c>
      <c r="H5" s="26">
        <f>MIN(D2:D37)</f>
        <v>-9.200000000000004E-2</v>
      </c>
      <c r="I5" s="26">
        <f>MIN(E2:E37)</f>
        <v>-0.1240000000000001</v>
      </c>
    </row>
    <row r="6" spans="1:9" x14ac:dyDescent="0.25">
      <c r="A6" s="32">
        <v>1.3999999999999999E-2</v>
      </c>
      <c r="B6" s="32">
        <v>1.3999999999999999E-2</v>
      </c>
      <c r="C6" s="32"/>
      <c r="D6" s="14">
        <f t="shared" si="0"/>
        <v>-1.0000000000000004E-2</v>
      </c>
      <c r="E6" s="14">
        <f t="shared" si="1"/>
        <v>-1.2000000000000011E-2</v>
      </c>
      <c r="G6" t="s">
        <v>55</v>
      </c>
      <c r="H6" s="21">
        <f>LOG10((H4-H5)/H3)/LOG10(COUNT(A2:A37))</f>
        <v>0.55221669170563814</v>
      </c>
      <c r="I6" s="21">
        <f>LOG10((I4-I5)/I3)/LOG10(COUNT(B2:B37))</f>
        <v>0.57508142465835954</v>
      </c>
    </row>
    <row r="7" spans="1:9" x14ac:dyDescent="0.25">
      <c r="A7" s="32">
        <v>2.4E-2</v>
      </c>
      <c r="B7" s="32">
        <v>2.3E-2</v>
      </c>
      <c r="C7" s="32"/>
      <c r="D7" s="14">
        <f t="shared" si="0"/>
        <v>2.9999999999999957E-3</v>
      </c>
      <c r="E7" s="14">
        <f t="shared" si="1"/>
        <v>-1.000000000000013E-3</v>
      </c>
      <c r="G7" t="s">
        <v>55</v>
      </c>
      <c r="H7" s="21" cm="1">
        <f t="array" ref="H7">_xll.HurstExponent(A2:A37)</f>
        <v>0.55221669170563814</v>
      </c>
      <c r="I7" s="21" cm="1">
        <f t="array" ref="I7">_xll.HurstExponent(B2:B37)</f>
        <v>0.57508142465835954</v>
      </c>
    </row>
    <row r="8" spans="1:9" x14ac:dyDescent="0.25">
      <c r="A8" s="32">
        <v>1.4999999999999999E-2</v>
      </c>
      <c r="B8" s="32">
        <v>1.3999999999999999E-2</v>
      </c>
      <c r="C8" s="32"/>
      <c r="D8" s="14">
        <f t="shared" si="0"/>
        <v>6.9999999999999941E-3</v>
      </c>
      <c r="E8" s="14">
        <f t="shared" si="1"/>
        <v>9.9999999999998354E-4</v>
      </c>
    </row>
    <row r="9" spans="1:9" x14ac:dyDescent="0.25">
      <c r="A9" s="32">
        <v>6.6000000000000003E-2</v>
      </c>
      <c r="B9" s="32">
        <v>6.5000000000000002E-2</v>
      </c>
      <c r="C9" s="32"/>
      <c r="D9" s="14">
        <f t="shared" si="0"/>
        <v>6.1999999999999993E-2</v>
      </c>
      <c r="E9" s="14">
        <f t="shared" si="1"/>
        <v>5.3999999999999986E-2</v>
      </c>
      <c r="H9" t="s">
        <v>61</v>
      </c>
      <c r="I9" t="s">
        <v>62</v>
      </c>
    </row>
    <row r="10" spans="1:9" x14ac:dyDescent="0.25">
      <c r="A10" s="32">
        <v>-1.3999999999999999E-2</v>
      </c>
      <c r="B10" s="32">
        <v>-1.4999999999999999E-2</v>
      </c>
      <c r="C10" s="32"/>
      <c r="D10" s="14">
        <f t="shared" si="0"/>
        <v>3.6999999999999991E-2</v>
      </c>
      <c r="E10" s="14">
        <f t="shared" si="1"/>
        <v>2.6999999999999982E-2</v>
      </c>
      <c r="G10" t="s">
        <v>63</v>
      </c>
      <c r="H10" s="34">
        <v>1</v>
      </c>
      <c r="I10" s="34">
        <f>H10</f>
        <v>1</v>
      </c>
    </row>
    <row r="11" spans="1:9" x14ac:dyDescent="0.25">
      <c r="A11" s="32">
        <v>3.9E-2</v>
      </c>
      <c r="B11" s="32">
        <v>4.2000000000000003E-2</v>
      </c>
      <c r="C11" s="32"/>
      <c r="D11" s="14">
        <f t="shared" si="0"/>
        <v>6.4999999999999988E-2</v>
      </c>
      <c r="E11" s="14">
        <f t="shared" si="1"/>
        <v>5.6999999999999974E-2</v>
      </c>
      <c r="G11" t="s">
        <v>64</v>
      </c>
      <c r="H11" s="33" cm="1">
        <f t="array" ref="H11">SUM((A2:A37&gt;=0)*(A2:A37&lt;=H3))</f>
        <v>14</v>
      </c>
      <c r="I11" s="33" cm="1">
        <f t="array" ref="I11">SUM((B2:B37&gt;=0)*(B2:B37&lt;=I3))</f>
        <v>14</v>
      </c>
    </row>
    <row r="12" spans="1:9" x14ac:dyDescent="0.25">
      <c r="A12" s="32">
        <v>-5.0000000000000001E-3</v>
      </c>
      <c r="B12" s="32">
        <v>-3.0000000000000001E-3</v>
      </c>
      <c r="C12" s="32"/>
      <c r="D12" s="14">
        <f t="shared" si="0"/>
        <v>4.8999999999999988E-2</v>
      </c>
      <c r="E12" s="14">
        <f t="shared" si="1"/>
        <v>4.1999999999999968E-2</v>
      </c>
      <c r="G12" t="s">
        <v>65</v>
      </c>
      <c r="H12" s="33" cm="1">
        <f t="array" ref="H12">SUM((A2:A37&lt;0)*(A2:A37&gt;=-H3))</f>
        <v>9</v>
      </c>
      <c r="I12" s="33" cm="1">
        <f t="array" ref="I12">SUM((B2:B37&lt;0)*(B2:B37&gt;=-I3))</f>
        <v>8</v>
      </c>
    </row>
    <row r="13" spans="1:9" x14ac:dyDescent="0.25">
      <c r="A13" s="32">
        <v>8.1000000000000003E-2</v>
      </c>
      <c r="B13" s="32">
        <v>8.3000000000000004E-2</v>
      </c>
      <c r="C13" s="32"/>
      <c r="D13" s="14">
        <f t="shared" si="0"/>
        <v>0.11900000000000001</v>
      </c>
      <c r="E13" s="14">
        <f t="shared" si="1"/>
        <v>0.11299999999999998</v>
      </c>
      <c r="G13" t="s">
        <v>60</v>
      </c>
      <c r="H13" s="28" cm="1">
        <f t="array" ref="H13">SUM((A2:A37&gt;=0)*(A2:A37&lt;=H3*H10))/(1+SUM((A2:A37&lt;0)*(A2:A37&gt;=-H3*H10)))</f>
        <v>1.4</v>
      </c>
      <c r="I13" s="28" cm="1">
        <f t="array" ref="I13">SUM((B2:B37&gt;=0)*(B2:B37&lt;=I3*I10))/(1+SUM((B2:B37&lt;0)*(B2:B37&gt;=-I3*I10)))</f>
        <v>1.5555555555555556</v>
      </c>
    </row>
    <row r="14" spans="1:9" x14ac:dyDescent="0.25">
      <c r="A14" s="32">
        <v>0.04</v>
      </c>
      <c r="B14" s="32">
        <v>3.9E-2</v>
      </c>
      <c r="C14" s="32"/>
      <c r="D14" s="14">
        <f t="shared" si="0"/>
        <v>0.14799999999999999</v>
      </c>
      <c r="E14" s="14">
        <f t="shared" si="1"/>
        <v>0.13999999999999996</v>
      </c>
      <c r="G14" t="s">
        <v>60</v>
      </c>
      <c r="H14" s="28" cm="1">
        <f t="array" ref="H14">_xll.BiasRatio(A2:A37,H10)</f>
        <v>1.4</v>
      </c>
      <c r="I14" s="28" cm="1">
        <f t="array" ref="I14">_xll.BiasRatio(B2:B37,I10)</f>
        <v>1.5555555555555556</v>
      </c>
    </row>
    <row r="15" spans="1:9" x14ac:dyDescent="0.25">
      <c r="A15" s="32">
        <v>-3.7000000000000005E-2</v>
      </c>
      <c r="B15" s="32">
        <v>-3.7999999999999999E-2</v>
      </c>
      <c r="C15" s="32"/>
      <c r="D15" s="14">
        <f t="shared" si="0"/>
        <v>9.9999999999999992E-2</v>
      </c>
      <c r="E15" s="14">
        <f t="shared" si="1"/>
        <v>8.9999999999999955E-2</v>
      </c>
    </row>
    <row r="16" spans="1:9" x14ac:dyDescent="0.25">
      <c r="A16" s="32">
        <v>-6.0999999999999999E-2</v>
      </c>
      <c r="B16" s="32">
        <v>-6.2E-2</v>
      </c>
      <c r="C16" s="32"/>
      <c r="D16" s="14">
        <f t="shared" si="0"/>
        <v>2.799999999999999E-2</v>
      </c>
      <c r="E16" s="14">
        <f t="shared" si="1"/>
        <v>1.5999999999999952E-2</v>
      </c>
    </row>
    <row r="17" spans="1:5" x14ac:dyDescent="0.25">
      <c r="A17" s="32">
        <v>1.3999999999999999E-2</v>
      </c>
      <c r="B17" s="32">
        <v>1.4999999999999999E-2</v>
      </c>
      <c r="C17" s="32"/>
      <c r="D17" s="14">
        <f t="shared" si="0"/>
        <v>3.0999999999999986E-2</v>
      </c>
      <c r="E17" s="14">
        <f t="shared" si="1"/>
        <v>1.8999999999999947E-2</v>
      </c>
    </row>
    <row r="18" spans="1:5" x14ac:dyDescent="0.25">
      <c r="A18" s="32">
        <v>-4.9000000000000002E-2</v>
      </c>
      <c r="B18" s="32">
        <v>-4.8000000000000001E-2</v>
      </c>
      <c r="C18" s="32"/>
      <c r="D18" s="14">
        <f t="shared" si="0"/>
        <v>-2.9000000000000019E-2</v>
      </c>
      <c r="E18" s="14">
        <f t="shared" si="1"/>
        <v>-4.1000000000000057E-2</v>
      </c>
    </row>
    <row r="19" spans="1:5" x14ac:dyDescent="0.25">
      <c r="A19" s="32">
        <v>-2.1000000000000001E-2</v>
      </c>
      <c r="B19" s="32">
        <v>-0.02</v>
      </c>
      <c r="C19" s="32"/>
      <c r="D19" s="14">
        <f t="shared" si="0"/>
        <v>-6.1000000000000019E-2</v>
      </c>
      <c r="E19" s="14">
        <f t="shared" si="1"/>
        <v>-7.3000000000000051E-2</v>
      </c>
    </row>
    <row r="20" spans="1:5" x14ac:dyDescent="0.25">
      <c r="A20" s="32">
        <v>6.2E-2</v>
      </c>
      <c r="B20" s="32">
        <v>0.06</v>
      </c>
      <c r="C20" s="32"/>
      <c r="D20" s="14">
        <f t="shared" si="0"/>
        <v>-1.0000000000000021E-2</v>
      </c>
      <c r="E20" s="14">
        <f t="shared" si="1"/>
        <v>-2.5000000000000057E-2</v>
      </c>
    </row>
    <row r="21" spans="1:5" x14ac:dyDescent="0.25">
      <c r="A21" s="32">
        <v>5.7999999999999996E-2</v>
      </c>
      <c r="B21" s="32">
        <v>5.5999999999999994E-2</v>
      </c>
      <c r="C21" s="32"/>
      <c r="D21" s="14">
        <f t="shared" si="0"/>
        <v>3.699999999999997E-2</v>
      </c>
      <c r="E21" s="14">
        <f t="shared" si="1"/>
        <v>1.8999999999999934E-2</v>
      </c>
    </row>
    <row r="22" spans="1:5" x14ac:dyDescent="0.25">
      <c r="A22" s="32">
        <v>-6.4000000000000001E-2</v>
      </c>
      <c r="B22" s="32">
        <v>-6.7000000000000004E-2</v>
      </c>
      <c r="C22" s="32"/>
      <c r="D22" s="14">
        <f t="shared" si="0"/>
        <v>-3.8000000000000034E-2</v>
      </c>
      <c r="E22" s="14">
        <f t="shared" si="1"/>
        <v>-6.0000000000000074E-2</v>
      </c>
    </row>
    <row r="23" spans="1:5" x14ac:dyDescent="0.25">
      <c r="A23" s="32">
        <v>1.7000000000000001E-2</v>
      </c>
      <c r="B23" s="32">
        <v>1.9E-2</v>
      </c>
      <c r="C23" s="32"/>
      <c r="D23" s="14">
        <f t="shared" si="0"/>
        <v>-3.2000000000000035E-2</v>
      </c>
      <c r="E23" s="14">
        <f t="shared" si="1"/>
        <v>-5.3000000000000082E-2</v>
      </c>
    </row>
    <row r="24" spans="1:5" x14ac:dyDescent="0.25">
      <c r="A24" s="32">
        <v>-4.0000000000000001E-3</v>
      </c>
      <c r="B24" s="32">
        <v>-3.0000000000000001E-3</v>
      </c>
      <c r="C24" s="32"/>
      <c r="D24" s="14">
        <f t="shared" si="0"/>
        <v>-4.7000000000000035E-2</v>
      </c>
      <c r="E24" s="14">
        <f t="shared" si="1"/>
        <v>-6.8000000000000088E-2</v>
      </c>
    </row>
    <row r="25" spans="1:5" x14ac:dyDescent="0.25">
      <c r="A25" s="32">
        <v>-2E-3</v>
      </c>
      <c r="B25" s="32">
        <v>-1E-3</v>
      </c>
      <c r="C25" s="32"/>
      <c r="D25" s="14">
        <f t="shared" si="0"/>
        <v>-6.0000000000000039E-2</v>
      </c>
      <c r="E25" s="14">
        <f t="shared" si="1"/>
        <v>-8.1000000000000086E-2</v>
      </c>
    </row>
    <row r="26" spans="1:5" x14ac:dyDescent="0.25">
      <c r="A26" s="32">
        <v>-2.1000000000000001E-2</v>
      </c>
      <c r="B26" s="32">
        <v>-2.6000000000000002E-2</v>
      </c>
      <c r="C26" s="32"/>
      <c r="D26" s="14">
        <f t="shared" si="0"/>
        <v>-9.200000000000004E-2</v>
      </c>
      <c r="E26" s="14">
        <f t="shared" si="1"/>
        <v>-0.11900000000000009</v>
      </c>
    </row>
    <row r="27" spans="1:5" x14ac:dyDescent="0.25">
      <c r="A27" s="32">
        <v>1.1000000000000001E-2</v>
      </c>
      <c r="B27" s="32">
        <v>6.9999999999999993E-3</v>
      </c>
      <c r="C27" s="32"/>
      <c r="D27" s="14">
        <f t="shared" si="0"/>
        <v>-9.200000000000004E-2</v>
      </c>
      <c r="E27" s="14">
        <f t="shared" si="1"/>
        <v>-0.1240000000000001</v>
      </c>
    </row>
    <row r="28" spans="1:5" x14ac:dyDescent="0.25">
      <c r="A28" s="32">
        <v>4.7E-2</v>
      </c>
      <c r="B28" s="32">
        <v>4.2999999999999997E-2</v>
      </c>
      <c r="C28" s="32"/>
      <c r="D28" s="14">
        <f t="shared" si="0"/>
        <v>-5.6000000000000043E-2</v>
      </c>
      <c r="E28" s="14">
        <f t="shared" si="1"/>
        <v>-9.3000000000000096E-2</v>
      </c>
    </row>
    <row r="29" spans="1:5" x14ac:dyDescent="0.25">
      <c r="A29" s="32">
        <v>2.4E-2</v>
      </c>
      <c r="B29" s="32">
        <v>2.8999999999999998E-2</v>
      </c>
      <c r="C29" s="32"/>
      <c r="D29" s="14">
        <f t="shared" si="0"/>
        <v>-4.3000000000000045E-2</v>
      </c>
      <c r="E29" s="14">
        <f t="shared" si="1"/>
        <v>-7.6000000000000095E-2</v>
      </c>
    </row>
    <row r="30" spans="1:5" x14ac:dyDescent="0.25">
      <c r="A30" s="32">
        <v>3.3000000000000002E-2</v>
      </c>
      <c r="B30" s="32">
        <v>3.7999999999999999E-2</v>
      </c>
      <c r="C30" s="32"/>
      <c r="D30" s="14">
        <f t="shared" si="0"/>
        <v>-2.1000000000000046E-2</v>
      </c>
      <c r="E30" s="14">
        <f t="shared" si="1"/>
        <v>-5.00000000000001E-2</v>
      </c>
    </row>
    <row r="31" spans="1:5" x14ac:dyDescent="0.25">
      <c r="A31" s="32">
        <v>-6.9999999999999993E-3</v>
      </c>
      <c r="B31" s="32">
        <v>-2E-3</v>
      </c>
      <c r="C31" s="32"/>
      <c r="D31" s="14">
        <f t="shared" si="0"/>
        <v>-3.9000000000000049E-2</v>
      </c>
      <c r="E31" s="14">
        <f t="shared" si="1"/>
        <v>-6.4000000000000098E-2</v>
      </c>
    </row>
    <row r="32" spans="1:5" x14ac:dyDescent="0.25">
      <c r="A32" s="32">
        <v>4.7E-2</v>
      </c>
      <c r="B32" s="32">
        <v>5.0999999999999997E-2</v>
      </c>
      <c r="C32" s="32"/>
      <c r="D32" s="14">
        <f t="shared" si="0"/>
        <v>-3.0000000000000495E-3</v>
      </c>
      <c r="E32" s="14">
        <f t="shared" si="1"/>
        <v>-2.5000000000000105E-2</v>
      </c>
    </row>
    <row r="33" spans="1:5" x14ac:dyDescent="0.25">
      <c r="A33" s="32">
        <v>6.0000000000000001E-3</v>
      </c>
      <c r="B33" s="32">
        <v>1.3999999999999999E-2</v>
      </c>
      <c r="C33" s="32"/>
      <c r="D33" s="14">
        <f t="shared" si="0"/>
        <v>-8.0000000000000505E-3</v>
      </c>
      <c r="E33" s="14">
        <f t="shared" si="1"/>
        <v>-2.3000000000000111E-2</v>
      </c>
    </row>
    <row r="34" spans="1:5" x14ac:dyDescent="0.25">
      <c r="A34" s="32">
        <v>0.01</v>
      </c>
      <c r="B34" s="32">
        <v>1.3000000000000001E-2</v>
      </c>
      <c r="C34" s="32"/>
      <c r="D34" s="14">
        <f t="shared" si="0"/>
        <v>-9.0000000000000514E-3</v>
      </c>
      <c r="E34" s="14">
        <f t="shared" si="1"/>
        <v>-2.200000000000011E-2</v>
      </c>
    </row>
    <row r="35" spans="1:5" x14ac:dyDescent="0.25">
      <c r="A35" s="32">
        <v>-2E-3</v>
      </c>
      <c r="B35" s="32">
        <v>3.0000000000000001E-3</v>
      </c>
      <c r="C35" s="32"/>
      <c r="D35" s="14">
        <f t="shared" si="0"/>
        <v>-2.2000000000000054E-2</v>
      </c>
      <c r="E35" s="14">
        <f t="shared" si="1"/>
        <v>-3.1000000000000111E-2</v>
      </c>
    </row>
    <row r="36" spans="1:5" x14ac:dyDescent="0.25">
      <c r="A36" s="32">
        <v>3.4000000000000002E-2</v>
      </c>
      <c r="B36" s="32">
        <v>3.4000000000000002E-2</v>
      </c>
      <c r="C36" s="32"/>
      <c r="D36" s="14">
        <f t="shared" si="0"/>
        <v>9.9999999999994711E-4</v>
      </c>
      <c r="E36" s="14">
        <f t="shared" si="1"/>
        <v>-9.0000000000001103E-3</v>
      </c>
    </row>
    <row r="37" spans="1:5" x14ac:dyDescent="0.25">
      <c r="A37" s="32">
        <v>0.01</v>
      </c>
      <c r="B37" s="32">
        <v>2.1000000000000001E-2</v>
      </c>
      <c r="C37" s="32"/>
      <c r="D37" s="14">
        <f t="shared" si="0"/>
        <v>-5.377642775528102E-17</v>
      </c>
      <c r="E37" s="14">
        <f t="shared" si="1"/>
        <v>-1.1102230246251565E-16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20BF-B3A2-4768-8CA5-EE00905CFCE9}">
  <dimension ref="A1:BB52"/>
  <sheetViews>
    <sheetView topLeftCell="A2" workbookViewId="0">
      <selection activeCell="F29" sqref="F29"/>
    </sheetView>
  </sheetViews>
  <sheetFormatPr defaultRowHeight="15" x14ac:dyDescent="0.25"/>
  <cols>
    <col min="2" max="2" width="10.7109375" bestFit="1" customWidth="1"/>
    <col min="5" max="5" width="25.5703125" customWidth="1"/>
    <col min="6" max="6" width="20.7109375" bestFit="1" customWidth="1"/>
    <col min="7" max="7" width="23.28515625" bestFit="1" customWidth="1"/>
    <col min="8" max="8" width="9.42578125" bestFit="1" customWidth="1"/>
    <col min="9" max="9" width="12" bestFit="1" customWidth="1"/>
    <col min="10" max="10" width="23.28515625" bestFit="1" customWidth="1"/>
    <col min="12" max="12" width="10" bestFit="1" customWidth="1"/>
    <col min="13" max="13" width="23.28515625" bestFit="1" customWidth="1"/>
    <col min="15" max="15" width="10.28515625" customWidth="1"/>
    <col min="18" max="18" width="12.42578125" bestFit="1" customWidth="1"/>
  </cols>
  <sheetData>
    <row r="1" spans="1:54" x14ac:dyDescent="0.25">
      <c r="A1" t="s">
        <v>61</v>
      </c>
      <c r="B1" t="s">
        <v>62</v>
      </c>
      <c r="C1" t="s">
        <v>68</v>
      </c>
      <c r="F1" s="4" t="s">
        <v>61</v>
      </c>
      <c r="G1" s="4"/>
      <c r="I1" s="4" t="s">
        <v>62</v>
      </c>
      <c r="J1" s="4"/>
      <c r="L1" s="4" t="s">
        <v>68</v>
      </c>
      <c r="M1" s="4"/>
      <c r="P1">
        <v>0</v>
      </c>
      <c r="T1" t="s">
        <v>88</v>
      </c>
    </row>
    <row r="2" spans="1:54" ht="15.75" thickBot="1" x14ac:dyDescent="0.3">
      <c r="A2" s="14">
        <v>3.0000000000000001E-3</v>
      </c>
      <c r="B2" s="32">
        <v>2E-3</v>
      </c>
      <c r="C2" s="14">
        <v>1E-3</v>
      </c>
      <c r="F2" t="s">
        <v>71</v>
      </c>
      <c r="G2" t="s">
        <v>70</v>
      </c>
      <c r="I2" t="s">
        <v>71</v>
      </c>
      <c r="J2" t="s">
        <v>70</v>
      </c>
      <c r="L2" t="s">
        <v>71</v>
      </c>
      <c r="M2" t="s">
        <v>70</v>
      </c>
      <c r="N2" cm="1">
        <f t="array" ref="N2:N38">_xlfn.SEQUENCE(37)</f>
        <v>1</v>
      </c>
      <c r="O2" s="26">
        <f>A2</f>
        <v>3.0000000000000001E-3</v>
      </c>
      <c r="P2" s="14">
        <f>(1+P1)*(1+O2)-1</f>
        <v>2.9999999999998916E-3</v>
      </c>
      <c r="R2" s="21" cm="1">
        <f t="array" ref="R2:BB2">TRANSPOSE(_xll.TotalReturnIndex(A2:A37,1000))</f>
        <v>1000</v>
      </c>
      <c r="S2">
        <v>1002.9999999999999</v>
      </c>
      <c r="T2">
        <v>1029.078</v>
      </c>
      <c r="U2">
        <v>1040.3978579999998</v>
      </c>
      <c r="V2">
        <v>1031.0342772779998</v>
      </c>
      <c r="W2">
        <v>1045.4687571598918</v>
      </c>
      <c r="X2">
        <v>1070.5600073317291</v>
      </c>
      <c r="Y2">
        <v>1086.6184074417049</v>
      </c>
      <c r="Z2">
        <v>1158.3352223328575</v>
      </c>
      <c r="AA2">
        <v>1142.1185292201974</v>
      </c>
      <c r="AB2">
        <v>1186.6611518597849</v>
      </c>
      <c r="AC2">
        <v>1180.727846100486</v>
      </c>
      <c r="AD2">
        <v>1276.3668016346253</v>
      </c>
      <c r="AE2">
        <v>1327.4214737000104</v>
      </c>
      <c r="AF2">
        <v>1278.30687917311</v>
      </c>
      <c r="AG2">
        <v>1200.3301595435503</v>
      </c>
      <c r="AH2">
        <v>1217.13478177716</v>
      </c>
      <c r="AI2">
        <v>1157.4951774700792</v>
      </c>
      <c r="AJ2">
        <v>1133.1877787432074</v>
      </c>
      <c r="AK2">
        <v>1203.4454210252864</v>
      </c>
      <c r="AL2">
        <v>1273.245255444753</v>
      </c>
      <c r="AM2">
        <v>1191.7575590962888</v>
      </c>
      <c r="AN2">
        <v>1212.0174376009256</v>
      </c>
      <c r="AO2">
        <v>1207.1693678505219</v>
      </c>
      <c r="AP2">
        <v>1204.7550291148209</v>
      </c>
      <c r="AQ2">
        <v>1179.4551735034097</v>
      </c>
      <c r="AR2">
        <v>1192.4291804119471</v>
      </c>
      <c r="AS2">
        <v>1248.4733518913085</v>
      </c>
      <c r="AT2">
        <v>1278.4367123366999</v>
      </c>
      <c r="AU2">
        <v>1320.6251238438108</v>
      </c>
      <c r="AV2">
        <v>1311.3807479769041</v>
      </c>
      <c r="AW2">
        <v>1373.0156431318185</v>
      </c>
      <c r="AX2">
        <v>1381.2537369906095</v>
      </c>
      <c r="AY2">
        <v>1395.0662743605155</v>
      </c>
      <c r="AZ2">
        <v>1392.2761418117946</v>
      </c>
      <c r="BA2">
        <v>1439.6135306333956</v>
      </c>
      <c r="BB2">
        <v>1454.0096659397295</v>
      </c>
    </row>
    <row r="3" spans="1:54" x14ac:dyDescent="0.25">
      <c r="A3" s="14">
        <v>2.6000000000000002E-2</v>
      </c>
      <c r="B3" s="32">
        <v>2.5000000000000001E-2</v>
      </c>
      <c r="C3" s="14">
        <v>1E-3</v>
      </c>
      <c r="E3" t="s">
        <v>2</v>
      </c>
      <c r="F3" s="1" cm="1">
        <f t="array" ref="F3">GEOMEAN(1+A2:A37)-1</f>
        <v>1.0452163610398468E-2</v>
      </c>
      <c r="G3" s="1" cm="1">
        <f t="array" ref="G3">PRODUCT(1+A2:A37)^(12/36)-1</f>
        <v>0.13289353350977429</v>
      </c>
      <c r="I3" s="1" cm="1">
        <f t="array" ref="I3">GEOMEAN(1+B2:B37)-1</f>
        <v>1.1436247371426456E-2</v>
      </c>
      <c r="J3" s="1" cm="1">
        <f t="array" ref="J3">PRODUCT(1+B2:B37)^(12/36)-1</f>
        <v>0.14620464307207515</v>
      </c>
      <c r="L3" s="1" cm="1">
        <f t="array" ref="L3">GEOMEAN(1+C2:C37)-1</f>
        <v>1.9995843306364058E-3</v>
      </c>
      <c r="M3" s="1" cm="1">
        <f t="array" ref="M3">PRODUCT(1+C2:C37)^(12/36)-1</f>
        <v>2.4260669083983943E-2</v>
      </c>
      <c r="N3">
        <v>2</v>
      </c>
      <c r="O3" s="26">
        <f t="shared" ref="O3:O37" si="0">A3</f>
        <v>2.6000000000000002E-2</v>
      </c>
      <c r="P3" s="14">
        <f t="shared" ref="P3:P37" si="1">(1+P2)*(1+O3)-1</f>
        <v>2.9077999999999937E-2</v>
      </c>
      <c r="R3" s="21"/>
      <c r="T3" s="41" t="s">
        <v>89</v>
      </c>
      <c r="U3" s="41"/>
    </row>
    <row r="4" spans="1:54" x14ac:dyDescent="0.25">
      <c r="A4" s="14">
        <v>1.1000000000000001E-2</v>
      </c>
      <c r="B4" s="32">
        <v>1.8000000000000002E-2</v>
      </c>
      <c r="C4" s="14">
        <v>2E-3</v>
      </c>
      <c r="E4" t="s">
        <v>77</v>
      </c>
      <c r="F4" s="1">
        <f>_xlfn.STDEV.P(A2:A37)</f>
        <v>3.3173784830796742E-2</v>
      </c>
      <c r="G4" s="1">
        <f>F4*SQRT(12)</f>
        <v>0.11491736161259533</v>
      </c>
      <c r="I4" s="1">
        <f>_xlfn.STDEV.P(B2:B37)</f>
        <v>3.3620430296671298E-2</v>
      </c>
      <c r="J4" s="1">
        <f>I4*SQRT(12)</f>
        <v>0.11646458689232533</v>
      </c>
      <c r="L4" s="1">
        <f>_xlfn.STDEV.P(C2:C37)</f>
        <v>9.1287092917527674E-4</v>
      </c>
      <c r="M4" s="1">
        <f>L4*SQRT(12)</f>
        <v>3.1622776601683785E-3</v>
      </c>
      <c r="N4">
        <v>3</v>
      </c>
      <c r="O4" s="26">
        <f t="shared" si="0"/>
        <v>1.1000000000000001E-2</v>
      </c>
      <c r="P4" s="14">
        <f t="shared" si="1"/>
        <v>4.0397857999999731E-2</v>
      </c>
      <c r="R4" s="21"/>
      <c r="T4" s="38" t="s">
        <v>90</v>
      </c>
      <c r="U4" s="38">
        <v>0.8672578125579653</v>
      </c>
    </row>
    <row r="5" spans="1:54" x14ac:dyDescent="0.25">
      <c r="A5" s="14">
        <v>-9.0000000000000011E-3</v>
      </c>
      <c r="B5" s="32">
        <v>-1.1000000000000001E-2</v>
      </c>
      <c r="C5" s="14">
        <v>2E-3</v>
      </c>
      <c r="E5" t="s">
        <v>123</v>
      </c>
      <c r="F5" s="1">
        <v>5.0000000000000001E-3</v>
      </c>
      <c r="G5" s="1">
        <f>(1+F5)^12-1</f>
        <v>6.1677811864497611E-2</v>
      </c>
      <c r="I5" s="1"/>
      <c r="J5" s="1"/>
      <c r="L5" s="1"/>
      <c r="M5" s="1"/>
      <c r="N5">
        <v>4</v>
      </c>
      <c r="O5" s="26">
        <f t="shared" si="0"/>
        <v>-9.0000000000000011E-3</v>
      </c>
      <c r="P5" s="14">
        <f t="shared" si="1"/>
        <v>3.1034277277999678E-2</v>
      </c>
      <c r="R5" s="21"/>
      <c r="T5" s="38" t="s">
        <v>91</v>
      </c>
      <c r="U5" s="38">
        <v>0.75213611344282683</v>
      </c>
    </row>
    <row r="6" spans="1:54" x14ac:dyDescent="0.25">
      <c r="A6" s="14">
        <v>1.3999999999999999E-2</v>
      </c>
      <c r="B6" s="32">
        <v>1.3999999999999999E-2</v>
      </c>
      <c r="C6" s="14">
        <v>2E-3</v>
      </c>
      <c r="N6">
        <v>5</v>
      </c>
      <c r="O6" s="26">
        <f t="shared" si="0"/>
        <v>1.3999999999999999E-2</v>
      </c>
      <c r="P6" s="14">
        <f t="shared" si="1"/>
        <v>4.5468757159891737E-2</v>
      </c>
      <c r="R6" s="21"/>
      <c r="T6" s="38" t="s">
        <v>92</v>
      </c>
      <c r="U6" s="38">
        <v>0.74484599913232175</v>
      </c>
    </row>
    <row r="7" spans="1:54" x14ac:dyDescent="0.25">
      <c r="A7" s="14">
        <v>2.4E-2</v>
      </c>
      <c r="B7" s="32">
        <v>2.3E-2</v>
      </c>
      <c r="C7" s="14">
        <v>2E-3</v>
      </c>
      <c r="E7" t="s">
        <v>4</v>
      </c>
      <c r="F7" s="21">
        <f>(F3-L3)/F4</f>
        <v>0.25479695255981605</v>
      </c>
      <c r="G7" s="21">
        <f>(G3-M3)/G4</f>
        <v>0.94531290051723404</v>
      </c>
      <c r="N7">
        <v>6</v>
      </c>
      <c r="O7" s="26">
        <f t="shared" si="0"/>
        <v>2.4E-2</v>
      </c>
      <c r="P7" s="14">
        <f t="shared" si="1"/>
        <v>7.056000733172918E-2</v>
      </c>
      <c r="R7" s="21"/>
      <c r="T7" s="38" t="s">
        <v>93</v>
      </c>
      <c r="U7" s="38">
        <v>6.0766076195599643E-2</v>
      </c>
    </row>
    <row r="8" spans="1:54" ht="15.75" thickBot="1" x14ac:dyDescent="0.3">
      <c r="A8" s="14">
        <v>1.4999999999999999E-2</v>
      </c>
      <c r="B8" s="32">
        <v>1.3999999999999999E-2</v>
      </c>
      <c r="C8" s="14">
        <v>2E-3</v>
      </c>
      <c r="E8" s="14" t="s">
        <v>24</v>
      </c>
      <c r="F8" s="21" cm="1">
        <f t="array" ref="F8">(F3-L3)/_xlfn.STDEV.P(A2:A37-C2:C37)</f>
        <v>0.25497722129753936</v>
      </c>
      <c r="G8" s="21" cm="1">
        <f t="array" ref="G8">(G3-M3)/(_xlfn.STDEV.P(A2:A37-C2:C37)*SQRT(12))</f>
        <v>0.9459817090002941</v>
      </c>
      <c r="N8">
        <v>7</v>
      </c>
      <c r="O8" s="26">
        <f t="shared" si="0"/>
        <v>1.4999999999999999E-2</v>
      </c>
      <c r="P8" s="14">
        <f t="shared" si="1"/>
        <v>8.6618407441704903E-2</v>
      </c>
      <c r="R8" s="21"/>
      <c r="T8" s="39" t="s">
        <v>94</v>
      </c>
      <c r="U8" s="39">
        <v>36</v>
      </c>
    </row>
    <row r="9" spans="1:54" x14ac:dyDescent="0.25">
      <c r="A9" s="14">
        <v>6.6000000000000003E-2</v>
      </c>
      <c r="B9" s="32">
        <v>6.5000000000000002E-2</v>
      </c>
      <c r="C9" s="14">
        <v>3.0000000000000001E-3</v>
      </c>
      <c r="E9" t="s">
        <v>69</v>
      </c>
      <c r="F9" s="21" cm="1">
        <f t="array" ref="F9">F7+_xll.Skewness_P(A2:A37)/6*F7^2-(_xll.Kurtosis_P(A2:A37)-3)/24*F7^3</f>
        <v>0.25223719852260701</v>
      </c>
      <c r="G9" s="27" cm="1">
        <f t="array" ref="G9">G7+_xll.Skewness_P(A2:A37)/6*G7^2-(_xll.Kurtosis_P(A2:A37)-3)/24*G7^3</f>
        <v>0.91065390211902919</v>
      </c>
      <c r="H9" s="35"/>
      <c r="N9">
        <v>8</v>
      </c>
      <c r="O9" s="26">
        <f t="shared" si="0"/>
        <v>6.6000000000000003E-2</v>
      </c>
      <c r="P9" s="14">
        <f t="shared" si="1"/>
        <v>0.15833522233285757</v>
      </c>
      <c r="R9" s="21"/>
    </row>
    <row r="10" spans="1:54" ht="18.75" thickBot="1" x14ac:dyDescent="0.3">
      <c r="A10" s="14">
        <v>-1.3999999999999999E-2</v>
      </c>
      <c r="B10" s="32">
        <v>-1.4999999999999999E-2</v>
      </c>
      <c r="C10" s="14">
        <v>3.0000000000000001E-3</v>
      </c>
      <c r="E10" t="s">
        <v>79</v>
      </c>
      <c r="F10" s="1">
        <f>F7*_xlfn.STDEV.P($B$2:$B$37)+$L$3</f>
        <v>1.0565967513977965E-2</v>
      </c>
      <c r="G10" s="1">
        <f>G7*_xlfn.STDEV.P($B$2:$B$37)*SQRT(12)+M3</f>
        <v>0.13435614552670944</v>
      </c>
      <c r="N10">
        <v>9</v>
      </c>
      <c r="O10" s="26">
        <f t="shared" si="0"/>
        <v>-1.3999999999999999E-2</v>
      </c>
      <c r="P10" s="14">
        <f t="shared" si="1"/>
        <v>0.14211852922019763</v>
      </c>
      <c r="R10" s="21"/>
      <c r="T10" t="s">
        <v>95</v>
      </c>
    </row>
    <row r="11" spans="1:54" x14ac:dyDescent="0.25">
      <c r="A11" s="14">
        <v>3.9E-2</v>
      </c>
      <c r="B11" s="32">
        <v>4.2000000000000003E-2</v>
      </c>
      <c r="C11" s="14">
        <v>4.0000000000000001E-3</v>
      </c>
      <c r="E11" t="s">
        <v>124</v>
      </c>
      <c r="F11" s="21">
        <f>(F3-F5)/F4</f>
        <v>0.16435156971709106</v>
      </c>
      <c r="G11" s="1"/>
      <c r="N11">
        <v>10</v>
      </c>
      <c r="O11" s="26">
        <f t="shared" si="0"/>
        <v>3.9E-2</v>
      </c>
      <c r="P11" s="14">
        <f t="shared" si="1"/>
        <v>0.18666115185978516</v>
      </c>
      <c r="R11" s="21"/>
      <c r="T11" s="40"/>
      <c r="U11" s="40" t="s">
        <v>100</v>
      </c>
      <c r="V11" s="40" t="s">
        <v>101</v>
      </c>
      <c r="W11" s="40" t="s">
        <v>102</v>
      </c>
      <c r="X11" s="40" t="s">
        <v>103</v>
      </c>
      <c r="Y11" s="40" t="s">
        <v>104</v>
      </c>
    </row>
    <row r="12" spans="1:54" x14ac:dyDescent="0.25">
      <c r="A12" s="14">
        <v>-5.0000000000000001E-3</v>
      </c>
      <c r="B12" s="32">
        <v>-3.0000000000000001E-3</v>
      </c>
      <c r="C12" s="14">
        <v>4.0000000000000001E-3</v>
      </c>
      <c r="E12" t="s">
        <v>8</v>
      </c>
      <c r="F12" s="21">
        <f>_xlfn.COVARIANCE.P(A2:A37,B2:B37)/_xlfn.VAR.P(B2:B37)</f>
        <v>0.98144598446869191</v>
      </c>
      <c r="G12" s="1"/>
      <c r="J12" s="14"/>
      <c r="N12">
        <v>11</v>
      </c>
      <c r="O12" s="26">
        <f t="shared" si="0"/>
        <v>-5.0000000000000001E-3</v>
      </c>
      <c r="P12" s="14">
        <f t="shared" si="1"/>
        <v>0.1807278461004862</v>
      </c>
      <c r="R12" s="21"/>
      <c r="T12" s="38" t="s">
        <v>96</v>
      </c>
      <c r="U12" s="38">
        <v>1</v>
      </c>
      <c r="V12" s="38">
        <v>0.38096448518716319</v>
      </c>
      <c r="W12" s="38">
        <v>0.38096448518716319</v>
      </c>
      <c r="X12" s="38">
        <v>103.17206032818918</v>
      </c>
      <c r="Y12" s="38">
        <v>7.8089252451616348E-12</v>
      </c>
    </row>
    <row r="13" spans="1:54" x14ac:dyDescent="0.25">
      <c r="A13" s="14">
        <v>8.1000000000000003E-2</v>
      </c>
      <c r="B13" s="32">
        <v>8.3000000000000004E-2</v>
      </c>
      <c r="C13" s="14">
        <v>3.0000000000000001E-3</v>
      </c>
      <c r="E13" t="s">
        <v>7</v>
      </c>
      <c r="F13" s="21">
        <f>(F3-L3)/F12</f>
        <v>8.6123733893902332E-3</v>
      </c>
      <c r="G13" s="21">
        <f>(G3-M3)/F12</f>
        <v>0.11068654428760948</v>
      </c>
      <c r="J13" s="14"/>
      <c r="N13">
        <v>12</v>
      </c>
      <c r="O13" s="26">
        <f t="shared" si="0"/>
        <v>8.1000000000000003E-2</v>
      </c>
      <c r="P13" s="14">
        <f t="shared" si="1"/>
        <v>0.27636680163462546</v>
      </c>
      <c r="R13" s="21"/>
      <c r="T13" s="38" t="s">
        <v>97</v>
      </c>
      <c r="U13" s="38">
        <v>34</v>
      </c>
      <c r="V13" s="38">
        <v>0.12554554455112032</v>
      </c>
      <c r="W13" s="38">
        <v>3.6925160162094212E-3</v>
      </c>
      <c r="X13" s="38"/>
      <c r="Y13" s="38"/>
    </row>
    <row r="14" spans="1:54" ht="15.75" thickBot="1" x14ac:dyDescent="0.3">
      <c r="A14" s="14">
        <v>0.04</v>
      </c>
      <c r="B14" s="32">
        <v>3.9E-2</v>
      </c>
      <c r="C14" s="14">
        <v>3.0000000000000001E-3</v>
      </c>
      <c r="E14" t="s">
        <v>11</v>
      </c>
      <c r="F14" s="1">
        <f>F3-L3-F12*(I3-L3)</f>
        <v>-8.089957684054485E-4</v>
      </c>
      <c r="G14" s="1">
        <f>G3-M3-F12*(J3-M3)</f>
        <v>-1.104855917497638E-2</v>
      </c>
      <c r="I14" s="1"/>
      <c r="J14" s="28"/>
      <c r="N14">
        <v>13</v>
      </c>
      <c r="O14" s="26">
        <f t="shared" si="0"/>
        <v>0.04</v>
      </c>
      <c r="P14" s="14">
        <f t="shared" si="1"/>
        <v>0.32742147370001051</v>
      </c>
      <c r="R14" s="21"/>
      <c r="T14" s="39" t="s">
        <v>98</v>
      </c>
      <c r="U14" s="39">
        <v>35</v>
      </c>
      <c r="V14" s="39">
        <v>0.50651002973828352</v>
      </c>
      <c r="W14" s="39"/>
      <c r="X14" s="39"/>
      <c r="Y14" s="39"/>
    </row>
    <row r="15" spans="1:54" ht="15.75" thickBot="1" x14ac:dyDescent="0.3">
      <c r="A15" s="14">
        <v>-3.7000000000000005E-2</v>
      </c>
      <c r="B15" s="32">
        <v>-3.7999999999999999E-2</v>
      </c>
      <c r="C15" s="14">
        <v>3.0000000000000001E-3</v>
      </c>
      <c r="E15" t="s">
        <v>82</v>
      </c>
      <c r="F15" s="8">
        <f>F14/SQRT(_xlfn.VAR.P(A2:A37)-F12^2*_xlfn.VAR.P(B2:B37))</f>
        <v>-0.23629010561291675</v>
      </c>
      <c r="N15">
        <v>14</v>
      </c>
      <c r="O15" s="26">
        <f t="shared" si="0"/>
        <v>-3.7000000000000005E-2</v>
      </c>
      <c r="P15" s="14">
        <f t="shared" si="1"/>
        <v>0.27830687917311003</v>
      </c>
      <c r="R15" s="21"/>
    </row>
    <row r="16" spans="1:54" x14ac:dyDescent="0.25">
      <c r="A16" s="14">
        <v>-6.0999999999999999E-2</v>
      </c>
      <c r="B16" s="32">
        <v>-6.2E-2</v>
      </c>
      <c r="C16" s="14">
        <v>3.0000000000000001E-3</v>
      </c>
      <c r="E16" t="s">
        <v>120</v>
      </c>
      <c r="F16" s="8" cm="1">
        <f t="array" ref="F16">SUM(IF(AVERAGE(A2:A37)-A2:A37&lt;0,0,(AVERAGE(A2:A37)-A2:A37)^2))/COUNT(A2:A37)</f>
        <v>5.83888888888889E-4</v>
      </c>
      <c r="N16">
        <v>15</v>
      </c>
      <c r="O16" s="26">
        <f t="shared" si="0"/>
        <v>-6.0999999999999999E-2</v>
      </c>
      <c r="P16" s="14">
        <f t="shared" si="1"/>
        <v>0.20033015954355049</v>
      </c>
      <c r="R16" s="21"/>
      <c r="T16" s="40"/>
      <c r="U16" s="40" t="s">
        <v>105</v>
      </c>
      <c r="V16" s="40" t="s">
        <v>93</v>
      </c>
      <c r="W16" s="40" t="s">
        <v>106</v>
      </c>
      <c r="X16" s="40" t="s">
        <v>107</v>
      </c>
      <c r="Y16" s="40" t="s">
        <v>108</v>
      </c>
      <c r="Z16" s="40" t="s">
        <v>109</v>
      </c>
      <c r="AA16" s="40" t="s">
        <v>110</v>
      </c>
      <c r="AB16" s="40" t="s">
        <v>111</v>
      </c>
    </row>
    <row r="17" spans="1:28" x14ac:dyDescent="0.25">
      <c r="A17" s="14">
        <v>1.3999999999999999E-2</v>
      </c>
      <c r="B17" s="32">
        <v>1.4999999999999999E-2</v>
      </c>
      <c r="C17" s="14">
        <v>4.0000000000000001E-3</v>
      </c>
      <c r="E17" t="s">
        <v>121</v>
      </c>
      <c r="F17" s="8">
        <f>SQRT(F16)</f>
        <v>2.4163792932585915E-2</v>
      </c>
      <c r="H17" s="11"/>
      <c r="N17">
        <v>16</v>
      </c>
      <c r="O17" s="26">
        <f t="shared" si="0"/>
        <v>1.3999999999999999E-2</v>
      </c>
      <c r="P17" s="14">
        <f t="shared" si="1"/>
        <v>0.21713478177716028</v>
      </c>
      <c r="R17" s="21"/>
      <c r="T17" s="38" t="s">
        <v>99</v>
      </c>
      <c r="U17" s="38">
        <v>3.409930189157126E-2</v>
      </c>
      <c r="V17" s="38">
        <v>2.0684848729386435E-2</v>
      </c>
      <c r="W17" s="38">
        <v>1.6485158938159046</v>
      </c>
      <c r="X17" s="38">
        <v>0.10845833073552817</v>
      </c>
      <c r="Y17" s="38">
        <v>-7.9373683647919191E-3</v>
      </c>
      <c r="Z17" s="38">
        <v>7.6135972147934439E-2</v>
      </c>
      <c r="AA17" s="38">
        <v>-7.9373683647919191E-3</v>
      </c>
      <c r="AB17" s="38">
        <v>7.6135972147934439E-2</v>
      </c>
    </row>
    <row r="18" spans="1:28" ht="15.75" thickBot="1" x14ac:dyDescent="0.3">
      <c r="A18" s="14">
        <v>-4.9000000000000002E-2</v>
      </c>
      <c r="B18" s="32">
        <v>-4.8000000000000001E-2</v>
      </c>
      <c r="C18" s="14">
        <v>2E-3</v>
      </c>
      <c r="E18" t="s">
        <v>122</v>
      </c>
      <c r="F18" s="8" cm="1">
        <f t="array" ref="F18">SUM(IF(A2:A37-AVERAGE(A2:A37)&lt;0,0,(A2:A37-AVERAGE(A2:A37))^2))/COUNT(A2:A37)</f>
        <v>5.1661111111111103E-4</v>
      </c>
      <c r="N18">
        <v>17</v>
      </c>
      <c r="O18" s="26">
        <f t="shared" si="0"/>
        <v>-4.9000000000000002E-2</v>
      </c>
      <c r="P18" s="14">
        <f t="shared" si="1"/>
        <v>0.15749517747007946</v>
      </c>
      <c r="R18" s="21"/>
      <c r="T18" s="39" t="s">
        <v>112</v>
      </c>
      <c r="U18" s="39">
        <v>9.9025429333849547E-3</v>
      </c>
      <c r="V18" s="39">
        <v>9.7491259763472045E-4</v>
      </c>
      <c r="W18" s="39">
        <v>10.157364831893609</v>
      </c>
      <c r="X18" s="39">
        <v>7.8089252451617188E-12</v>
      </c>
      <c r="Y18" s="39">
        <v>7.9212821597771203E-3</v>
      </c>
      <c r="Z18" s="39">
        <v>1.1883803706992789E-2</v>
      </c>
      <c r="AA18" s="39">
        <v>7.9212821597771203E-3</v>
      </c>
      <c r="AB18" s="39">
        <v>1.1883803706992789E-2</v>
      </c>
    </row>
    <row r="19" spans="1:28" x14ac:dyDescent="0.25">
      <c r="A19" s="14">
        <v>-2.1000000000000001E-2</v>
      </c>
      <c r="B19" s="32">
        <v>-0.02</v>
      </c>
      <c r="C19" s="14">
        <v>2E-3</v>
      </c>
      <c r="E19" t="s">
        <v>129</v>
      </c>
      <c r="F19" s="8">
        <f>SQRT(F18)</f>
        <v>2.2729080736165089E-2</v>
      </c>
      <c r="N19">
        <v>18</v>
      </c>
      <c r="O19" s="26">
        <f t="shared" si="0"/>
        <v>-2.1000000000000001E-2</v>
      </c>
      <c r="P19" s="14">
        <f t="shared" si="1"/>
        <v>0.13318777874320786</v>
      </c>
      <c r="R19" s="21"/>
    </row>
    <row r="20" spans="1:28" x14ac:dyDescent="0.25">
      <c r="A20" s="14">
        <v>6.2E-2</v>
      </c>
      <c r="B20" s="32">
        <v>0.06</v>
      </c>
      <c r="C20" s="14">
        <v>2E-3</v>
      </c>
      <c r="E20" t="s">
        <v>130</v>
      </c>
      <c r="F20" s="8" t="e">
        <f>SLOPE(_xlfn.ANCHORARRAY(P2),N2:N37)*SQRT(DEVSQ(N2:N37))/STEYX(_xlfn.ANCHORARRAY(P2),N2:N37)/SQRT(COUNT(N2:N37))</f>
        <v>#N/A</v>
      </c>
      <c r="N20">
        <v>19</v>
      </c>
      <c r="O20" s="26">
        <f t="shared" si="0"/>
        <v>6.2E-2</v>
      </c>
      <c r="P20" s="14">
        <f t="shared" si="1"/>
        <v>0.20344542102528673</v>
      </c>
      <c r="R20" s="21"/>
    </row>
    <row r="21" spans="1:28" x14ac:dyDescent="0.25">
      <c r="A21" s="14">
        <v>5.7999999999999996E-2</v>
      </c>
      <c r="B21" s="32">
        <v>5.5999999999999994E-2</v>
      </c>
      <c r="C21" s="14">
        <v>1E-3</v>
      </c>
      <c r="E21" t="s">
        <v>150</v>
      </c>
      <c r="F21" s="21" cm="1">
        <f t="array" ref="F21">SUM(IF(A2:A37-F5&lt;0,0,(A2:A37-F5)))/SUM(IF(F5-A2:A37&lt;0,0,(F5-A2:A37)))</f>
        <v>1.5950413223140494</v>
      </c>
      <c r="N21">
        <v>20</v>
      </c>
      <c r="O21" s="26">
        <f t="shared" si="0"/>
        <v>5.7999999999999996E-2</v>
      </c>
      <c r="P21" s="14">
        <f t="shared" si="1"/>
        <v>0.27324525544475353</v>
      </c>
      <c r="R21" s="21"/>
    </row>
    <row r="22" spans="1:28" x14ac:dyDescent="0.25">
      <c r="A22" s="14">
        <v>-6.4000000000000001E-2</v>
      </c>
      <c r="B22" s="32">
        <v>-6.7000000000000004E-2</v>
      </c>
      <c r="C22" s="14">
        <v>1E-3</v>
      </c>
      <c r="E22" t="s">
        <v>151</v>
      </c>
      <c r="F22" s="8" cm="1">
        <f t="array" ref="F22">(AVERAGE(A2:A37)-F5)/(SUM(IF(F5-A2:A37&lt;0,0,(F5-A2:A37)))/COUNT(A2:A37))</f>
        <v>0.59504132231404949</v>
      </c>
      <c r="N22">
        <v>21</v>
      </c>
      <c r="O22" s="26">
        <f t="shared" si="0"/>
        <v>-6.4000000000000001E-2</v>
      </c>
      <c r="P22" s="14">
        <f t="shared" si="1"/>
        <v>0.19175755909628922</v>
      </c>
      <c r="R22" s="21"/>
      <c r="T22" t="s">
        <v>88</v>
      </c>
    </row>
    <row r="23" spans="1:28" ht="15.75" thickBot="1" x14ac:dyDescent="0.3">
      <c r="A23" s="14">
        <v>1.7000000000000001E-2</v>
      </c>
      <c r="B23" s="32">
        <v>1.9E-2</v>
      </c>
      <c r="C23" s="14">
        <v>1E-3</v>
      </c>
      <c r="F23" s="8"/>
      <c r="N23">
        <v>22</v>
      </c>
      <c r="O23" s="26">
        <f t="shared" si="0"/>
        <v>1.7000000000000001E-2</v>
      </c>
      <c r="P23" s="14">
        <f t="shared" si="1"/>
        <v>0.21201743760092606</v>
      </c>
      <c r="R23" s="21"/>
    </row>
    <row r="24" spans="1:28" x14ac:dyDescent="0.25">
      <c r="A24" s="14">
        <v>-4.0000000000000001E-3</v>
      </c>
      <c r="B24" s="32">
        <v>-3.0000000000000001E-3</v>
      </c>
      <c r="C24" s="14">
        <v>1E-3</v>
      </c>
      <c r="F24" s="8"/>
      <c r="N24">
        <v>23</v>
      </c>
      <c r="O24" s="26">
        <f t="shared" si="0"/>
        <v>-4.0000000000000001E-3</v>
      </c>
      <c r="P24" s="14">
        <f t="shared" si="1"/>
        <v>0.20716936785052242</v>
      </c>
      <c r="R24" s="21"/>
      <c r="T24" s="41" t="s">
        <v>89</v>
      </c>
      <c r="U24" s="41"/>
    </row>
    <row r="25" spans="1:28" x14ac:dyDescent="0.25">
      <c r="A25" s="14">
        <v>-2E-3</v>
      </c>
      <c r="B25" s="32">
        <v>-1E-3</v>
      </c>
      <c r="C25" s="14">
        <v>1E-3</v>
      </c>
      <c r="N25">
        <v>24</v>
      </c>
      <c r="O25" s="26">
        <f t="shared" si="0"/>
        <v>-2E-3</v>
      </c>
      <c r="P25" s="14">
        <f t="shared" si="1"/>
        <v>0.20475502911482146</v>
      </c>
      <c r="R25" s="21"/>
      <c r="T25" s="38" t="s">
        <v>90</v>
      </c>
      <c r="U25" s="38">
        <v>3.1982751773383812E-2</v>
      </c>
    </row>
    <row r="26" spans="1:28" x14ac:dyDescent="0.25">
      <c r="A26" s="14">
        <v>-2.1000000000000001E-2</v>
      </c>
      <c r="B26" s="32">
        <v>-2.6000000000000002E-2</v>
      </c>
      <c r="C26" s="14">
        <v>1E-3</v>
      </c>
      <c r="E26" t="s">
        <v>4</v>
      </c>
      <c r="F26" s="21" cm="1">
        <f t="array" ref="F26">_xll.SharpeRatio(A2:A37,C2:C37,1)</f>
        <v>0.25479695255981605</v>
      </c>
      <c r="G26" s="21" cm="1">
        <f t="array" ref="G26">_xll.SharpeRatio(A2:A37,C2:C37,12)</f>
        <v>0.94531290051723404</v>
      </c>
      <c r="I26" t="s">
        <v>80</v>
      </c>
      <c r="J26" t="e" cm="1">
        <f t="array" ref="J26">AND(ABS(F7:G22-F26:G41)&lt;0.000000001)</f>
        <v>#N/A</v>
      </c>
      <c r="N26">
        <v>25</v>
      </c>
      <c r="O26" s="26">
        <f t="shared" si="0"/>
        <v>-2.1000000000000001E-2</v>
      </c>
      <c r="P26" s="14">
        <f t="shared" si="1"/>
        <v>0.17945517350341023</v>
      </c>
      <c r="R26" s="21"/>
      <c r="T26" s="38" t="s">
        <v>91</v>
      </c>
      <c r="U26" s="38">
        <v>1.0228964109978854E-3</v>
      </c>
    </row>
    <row r="27" spans="1:28" x14ac:dyDescent="0.25">
      <c r="A27" s="14">
        <v>1.1000000000000001E-2</v>
      </c>
      <c r="B27" s="32">
        <v>6.9999999999999993E-3</v>
      </c>
      <c r="C27" s="14">
        <v>1E-3</v>
      </c>
      <c r="E27" s="14" t="s">
        <v>24</v>
      </c>
      <c r="F27" s="21" cm="1">
        <f t="array" ref="F27">_xll.RevisedSharpeRatio(A2:A37,C2:C37,1)</f>
        <v>0.25497722129753936</v>
      </c>
      <c r="G27" s="21" cm="1">
        <f t="array" ref="G27">_xll.RevisedSharpeRatio(A2:A37,C2:C37,12)</f>
        <v>0.9459817090002941</v>
      </c>
      <c r="N27">
        <v>26</v>
      </c>
      <c r="O27" s="26">
        <f t="shared" si="0"/>
        <v>1.1000000000000001E-2</v>
      </c>
      <c r="P27" s="14">
        <f t="shared" si="1"/>
        <v>0.19242918041194756</v>
      </c>
      <c r="R27" s="21"/>
      <c r="T27" s="38" t="s">
        <v>92</v>
      </c>
      <c r="U27" s="38">
        <v>-2.7519306548687891E-2</v>
      </c>
    </row>
    <row r="28" spans="1:28" x14ac:dyDescent="0.25">
      <c r="A28" s="14">
        <v>4.7E-2</v>
      </c>
      <c r="B28" s="32">
        <v>4.2999999999999997E-2</v>
      </c>
      <c r="C28" s="14">
        <v>1E-3</v>
      </c>
      <c r="E28" t="s">
        <v>69</v>
      </c>
      <c r="F28" s="21" cm="1">
        <f t="array" ref="F28">_xll.AdjustedSharpeRatio(A2:A37,C2:C37,1)</f>
        <v>0.25223719852260701</v>
      </c>
      <c r="G28" s="21" cm="1">
        <f t="array" ref="G28">_xll.AdjustedSharpeRatio(A2:A37,C2:C37,12)</f>
        <v>0.91065390211902919</v>
      </c>
      <c r="N28">
        <v>27</v>
      </c>
      <c r="O28" s="26">
        <f t="shared" si="0"/>
        <v>4.7E-2</v>
      </c>
      <c r="P28" s="14">
        <f t="shared" si="1"/>
        <v>0.24847335189130892</v>
      </c>
      <c r="R28" s="21"/>
      <c r="T28" s="38" t="s">
        <v>93</v>
      </c>
      <c r="U28" s="38">
        <v>4.7422874864075884E-2</v>
      </c>
    </row>
    <row r="29" spans="1:28" ht="18.75" thickBot="1" x14ac:dyDescent="0.3">
      <c r="A29" s="14">
        <v>2.4E-2</v>
      </c>
      <c r="B29" s="32">
        <v>2.8999999999999998E-2</v>
      </c>
      <c r="C29" s="14">
        <v>1E-3</v>
      </c>
      <c r="E29" t="s">
        <v>79</v>
      </c>
      <c r="F29" s="1" cm="1">
        <f t="array" ref="F29">_xll.MSquared(A2:A37,B2:B37,C2:C37,1)</f>
        <v>1.0565967513977965E-2</v>
      </c>
      <c r="G29" s="1" cm="1">
        <f t="array" ref="G29">_xll.MSquared(A2:A37,B2:B37,C2:C37,12)</f>
        <v>0.13435614552670944</v>
      </c>
      <c r="N29">
        <v>28</v>
      </c>
      <c r="O29" s="26">
        <f t="shared" si="0"/>
        <v>2.4E-2</v>
      </c>
      <c r="P29" s="14">
        <f t="shared" si="1"/>
        <v>0.27843671233670042</v>
      </c>
      <c r="R29" s="21"/>
      <c r="T29" s="39" t="s">
        <v>94</v>
      </c>
      <c r="U29" s="39">
        <v>37</v>
      </c>
    </row>
    <row r="30" spans="1:28" x14ac:dyDescent="0.25">
      <c r="A30" s="14">
        <v>3.3000000000000002E-2</v>
      </c>
      <c r="B30" s="32">
        <v>3.7999999999999999E-2</v>
      </c>
      <c r="C30" s="14">
        <v>1E-3</v>
      </c>
      <c r="E30" t="s">
        <v>124</v>
      </c>
      <c r="F30" s="21" cm="1">
        <f t="array" ref="F30">_xll.RoyRatio(A2:A37,F5,1)</f>
        <v>0.16435156971709428</v>
      </c>
      <c r="G30" s="1"/>
      <c r="N30">
        <v>29</v>
      </c>
      <c r="O30" s="26">
        <f t="shared" si="0"/>
        <v>3.3000000000000002E-2</v>
      </c>
      <c r="P30" s="14">
        <f t="shared" si="1"/>
        <v>0.32062512384381137</v>
      </c>
      <c r="R30" s="21"/>
    </row>
    <row r="31" spans="1:28" ht="15.75" thickBot="1" x14ac:dyDescent="0.3">
      <c r="A31" s="14">
        <v>-6.9999999999999993E-3</v>
      </c>
      <c r="B31" s="32">
        <v>-2E-3</v>
      </c>
      <c r="C31" s="14">
        <v>2E-3</v>
      </c>
      <c r="E31" t="s">
        <v>8</v>
      </c>
      <c r="F31" s="21" cm="1">
        <f t="array" ref="F31">_xll.Beta(A2:A37,B2:B37)</f>
        <v>0.98144598446869213</v>
      </c>
      <c r="N31">
        <v>30</v>
      </c>
      <c r="O31" s="26">
        <f t="shared" si="0"/>
        <v>-6.9999999999999993E-3</v>
      </c>
      <c r="P31" s="14">
        <f t="shared" si="1"/>
        <v>0.31138074797690463</v>
      </c>
      <c r="R31" s="21"/>
      <c r="T31" t="s">
        <v>95</v>
      </c>
    </row>
    <row r="32" spans="1:28" x14ac:dyDescent="0.25">
      <c r="A32" s="14">
        <v>4.7E-2</v>
      </c>
      <c r="B32" s="32">
        <v>5.0999999999999997E-2</v>
      </c>
      <c r="C32" s="14">
        <v>2E-3</v>
      </c>
      <c r="E32" t="s">
        <v>7</v>
      </c>
      <c r="F32" s="21" cm="1">
        <f t="array" ref="F32">_xll.TreynorIndex(A2:A37,F31,C2:C37,1)</f>
        <v>8.6123733893902314E-3</v>
      </c>
      <c r="G32" s="21" cm="1">
        <f t="array" ref="G32">_xll.TreynorIndex(A2:A37,F31,C2:C37,12)</f>
        <v>0.11068654428760945</v>
      </c>
      <c r="N32">
        <v>31</v>
      </c>
      <c r="O32" s="26">
        <f t="shared" si="0"/>
        <v>4.7E-2</v>
      </c>
      <c r="P32" s="14">
        <f t="shared" si="1"/>
        <v>0.37301564313181901</v>
      </c>
      <c r="R32" s="21"/>
      <c r="T32" s="40"/>
      <c r="U32" s="40" t="s">
        <v>100</v>
      </c>
      <c r="V32" s="40" t="s">
        <v>101</v>
      </c>
      <c r="W32" s="40" t="s">
        <v>102</v>
      </c>
      <c r="X32" s="40" t="s">
        <v>103</v>
      </c>
      <c r="Y32" s="40" t="s">
        <v>104</v>
      </c>
    </row>
    <row r="33" spans="1:28" x14ac:dyDescent="0.25">
      <c r="A33" s="14">
        <v>6.0000000000000001E-3</v>
      </c>
      <c r="B33" s="32">
        <v>1.3999999999999999E-2</v>
      </c>
      <c r="C33" s="14">
        <v>2E-3</v>
      </c>
      <c r="E33" t="s">
        <v>11</v>
      </c>
      <c r="F33" s="1" cm="1">
        <f t="array" ref="F33">_xll.JensensAlpha(A2:A37,B2:B37,C2:C37,1)</f>
        <v>-8.0899576840545023E-4</v>
      </c>
      <c r="G33" s="1" cm="1">
        <f t="array" ref="G33">_xll.JensensAlpha(A2:A37,B2:B37,C2:C37,12)</f>
        <v>-1.1048559174976408E-2</v>
      </c>
      <c r="H33" s="35"/>
      <c r="I33" s="35"/>
      <c r="J33" s="35"/>
      <c r="K33" s="35"/>
      <c r="N33">
        <v>32</v>
      </c>
      <c r="O33" s="26">
        <f t="shared" si="0"/>
        <v>6.0000000000000001E-3</v>
      </c>
      <c r="P33" s="14">
        <f t="shared" si="1"/>
        <v>0.38125373699060994</v>
      </c>
      <c r="R33" s="21"/>
      <c r="T33" s="38" t="s">
        <v>96</v>
      </c>
      <c r="U33" s="38">
        <v>1</v>
      </c>
      <c r="V33" s="38">
        <v>8.0597193835893477E-5</v>
      </c>
      <c r="W33" s="38">
        <v>8.0597193835893477E-5</v>
      </c>
      <c r="X33" s="38">
        <v>3.5838032980238695E-2</v>
      </c>
      <c r="Y33" s="38">
        <v>0.85094393018659875</v>
      </c>
    </row>
    <row r="34" spans="1:28" x14ac:dyDescent="0.25">
      <c r="A34" s="14">
        <v>0.01</v>
      </c>
      <c r="B34" s="32">
        <v>1.3000000000000001E-2</v>
      </c>
      <c r="C34" s="14">
        <v>2E-3</v>
      </c>
      <c r="E34" t="s">
        <v>82</v>
      </c>
      <c r="F34" s="8" cm="1">
        <f t="array" ref="F34">_xll.AppraisalRatio($A$2:$A$37,$B$2:$B$37,$C$2:$C$37,1)</f>
        <v>-0.23629010561292166</v>
      </c>
      <c r="G34" s="8"/>
      <c r="N34">
        <v>33</v>
      </c>
      <c r="O34" s="26">
        <f t="shared" si="0"/>
        <v>0.01</v>
      </c>
      <c r="P34" s="14">
        <f t="shared" si="1"/>
        <v>0.395066274360516</v>
      </c>
      <c r="R34" s="21"/>
      <c r="T34" s="38" t="s">
        <v>97</v>
      </c>
      <c r="U34" s="38">
        <v>35</v>
      </c>
      <c r="V34" s="38">
        <v>7.8712517113083011E-2</v>
      </c>
      <c r="W34" s="38">
        <v>2.2489290603738003E-3</v>
      </c>
      <c r="X34" s="38"/>
      <c r="Y34" s="38"/>
    </row>
    <row r="35" spans="1:28" ht="15.75" thickBot="1" x14ac:dyDescent="0.3">
      <c r="A35" s="14">
        <v>-2E-3</v>
      </c>
      <c r="B35" s="32">
        <v>3.0000000000000001E-3</v>
      </c>
      <c r="C35" s="14">
        <v>2E-3</v>
      </c>
      <c r="E35" t="s">
        <v>120</v>
      </c>
      <c r="F35" s="8" cm="1">
        <f t="array" ref="F35">_xll.SemiVariance(A2:A37)</f>
        <v>5.83888888888889E-4</v>
      </c>
      <c r="N35">
        <v>34</v>
      </c>
      <c r="O35" s="26">
        <f t="shared" si="0"/>
        <v>-2E-3</v>
      </c>
      <c r="P35" s="14">
        <f t="shared" si="1"/>
        <v>0.39227614181179504</v>
      </c>
      <c r="R35" s="21"/>
      <c r="T35" s="39" t="s">
        <v>98</v>
      </c>
      <c r="U35" s="39">
        <v>36</v>
      </c>
      <c r="V35" s="39">
        <v>7.8793114306918904E-2</v>
      </c>
      <c r="W35" s="39"/>
      <c r="X35" s="39"/>
      <c r="Y35" s="39"/>
    </row>
    <row r="36" spans="1:28" ht="15.75" thickBot="1" x14ac:dyDescent="0.3">
      <c r="A36" s="14">
        <v>3.4000000000000002E-2</v>
      </c>
      <c r="B36" s="32">
        <v>3.4000000000000002E-2</v>
      </c>
      <c r="C36" s="14">
        <v>2E-3</v>
      </c>
      <c r="E36" t="s">
        <v>121</v>
      </c>
      <c r="F36" s="8" cm="1">
        <f t="array" ref="F36">_xll.SemiDeviation(A2:A37)</f>
        <v>2.4163792932585915E-2</v>
      </c>
      <c r="J36" s="1">
        <f>_xlfn.VAR.P(B2:B37)*12*F12^2</f>
        <v>1.3065336093908721E-2</v>
      </c>
      <c r="K36" s="14">
        <f>F12*_xlfn.STDEV.P(B2:B37)</f>
        <v>3.2996636310777601E-2</v>
      </c>
      <c r="N36">
        <v>35</v>
      </c>
      <c r="O36" s="26">
        <f t="shared" si="0"/>
        <v>3.4000000000000002E-2</v>
      </c>
      <c r="P36" s="14">
        <f t="shared" si="1"/>
        <v>0.43961353063339614</v>
      </c>
      <c r="R36" s="21"/>
    </row>
    <row r="37" spans="1:28" x14ac:dyDescent="0.25">
      <c r="A37" s="14">
        <v>0.01</v>
      </c>
      <c r="B37" s="32">
        <v>2.1000000000000001E-2</v>
      </c>
      <c r="C37" s="14">
        <v>2E-3</v>
      </c>
      <c r="E37" t="s">
        <v>122</v>
      </c>
      <c r="F37" s="8" cm="1">
        <f t="array" ref="F37">_xll.UpperPartialMoment(A2:A37,,2,1)</f>
        <v>5.1661111111111103E-4</v>
      </c>
      <c r="N37">
        <v>36</v>
      </c>
      <c r="O37" s="26">
        <f t="shared" si="0"/>
        <v>0.01</v>
      </c>
      <c r="P37" s="14">
        <f t="shared" si="1"/>
        <v>0.45400966593973013</v>
      </c>
      <c r="R37" s="21"/>
      <c r="T37" s="40"/>
      <c r="U37" s="40" t="s">
        <v>105</v>
      </c>
      <c r="V37" s="40" t="s">
        <v>93</v>
      </c>
      <c r="W37" s="40" t="s">
        <v>106</v>
      </c>
      <c r="X37" s="40" t="s">
        <v>107</v>
      </c>
      <c r="Y37" s="40" t="s">
        <v>108</v>
      </c>
      <c r="Z37" s="40" t="s">
        <v>109</v>
      </c>
      <c r="AA37" s="40" t="s">
        <v>110</v>
      </c>
      <c r="AB37" s="40" t="s">
        <v>111</v>
      </c>
    </row>
    <row r="38" spans="1:28" x14ac:dyDescent="0.25">
      <c r="E38" t="s">
        <v>129</v>
      </c>
      <c r="F38" s="8">
        <f>SQRT(F37)</f>
        <v>2.2729080736165089E-2</v>
      </c>
      <c r="N38">
        <v>37</v>
      </c>
      <c r="P38" s="14"/>
      <c r="R38" s="21"/>
      <c r="T38" s="38" t="s">
        <v>99</v>
      </c>
      <c r="U38" s="38">
        <v>1.8589198198198143E-2</v>
      </c>
      <c r="V38" s="38">
        <v>1.5914074810340739E-2</v>
      </c>
      <c r="W38" s="38">
        <v>1.1680979522679602</v>
      </c>
      <c r="X38" s="38">
        <v>0.25066279788911805</v>
      </c>
      <c r="Y38" s="38">
        <v>-1.3718091245043678E-2</v>
      </c>
      <c r="Z38" s="38">
        <v>5.0896487641439961E-2</v>
      </c>
      <c r="AA38" s="38">
        <v>-1.3718091245043678E-2</v>
      </c>
      <c r="AB38" s="38">
        <v>5.0896487641439961E-2</v>
      </c>
    </row>
    <row r="39" spans="1:28" ht="15.75" thickBot="1" x14ac:dyDescent="0.3">
      <c r="E39" t="s">
        <v>87</v>
      </c>
      <c r="F39" s="8" cm="1">
        <f t="array" ref="F39">_xll.KRatio(A2:A37)</f>
        <v>1.7839106913325309</v>
      </c>
      <c r="G39" s="35"/>
      <c r="T39" s="39" t="s">
        <v>112</v>
      </c>
      <c r="U39" s="39">
        <v>1.3823138928402166E-4</v>
      </c>
      <c r="V39" s="39">
        <v>7.3018783029706838E-4</v>
      </c>
      <c r="W39" s="39">
        <v>0.18930935787821038</v>
      </c>
      <c r="X39" s="39">
        <v>0.85094393018655423</v>
      </c>
      <c r="Y39" s="39">
        <v>-1.3441287141139735E-3</v>
      </c>
      <c r="Z39" s="39">
        <v>1.6205914926820167E-3</v>
      </c>
      <c r="AA39" s="39">
        <v>-1.3441287141139735E-3</v>
      </c>
      <c r="AB39" s="39">
        <v>1.6205914926820167E-3</v>
      </c>
    </row>
    <row r="40" spans="1:28" x14ac:dyDescent="0.25">
      <c r="E40" t="s">
        <v>150</v>
      </c>
      <c r="F40" s="8" cm="1">
        <f t="array" ref="F40">_xll.OmegaRatio(A2:A37,F5,1)</f>
        <v>1.5950413223140492</v>
      </c>
      <c r="G40" s="35"/>
    </row>
    <row r="41" spans="1:28" x14ac:dyDescent="0.25">
      <c r="E41" t="s">
        <v>151</v>
      </c>
      <c r="F41" s="8" cm="1">
        <f t="array" ref="F41">_xll.KappaIndex(A2:A37,F5,1,1)</f>
        <v>0.59504132231404949</v>
      </c>
      <c r="G41" s="35"/>
    </row>
    <row r="42" spans="1:28" x14ac:dyDescent="0.25">
      <c r="F42" s="8"/>
      <c r="G42" s="35"/>
    </row>
    <row r="43" spans="1:28" x14ac:dyDescent="0.25">
      <c r="F43" s="8"/>
      <c r="U43">
        <f>U39/U28</f>
        <v>2.9148673436653182E-3</v>
      </c>
      <c r="V43" s="35">
        <f>_xlfn.COVARIANCE.P(_xlfn.ANCHORARRAY(R2),_xlfn.ANCHORARRAY(N2))/_xlfn.VAR.P(_xlfn.ANCHORARRAY(N2))</f>
        <v>10.048059157673293</v>
      </c>
    </row>
    <row r="44" spans="1:28" x14ac:dyDescent="0.25">
      <c r="E44" t="s">
        <v>131</v>
      </c>
      <c r="F44">
        <f>W18</f>
        <v>10.157364831893609</v>
      </c>
      <c r="G44">
        <f>F44/SQRT(36)</f>
        <v>1.6928941386489349</v>
      </c>
    </row>
    <row r="45" spans="1:28" x14ac:dyDescent="0.25">
      <c r="U45" s="35">
        <f>STEYX(_xlfn.ANCHORARRAY(R2),_xlfn.ANCHORARRAY(N2))/SQRT(DEVSQ(_xlfn.ANCHORARRAY(N2)))</f>
        <v>0.9259940858765181</v>
      </c>
    </row>
    <row r="48" spans="1:28" x14ac:dyDescent="0.25">
      <c r="E48" t="s">
        <v>83</v>
      </c>
      <c r="F48" s="1">
        <f>_xlfn.VAR.P(A2:A37)</f>
        <v>1.1005000000000001E-3</v>
      </c>
      <c r="G48" s="1">
        <f>SQRT(F48*12)</f>
        <v>0.11491736161259535</v>
      </c>
    </row>
    <row r="49" spans="5:11" x14ac:dyDescent="0.25">
      <c r="E49" t="s">
        <v>84</v>
      </c>
      <c r="F49" s="1">
        <f>_xlfn.VAR.P(B2:B37)</f>
        <v>1.1303333333333335E-3</v>
      </c>
      <c r="G49" s="1">
        <f>F49*12</f>
        <v>1.3564000000000001E-2</v>
      </c>
      <c r="J49" s="1">
        <f>F12^2*_xlfn.VAR.P(B2:B37)</f>
        <v>1.0887780078257267E-3</v>
      </c>
      <c r="K49">
        <f>SQRT(J49)</f>
        <v>3.2996636310777601E-2</v>
      </c>
    </row>
    <row r="50" spans="5:11" x14ac:dyDescent="0.25">
      <c r="E50" t="s">
        <v>85</v>
      </c>
      <c r="F50" s="1">
        <f>F12^2*F49</f>
        <v>1.0887780078257267E-3</v>
      </c>
      <c r="G50" s="14">
        <f>SQRT(F50)</f>
        <v>3.2996636310777601E-2</v>
      </c>
      <c r="H50" s="1" cm="1">
        <f t="array" ref="H50">SQRT(_xll.MarketRisk(A2:A37,B2:B37,1))</f>
        <v>3.2996636310777601E-2</v>
      </c>
    </row>
    <row r="51" spans="5:11" x14ac:dyDescent="0.25">
      <c r="E51" t="s">
        <v>86</v>
      </c>
      <c r="F51" s="1">
        <f>F48-F12^2*F49</f>
        <v>1.1721992174273423E-5</v>
      </c>
      <c r="G51" s="1">
        <f>SQRT(F51)</f>
        <v>3.4237395015207311E-3</v>
      </c>
      <c r="H51" s="1" cm="1">
        <f t="array" ref="H51">_xll.UniqueRisk(A2:A37,B2:B37,1)</f>
        <v>1.1721992174272989E-5</v>
      </c>
      <c r="I51">
        <f>SQRT(H51)</f>
        <v>3.4237395015206673E-3</v>
      </c>
    </row>
    <row r="52" spans="5:11" x14ac:dyDescent="0.25">
      <c r="H52" s="11">
        <f>SUM(H50:H51)</f>
        <v>3.3008358302951873E-2</v>
      </c>
      <c r="I52">
        <f>SQRT(H52)</f>
        <v>0.18168202526103641</v>
      </c>
    </row>
  </sheetData>
  <conditionalFormatting sqref="F26:G26">
    <cfRule type="expression" dxfId="4" priority="8">
      <formula>ABS(F26:G39-F7:G19) &gt; 0.0000000001</formula>
    </cfRule>
  </conditionalFormatting>
  <conditionalFormatting sqref="F34:G39 F42:G42">
    <cfRule type="expression" dxfId="3" priority="10">
      <formula>ABS(F34:G49-F15:G31) &gt; 0.0000000001</formula>
    </cfRule>
  </conditionalFormatting>
  <conditionalFormatting sqref="F31:G33">
    <cfRule type="expression" dxfId="2" priority="11">
      <formula>ABS(F31:G46-F12:G27) &gt; 0.0000000001</formula>
    </cfRule>
  </conditionalFormatting>
  <conditionalFormatting sqref="F27:G27">
    <cfRule type="expression" dxfId="1" priority="13">
      <formula>ABS(F27:G43-F8:G20) &gt; 0.0000000001</formula>
    </cfRule>
  </conditionalFormatting>
  <conditionalFormatting sqref="F28:G29 G30">
    <cfRule type="expression" dxfId="0" priority="14">
      <formula>ABS(F28:G44-F9:G25) &gt; 0.0000000001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5904-470D-4D59-8599-F50297C87148}">
  <dimension ref="A1:I37"/>
  <sheetViews>
    <sheetView workbookViewId="0">
      <selection activeCell="E16" sqref="E16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9.140625" customWidth="1"/>
    <col min="4" max="4" width="20.85546875" bestFit="1" customWidth="1"/>
    <col min="5" max="6" width="11.7109375" customWidth="1"/>
    <col min="8" max="8" width="10.5703125" customWidth="1"/>
    <col min="9" max="9" width="10.28515625" bestFit="1" customWidth="1"/>
  </cols>
  <sheetData>
    <row r="1" spans="1:9" x14ac:dyDescent="0.25">
      <c r="A1" t="s">
        <v>53</v>
      </c>
      <c r="B1" t="s">
        <v>54</v>
      </c>
    </row>
    <row r="2" spans="1:9" x14ac:dyDescent="0.25">
      <c r="A2" s="32">
        <v>3.0000000000000001E-3</v>
      </c>
      <c r="B2" s="32">
        <v>2E-3</v>
      </c>
      <c r="C2" s="32"/>
      <c r="E2" s="4" t="s">
        <v>61</v>
      </c>
      <c r="F2" s="4"/>
      <c r="H2" s="4" t="s">
        <v>62</v>
      </c>
      <c r="I2" s="4"/>
    </row>
    <row r="3" spans="1:9" x14ac:dyDescent="0.25">
      <c r="A3" s="32">
        <v>2.6000000000000002E-2</v>
      </c>
      <c r="B3" s="32">
        <v>2.5000000000000001E-2</v>
      </c>
      <c r="C3" s="32"/>
      <c r="E3" t="s">
        <v>71</v>
      </c>
      <c r="F3" t="s">
        <v>74</v>
      </c>
      <c r="H3" t="s">
        <v>71</v>
      </c>
      <c r="I3" t="s">
        <v>74</v>
      </c>
    </row>
    <row r="4" spans="1:9" x14ac:dyDescent="0.25">
      <c r="A4" s="32">
        <v>1.1000000000000001E-2</v>
      </c>
      <c r="B4" s="32">
        <v>1.8000000000000002E-2</v>
      </c>
      <c r="C4" s="32"/>
      <c r="D4" t="s">
        <v>2</v>
      </c>
      <c r="E4" s="14" cm="1">
        <f t="array" ref="E4">GEOMEAN(1+A2:A37)-1</f>
        <v>1.0452163610398468E-2</v>
      </c>
      <c r="F4" s="14" cm="1">
        <f t="array" ref="F4">PRODUCT(1+A2:A37)^(12/36)-1</f>
        <v>0.13289353350977429</v>
      </c>
      <c r="H4" s="14" cm="1">
        <f t="array" ref="H4">GEOMEAN(1+B2:B37)-1</f>
        <v>1.1436247371426456E-2</v>
      </c>
      <c r="I4" s="14" cm="1">
        <f t="array" ref="I4">PRODUCT(1+B2:B37)^(12/36)-1</f>
        <v>0.14620464307207515</v>
      </c>
    </row>
    <row r="5" spans="1:9" x14ac:dyDescent="0.25">
      <c r="A5" s="32">
        <v>-9.0000000000000011E-3</v>
      </c>
      <c r="B5" s="32">
        <v>-1.1000000000000001E-2</v>
      </c>
      <c r="C5" s="32"/>
      <c r="D5" t="s">
        <v>77</v>
      </c>
      <c r="E5" s="14">
        <f>_xlfn.STDEV.P(A2:A37)</f>
        <v>3.3173784830796742E-2</v>
      </c>
      <c r="F5" s="14">
        <f>E5*SQRT(12)</f>
        <v>0.11491736161259533</v>
      </c>
      <c r="H5" s="14">
        <f>_xlfn.STDEV.P(B2:B37)</f>
        <v>3.3620430296671298E-2</v>
      </c>
      <c r="I5" s="14">
        <f>H5*SQRT(12)</f>
        <v>0.11646458689232533</v>
      </c>
    </row>
    <row r="6" spans="1:9" x14ac:dyDescent="0.25">
      <c r="A6" s="32">
        <v>1.3999999999999999E-2</v>
      </c>
      <c r="B6" s="32">
        <v>1.3999999999999999E-2</v>
      </c>
      <c r="C6" s="32"/>
    </row>
    <row r="7" spans="1:9" x14ac:dyDescent="0.25">
      <c r="A7" s="32">
        <v>2.4E-2</v>
      </c>
      <c r="B7" s="32">
        <v>2.3E-2</v>
      </c>
      <c r="C7" s="32"/>
      <c r="D7" t="s">
        <v>72</v>
      </c>
      <c r="E7" s="1" cm="1">
        <f t="array" ref="E7">_xlfn.STDEV.P(A2:A37-B2:B37)</f>
        <v>3.4801021696368502E-3</v>
      </c>
      <c r="F7" s="1" cm="1">
        <f t="array" ref="F7">_xlfn.STDEV.P(A2:A37-B2:B37)*SQRT(12)</f>
        <v>1.2055427546683416E-2</v>
      </c>
    </row>
    <row r="8" spans="1:9" x14ac:dyDescent="0.25">
      <c r="A8" s="32">
        <v>1.4999999999999999E-2</v>
      </c>
      <c r="B8" s="32">
        <v>1.3999999999999999E-2</v>
      </c>
      <c r="C8" s="32"/>
      <c r="D8" t="s">
        <v>73</v>
      </c>
      <c r="E8" s="1" cm="1">
        <f t="array" ref="E8">_xlfn.STDEV.P((1+A2:A37)/(1+B2:B37)-1)</f>
        <v>3.4318750190674599E-3</v>
      </c>
      <c r="F8" s="1" cm="1">
        <f t="array" ref="F8">_xlfn.STDEV.P((1+A2:A37)/(1+B2:B37)-1)*SQRT(12)</f>
        <v>1.18883637965025E-2</v>
      </c>
    </row>
    <row r="9" spans="1:9" x14ac:dyDescent="0.25">
      <c r="A9" s="32">
        <v>6.6000000000000003E-2</v>
      </c>
      <c r="B9" s="32">
        <v>6.5000000000000002E-2</v>
      </c>
      <c r="C9" s="32"/>
      <c r="D9" t="s">
        <v>75</v>
      </c>
      <c r="E9" s="29">
        <f>(E4-H4)/E7</f>
        <v>-0.2827743879515689</v>
      </c>
      <c r="F9" s="29">
        <f>(F4-I4)/F7</f>
        <v>-1.1041590611991938</v>
      </c>
    </row>
    <row r="10" spans="1:9" x14ac:dyDescent="0.25">
      <c r="A10" s="32">
        <v>-1.3999999999999999E-2</v>
      </c>
      <c r="B10" s="32">
        <v>-1.4999999999999999E-2</v>
      </c>
      <c r="C10" s="32"/>
      <c r="D10" t="s">
        <v>76</v>
      </c>
      <c r="E10" s="29">
        <f>((1+E4)/(1+H4)-1)/E8</f>
        <v>-0.28350589142369115</v>
      </c>
      <c r="F10" s="29">
        <f>((1+F4)/(1+I4)-1)/F8</f>
        <v>-0.97685478507947687</v>
      </c>
    </row>
    <row r="11" spans="1:9" x14ac:dyDescent="0.25">
      <c r="A11" s="32">
        <v>3.9E-2</v>
      </c>
      <c r="B11" s="32">
        <v>4.2000000000000003E-2</v>
      </c>
      <c r="C11" s="32"/>
    </row>
    <row r="12" spans="1:9" x14ac:dyDescent="0.25">
      <c r="A12" s="32">
        <v>-5.0000000000000001E-3</v>
      </c>
      <c r="B12" s="32">
        <v>-3.0000000000000001E-3</v>
      </c>
      <c r="C12" s="32"/>
    </row>
    <row r="13" spans="1:9" x14ac:dyDescent="0.25">
      <c r="A13" s="32">
        <v>8.1000000000000003E-2</v>
      </c>
      <c r="B13" s="32">
        <v>8.3000000000000004E-2</v>
      </c>
      <c r="C13" s="32"/>
      <c r="D13" t="s">
        <v>72</v>
      </c>
      <c r="E13" s="1" cm="1">
        <f t="array" ref="E13">_xll.TrackingErrorArithmetic(A2:A37,B2:B37,1)</f>
        <v>3.4801021696368507E-3</v>
      </c>
      <c r="F13" s="1" cm="1">
        <f t="array" ref="F13">_xll.TrackingErrorArithmetic(A2:A37,B2:B37,12)</f>
        <v>1.2055427546683418E-2</v>
      </c>
      <c r="H13" t="s">
        <v>78</v>
      </c>
      <c r="I13" t="b" cm="1">
        <f t="array" ref="I13">AND(E7:F10=E13:F16)</f>
        <v>1</v>
      </c>
    </row>
    <row r="14" spans="1:9" x14ac:dyDescent="0.25">
      <c r="A14" s="32">
        <v>0.04</v>
      </c>
      <c r="B14" s="32">
        <v>3.9E-2</v>
      </c>
      <c r="C14" s="32"/>
      <c r="D14" t="s">
        <v>73</v>
      </c>
      <c r="E14" s="1" cm="1">
        <f t="array" ref="E14">_xll.TrackingErrorGeometric(A2:A37,B2:B37,1)</f>
        <v>3.4318750190674599E-3</v>
      </c>
      <c r="F14" s="1" cm="1">
        <f t="array" ref="F14">_xll.TrackingErrorGeometric(A2:A37,B2:B37,12)</f>
        <v>1.18883637965025E-2</v>
      </c>
    </row>
    <row r="15" spans="1:9" x14ac:dyDescent="0.25">
      <c r="A15" s="32">
        <v>-3.7000000000000005E-2</v>
      </c>
      <c r="B15" s="32">
        <v>-3.7999999999999999E-2</v>
      </c>
      <c r="C15" s="32"/>
      <c r="D15" t="s">
        <v>75</v>
      </c>
      <c r="E15" s="29" cm="1">
        <f t="array" ref="E15">_xll.InformationRatioArithmetic(A2:A37,B2:B37,1)</f>
        <v>-0.28277438795156884</v>
      </c>
      <c r="F15" s="29" cm="1">
        <f t="array" ref="F15">_xll.InformationRatioArithmetic(A2:A37,B2:B37,12)</f>
        <v>-1.1041590611991936</v>
      </c>
    </row>
    <row r="16" spans="1:9" x14ac:dyDescent="0.25">
      <c r="A16" s="32">
        <v>-6.0999999999999999E-2</v>
      </c>
      <c r="B16" s="32">
        <v>-6.2E-2</v>
      </c>
      <c r="C16" s="32"/>
      <c r="D16" t="s">
        <v>76</v>
      </c>
      <c r="E16" s="29" cm="1">
        <f t="array" ref="E16">_xll.InformationRatioGeometric(A2:A37,B2:B37,1)</f>
        <v>-0.28350589142369115</v>
      </c>
      <c r="F16" s="29" cm="1">
        <f t="array" ref="F16">_xll.InformationRatioGeometric(A2:A37,B2:B37,12)</f>
        <v>-0.97685478507947687</v>
      </c>
    </row>
    <row r="17" spans="1:6" x14ac:dyDescent="0.25">
      <c r="A17" s="32">
        <v>1.3999999999999999E-2</v>
      </c>
      <c r="B17" s="32">
        <v>1.4999999999999999E-2</v>
      </c>
      <c r="C17" s="32"/>
    </row>
    <row r="18" spans="1:6" x14ac:dyDescent="0.25">
      <c r="A18" s="32">
        <v>-4.9000000000000002E-2</v>
      </c>
      <c r="B18" s="32">
        <v>-4.8000000000000001E-2</v>
      </c>
      <c r="C18" s="32"/>
      <c r="E18" s="6"/>
      <c r="F18" s="30"/>
    </row>
    <row r="19" spans="1:6" x14ac:dyDescent="0.25">
      <c r="A19" s="32">
        <v>-2.1000000000000001E-2</v>
      </c>
      <c r="B19" s="32">
        <v>-0.02</v>
      </c>
      <c r="C19" s="32"/>
    </row>
    <row r="20" spans="1:6" x14ac:dyDescent="0.25">
      <c r="A20" s="32">
        <v>6.2E-2</v>
      </c>
      <c r="B20" s="32">
        <v>0.06</v>
      </c>
      <c r="C20" s="32"/>
    </row>
    <row r="21" spans="1:6" x14ac:dyDescent="0.25">
      <c r="A21" s="32">
        <v>5.7999999999999996E-2</v>
      </c>
      <c r="B21" s="32">
        <v>5.5999999999999994E-2</v>
      </c>
      <c r="C21" s="32"/>
    </row>
    <row r="22" spans="1:6" x14ac:dyDescent="0.25">
      <c r="A22" s="32">
        <v>-6.4000000000000001E-2</v>
      </c>
      <c r="B22" s="32">
        <v>-6.7000000000000004E-2</v>
      </c>
      <c r="C22" s="32"/>
    </row>
    <row r="23" spans="1:6" x14ac:dyDescent="0.25">
      <c r="A23" s="32">
        <v>1.7000000000000001E-2</v>
      </c>
      <c r="B23" s="32">
        <v>1.9E-2</v>
      </c>
      <c r="C23" s="32"/>
    </row>
    <row r="24" spans="1:6" x14ac:dyDescent="0.25">
      <c r="A24" s="32">
        <v>-4.0000000000000001E-3</v>
      </c>
      <c r="B24" s="32">
        <v>-3.0000000000000001E-3</v>
      </c>
      <c r="C24" s="32"/>
    </row>
    <row r="25" spans="1:6" x14ac:dyDescent="0.25">
      <c r="A25" s="32">
        <v>-2E-3</v>
      </c>
      <c r="B25" s="32">
        <v>-1E-3</v>
      </c>
      <c r="C25" s="32"/>
    </row>
    <row r="26" spans="1:6" x14ac:dyDescent="0.25">
      <c r="A26" s="32">
        <v>-2.1000000000000001E-2</v>
      </c>
      <c r="B26" s="32">
        <v>-2.6000000000000002E-2</v>
      </c>
      <c r="C26" s="32"/>
    </row>
    <row r="27" spans="1:6" x14ac:dyDescent="0.25">
      <c r="A27" s="32">
        <v>1.1000000000000001E-2</v>
      </c>
      <c r="B27" s="32">
        <v>6.9999999999999993E-3</v>
      </c>
      <c r="C27" s="32"/>
    </row>
    <row r="28" spans="1:6" x14ac:dyDescent="0.25">
      <c r="A28" s="32">
        <v>4.7E-2</v>
      </c>
      <c r="B28" s="32">
        <v>4.2999999999999997E-2</v>
      </c>
      <c r="C28" s="32"/>
    </row>
    <row r="29" spans="1:6" x14ac:dyDescent="0.25">
      <c r="A29" s="32">
        <v>2.4E-2</v>
      </c>
      <c r="B29" s="32">
        <v>2.8999999999999998E-2</v>
      </c>
      <c r="C29" s="32"/>
    </row>
    <row r="30" spans="1:6" x14ac:dyDescent="0.25">
      <c r="A30" s="32">
        <v>3.3000000000000002E-2</v>
      </c>
      <c r="B30" s="32">
        <v>3.7999999999999999E-2</v>
      </c>
      <c r="C30" s="32"/>
    </row>
    <row r="31" spans="1:6" x14ac:dyDescent="0.25">
      <c r="A31" s="32">
        <v>-6.9999999999999993E-3</v>
      </c>
      <c r="B31" s="32">
        <v>-2E-3</v>
      </c>
      <c r="C31" s="32"/>
    </row>
    <row r="32" spans="1:6" x14ac:dyDescent="0.25">
      <c r="A32" s="32">
        <v>4.7E-2</v>
      </c>
      <c r="B32" s="32">
        <v>5.0999999999999997E-2</v>
      </c>
      <c r="C32" s="32"/>
    </row>
    <row r="33" spans="1:3" x14ac:dyDescent="0.25">
      <c r="A33" s="32">
        <v>6.0000000000000001E-3</v>
      </c>
      <c r="B33" s="32">
        <v>1.3999999999999999E-2</v>
      </c>
      <c r="C33" s="32"/>
    </row>
    <row r="34" spans="1:3" x14ac:dyDescent="0.25">
      <c r="A34" s="32">
        <v>0.01</v>
      </c>
      <c r="B34" s="32">
        <v>1.3000000000000001E-2</v>
      </c>
      <c r="C34" s="32"/>
    </row>
    <row r="35" spans="1:3" x14ac:dyDescent="0.25">
      <c r="A35" s="32">
        <v>-2E-3</v>
      </c>
      <c r="B35" s="32">
        <v>3.0000000000000001E-3</v>
      </c>
      <c r="C35" s="32"/>
    </row>
    <row r="36" spans="1:3" x14ac:dyDescent="0.25">
      <c r="A36" s="32">
        <v>3.4000000000000002E-2</v>
      </c>
      <c r="B36" s="32">
        <v>3.4000000000000002E-2</v>
      </c>
      <c r="C36" s="32"/>
    </row>
    <row r="37" spans="1:3" x14ac:dyDescent="0.25">
      <c r="A37" s="32">
        <v>0.01</v>
      </c>
      <c r="B37" s="32">
        <v>2.1000000000000001E-2</v>
      </c>
      <c r="C37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D124-7736-44D9-92C3-977B150A9B25}">
  <dimension ref="A1:P38"/>
  <sheetViews>
    <sheetView tabSelected="1" workbookViewId="0">
      <selection activeCell="E27" sqref="E27"/>
    </sheetView>
  </sheetViews>
  <sheetFormatPr defaultRowHeight="15" x14ac:dyDescent="0.25"/>
  <cols>
    <col min="4" max="4" width="31.5703125" bestFit="1" customWidth="1"/>
    <col min="5" max="5" width="11.140625" customWidth="1"/>
    <col min="12" max="12" width="10.28515625" customWidth="1"/>
    <col min="13" max="13" width="11.7109375" bestFit="1" customWidth="1"/>
    <col min="15" max="15" width="10.140625" bestFit="1" customWidth="1"/>
  </cols>
  <sheetData>
    <row r="1" spans="1:16" x14ac:dyDescent="0.25">
      <c r="A1" t="s">
        <v>61</v>
      </c>
      <c r="B1" t="s">
        <v>68</v>
      </c>
      <c r="H1" t="s">
        <v>133</v>
      </c>
      <c r="I1" t="s">
        <v>134</v>
      </c>
      <c r="J1" t="s">
        <v>140</v>
      </c>
      <c r="K1" t="s">
        <v>142</v>
      </c>
      <c r="M1" t="s">
        <v>143</v>
      </c>
      <c r="P1" t="s">
        <v>146</v>
      </c>
    </row>
    <row r="2" spans="1:16" x14ac:dyDescent="0.25">
      <c r="A2" s="14">
        <v>3.0000000000000001E-3</v>
      </c>
      <c r="B2" s="14">
        <v>1E-3</v>
      </c>
      <c r="D2" t="s">
        <v>132</v>
      </c>
      <c r="E2" s="14">
        <f>MIN($J$3:$J$38)</f>
        <v>-0.14632405668065784</v>
      </c>
      <c r="I2">
        <v>1</v>
      </c>
      <c r="O2" s="46"/>
      <c r="P2" cm="1">
        <f t="array" ref="P2:P38">TRANSPOSE(_xll.GetDrawDowns(A2:A37))</f>
        <v>0</v>
      </c>
    </row>
    <row r="3" spans="1:16" x14ac:dyDescent="0.25">
      <c r="A3" s="14">
        <v>2.6000000000000002E-2</v>
      </c>
      <c r="B3" s="14">
        <v>1E-3</v>
      </c>
      <c r="D3" t="s">
        <v>132</v>
      </c>
      <c r="E3" s="14" cm="1">
        <f t="array" ref="E3">_xll.MaxDrawDown(A2:A37)</f>
        <v>-0.14632405668065784</v>
      </c>
      <c r="H3" cm="1">
        <f t="array" ref="H3:H38">_xlfn.SEQUENCE(COUNT(A2:A37))</f>
        <v>1</v>
      </c>
      <c r="I3" s="46">
        <f t="shared" ref="I3:I38" si="0">I2*(1+A2)</f>
        <v>1.0029999999999999</v>
      </c>
      <c r="J3" s="46">
        <f>MIN(I3/MAX(I$2:I2)-1,0)</f>
        <v>0</v>
      </c>
      <c r="K3" s="21" cm="1">
        <f t="array" ref="K3:K38">TRANSPOSE(_xll.GetPeaks(A2:A37))</f>
        <v>0</v>
      </c>
      <c r="L3" s="21" t="e">
        <f>IF(K3=0,NA(),I3)</f>
        <v>#N/A</v>
      </c>
      <c r="M3" s="21" cm="1">
        <f t="array" ref="M3:M38">TRANSPOSE(_xll.GetTroughs(A2:A37))</f>
        <v>1.0029999999999999</v>
      </c>
      <c r="N3" s="27">
        <f>IF(M3=0,NA(),M3)</f>
        <v>1.0029999999999999</v>
      </c>
      <c r="P3">
        <v>0</v>
      </c>
    </row>
    <row r="4" spans="1:16" x14ac:dyDescent="0.25">
      <c r="A4" s="14">
        <v>1.1000000000000001E-2</v>
      </c>
      <c r="B4" s="14">
        <v>2E-3</v>
      </c>
      <c r="D4" t="s">
        <v>135</v>
      </c>
      <c r="E4" s="14" cm="1">
        <f t="array" ref="E4">_xll.MaxDrawDown(A2:A13)</f>
        <v>-1.3999999999999901E-2</v>
      </c>
      <c r="H4">
        <v>2</v>
      </c>
      <c r="I4" s="46">
        <f t="shared" si="0"/>
        <v>1.0290779999999999</v>
      </c>
      <c r="J4" s="46">
        <f>MIN(I4/MAX(I$2:I3)-1,0)</f>
        <v>0</v>
      </c>
      <c r="K4" s="21">
        <v>0</v>
      </c>
      <c r="L4" s="21" t="e">
        <f t="shared" ref="L4:L38" si="1">IF(K4=0,NA(),I4)</f>
        <v>#N/A</v>
      </c>
      <c r="M4" s="21">
        <v>0</v>
      </c>
      <c r="N4" s="27" t="e">
        <f t="shared" ref="N4:N38" si="2">IF(M4=0,NA(),M4)</f>
        <v>#N/A</v>
      </c>
      <c r="O4" s="46"/>
      <c r="P4">
        <v>0</v>
      </c>
    </row>
    <row r="5" spans="1:16" x14ac:dyDescent="0.25">
      <c r="A5" s="14">
        <v>-9.0000000000000011E-3</v>
      </c>
      <c r="B5" s="14">
        <v>2E-3</v>
      </c>
      <c r="D5" t="s">
        <v>136</v>
      </c>
      <c r="E5" s="14" cm="1">
        <f t="array" ref="E5">_xll.MaxDrawDown(A14:A25)</f>
        <v>-0.14632405668065818</v>
      </c>
      <c r="H5">
        <v>3</v>
      </c>
      <c r="I5" s="46">
        <f t="shared" si="0"/>
        <v>1.0403978579999997</v>
      </c>
      <c r="J5" s="46">
        <f>MIN(I5/MAX(I$2:I4)-1,0)</f>
        <v>0</v>
      </c>
      <c r="K5" s="21">
        <v>1.0403978579999997</v>
      </c>
      <c r="L5" s="21">
        <f t="shared" si="1"/>
        <v>1.0403978579999997</v>
      </c>
      <c r="M5" s="21">
        <v>0</v>
      </c>
      <c r="N5" s="27" t="e">
        <f t="shared" si="2"/>
        <v>#N/A</v>
      </c>
      <c r="O5" s="46"/>
      <c r="P5">
        <v>0</v>
      </c>
    </row>
    <row r="6" spans="1:16" x14ac:dyDescent="0.25">
      <c r="A6" s="14">
        <v>1.3999999999999999E-2</v>
      </c>
      <c r="B6" s="14">
        <v>2E-3</v>
      </c>
      <c r="D6" t="s">
        <v>137</v>
      </c>
      <c r="E6" s="14" cm="1">
        <f t="array" ref="E6">_xll.MaxDrawDown(A26:A37)</f>
        <v>-2.1000000000000019E-2</v>
      </c>
      <c r="H6">
        <v>4</v>
      </c>
      <c r="I6" s="46">
        <f t="shared" si="0"/>
        <v>1.0310342772779997</v>
      </c>
      <c r="J6" s="46">
        <f>MIN(I6/MAX(I$2:I5)-1,0)</f>
        <v>-9.000000000000008E-3</v>
      </c>
      <c r="K6" s="21">
        <v>0</v>
      </c>
      <c r="L6" s="21" t="e">
        <f t="shared" si="1"/>
        <v>#N/A</v>
      </c>
      <c r="M6" s="21">
        <v>1.0310342772779997</v>
      </c>
      <c r="N6" s="27">
        <f t="shared" si="2"/>
        <v>1.0310342772779997</v>
      </c>
      <c r="O6" s="46"/>
      <c r="P6">
        <v>-9.000000000000008E-3</v>
      </c>
    </row>
    <row r="7" spans="1:16" x14ac:dyDescent="0.25">
      <c r="A7" s="14">
        <v>2.4E-2</v>
      </c>
      <c r="B7" s="14">
        <v>2E-3</v>
      </c>
      <c r="H7">
        <v>5</v>
      </c>
      <c r="I7" s="46">
        <f t="shared" si="0"/>
        <v>1.0454687571598917</v>
      </c>
      <c r="J7" s="46">
        <f>MIN(I7/MAX(I$2:I6)-1,0)</f>
        <v>0</v>
      </c>
      <c r="K7" s="21">
        <v>0</v>
      </c>
      <c r="L7" s="21" t="e">
        <f t="shared" si="1"/>
        <v>#N/A</v>
      </c>
      <c r="M7" s="21">
        <v>0</v>
      </c>
      <c r="N7" s="27" t="e">
        <f t="shared" si="2"/>
        <v>#N/A</v>
      </c>
      <c r="O7" s="46"/>
      <c r="P7">
        <v>0</v>
      </c>
    </row>
    <row r="8" spans="1:16" x14ac:dyDescent="0.25">
      <c r="A8" s="14">
        <v>1.4999999999999999E-2</v>
      </c>
      <c r="B8" s="14">
        <v>2E-3</v>
      </c>
      <c r="D8" t="s">
        <v>139</v>
      </c>
      <c r="E8" s="14" cm="1">
        <f t="array" ref="E8">_xll.AverageDrawDown($A$2:$A$37)</f>
        <v>-3.2508907555555577E-2</v>
      </c>
      <c r="F8" s="14"/>
      <c r="H8">
        <v>6</v>
      </c>
      <c r="I8" s="46">
        <f t="shared" si="0"/>
        <v>1.0705600073317292</v>
      </c>
      <c r="J8" s="46">
        <f>MIN(I8/MAX(I$2:I7)-1,0)</f>
        <v>0</v>
      </c>
      <c r="K8" s="21">
        <v>0</v>
      </c>
      <c r="L8" s="21" t="e">
        <f t="shared" si="1"/>
        <v>#N/A</v>
      </c>
      <c r="M8" s="21">
        <v>0</v>
      </c>
      <c r="N8" s="27" t="e">
        <f t="shared" si="2"/>
        <v>#N/A</v>
      </c>
      <c r="O8" s="46"/>
      <c r="P8">
        <v>0</v>
      </c>
    </row>
    <row r="9" spans="1:16" x14ac:dyDescent="0.25">
      <c r="A9" s="14">
        <v>6.6000000000000003E-2</v>
      </c>
      <c r="B9" s="14">
        <v>3.0000000000000001E-3</v>
      </c>
      <c r="D9" t="s">
        <v>141</v>
      </c>
      <c r="E9" s="14" cm="1">
        <f t="array" ref="E9">_xll.AverageDrawDown($A$2:$A$37,3)</f>
        <v>-7.623800000000007E-2</v>
      </c>
      <c r="F9" s="14"/>
      <c r="H9">
        <v>7</v>
      </c>
      <c r="I9" s="46">
        <f t="shared" si="0"/>
        <v>1.0866184074417049</v>
      </c>
      <c r="J9" s="46">
        <f>MIN(I9/MAX(I$2:I8)-1,0)</f>
        <v>0</v>
      </c>
      <c r="K9" s="21">
        <v>0</v>
      </c>
      <c r="L9" s="21" t="e">
        <f t="shared" si="1"/>
        <v>#N/A</v>
      </c>
      <c r="M9" s="21">
        <v>0</v>
      </c>
      <c r="N9" s="27" t="e">
        <f t="shared" si="2"/>
        <v>#N/A</v>
      </c>
      <c r="O9" s="46"/>
      <c r="P9">
        <v>0</v>
      </c>
    </row>
    <row r="10" spans="1:16" x14ac:dyDescent="0.25">
      <c r="A10" s="14">
        <v>-1.3999999999999999E-2</v>
      </c>
      <c r="B10" s="14">
        <v>3.0000000000000001E-3</v>
      </c>
      <c r="D10" t="s">
        <v>144</v>
      </c>
      <c r="E10" s="33" cm="1">
        <f t="array" ref="E10">_xll.MaxDrawDownDuration(A2:A37)</f>
        <v>20</v>
      </c>
      <c r="H10">
        <v>8</v>
      </c>
      <c r="I10" s="46">
        <f t="shared" si="0"/>
        <v>1.1583352223328576</v>
      </c>
      <c r="J10" s="46">
        <f>MIN(I10/MAX(I$2:I9)-1,0)</f>
        <v>0</v>
      </c>
      <c r="K10" s="21">
        <v>1.1583352223328576</v>
      </c>
      <c r="L10" s="21">
        <f t="shared" si="1"/>
        <v>1.1583352223328576</v>
      </c>
      <c r="M10" s="21">
        <v>0</v>
      </c>
      <c r="N10" s="27" t="e">
        <f t="shared" si="2"/>
        <v>#N/A</v>
      </c>
      <c r="O10" s="46"/>
      <c r="P10">
        <v>0</v>
      </c>
    </row>
    <row r="11" spans="1:16" x14ac:dyDescent="0.25">
      <c r="A11" s="14">
        <v>3.9E-2</v>
      </c>
      <c r="B11" s="14">
        <v>4.0000000000000001E-3</v>
      </c>
      <c r="D11" t="s">
        <v>149</v>
      </c>
      <c r="E11" s="14" cm="1">
        <f t="array" ref="E11">_xll.AverageMaxDrawDown(A2:A37,12)</f>
        <v>-6.0441352226886035E-2</v>
      </c>
      <c r="H11">
        <v>9</v>
      </c>
      <c r="I11" s="46">
        <f t="shared" si="0"/>
        <v>1.1421185292201976</v>
      </c>
      <c r="J11" s="46">
        <f>MIN(I11/MAX(I$2:I10)-1,0)</f>
        <v>-1.3999999999999901E-2</v>
      </c>
      <c r="K11" s="21">
        <v>0</v>
      </c>
      <c r="L11" s="21" t="e">
        <f t="shared" si="1"/>
        <v>#N/A</v>
      </c>
      <c r="M11" s="21">
        <v>1.1421185292201976</v>
      </c>
      <c r="N11" s="27">
        <f t="shared" si="2"/>
        <v>1.1421185292201976</v>
      </c>
      <c r="O11" s="46"/>
      <c r="P11">
        <v>-1.3999999999999901E-2</v>
      </c>
    </row>
    <row r="12" spans="1:16" x14ac:dyDescent="0.25">
      <c r="A12" s="14">
        <v>-5.0000000000000001E-3</v>
      </c>
      <c r="B12" s="14">
        <v>4.0000000000000001E-3</v>
      </c>
      <c r="H12">
        <v>10</v>
      </c>
      <c r="I12" s="46">
        <f t="shared" si="0"/>
        <v>1.1866611518597852</v>
      </c>
      <c r="J12" s="46">
        <f>MIN(I12/MAX(I$2:I11)-1,0)</f>
        <v>0</v>
      </c>
      <c r="K12" s="21">
        <v>1.1866611518597852</v>
      </c>
      <c r="L12" s="21">
        <f t="shared" si="1"/>
        <v>1.1866611518597852</v>
      </c>
      <c r="M12" s="21">
        <v>0</v>
      </c>
      <c r="N12" s="27" t="e">
        <f t="shared" si="2"/>
        <v>#N/A</v>
      </c>
      <c r="O12" s="46"/>
      <c r="P12">
        <v>0</v>
      </c>
    </row>
    <row r="13" spans="1:16" x14ac:dyDescent="0.25">
      <c r="A13" s="14">
        <v>8.1000000000000003E-2</v>
      </c>
      <c r="B13" s="14">
        <v>3.0000000000000001E-3</v>
      </c>
      <c r="H13">
        <v>11</v>
      </c>
      <c r="I13" s="46">
        <f t="shared" si="0"/>
        <v>1.1807278461004862</v>
      </c>
      <c r="J13" s="46">
        <f>MIN(I13/MAX(I$2:I12)-1,0)</f>
        <v>-5.0000000000000044E-3</v>
      </c>
      <c r="K13" s="21">
        <v>0</v>
      </c>
      <c r="L13" s="21" t="e">
        <f t="shared" si="1"/>
        <v>#N/A</v>
      </c>
      <c r="M13" s="21">
        <v>1.1807278461004862</v>
      </c>
      <c r="N13" s="27">
        <f t="shared" si="2"/>
        <v>1.1807278461004862</v>
      </c>
      <c r="O13" s="46"/>
      <c r="P13">
        <v>-5.0000000000000044E-3</v>
      </c>
    </row>
    <row r="14" spans="1:16" x14ac:dyDescent="0.25">
      <c r="A14" s="14">
        <v>0.04</v>
      </c>
      <c r="B14" s="14">
        <v>3.0000000000000001E-3</v>
      </c>
      <c r="H14">
        <v>12</v>
      </c>
      <c r="I14" s="46">
        <f t="shared" si="0"/>
        <v>1.2763668016346255</v>
      </c>
      <c r="J14" s="46">
        <f>MIN(I14/MAX(I$2:I13)-1,0)</f>
        <v>0</v>
      </c>
      <c r="K14" s="21">
        <v>0</v>
      </c>
      <c r="L14" s="21" t="e">
        <f t="shared" si="1"/>
        <v>#N/A</v>
      </c>
      <c r="M14" s="21">
        <v>0</v>
      </c>
      <c r="N14" s="27" t="e">
        <f t="shared" si="2"/>
        <v>#N/A</v>
      </c>
      <c r="O14" s="46"/>
      <c r="P14">
        <v>0</v>
      </c>
    </row>
    <row r="15" spans="1:16" x14ac:dyDescent="0.25">
      <c r="A15" s="14">
        <v>-3.7000000000000005E-2</v>
      </c>
      <c r="B15" s="14">
        <v>3.0000000000000001E-3</v>
      </c>
      <c r="H15">
        <v>13</v>
      </c>
      <c r="I15" s="46">
        <f t="shared" si="0"/>
        <v>1.3274214737000105</v>
      </c>
      <c r="J15" s="46">
        <f>MIN(I15/MAX(I$2:I14)-1,0)</f>
        <v>0</v>
      </c>
      <c r="K15" s="21">
        <v>1.3274214737000105</v>
      </c>
      <c r="L15" s="21">
        <f t="shared" si="1"/>
        <v>1.3274214737000105</v>
      </c>
      <c r="M15" s="21">
        <v>0</v>
      </c>
      <c r="N15" s="27" t="e">
        <f t="shared" si="2"/>
        <v>#N/A</v>
      </c>
      <c r="O15" s="46"/>
      <c r="P15">
        <v>0</v>
      </c>
    </row>
    <row r="16" spans="1:16" x14ac:dyDescent="0.25">
      <c r="A16" s="14">
        <v>-6.0999999999999999E-2</v>
      </c>
      <c r="B16" s="14">
        <v>3.0000000000000001E-3</v>
      </c>
      <c r="H16">
        <v>14</v>
      </c>
      <c r="I16" s="46">
        <f t="shared" si="0"/>
        <v>1.27830687917311</v>
      </c>
      <c r="J16" s="46">
        <f>MIN(I16/MAX(I$2:I15)-1,0)</f>
        <v>-3.7000000000000033E-2</v>
      </c>
      <c r="K16" s="21">
        <v>0</v>
      </c>
      <c r="L16" s="21" t="e">
        <f t="shared" si="1"/>
        <v>#N/A</v>
      </c>
      <c r="M16" s="21">
        <v>0</v>
      </c>
      <c r="N16" s="27" t="e">
        <f t="shared" si="2"/>
        <v>#N/A</v>
      </c>
      <c r="O16" s="46"/>
      <c r="P16">
        <v>-3.7000000000000033E-2</v>
      </c>
    </row>
    <row r="17" spans="1:16" x14ac:dyDescent="0.25">
      <c r="A17" s="14">
        <v>1.3999999999999999E-2</v>
      </c>
      <c r="B17" s="14">
        <v>4.0000000000000001E-3</v>
      </c>
      <c r="H17">
        <v>15</v>
      </c>
      <c r="I17" s="46">
        <f t="shared" si="0"/>
        <v>1.2003301595435505</v>
      </c>
      <c r="J17" s="46">
        <f>MIN(I17/MAX(I$2:I16)-1,0)</f>
        <v>-9.5742999999999912E-2</v>
      </c>
      <c r="K17" s="21">
        <v>0</v>
      </c>
      <c r="L17" s="21" t="e">
        <f t="shared" si="1"/>
        <v>#N/A</v>
      </c>
      <c r="M17" s="21">
        <v>1.2003301595435505</v>
      </c>
      <c r="N17" s="27">
        <f t="shared" si="2"/>
        <v>1.2003301595435505</v>
      </c>
      <c r="O17" s="46"/>
      <c r="P17">
        <v>-9.5742999999999912E-2</v>
      </c>
    </row>
    <row r="18" spans="1:16" x14ac:dyDescent="0.25">
      <c r="A18" s="14">
        <v>-4.9000000000000002E-2</v>
      </c>
      <c r="B18" s="14">
        <v>2E-3</v>
      </c>
      <c r="H18">
        <v>16</v>
      </c>
      <c r="I18" s="46">
        <f t="shared" si="0"/>
        <v>1.2171347817771603</v>
      </c>
      <c r="J18" s="46">
        <f>MIN(I18/MAX(I$2:I17)-1,0)</f>
        <v>-8.3083401999999862E-2</v>
      </c>
      <c r="K18" s="21">
        <v>1.2171347817771603</v>
      </c>
      <c r="L18" s="21">
        <f t="shared" si="1"/>
        <v>1.2171347817771603</v>
      </c>
      <c r="M18" s="21">
        <v>0</v>
      </c>
      <c r="N18" s="27" t="e">
        <f t="shared" si="2"/>
        <v>#N/A</v>
      </c>
      <c r="O18" s="46"/>
      <c r="P18">
        <v>-8.3083401999999862E-2</v>
      </c>
    </row>
    <row r="19" spans="1:16" x14ac:dyDescent="0.25">
      <c r="A19" s="14">
        <v>-2.1000000000000001E-2</v>
      </c>
      <c r="B19" s="14">
        <v>2E-3</v>
      </c>
      <c r="H19">
        <v>17</v>
      </c>
      <c r="I19" s="46">
        <f t="shared" si="0"/>
        <v>1.1574951774700795</v>
      </c>
      <c r="J19" s="46">
        <f>MIN(I19/MAX(I$2:I18)-1,0)</f>
        <v>-0.12801231530199986</v>
      </c>
      <c r="K19" s="21">
        <v>0</v>
      </c>
      <c r="L19" s="21" t="e">
        <f t="shared" si="1"/>
        <v>#N/A</v>
      </c>
      <c r="M19" s="21">
        <v>0</v>
      </c>
      <c r="N19" s="27" t="e">
        <f t="shared" si="2"/>
        <v>#N/A</v>
      </c>
      <c r="O19" s="46"/>
      <c r="P19">
        <v>-0.12801231530199986</v>
      </c>
    </row>
    <row r="20" spans="1:16" x14ac:dyDescent="0.25">
      <c r="A20" s="14">
        <v>6.2E-2</v>
      </c>
      <c r="B20" s="14">
        <v>2E-3</v>
      </c>
      <c r="D20" t="s">
        <v>138</v>
      </c>
      <c r="E20" s="21" cm="1">
        <f t="array" ref="E20">(PRODUCT(1+A2:A37)^(1/3)-PRODUCT(1+B2:B37)^(1/3))/E2</f>
        <v>-0.74241288063024435</v>
      </c>
      <c r="H20">
        <v>18</v>
      </c>
      <c r="I20" s="46">
        <f t="shared" si="0"/>
        <v>1.1331877787432079</v>
      </c>
      <c r="J20" s="46">
        <f>MIN(I20/MAX(I$2:I19)-1,0)</f>
        <v>-0.14632405668065784</v>
      </c>
      <c r="K20" s="21">
        <v>0</v>
      </c>
      <c r="L20" s="21" t="e">
        <f t="shared" si="1"/>
        <v>#N/A</v>
      </c>
      <c r="M20" s="21">
        <v>1.1331877787432079</v>
      </c>
      <c r="N20" s="27">
        <f t="shared" si="2"/>
        <v>1.1331877787432079</v>
      </c>
      <c r="O20" s="46"/>
      <c r="P20">
        <v>-0.14632405668065784</v>
      </c>
    </row>
    <row r="21" spans="1:16" x14ac:dyDescent="0.25">
      <c r="A21" s="14">
        <v>5.7999999999999996E-2</v>
      </c>
      <c r="B21" s="14">
        <v>1E-3</v>
      </c>
      <c r="D21" t="s">
        <v>138</v>
      </c>
      <c r="E21" s="21" cm="1">
        <f t="array" ref="E21">_xll.CalmarRatio(A2:A37,B2:B37,12)</f>
        <v>-0.74241288063024435</v>
      </c>
      <c r="H21">
        <v>19</v>
      </c>
      <c r="I21" s="46">
        <f t="shared" si="0"/>
        <v>1.2034454210252867</v>
      </c>
      <c r="J21" s="46">
        <f>MIN(I21/MAX(I$2:I20)-1,0)</f>
        <v>-9.3396148194858641E-2</v>
      </c>
      <c r="K21" s="21">
        <v>0</v>
      </c>
      <c r="L21" s="21" t="e">
        <f t="shared" si="1"/>
        <v>#N/A</v>
      </c>
      <c r="M21" s="21">
        <v>0</v>
      </c>
      <c r="N21" s="27" t="e">
        <f t="shared" si="2"/>
        <v>#N/A</v>
      </c>
      <c r="O21" s="46"/>
      <c r="P21">
        <v>-9.3396148194858641E-2</v>
      </c>
    </row>
    <row r="22" spans="1:16" x14ac:dyDescent="0.25">
      <c r="A22" s="14">
        <v>-6.4000000000000001E-2</v>
      </c>
      <c r="B22" s="14">
        <v>1E-3</v>
      </c>
      <c r="D22" t="s">
        <v>145</v>
      </c>
      <c r="E22" s="17" cm="1">
        <f t="array" ref="E22">SQRT(SUM(_xlfn.ANCHORARRAY(P2)^2)/COUNT(_xlfn.ANCHORARRAY(P2)))</f>
        <v>5.8936309479433145E-2</v>
      </c>
      <c r="H22">
        <v>20</v>
      </c>
      <c r="I22" s="46">
        <f t="shared" si="0"/>
        <v>1.2732452554447535</v>
      </c>
      <c r="J22" s="46">
        <f>MIN(I22/MAX(I$2:I21)-1,0)</f>
        <v>-4.0813124790160304E-2</v>
      </c>
      <c r="K22" s="21">
        <v>1.2732452554447535</v>
      </c>
      <c r="L22" s="21">
        <f t="shared" si="1"/>
        <v>1.2732452554447535</v>
      </c>
      <c r="M22" s="21">
        <v>0</v>
      </c>
      <c r="N22" s="27" t="e">
        <f t="shared" si="2"/>
        <v>#N/A</v>
      </c>
      <c r="O22" s="46"/>
      <c r="P22">
        <v>-4.0813124790160304E-2</v>
      </c>
    </row>
    <row r="23" spans="1:16" x14ac:dyDescent="0.25">
      <c r="A23" s="14">
        <v>1.7000000000000001E-2</v>
      </c>
      <c r="B23" s="14">
        <v>1E-3</v>
      </c>
      <c r="D23" t="s">
        <v>145</v>
      </c>
      <c r="E23" s="17" cm="1">
        <f t="array" ref="E23">_xll.UlcerIndex(A2:A37)</f>
        <v>5.8936309479433145E-2</v>
      </c>
      <c r="H23">
        <v>21</v>
      </c>
      <c r="I23" s="46">
        <f t="shared" si="0"/>
        <v>1.1917575590962892</v>
      </c>
      <c r="J23" s="46">
        <f>MIN(I23/MAX(I$2:I22)-1,0)</f>
        <v>-0.10220108480359003</v>
      </c>
      <c r="K23" s="21">
        <v>0</v>
      </c>
      <c r="L23" s="21" t="e">
        <f t="shared" si="1"/>
        <v>#N/A</v>
      </c>
      <c r="M23" s="21">
        <v>1.1917575590962892</v>
      </c>
      <c r="N23" s="27">
        <f t="shared" si="2"/>
        <v>1.1917575590962892</v>
      </c>
      <c r="O23" s="46"/>
      <c r="P23">
        <v>-0.10220108480359003</v>
      </c>
    </row>
    <row r="24" spans="1:16" x14ac:dyDescent="0.25">
      <c r="A24" s="14">
        <v>-4.0000000000000001E-3</v>
      </c>
      <c r="B24" s="14">
        <v>1E-3</v>
      </c>
      <c r="D24" t="s">
        <v>147</v>
      </c>
      <c r="E24" s="17" cm="1">
        <f t="array" ref="E24">(PRODUCT(1+A2:A37)^(1/3)-PRODUCT(1+B2:B37)^(1/3))/E22</f>
        <v>1.8432247520299805</v>
      </c>
      <c r="H24">
        <v>22</v>
      </c>
      <c r="I24" s="46">
        <f t="shared" si="0"/>
        <v>1.2120174376009261</v>
      </c>
      <c r="J24" s="46">
        <f>MIN(I24/MAX(I$2:I23)-1,0)</f>
        <v>-8.6938503245251209E-2</v>
      </c>
      <c r="K24" s="21">
        <v>1.2120174376009261</v>
      </c>
      <c r="L24" s="21">
        <f t="shared" si="1"/>
        <v>1.2120174376009261</v>
      </c>
      <c r="M24" s="21">
        <v>0</v>
      </c>
      <c r="N24" s="27" t="e">
        <f t="shared" si="2"/>
        <v>#N/A</v>
      </c>
      <c r="O24" s="46"/>
      <c r="P24">
        <v>-8.6938503245251209E-2</v>
      </c>
    </row>
    <row r="25" spans="1:16" x14ac:dyDescent="0.25">
      <c r="A25" s="14">
        <v>-2E-3</v>
      </c>
      <c r="B25" s="14">
        <v>1E-3</v>
      </c>
      <c r="D25" t="s">
        <v>147</v>
      </c>
      <c r="E25" s="17" cm="1">
        <f t="array" ref="E25">_xll.UlcerPerformanceIndex(A2:A37,B2:B37,12)</f>
        <v>1.8432247520299805</v>
      </c>
      <c r="H25">
        <v>23</v>
      </c>
      <c r="I25" s="46">
        <f t="shared" si="0"/>
        <v>1.2071693678505224</v>
      </c>
      <c r="J25" s="46">
        <f>MIN(I25/MAX(I$2:I24)-1,0)</f>
        <v>-9.0590749232270062E-2</v>
      </c>
      <c r="K25" s="21">
        <v>0</v>
      </c>
      <c r="L25" s="21" t="e">
        <f t="shared" si="1"/>
        <v>#N/A</v>
      </c>
      <c r="M25" s="21">
        <v>0</v>
      </c>
      <c r="N25" s="27" t="e">
        <f t="shared" si="2"/>
        <v>#N/A</v>
      </c>
      <c r="O25" s="46"/>
      <c r="P25">
        <v>-9.0590749232270062E-2</v>
      </c>
    </row>
    <row r="26" spans="1:16" x14ac:dyDescent="0.25">
      <c r="A26" s="14">
        <v>-2.1000000000000001E-2</v>
      </c>
      <c r="B26" s="14">
        <v>1E-3</v>
      </c>
      <c r="D26" t="s">
        <v>148</v>
      </c>
      <c r="E26" s="21" cm="1">
        <f t="array" ref="E26">(PRODUCT(1+A2:A37)^(1/3)-PRODUCT(1+B2:B37)^(1/3))/ABS(E9)</f>
        <v>1.4249175532646481</v>
      </c>
      <c r="H26">
        <v>24</v>
      </c>
      <c r="I26" s="46">
        <f t="shared" si="0"/>
        <v>1.2047550291148215</v>
      </c>
      <c r="J26" s="46">
        <f>MIN(I26/MAX(I$2:I25)-1,0)</f>
        <v>-9.2409567733805487E-2</v>
      </c>
      <c r="K26" s="21">
        <v>0</v>
      </c>
      <c r="L26" s="21" t="e">
        <f t="shared" si="1"/>
        <v>#N/A</v>
      </c>
      <c r="M26" s="21">
        <v>0</v>
      </c>
      <c r="N26" s="27" t="e">
        <f t="shared" si="2"/>
        <v>#N/A</v>
      </c>
      <c r="O26" s="46"/>
      <c r="P26">
        <v>-9.2409567733805487E-2</v>
      </c>
    </row>
    <row r="27" spans="1:16" x14ac:dyDescent="0.25">
      <c r="A27" s="14">
        <v>1.1000000000000001E-2</v>
      </c>
      <c r="B27" s="14">
        <v>1E-3</v>
      </c>
      <c r="D27" t="s">
        <v>148</v>
      </c>
      <c r="E27" s="21" cm="1">
        <f t="array" ref="E27">_xll.SterlingRatio(A2:A37,B2:B37,3,12)</f>
        <v>1.4249175532646481</v>
      </c>
      <c r="H27">
        <v>25</v>
      </c>
      <c r="I27" s="46">
        <f t="shared" si="0"/>
        <v>1.1794551735034102</v>
      </c>
      <c r="J27" s="46">
        <f>MIN(I27/MAX(I$2:I26)-1,0)</f>
        <v>-0.11146896681139562</v>
      </c>
      <c r="K27" s="21">
        <v>0</v>
      </c>
      <c r="L27" s="21" t="e">
        <f t="shared" si="1"/>
        <v>#N/A</v>
      </c>
      <c r="M27" s="21">
        <v>1.1794551735034102</v>
      </c>
      <c r="N27" s="27">
        <f t="shared" si="2"/>
        <v>1.1794551735034102</v>
      </c>
      <c r="O27" s="46"/>
      <c r="P27">
        <v>-0.11146896681139562</v>
      </c>
    </row>
    <row r="28" spans="1:16" x14ac:dyDescent="0.25">
      <c r="A28" s="14">
        <v>4.7E-2</v>
      </c>
      <c r="B28" s="14">
        <v>1E-3</v>
      </c>
      <c r="H28">
        <v>26</v>
      </c>
      <c r="I28" s="46">
        <f t="shared" si="0"/>
        <v>1.1924291804119476</v>
      </c>
      <c r="J28" s="46">
        <f>MIN(I28/MAX(I$2:I27)-1,0)</f>
        <v>-0.10169512544632109</v>
      </c>
      <c r="K28" s="21">
        <v>0</v>
      </c>
      <c r="L28" s="21" t="e">
        <f t="shared" si="1"/>
        <v>#N/A</v>
      </c>
      <c r="M28" s="21">
        <v>0</v>
      </c>
      <c r="N28" s="27" t="e">
        <f t="shared" si="2"/>
        <v>#N/A</v>
      </c>
      <c r="O28" s="46"/>
      <c r="P28">
        <v>-0.10169512544632109</v>
      </c>
    </row>
    <row r="29" spans="1:16" x14ac:dyDescent="0.25">
      <c r="A29" s="14">
        <v>2.4E-2</v>
      </c>
      <c r="B29" s="14">
        <v>1E-3</v>
      </c>
      <c r="H29">
        <v>27</v>
      </c>
      <c r="I29" s="46">
        <f t="shared" si="0"/>
        <v>1.2484733518913089</v>
      </c>
      <c r="J29" s="46">
        <f>MIN(I29/MAX(I$2:I28)-1,0)</f>
        <v>-5.9474796342298242E-2</v>
      </c>
      <c r="K29" s="21">
        <v>0</v>
      </c>
      <c r="L29" s="21" t="e">
        <f t="shared" si="1"/>
        <v>#N/A</v>
      </c>
      <c r="M29" s="21">
        <v>0</v>
      </c>
      <c r="N29" s="27" t="e">
        <f t="shared" si="2"/>
        <v>#N/A</v>
      </c>
      <c r="O29" s="46"/>
      <c r="P29">
        <v>-5.9474796342298242E-2</v>
      </c>
    </row>
    <row r="30" spans="1:16" x14ac:dyDescent="0.25">
      <c r="A30" s="14">
        <v>3.3000000000000002E-2</v>
      </c>
      <c r="B30" s="14">
        <v>1E-3</v>
      </c>
      <c r="H30">
        <v>28</v>
      </c>
      <c r="I30" s="46">
        <f t="shared" si="0"/>
        <v>1.2784367123367004</v>
      </c>
      <c r="J30" s="46">
        <f>MIN(I30/MAX(I$2:I29)-1,0)</f>
        <v>-3.6902191454513344E-2</v>
      </c>
      <c r="K30" s="21">
        <v>0</v>
      </c>
      <c r="L30" s="21" t="e">
        <f t="shared" si="1"/>
        <v>#N/A</v>
      </c>
      <c r="M30" s="21">
        <v>0</v>
      </c>
      <c r="N30" s="27" t="e">
        <f t="shared" si="2"/>
        <v>#N/A</v>
      </c>
      <c r="O30" s="46"/>
      <c r="P30">
        <v>-3.6902191454513344E-2</v>
      </c>
    </row>
    <row r="31" spans="1:16" x14ac:dyDescent="0.25">
      <c r="A31" s="14">
        <v>-6.9999999999999993E-3</v>
      </c>
      <c r="B31" s="14">
        <v>2E-3</v>
      </c>
      <c r="H31">
        <v>29</v>
      </c>
      <c r="I31" s="46">
        <f t="shared" si="0"/>
        <v>1.3206251238438114</v>
      </c>
      <c r="J31" s="46">
        <f>MIN(I31/MAX(I$2:I30)-1,0)</f>
        <v>-5.1199637725124481E-3</v>
      </c>
      <c r="K31" s="21">
        <v>1.3206251238438114</v>
      </c>
      <c r="L31" s="21">
        <f t="shared" si="1"/>
        <v>1.3206251238438114</v>
      </c>
      <c r="M31" s="21">
        <v>0</v>
      </c>
      <c r="N31" s="27" t="e">
        <f t="shared" si="2"/>
        <v>#N/A</v>
      </c>
      <c r="O31" s="46"/>
      <c r="P31">
        <v>-5.1199637725124481E-3</v>
      </c>
    </row>
    <row r="32" spans="1:16" x14ac:dyDescent="0.25">
      <c r="A32" s="14">
        <v>4.7E-2</v>
      </c>
      <c r="B32" s="14">
        <v>2E-3</v>
      </c>
      <c r="H32">
        <v>30</v>
      </c>
      <c r="I32" s="46">
        <f t="shared" si="0"/>
        <v>1.3113807479769046</v>
      </c>
      <c r="J32" s="46">
        <f>MIN(I32/MAX(I$2:I31)-1,0)</f>
        <v>-1.2084124026104925E-2</v>
      </c>
      <c r="K32" s="21">
        <v>0</v>
      </c>
      <c r="L32" s="21" t="e">
        <f t="shared" si="1"/>
        <v>#N/A</v>
      </c>
      <c r="M32" s="21">
        <v>1.3113807479769046</v>
      </c>
      <c r="N32" s="27">
        <f t="shared" si="2"/>
        <v>1.3113807479769046</v>
      </c>
      <c r="O32" s="46"/>
      <c r="P32">
        <v>-1.2084124026104925E-2</v>
      </c>
    </row>
    <row r="33" spans="1:16" x14ac:dyDescent="0.25">
      <c r="A33" s="14">
        <v>6.0000000000000001E-3</v>
      </c>
      <c r="B33" s="14">
        <v>2E-3</v>
      </c>
      <c r="H33">
        <v>31</v>
      </c>
      <c r="I33" s="46">
        <f t="shared" si="0"/>
        <v>1.373015643131819</v>
      </c>
      <c r="J33" s="46">
        <f>MIN(I33/MAX(I$2:I32)-1,0)</f>
        <v>0</v>
      </c>
      <c r="K33" s="21">
        <v>0</v>
      </c>
      <c r="L33" s="21" t="e">
        <f t="shared" si="1"/>
        <v>#N/A</v>
      </c>
      <c r="M33" s="21">
        <v>0</v>
      </c>
      <c r="N33" s="27" t="e">
        <f t="shared" si="2"/>
        <v>#N/A</v>
      </c>
      <c r="O33" s="46"/>
      <c r="P33">
        <v>0</v>
      </c>
    </row>
    <row r="34" spans="1:16" x14ac:dyDescent="0.25">
      <c r="A34" s="14">
        <v>0.01</v>
      </c>
      <c r="B34" s="14">
        <v>2E-3</v>
      </c>
      <c r="H34">
        <v>32</v>
      </c>
      <c r="I34" s="46">
        <f t="shared" si="0"/>
        <v>1.3812537369906099</v>
      </c>
      <c r="J34" s="46">
        <f>MIN(I34/MAX(I$2:I33)-1,0)</f>
        <v>0</v>
      </c>
      <c r="K34" s="21">
        <v>0</v>
      </c>
      <c r="L34" s="21" t="e">
        <f t="shared" si="1"/>
        <v>#N/A</v>
      </c>
      <c r="M34" s="21">
        <v>0</v>
      </c>
      <c r="N34" s="27" t="e">
        <f t="shared" si="2"/>
        <v>#N/A</v>
      </c>
      <c r="O34" s="46"/>
      <c r="P34">
        <v>0</v>
      </c>
    </row>
    <row r="35" spans="1:16" x14ac:dyDescent="0.25">
      <c r="A35" s="14">
        <v>-2E-3</v>
      </c>
      <c r="B35" s="14">
        <v>2E-3</v>
      </c>
      <c r="H35">
        <v>33</v>
      </c>
      <c r="I35" s="46">
        <f t="shared" si="0"/>
        <v>1.395066274360516</v>
      </c>
      <c r="J35" s="46">
        <f>MIN(I35/MAX(I$2:I34)-1,0)</f>
        <v>0</v>
      </c>
      <c r="K35" s="21">
        <v>1.395066274360516</v>
      </c>
      <c r="L35" s="21">
        <f t="shared" si="1"/>
        <v>1.395066274360516</v>
      </c>
      <c r="M35" s="21">
        <v>0</v>
      </c>
      <c r="N35" s="27" t="e">
        <f t="shared" si="2"/>
        <v>#N/A</v>
      </c>
      <c r="O35" s="46"/>
      <c r="P35">
        <v>0</v>
      </c>
    </row>
    <row r="36" spans="1:16" x14ac:dyDescent="0.25">
      <c r="A36" s="14">
        <v>3.4000000000000002E-2</v>
      </c>
      <c r="B36" s="14">
        <v>2E-3</v>
      </c>
      <c r="H36">
        <v>34</v>
      </c>
      <c r="I36" s="46">
        <f t="shared" si="0"/>
        <v>1.392276141811795</v>
      </c>
      <c r="J36" s="46">
        <f>MIN(I36/MAX(I$2:I35)-1,0)</f>
        <v>-2.0000000000000018E-3</v>
      </c>
      <c r="K36" s="21">
        <v>0</v>
      </c>
      <c r="L36" s="21" t="e">
        <f t="shared" si="1"/>
        <v>#N/A</v>
      </c>
      <c r="M36" s="21">
        <v>1.392276141811795</v>
      </c>
      <c r="N36" s="27">
        <f t="shared" si="2"/>
        <v>1.392276141811795</v>
      </c>
      <c r="O36" s="46"/>
      <c r="P36">
        <v>-2.0000000000000018E-3</v>
      </c>
    </row>
    <row r="37" spans="1:16" x14ac:dyDescent="0.25">
      <c r="A37" s="14">
        <v>0.01</v>
      </c>
      <c r="B37" s="14">
        <v>2E-3</v>
      </c>
      <c r="H37">
        <v>35</v>
      </c>
      <c r="I37" s="46">
        <f t="shared" si="0"/>
        <v>1.4396135306333961</v>
      </c>
      <c r="J37" s="46">
        <f>MIN(I37/MAX(I$2:I36)-1,0)</f>
        <v>0</v>
      </c>
      <c r="K37" s="21">
        <v>0</v>
      </c>
      <c r="L37" s="21" t="e">
        <f t="shared" si="1"/>
        <v>#N/A</v>
      </c>
      <c r="M37" s="21">
        <v>0</v>
      </c>
      <c r="N37" s="27" t="e">
        <f t="shared" si="2"/>
        <v>#N/A</v>
      </c>
      <c r="O37" s="46"/>
      <c r="P37">
        <v>0</v>
      </c>
    </row>
    <row r="38" spans="1:16" x14ac:dyDescent="0.25">
      <c r="H38">
        <v>36</v>
      </c>
      <c r="I38" s="46">
        <f t="shared" si="0"/>
        <v>1.4540096659397301</v>
      </c>
      <c r="J38" s="46">
        <f>MIN(I38/MAX(I$2:I37)-1,0)</f>
        <v>0</v>
      </c>
      <c r="K38" s="21">
        <v>1.4540096659397301</v>
      </c>
      <c r="L38" s="21">
        <f t="shared" si="1"/>
        <v>1.4540096659397301</v>
      </c>
      <c r="M38" s="21">
        <v>0</v>
      </c>
      <c r="N38" s="27" t="e">
        <f t="shared" si="2"/>
        <v>#N/A</v>
      </c>
      <c r="O38" s="46"/>
      <c r="P38">
        <v>0</v>
      </c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073D-9724-4911-AFA1-DE839FEC917E}">
  <dimension ref="A1:Z32"/>
  <sheetViews>
    <sheetView workbookViewId="0">
      <selection activeCell="D23" sqref="D23"/>
    </sheetView>
  </sheetViews>
  <sheetFormatPr defaultRowHeight="15" x14ac:dyDescent="0.25"/>
  <cols>
    <col min="4" max="5" width="12.42578125" bestFit="1" customWidth="1"/>
    <col min="9" max="9" width="11.5703125" bestFit="1" customWidth="1"/>
    <col min="20" max="20" width="12.42578125" bestFit="1" customWidth="1"/>
  </cols>
  <sheetData>
    <row r="1" spans="1:26" x14ac:dyDescent="0.25">
      <c r="D1" t="s">
        <v>115</v>
      </c>
      <c r="E1" t="s">
        <v>113</v>
      </c>
      <c r="F1" t="s">
        <v>114</v>
      </c>
      <c r="H1" t="s">
        <v>116</v>
      </c>
      <c r="I1" t="s">
        <v>117</v>
      </c>
      <c r="R1" t="s">
        <v>88</v>
      </c>
    </row>
    <row r="2" spans="1:26" ht="15.75" thickBot="1" x14ac:dyDescent="0.3">
      <c r="A2" cm="1">
        <f t="array" ref="A2:A21">_xlfn.SEQUENCE(20)</f>
        <v>1</v>
      </c>
      <c r="B2" s="14">
        <v>0</v>
      </c>
      <c r="E2">
        <v>100</v>
      </c>
      <c r="F2">
        <v>0</v>
      </c>
      <c r="H2">
        <f>$S$17+$S$18*A2</f>
        <v>-1.67000000000001E-3</v>
      </c>
      <c r="I2" s="26">
        <f>B2-H2</f>
        <v>1.67000000000001E-3</v>
      </c>
    </row>
    <row r="3" spans="1:26" x14ac:dyDescent="0.25">
      <c r="A3">
        <v>2</v>
      </c>
      <c r="B3" s="14">
        <v>-1.5E-3</v>
      </c>
      <c r="D3" s="14">
        <f>(1+B3)/(1+B2)-1</f>
        <v>-1.4999999999999458E-3</v>
      </c>
      <c r="E3">
        <f>E2*(1+D3)</f>
        <v>99.850000000000009</v>
      </c>
      <c r="F3" s="14">
        <f>(1+F2)*(1+D3)-1</f>
        <v>-1.4999999999999458E-3</v>
      </c>
      <c r="H3">
        <f t="shared" ref="H3:H21" si="0">$S$17+$S$18*A3</f>
        <v>4.1357894736842003E-3</v>
      </c>
      <c r="I3" s="26">
        <f t="shared" ref="I3:I21" si="1">B3-H3</f>
        <v>-5.6357894736841999E-3</v>
      </c>
      <c r="R3" s="41" t="s">
        <v>89</v>
      </c>
      <c r="S3" s="41"/>
    </row>
    <row r="4" spans="1:26" x14ac:dyDescent="0.25">
      <c r="A4">
        <v>3</v>
      </c>
      <c r="B4" s="14">
        <v>7.1999999999999998E-3</v>
      </c>
      <c r="D4" s="14">
        <f>(1+B4)/(1+B3)-1</f>
        <v>8.7130696044066536E-3</v>
      </c>
      <c r="E4">
        <f t="shared" ref="E4:E21" si="2">E3*(1+D4)</f>
        <v>100.72000000000001</v>
      </c>
      <c r="F4" s="14">
        <f t="shared" ref="F4:F21" si="3">(1+F3)*(1+D4)-1</f>
        <v>7.2000000000000952E-3</v>
      </c>
      <c r="H4">
        <f t="shared" si="0"/>
        <v>9.9415789473684124E-3</v>
      </c>
      <c r="I4" s="26">
        <f t="shared" si="1"/>
        <v>-2.7415789473684126E-3</v>
      </c>
      <c r="R4" s="38" t="s">
        <v>90</v>
      </c>
      <c r="S4" s="38">
        <v>0.98736178085940562</v>
      </c>
    </row>
    <row r="5" spans="1:26" x14ac:dyDescent="0.25">
      <c r="A5">
        <v>4</v>
      </c>
      <c r="B5" s="14">
        <v>1.23E-2</v>
      </c>
      <c r="D5" s="14">
        <f t="shared" ref="D5:D21" si="4">(1+B5)/(1+B4)-1</f>
        <v>5.0635424940428386E-3</v>
      </c>
      <c r="E5">
        <f t="shared" si="2"/>
        <v>101.23</v>
      </c>
      <c r="F5" s="14">
        <f t="shared" si="3"/>
        <v>1.2299999999999978E-2</v>
      </c>
      <c r="H5">
        <f t="shared" si="0"/>
        <v>1.5747368421052621E-2</v>
      </c>
      <c r="I5" s="26">
        <f t="shared" si="1"/>
        <v>-3.4473684210526209E-3</v>
      </c>
      <c r="R5" s="38" t="s">
        <v>91</v>
      </c>
      <c r="S5" s="38">
        <v>0.97488328630185694</v>
      </c>
    </row>
    <row r="6" spans="1:26" x14ac:dyDescent="0.25">
      <c r="A6">
        <v>5</v>
      </c>
      <c r="B6" s="14">
        <v>2.5000000000000001E-2</v>
      </c>
      <c r="D6" s="14">
        <f t="shared" si="4"/>
        <v>1.2545688037143066E-2</v>
      </c>
      <c r="E6">
        <f t="shared" si="2"/>
        <v>102.5</v>
      </c>
      <c r="F6" s="14">
        <f t="shared" si="3"/>
        <v>2.4999999999999911E-2</v>
      </c>
      <c r="H6">
        <f t="shared" si="0"/>
        <v>2.155315789473683E-2</v>
      </c>
      <c r="I6" s="26">
        <f t="shared" si="1"/>
        <v>3.4468421052631718E-3</v>
      </c>
      <c r="R6" s="38" t="s">
        <v>92</v>
      </c>
      <c r="S6" s="38">
        <v>0.97348791331862672</v>
      </c>
    </row>
    <row r="7" spans="1:26" x14ac:dyDescent="0.25">
      <c r="A7">
        <v>6</v>
      </c>
      <c r="B7" s="14">
        <v>2.3300000000000001E-2</v>
      </c>
      <c r="D7" s="14">
        <f t="shared" si="4"/>
        <v>-1.6585365853656331E-3</v>
      </c>
      <c r="E7">
        <f t="shared" si="2"/>
        <v>102.33000000000003</v>
      </c>
      <c r="F7" s="14">
        <f t="shared" si="3"/>
        <v>2.3300000000000098E-2</v>
      </c>
      <c r="H7">
        <f t="shared" si="0"/>
        <v>2.7358947368421045E-2</v>
      </c>
      <c r="I7" s="26">
        <f t="shared" si="1"/>
        <v>-4.0589473684210439E-3</v>
      </c>
      <c r="R7" s="38" t="s">
        <v>93</v>
      </c>
      <c r="S7" s="38">
        <v>5.6642309006524841E-3</v>
      </c>
    </row>
    <row r="8" spans="1:26" ht="15.75" thickBot="1" x14ac:dyDescent="0.3">
      <c r="A8">
        <v>7</v>
      </c>
      <c r="B8" s="14">
        <v>2.5399999999999999E-2</v>
      </c>
      <c r="D8" s="14">
        <f t="shared" si="4"/>
        <v>2.0521841102316696E-3</v>
      </c>
      <c r="E8">
        <f t="shared" si="2"/>
        <v>102.54000000000003</v>
      </c>
      <c r="F8" s="14">
        <f t="shared" si="3"/>
        <v>2.5400000000000089E-2</v>
      </c>
      <c r="H8">
        <f t="shared" si="0"/>
        <v>3.3164736842105254E-2</v>
      </c>
      <c r="I8" s="26">
        <f t="shared" si="1"/>
        <v>-7.7647368421052548E-3</v>
      </c>
      <c r="R8" s="39" t="s">
        <v>94</v>
      </c>
      <c r="S8" s="39">
        <v>20</v>
      </c>
    </row>
    <row r="9" spans="1:26" x14ac:dyDescent="0.25">
      <c r="A9">
        <v>8</v>
      </c>
      <c r="B9" s="14">
        <v>3.6299999999999999E-2</v>
      </c>
      <c r="D9" s="14">
        <f t="shared" si="4"/>
        <v>1.0629998049541456E-2</v>
      </c>
      <c r="E9">
        <f t="shared" si="2"/>
        <v>103.63000000000001</v>
      </c>
      <c r="F9" s="14">
        <f t="shared" si="3"/>
        <v>3.6299999999999999E-2</v>
      </c>
      <c r="H9">
        <f t="shared" si="0"/>
        <v>3.8970526315789462E-2</v>
      </c>
      <c r="I9" s="26">
        <f t="shared" si="1"/>
        <v>-2.6705263157894635E-3</v>
      </c>
    </row>
    <row r="10" spans="1:26" ht="15.75" thickBot="1" x14ac:dyDescent="0.3">
      <c r="A10">
        <v>9</v>
      </c>
      <c r="B10" s="14">
        <v>4.9100000000000005E-2</v>
      </c>
      <c r="D10" s="14">
        <f t="shared" si="4"/>
        <v>1.2351635626749013E-2</v>
      </c>
      <c r="E10">
        <f t="shared" si="2"/>
        <v>104.91000000000001</v>
      </c>
      <c r="F10" s="14">
        <f t="shared" si="3"/>
        <v>4.9099999999999921E-2</v>
      </c>
      <c r="H10">
        <f t="shared" si="0"/>
        <v>4.4776315789473671E-2</v>
      </c>
      <c r="I10" s="26">
        <f t="shared" si="1"/>
        <v>4.3236842105263337E-3</v>
      </c>
      <c r="R10" t="s">
        <v>95</v>
      </c>
    </row>
    <row r="11" spans="1:26" x14ac:dyDescent="0.25">
      <c r="A11">
        <v>10</v>
      </c>
      <c r="B11" s="14">
        <v>6.25E-2</v>
      </c>
      <c r="D11" s="14">
        <f t="shared" si="4"/>
        <v>1.2772852921551836E-2</v>
      </c>
      <c r="E11">
        <f t="shared" si="2"/>
        <v>106.25000000000001</v>
      </c>
      <c r="F11" s="14">
        <f t="shared" si="3"/>
        <v>6.25E-2</v>
      </c>
      <c r="H11">
        <f t="shared" si="0"/>
        <v>5.058210526315788E-2</v>
      </c>
      <c r="I11" s="26">
        <f t="shared" si="1"/>
        <v>1.191789473684212E-2</v>
      </c>
      <c r="R11" s="40"/>
      <c r="S11" s="40" t="s">
        <v>100</v>
      </c>
      <c r="T11" s="40" t="s">
        <v>101</v>
      </c>
      <c r="U11" s="40" t="s">
        <v>102</v>
      </c>
      <c r="V11" s="40" t="s">
        <v>103</v>
      </c>
      <c r="W11" s="40" t="s">
        <v>104</v>
      </c>
    </row>
    <row r="12" spans="1:26" x14ac:dyDescent="0.25">
      <c r="A12">
        <v>11</v>
      </c>
      <c r="B12" s="14">
        <v>6.3200000000000006E-2</v>
      </c>
      <c r="D12" s="14">
        <f t="shared" si="4"/>
        <v>6.5882352941160072E-4</v>
      </c>
      <c r="E12">
        <f t="shared" si="2"/>
        <v>106.32</v>
      </c>
      <c r="F12" s="14">
        <f t="shared" si="3"/>
        <v>6.3199999999999923E-2</v>
      </c>
      <c r="H12">
        <f t="shared" si="0"/>
        <v>5.6387894736842088E-2</v>
      </c>
      <c r="I12" s="26">
        <f t="shared" si="1"/>
        <v>6.8121052631579179E-3</v>
      </c>
      <c r="R12" s="38" t="s">
        <v>96</v>
      </c>
      <c r="S12" s="38">
        <v>1</v>
      </c>
      <c r="T12" s="38">
        <v>2.2415282289473679E-2</v>
      </c>
      <c r="U12" s="38">
        <v>2.2415282289473679E-2</v>
      </c>
      <c r="V12" s="38">
        <v>698.6542652166612</v>
      </c>
      <c r="W12" s="38">
        <v>7.4628755475986974E-16</v>
      </c>
    </row>
    <row r="13" spans="1:26" x14ac:dyDescent="0.25">
      <c r="A13">
        <v>12</v>
      </c>
      <c r="B13" s="14">
        <v>6.6000000000000003E-2</v>
      </c>
      <c r="D13" s="14">
        <f t="shared" si="4"/>
        <v>2.6335590669677167E-3</v>
      </c>
      <c r="E13">
        <f t="shared" si="2"/>
        <v>106.6</v>
      </c>
      <c r="F13" s="14">
        <f t="shared" si="3"/>
        <v>6.6000000000000059E-2</v>
      </c>
      <c r="H13">
        <f t="shared" si="0"/>
        <v>6.2193684210526311E-2</v>
      </c>
      <c r="I13" s="26">
        <f t="shared" si="1"/>
        <v>3.8063157894736924E-3</v>
      </c>
      <c r="R13" s="38" t="s">
        <v>97</v>
      </c>
      <c r="S13" s="38">
        <v>18</v>
      </c>
      <c r="T13" s="38">
        <v>5.7750321052631626E-4</v>
      </c>
      <c r="U13" s="38">
        <v>3.2083511695906456E-5</v>
      </c>
      <c r="V13" s="38"/>
      <c r="W13" s="38"/>
    </row>
    <row r="14" spans="1:26" ht="15.75" thickBot="1" x14ac:dyDescent="0.3">
      <c r="A14">
        <v>13</v>
      </c>
      <c r="B14" s="14">
        <v>6.7500000000000004E-2</v>
      </c>
      <c r="D14" s="14">
        <f t="shared" si="4"/>
        <v>1.4071294559097058E-3</v>
      </c>
      <c r="E14">
        <f t="shared" si="2"/>
        <v>106.74999999999997</v>
      </c>
      <c r="F14" s="14">
        <f t="shared" si="3"/>
        <v>6.7499999999999893E-2</v>
      </c>
      <c r="H14">
        <f t="shared" si="0"/>
        <v>6.7999473684210526E-2</v>
      </c>
      <c r="I14" s="26">
        <f t="shared" si="1"/>
        <v>-4.9947368421052185E-4</v>
      </c>
      <c r="R14" s="39" t="s">
        <v>98</v>
      </c>
      <c r="S14" s="39">
        <v>19</v>
      </c>
      <c r="T14" s="39">
        <v>2.2992785499999994E-2</v>
      </c>
      <c r="U14" s="39"/>
      <c r="V14" s="39"/>
      <c r="W14" s="39"/>
    </row>
    <row r="15" spans="1:26" ht="15.75" thickBot="1" x14ac:dyDescent="0.3">
      <c r="A15">
        <v>14</v>
      </c>
      <c r="B15" s="14">
        <v>7.9199999999999993E-2</v>
      </c>
      <c r="D15" s="14">
        <f t="shared" si="4"/>
        <v>1.0960187353630024E-2</v>
      </c>
      <c r="E15">
        <f t="shared" si="2"/>
        <v>107.91999999999997</v>
      </c>
      <c r="F15" s="14">
        <f t="shared" si="3"/>
        <v>7.9199999999999937E-2</v>
      </c>
      <c r="H15">
        <f t="shared" si="0"/>
        <v>7.3805263157894735E-2</v>
      </c>
      <c r="I15" s="26">
        <f t="shared" si="1"/>
        <v>5.3947368421052577E-3</v>
      </c>
    </row>
    <row r="16" spans="1:26" x14ac:dyDescent="0.25">
      <c r="A16">
        <v>15</v>
      </c>
      <c r="B16" s="14">
        <v>8.3000000000000004E-2</v>
      </c>
      <c r="D16" s="14">
        <f t="shared" si="4"/>
        <v>3.5211267605634866E-3</v>
      </c>
      <c r="E16">
        <f t="shared" si="2"/>
        <v>108.29999999999998</v>
      </c>
      <c r="F16" s="14">
        <f t="shared" si="3"/>
        <v>8.2999999999999963E-2</v>
      </c>
      <c r="H16">
        <f t="shared" si="0"/>
        <v>7.9611052631578944E-2</v>
      </c>
      <c r="I16" s="26">
        <f t="shared" si="1"/>
        <v>3.3889473684210608E-3</v>
      </c>
      <c r="R16" s="40"/>
      <c r="S16" s="40" t="s">
        <v>105</v>
      </c>
      <c r="T16" s="40" t="s">
        <v>93</v>
      </c>
      <c r="U16" s="40" t="s">
        <v>106</v>
      </c>
      <c r="V16" s="40" t="s">
        <v>107</v>
      </c>
      <c r="W16" s="40" t="s">
        <v>108</v>
      </c>
      <c r="X16" s="40" t="s">
        <v>109</v>
      </c>
      <c r="Y16" s="40" t="s">
        <v>110</v>
      </c>
      <c r="Z16" s="40" t="s">
        <v>111</v>
      </c>
    </row>
    <row r="17" spans="1:26" x14ac:dyDescent="0.25">
      <c r="A17">
        <v>16</v>
      </c>
      <c r="B17" s="14">
        <v>0.09</v>
      </c>
      <c r="D17" s="14">
        <f t="shared" si="4"/>
        <v>6.4635272391506682E-3</v>
      </c>
      <c r="E17">
        <f t="shared" si="2"/>
        <v>109</v>
      </c>
      <c r="F17" s="14">
        <f t="shared" si="3"/>
        <v>9.000000000000008E-2</v>
      </c>
      <c r="H17">
        <f t="shared" si="0"/>
        <v>8.5416842105263152E-2</v>
      </c>
      <c r="I17" s="26">
        <f t="shared" si="1"/>
        <v>4.5831578947368445E-3</v>
      </c>
      <c r="R17" s="38" t="s">
        <v>99</v>
      </c>
      <c r="S17" s="38">
        <v>-7.4757894736842204E-3</v>
      </c>
      <c r="T17" s="38">
        <v>2.631213427831514E-3</v>
      </c>
      <c r="U17" s="38">
        <v>-2.8411946346159045</v>
      </c>
      <c r="V17" s="38">
        <v>1.0835016469266913E-2</v>
      </c>
      <c r="W17" s="38">
        <v>-1.3003763756793619E-2</v>
      </c>
      <c r="X17" s="38">
        <v>-1.947815190574821E-3</v>
      </c>
      <c r="Y17" s="38">
        <v>-1.3003763756793619E-2</v>
      </c>
      <c r="Z17" s="38">
        <v>-1.947815190574821E-3</v>
      </c>
    </row>
    <row r="18" spans="1:26" ht="15.75" thickBot="1" x14ac:dyDescent="0.3">
      <c r="A18">
        <v>17</v>
      </c>
      <c r="B18" s="14">
        <v>9.2200000000000004E-2</v>
      </c>
      <c r="D18" s="14">
        <f t="shared" si="4"/>
        <v>2.0183486238531945E-3</v>
      </c>
      <c r="E18">
        <f t="shared" si="2"/>
        <v>109.22</v>
      </c>
      <c r="F18" s="14">
        <f t="shared" si="3"/>
        <v>9.220000000000006E-2</v>
      </c>
      <c r="H18">
        <f t="shared" si="0"/>
        <v>9.1222631578947361E-2</v>
      </c>
      <c r="I18" s="26">
        <f t="shared" si="1"/>
        <v>9.7736842105264343E-4</v>
      </c>
      <c r="R18" s="39" t="s">
        <v>112</v>
      </c>
      <c r="S18" s="39">
        <v>5.8057894736842103E-3</v>
      </c>
      <c r="T18" s="39">
        <v>2.1964945310535921E-4</v>
      </c>
      <c r="U18" s="39">
        <v>26.43206887885739</v>
      </c>
      <c r="V18" s="39">
        <v>7.4628755475986974E-16</v>
      </c>
      <c r="W18" s="39">
        <v>5.3443230965282713E-3</v>
      </c>
      <c r="X18" s="39">
        <v>6.2672558508401494E-3</v>
      </c>
      <c r="Y18" s="39">
        <v>5.3443230965282713E-3</v>
      </c>
      <c r="Z18" s="39">
        <v>6.2672558508401494E-3</v>
      </c>
    </row>
    <row r="19" spans="1:26" x14ac:dyDescent="0.25">
      <c r="A19">
        <v>18</v>
      </c>
      <c r="B19" s="14">
        <v>9.3599999999999989E-2</v>
      </c>
      <c r="D19" s="14">
        <f t="shared" si="4"/>
        <v>1.2818165171213369E-3</v>
      </c>
      <c r="E19">
        <f t="shared" si="2"/>
        <v>109.35999999999999</v>
      </c>
      <c r="F19" s="14">
        <f t="shared" si="3"/>
        <v>9.3599999999999905E-2</v>
      </c>
      <c r="H19">
        <f t="shared" si="0"/>
        <v>9.7028421052631569E-2</v>
      </c>
      <c r="I19" s="26">
        <f t="shared" si="1"/>
        <v>-3.4284210526315806E-3</v>
      </c>
    </row>
    <row r="20" spans="1:26" x14ac:dyDescent="0.25">
      <c r="A20">
        <v>19</v>
      </c>
      <c r="B20" s="14">
        <v>9.3699999999999992E-2</v>
      </c>
      <c r="D20" s="14">
        <f t="shared" si="4"/>
        <v>9.1441111923939999E-5</v>
      </c>
      <c r="E20">
        <f t="shared" si="2"/>
        <v>109.36999999999999</v>
      </c>
      <c r="F20" s="14">
        <f t="shared" si="3"/>
        <v>9.3699999999999894E-2</v>
      </c>
      <c r="H20">
        <f t="shared" si="0"/>
        <v>0.10283421052631578</v>
      </c>
      <c r="I20" s="26">
        <f t="shared" si="1"/>
        <v>-9.1342105263157863E-3</v>
      </c>
    </row>
    <row r="21" spans="1:26" x14ac:dyDescent="0.25">
      <c r="A21">
        <v>20</v>
      </c>
      <c r="B21" s="14">
        <v>0.1017</v>
      </c>
      <c r="D21" s="14">
        <f t="shared" si="4"/>
        <v>7.3146200969187447E-3</v>
      </c>
      <c r="E21">
        <f t="shared" si="2"/>
        <v>110.16999999999999</v>
      </c>
      <c r="F21" s="14">
        <f t="shared" si="3"/>
        <v>0.1016999999999999</v>
      </c>
      <c r="H21">
        <f t="shared" si="0"/>
        <v>0.10863999999999999</v>
      </c>
      <c r="I21" s="26">
        <f t="shared" si="1"/>
        <v>-6.9399999999999878E-3</v>
      </c>
      <c r="T21">
        <f>U18/SQRT(20)</f>
        <v>5.9103902799081771</v>
      </c>
    </row>
    <row r="23" spans="1:26" x14ac:dyDescent="0.25">
      <c r="B23">
        <f>SLOPE(B2:B21,_xlfn.ANCHORARRAY(A2))*SQRT(DEVSQ(_xlfn.ANCHORARRAY(A2)))/STEYX(B2:B21,_xlfn.ANCHORARRAY(A2))/SQRT(20)</f>
        <v>5.9103902799082544</v>
      </c>
      <c r="D23" s="28" cm="1">
        <f t="array" ref="D23">_xll.KRatio(D3:D21)</f>
        <v>5.9103902799081833</v>
      </c>
      <c r="E23">
        <f>SLOPE(E2:E21,_xlfn.ANCHORARRAY($A$2))*SQRT(DEVSQ(_xlfn.ANCHORARRAY($A$2)))/STEYX(E2:E21,_xlfn.ANCHORARRAY($A$2))/SQRT(COUNT(_xlfn.ANCHORARRAY($A$2)))</f>
        <v>5.9103902799081878</v>
      </c>
      <c r="F23">
        <f>SLOPE(F2:F21,_xlfn.ANCHORARRAY($A$2))*SQRT(DEVSQ(_xlfn.ANCHORARRAY($A$2)))/STEYX(F2:F21,_xlfn.ANCHORARRAY($A$2))/SQRT(COUNT(_xlfn.ANCHORARRAY($A$2)))</f>
        <v>5.9103902799081762</v>
      </c>
    </row>
    <row r="25" spans="1:26" x14ac:dyDescent="0.25">
      <c r="C25" t="s">
        <v>99</v>
      </c>
      <c r="D25" s="42">
        <f>INTERCEPT(F2:F21,_xlfn.ANCHORARRAY(A2))</f>
        <v>-7.4757894736841718E-3</v>
      </c>
      <c r="E25" t="b">
        <f>ABS(D25-S17) &lt; 0.00000001</f>
        <v>1</v>
      </c>
    </row>
    <row r="26" spans="1:26" x14ac:dyDescent="0.25">
      <c r="C26" t="s">
        <v>118</v>
      </c>
      <c r="D26" s="42">
        <f>SLOPE(F2:F21,_xlfn.ANCHORARRAY(A2))</f>
        <v>5.8057894736842051E-3</v>
      </c>
      <c r="E26" t="b">
        <f>ABS(D26-S18) &lt; 0.00000001</f>
        <v>1</v>
      </c>
    </row>
    <row r="27" spans="1:26" x14ac:dyDescent="0.25">
      <c r="C27" t="s">
        <v>119</v>
      </c>
      <c r="D27" s="42" cm="1">
        <f t="array" ref="D27">SUM(I2:I21^2)</f>
        <v>5.7750321052631615E-4</v>
      </c>
      <c r="E27" t="b">
        <f>ABS(D27-T13) &lt; 0.00000001</f>
        <v>1</v>
      </c>
    </row>
    <row r="28" spans="1:26" x14ac:dyDescent="0.25">
      <c r="C28" t="s">
        <v>125</v>
      </c>
      <c r="D28" s="44">
        <f>D27/(COUNT(_xlfn.ANCHORARRAY(A2))-2)</f>
        <v>3.2083511695906456E-5</v>
      </c>
      <c r="E28" t="b">
        <f>ABS(D28-U13) &lt; 0.00000001</f>
        <v>1</v>
      </c>
      <c r="I28" s="43"/>
    </row>
    <row r="29" spans="1:26" ht="16.5" x14ac:dyDescent="0.3">
      <c r="C29" t="s">
        <v>126</v>
      </c>
      <c r="D29" s="45">
        <f>SQRT(D28/(_xlfn.VAR.P(_xlfn.ANCHORARRAY(A2))*COUNT(_xlfn.ANCHORARRAY(A2))))</f>
        <v>2.1964945310535921E-4</v>
      </c>
      <c r="E29" t="b">
        <f>ABS(D29-T18) &lt; 0.00000001</f>
        <v>1</v>
      </c>
    </row>
    <row r="30" spans="1:26" x14ac:dyDescent="0.25">
      <c r="C30" t="s">
        <v>127</v>
      </c>
      <c r="D30" s="31">
        <f>D26/D29/SQRT(COUNT(_xlfn.ANCHORARRAY(A2)))</f>
        <v>5.9103902799081718</v>
      </c>
      <c r="E30" t="b">
        <f>ABS(D30-B23)&lt;0.000001</f>
        <v>1</v>
      </c>
    </row>
    <row r="32" spans="1:26" x14ac:dyDescent="0.25">
      <c r="C32" t="s">
        <v>128</v>
      </c>
      <c r="D32">
        <f>_xlfn.VAR.P(_xlfn.ANCHORARRAY(A2))</f>
        <v>33.25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E961-1479-40EC-811A-DC8D5E7B239C}">
  <dimension ref="A1:S101"/>
  <sheetViews>
    <sheetView workbookViewId="0">
      <selection activeCell="F9" sqref="F9"/>
    </sheetView>
  </sheetViews>
  <sheetFormatPr defaultRowHeight="15" x14ac:dyDescent="0.25"/>
  <cols>
    <col min="1" max="1" width="15.42578125" bestFit="1" customWidth="1"/>
    <col min="2" max="2" width="16" bestFit="1" customWidth="1"/>
    <col min="3" max="3" width="14" bestFit="1" customWidth="1"/>
    <col min="5" max="5" width="14.140625" bestFit="1" customWidth="1"/>
    <col min="6" max="6" width="10.140625" bestFit="1" customWidth="1"/>
    <col min="7" max="7" width="14.140625" bestFit="1" customWidth="1"/>
    <col min="8" max="8" width="16.85546875" bestFit="1" customWidth="1"/>
    <col min="17" max="17" width="12" bestFit="1" customWidth="1"/>
  </cols>
  <sheetData>
    <row r="1" spans="1:19" x14ac:dyDescent="0.25">
      <c r="A1" t="s">
        <v>156</v>
      </c>
      <c r="B1" t="s">
        <v>157</v>
      </c>
      <c r="C1" t="s">
        <v>158</v>
      </c>
      <c r="H1" t="s">
        <v>160</v>
      </c>
      <c r="I1">
        <v>0.95</v>
      </c>
      <c r="L1" t="s">
        <v>159</v>
      </c>
    </row>
    <row r="2" spans="1:19" x14ac:dyDescent="0.25">
      <c r="A2" s="14">
        <v>3.0000000000000001E-3</v>
      </c>
      <c r="B2" s="14">
        <v>2E-3</v>
      </c>
      <c r="C2" s="14">
        <v>1E-3</v>
      </c>
      <c r="E2" t="s">
        <v>152</v>
      </c>
      <c r="F2" s="14">
        <f>AVERAGE($A$2:$A$37) + I5*_xlfn.STDEV.P($A$2:$A$37)</f>
        <v>-4.3566020298643725E-2</v>
      </c>
      <c r="G2" s="26"/>
      <c r="L2" cm="1">
        <f t="array" ref="L2:L101">_xlfn.SEQUENCE(100,,0.01,0.01)</f>
        <v>0.01</v>
      </c>
      <c r="M2">
        <f>_xlfn.NORM.S.INV(L2)</f>
        <v>-2.3263478740408408</v>
      </c>
      <c r="N2" cm="1">
        <f t="array" ref="N2">_xll.NormalCdfInverse(L2, 0, 1)</f>
        <v>-2.3263478740408408</v>
      </c>
      <c r="O2" t="b">
        <f>ABS(M2-N2)&lt;$Q$2</f>
        <v>1</v>
      </c>
      <c r="Q2">
        <v>1E-14</v>
      </c>
    </row>
    <row r="3" spans="1:19" x14ac:dyDescent="0.25">
      <c r="A3" s="14">
        <v>2.6000000000000002E-2</v>
      </c>
      <c r="B3" s="14">
        <v>2.5000000000000001E-2</v>
      </c>
      <c r="C3" s="14">
        <v>1E-3</v>
      </c>
      <c r="E3" t="s">
        <v>152</v>
      </c>
      <c r="F3" s="14">
        <f>AVERAGE($A$2:$A$37) + I6*_xlfn.STDEV.P($A$2:$A$37)</f>
        <v>-4.3566020298643725E-2</v>
      </c>
      <c r="H3" t="s">
        <v>154</v>
      </c>
      <c r="I3" s="21" cm="1">
        <f t="array" ref="I3">_xll.Skewness_P(A2:A37)</f>
        <v>-0.23799512754333596</v>
      </c>
      <c r="L3">
        <v>0.02</v>
      </c>
      <c r="M3">
        <f t="shared" ref="M3:M66" si="0">_xlfn.NORM.S.INV(L3)</f>
        <v>-2.0537489106318225</v>
      </c>
      <c r="N3" cm="1">
        <f t="array" ref="N3">_xll.NormalCdfInverse(L3, 0, 1)</f>
        <v>-2.0537489106318225</v>
      </c>
      <c r="O3" t="b">
        <f t="shared" ref="O3:O66" si="1">ABS(M3-N3)&lt;$Q$2</f>
        <v>1</v>
      </c>
    </row>
    <row r="4" spans="1:19" x14ac:dyDescent="0.25">
      <c r="A4" s="14">
        <v>1.1000000000000001E-2</v>
      </c>
      <c r="B4" s="14">
        <v>1.8000000000000002E-2</v>
      </c>
      <c r="C4" s="14">
        <v>2E-3</v>
      </c>
      <c r="E4" t="s">
        <v>152</v>
      </c>
      <c r="F4" s="14" cm="1">
        <f t="array" ref="F4">_xll.ParametricVaR(A2:A37,0.95)</f>
        <v>-4.3566020298643725E-2</v>
      </c>
      <c r="H4" t="s">
        <v>155</v>
      </c>
      <c r="I4" s="21" cm="1">
        <f t="array" ref="I4">_xll.Kurtosis_P_Excess(A2:A37)</f>
        <v>-2.2361140899221699E-2</v>
      </c>
      <c r="L4">
        <v>0.03</v>
      </c>
      <c r="M4">
        <f t="shared" si="0"/>
        <v>-1.8807936081512509</v>
      </c>
      <c r="N4" cm="1">
        <f t="array" ref="N4">_xll.NormalCdfInverse(L4, 0, 1)</f>
        <v>-1.8807936081512509</v>
      </c>
      <c r="O4" t="b">
        <f t="shared" si="1"/>
        <v>1</v>
      </c>
    </row>
    <row r="5" spans="1:19" x14ac:dyDescent="0.25">
      <c r="A5" s="14">
        <v>-9.0000000000000011E-3</v>
      </c>
      <c r="B5" s="14">
        <v>-1.1000000000000001E-2</v>
      </c>
      <c r="C5" s="14">
        <v>2E-3</v>
      </c>
      <c r="E5" t="s">
        <v>153</v>
      </c>
      <c r="F5" s="14">
        <f>AVERAGE(A2:A37)+(I5+(I5^2-1)/6*I3+(I5^3-3*I5)/24*I4- (2*I5^3-5*I5)/36*I3^2)*_xlfn.STDEV.P(A2:A37)</f>
        <v>-4.5789964909625162E-2</v>
      </c>
      <c r="H5" t="s">
        <v>161</v>
      </c>
      <c r="I5">
        <f>_xlfn.NORM.S.INV(1-I1)</f>
        <v>-1.6448536269514715</v>
      </c>
      <c r="L5">
        <v>0.04</v>
      </c>
      <c r="M5">
        <f t="shared" si="0"/>
        <v>-1.7506860712521695</v>
      </c>
      <c r="N5" cm="1">
        <f t="array" ref="N5">_xll.NormalCdfInverse(L5, 0, 1)</f>
        <v>-1.7506860712521695</v>
      </c>
      <c r="O5" t="b">
        <f t="shared" si="1"/>
        <v>1</v>
      </c>
      <c r="S5" s="46"/>
    </row>
    <row r="6" spans="1:19" x14ac:dyDescent="0.25">
      <c r="A6" s="14">
        <v>1.3999999999999999E-2</v>
      </c>
      <c r="B6" s="14">
        <v>1.3999999999999999E-2</v>
      </c>
      <c r="C6" s="14">
        <v>2E-3</v>
      </c>
      <c r="E6" t="s">
        <v>153</v>
      </c>
      <c r="F6" s="26" cm="1">
        <f t="array" ref="F6">_xll.ModifiedParametricVaR(A2:A37,0.95)</f>
        <v>-4.6219230340278056E-2</v>
      </c>
      <c r="H6" t="s">
        <v>162</v>
      </c>
      <c r="I6" cm="1">
        <f t="array" ref="I6">_xll.NormalCdfInverse(1-I1,0,1)</f>
        <v>-1.6448536269514715</v>
      </c>
      <c r="L6">
        <v>0.05</v>
      </c>
      <c r="M6">
        <f t="shared" si="0"/>
        <v>-1.6448536269514726</v>
      </c>
      <c r="N6" cm="1">
        <f t="array" ref="N6">_xll.NormalCdfInverse(L6, 0, 1)</f>
        <v>-1.6448536269514726</v>
      </c>
      <c r="O6" t="b">
        <f t="shared" si="1"/>
        <v>1</v>
      </c>
    </row>
    <row r="7" spans="1:19" x14ac:dyDescent="0.25">
      <c r="A7" s="14">
        <v>2.4E-2</v>
      </c>
      <c r="B7" s="14">
        <v>2.3E-2</v>
      </c>
      <c r="C7" s="14">
        <v>2E-3</v>
      </c>
      <c r="L7">
        <v>6.0000000000000005E-2</v>
      </c>
      <c r="M7">
        <f t="shared" si="0"/>
        <v>-1.554773594596853</v>
      </c>
      <c r="N7" cm="1">
        <f t="array" ref="N7">_xll.NormalCdfInverse(L7, 0, 1)</f>
        <v>-1.554773594596853</v>
      </c>
      <c r="O7" t="b">
        <f t="shared" si="1"/>
        <v>1</v>
      </c>
    </row>
    <row r="8" spans="1:19" x14ac:dyDescent="0.25">
      <c r="A8" s="14">
        <v>1.4999999999999999E-2</v>
      </c>
      <c r="B8" s="14">
        <v>1.3999999999999999E-2</v>
      </c>
      <c r="C8" s="14">
        <v>2E-3</v>
      </c>
      <c r="E8" t="s">
        <v>163</v>
      </c>
      <c r="F8" s="14">
        <f>_xlfn.PERCENTILE.EXC(A2:A37,1-I1)</f>
        <v>-6.1449999999999991E-2</v>
      </c>
      <c r="L8">
        <v>7.0000000000000007E-2</v>
      </c>
      <c r="M8">
        <f t="shared" si="0"/>
        <v>-1.4757910281791702</v>
      </c>
      <c r="N8" cm="1">
        <f t="array" ref="N8">_xll.NormalCdfInverse(L8, 0, 1)</f>
        <v>-1.4757910281791702</v>
      </c>
      <c r="O8" t="b">
        <f t="shared" si="1"/>
        <v>1</v>
      </c>
    </row>
    <row r="9" spans="1:19" x14ac:dyDescent="0.25">
      <c r="A9" s="14">
        <v>6.6000000000000003E-2</v>
      </c>
      <c r="B9" s="14">
        <v>6.5000000000000002E-2</v>
      </c>
      <c r="C9" s="14">
        <v>3.0000000000000001E-3</v>
      </c>
      <c r="E9" t="s">
        <v>163</v>
      </c>
      <c r="F9" s="14" cm="1">
        <f t="array" ref="F9">_xll.HistoricalSimulationVaR(A2:A37,I1)</f>
        <v>-6.1449999999999991E-2</v>
      </c>
      <c r="L9">
        <v>0.08</v>
      </c>
      <c r="M9">
        <f t="shared" si="0"/>
        <v>-1.4050715603096353</v>
      </c>
      <c r="N9" cm="1">
        <f t="array" ref="N9">_xll.NormalCdfInverse(L9, 0, 1)</f>
        <v>-1.4050715603096322</v>
      </c>
      <c r="O9" t="b">
        <f t="shared" si="1"/>
        <v>1</v>
      </c>
    </row>
    <row r="10" spans="1:19" x14ac:dyDescent="0.25">
      <c r="A10" s="14">
        <v>-1.3999999999999999E-2</v>
      </c>
      <c r="B10" s="14">
        <v>-1.4999999999999999E-2</v>
      </c>
      <c r="C10" s="14">
        <v>3.0000000000000001E-3</v>
      </c>
      <c r="F10" s="17"/>
      <c r="L10">
        <v>0.09</v>
      </c>
      <c r="M10">
        <f t="shared" si="0"/>
        <v>-1.3407550336902161</v>
      </c>
      <c r="N10" cm="1">
        <f t="array" ref="N10">_xll.NormalCdfInverse(L10, 0, 1)</f>
        <v>-1.3407550336902165</v>
      </c>
      <c r="O10" t="b">
        <f t="shared" si="1"/>
        <v>1</v>
      </c>
    </row>
    <row r="11" spans="1:19" x14ac:dyDescent="0.25">
      <c r="A11" s="14">
        <v>3.9E-2</v>
      </c>
      <c r="B11" s="14">
        <v>4.2000000000000003E-2</v>
      </c>
      <c r="C11" s="14">
        <v>4.0000000000000001E-3</v>
      </c>
      <c r="F11" s="17"/>
      <c r="L11">
        <v>9.9999999999999992E-2</v>
      </c>
      <c r="M11">
        <f t="shared" si="0"/>
        <v>-1.2815515655446006</v>
      </c>
      <c r="N11" cm="1">
        <f t="array" ref="N11">_xll.NormalCdfInverse(L11, 0, 1)</f>
        <v>-1.2815515655446008</v>
      </c>
      <c r="O11" t="b">
        <f t="shared" si="1"/>
        <v>1</v>
      </c>
    </row>
    <row r="12" spans="1:19" x14ac:dyDescent="0.25">
      <c r="A12" s="14">
        <v>-5.0000000000000001E-3</v>
      </c>
      <c r="B12" s="14">
        <v>-3.0000000000000001E-3</v>
      </c>
      <c r="C12" s="14">
        <v>4.0000000000000001E-3</v>
      </c>
      <c r="L12">
        <v>0.10999999999999999</v>
      </c>
      <c r="M12">
        <f t="shared" si="0"/>
        <v>-1.2265281200366105</v>
      </c>
      <c r="N12" cm="1">
        <f t="array" ref="N12">_xll.NormalCdfInverse(L12, 0, 1)</f>
        <v>-1.2265281200366105</v>
      </c>
      <c r="O12" t="b">
        <f t="shared" si="1"/>
        <v>1</v>
      </c>
    </row>
    <row r="13" spans="1:19" x14ac:dyDescent="0.25">
      <c r="A13" s="14">
        <v>8.1000000000000003E-2</v>
      </c>
      <c r="B13" s="14">
        <v>8.3000000000000004E-2</v>
      </c>
      <c r="C13" s="14">
        <v>3.0000000000000001E-3</v>
      </c>
      <c r="L13">
        <v>0.11999999999999998</v>
      </c>
      <c r="M13">
        <f t="shared" si="0"/>
        <v>-1.1749867920660904</v>
      </c>
      <c r="N13" cm="1">
        <f t="array" ref="N13">_xll.NormalCdfInverse(L13, 0, 1)</f>
        <v>-1.1749867920660899</v>
      </c>
      <c r="O13" t="b">
        <f t="shared" si="1"/>
        <v>1</v>
      </c>
    </row>
    <row r="14" spans="1:19" x14ac:dyDescent="0.25">
      <c r="A14" s="14">
        <v>0.04</v>
      </c>
      <c r="B14" s="14">
        <v>3.9E-2</v>
      </c>
      <c r="C14" s="14">
        <v>3.0000000000000001E-3</v>
      </c>
      <c r="L14">
        <v>0.12999999999999998</v>
      </c>
      <c r="M14">
        <f t="shared" si="0"/>
        <v>-1.1263911290388013</v>
      </c>
      <c r="N14" cm="1">
        <f t="array" ref="N14">_xll.NormalCdfInverse(L14, 0, 1)</f>
        <v>-1.1263911290388005</v>
      </c>
      <c r="O14" t="b">
        <f t="shared" si="1"/>
        <v>1</v>
      </c>
    </row>
    <row r="15" spans="1:19" x14ac:dyDescent="0.25">
      <c r="A15" s="14">
        <v>-3.7000000000000005E-2</v>
      </c>
      <c r="B15" s="14">
        <v>-3.7999999999999999E-2</v>
      </c>
      <c r="C15" s="14">
        <v>3.0000000000000001E-3</v>
      </c>
      <c r="L15">
        <v>0.13999999999999999</v>
      </c>
      <c r="M15">
        <f t="shared" si="0"/>
        <v>-1.0803193408149565</v>
      </c>
      <c r="N15" cm="1">
        <f t="array" ref="N15">_xll.NormalCdfInverse(L15, 0, 1)</f>
        <v>-1.0803193408149561</v>
      </c>
      <c r="O15" t="b">
        <f t="shared" si="1"/>
        <v>1</v>
      </c>
    </row>
    <row r="16" spans="1:19" x14ac:dyDescent="0.25">
      <c r="A16" s="14">
        <v>-6.0999999999999999E-2</v>
      </c>
      <c r="B16" s="14">
        <v>-6.2E-2</v>
      </c>
      <c r="C16" s="14">
        <v>3.0000000000000001E-3</v>
      </c>
      <c r="L16">
        <v>0.15</v>
      </c>
      <c r="M16">
        <f t="shared" si="0"/>
        <v>-1.0364333894937898</v>
      </c>
      <c r="N16" cm="1">
        <f t="array" ref="N16">_xll.NormalCdfInverse(L16, 0, 1)</f>
        <v>-1.0364333894937894</v>
      </c>
      <c r="O16" t="b">
        <f t="shared" si="1"/>
        <v>1</v>
      </c>
    </row>
    <row r="17" spans="1:15" x14ac:dyDescent="0.25">
      <c r="A17" s="14">
        <v>1.3999999999999999E-2</v>
      </c>
      <c r="B17" s="14">
        <v>1.4999999999999999E-2</v>
      </c>
      <c r="C17" s="14">
        <v>4.0000000000000001E-3</v>
      </c>
      <c r="L17">
        <v>0.16</v>
      </c>
      <c r="M17">
        <f t="shared" si="0"/>
        <v>-0.9944578832097497</v>
      </c>
      <c r="N17" cm="1">
        <f t="array" ref="N17">_xll.NormalCdfInverse(L17, 0, 1)</f>
        <v>-0.99445788320975281</v>
      </c>
      <c r="O17" t="b">
        <f t="shared" si="1"/>
        <v>1</v>
      </c>
    </row>
    <row r="18" spans="1:15" x14ac:dyDescent="0.25">
      <c r="A18" s="14">
        <v>-4.9000000000000002E-2</v>
      </c>
      <c r="B18" s="14">
        <v>-4.8000000000000001E-2</v>
      </c>
      <c r="C18" s="14">
        <v>2E-3</v>
      </c>
      <c r="L18">
        <v>0.17</v>
      </c>
      <c r="M18">
        <f t="shared" si="0"/>
        <v>-0.95416525314619549</v>
      </c>
      <c r="N18" cm="1">
        <f t="array" ref="N18">_xll.NormalCdfInverse(L18, 0, 1)</f>
        <v>-0.95416525314619416</v>
      </c>
      <c r="O18" t="b">
        <f t="shared" si="1"/>
        <v>1</v>
      </c>
    </row>
    <row r="19" spans="1:15" x14ac:dyDescent="0.25">
      <c r="A19" s="14">
        <v>-2.1000000000000001E-2</v>
      </c>
      <c r="B19" s="14">
        <v>-0.02</v>
      </c>
      <c r="C19" s="14">
        <v>2E-3</v>
      </c>
      <c r="L19">
        <v>0.18000000000000002</v>
      </c>
      <c r="M19">
        <f t="shared" si="0"/>
        <v>-0.91536508784281256</v>
      </c>
      <c r="N19" cm="1">
        <f t="array" ref="N19">_xll.NormalCdfInverse(L19, 0, 1)</f>
        <v>-0.9153650878428139</v>
      </c>
      <c r="O19" t="b">
        <f t="shared" si="1"/>
        <v>1</v>
      </c>
    </row>
    <row r="20" spans="1:15" x14ac:dyDescent="0.25">
      <c r="A20" s="14">
        <v>6.2E-2</v>
      </c>
      <c r="B20" s="14">
        <v>0.06</v>
      </c>
      <c r="C20" s="14">
        <v>2E-3</v>
      </c>
      <c r="L20">
        <v>0.19000000000000003</v>
      </c>
      <c r="M20">
        <f t="shared" si="0"/>
        <v>-0.87789629505122779</v>
      </c>
      <c r="N20" cm="1">
        <f t="array" ref="N20">_xll.NormalCdfInverse(L20, 0, 1)</f>
        <v>-0.87789629505122824</v>
      </c>
      <c r="O20" t="b">
        <f t="shared" si="1"/>
        <v>1</v>
      </c>
    </row>
    <row r="21" spans="1:15" x14ac:dyDescent="0.25">
      <c r="A21" s="14">
        <v>5.7999999999999996E-2</v>
      </c>
      <c r="B21" s="14">
        <v>5.5999999999999994E-2</v>
      </c>
      <c r="C21" s="14">
        <v>1E-3</v>
      </c>
      <c r="L21">
        <v>0.20000000000000004</v>
      </c>
      <c r="M21">
        <f t="shared" si="0"/>
        <v>-0.84162123357291341</v>
      </c>
      <c r="N21" cm="1">
        <f t="array" ref="N21">_xll.NormalCdfInverse(L21, 0, 1)</f>
        <v>-0.84162123357291407</v>
      </c>
      <c r="O21" t="b">
        <f t="shared" si="1"/>
        <v>1</v>
      </c>
    </row>
    <row r="22" spans="1:15" x14ac:dyDescent="0.25">
      <c r="A22" s="14">
        <v>-6.4000000000000001E-2</v>
      </c>
      <c r="B22" s="14">
        <v>-6.7000000000000004E-2</v>
      </c>
      <c r="C22" s="14">
        <v>1E-3</v>
      </c>
      <c r="L22">
        <v>0.21000000000000005</v>
      </c>
      <c r="M22">
        <f t="shared" si="0"/>
        <v>-0.80642124701823992</v>
      </c>
      <c r="N22" cm="1">
        <f t="array" ref="N22">_xll.NormalCdfInverse(L22, 0, 1)</f>
        <v>-0.80642124701824003</v>
      </c>
      <c r="O22" t="b">
        <f t="shared" si="1"/>
        <v>1</v>
      </c>
    </row>
    <row r="23" spans="1:15" x14ac:dyDescent="0.25">
      <c r="A23" s="14">
        <v>1.7000000000000001E-2</v>
      </c>
      <c r="B23" s="14">
        <v>1.9E-2</v>
      </c>
      <c r="C23" s="14">
        <v>1E-3</v>
      </c>
      <c r="L23">
        <v>0.22000000000000006</v>
      </c>
      <c r="M23">
        <f t="shared" si="0"/>
        <v>-0.77219321418868436</v>
      </c>
      <c r="N23" cm="1">
        <f t="array" ref="N23">_xll.NormalCdfInverse(L23, 0, 1)</f>
        <v>-0.77219321418868447</v>
      </c>
      <c r="O23" t="b">
        <f t="shared" si="1"/>
        <v>1</v>
      </c>
    </row>
    <row r="24" spans="1:15" x14ac:dyDescent="0.25">
      <c r="A24" s="14">
        <v>-4.0000000000000001E-3</v>
      </c>
      <c r="B24" s="14">
        <v>-3.0000000000000001E-3</v>
      </c>
      <c r="C24" s="14">
        <v>1E-3</v>
      </c>
      <c r="L24">
        <v>0.23000000000000007</v>
      </c>
      <c r="M24">
        <f t="shared" si="0"/>
        <v>-0.73884684918521337</v>
      </c>
      <c r="N24" cm="1">
        <f t="array" ref="N24">_xll.NormalCdfInverse(L24, 0, 1)</f>
        <v>-0.73884684918521337</v>
      </c>
      <c r="O24" t="b">
        <f t="shared" si="1"/>
        <v>1</v>
      </c>
    </row>
    <row r="25" spans="1:15" x14ac:dyDescent="0.25">
      <c r="A25" s="14">
        <v>-2E-3</v>
      </c>
      <c r="B25" s="14">
        <v>-1E-3</v>
      </c>
      <c r="C25" s="14">
        <v>1E-3</v>
      </c>
      <c r="L25">
        <v>0.24000000000000007</v>
      </c>
      <c r="M25">
        <f t="shared" si="0"/>
        <v>-0.70630256284008697</v>
      </c>
      <c r="N25" cm="1">
        <f t="array" ref="N25">_xll.NormalCdfInverse(L25, 0, 1)</f>
        <v>-0.70630256284008708</v>
      </c>
      <c r="O25" t="b">
        <f t="shared" si="1"/>
        <v>1</v>
      </c>
    </row>
    <row r="26" spans="1:15" x14ac:dyDescent="0.25">
      <c r="A26" s="14">
        <v>-2.1000000000000001E-2</v>
      </c>
      <c r="B26" s="14">
        <v>-2.6000000000000002E-2</v>
      </c>
      <c r="C26" s="14">
        <v>1E-3</v>
      </c>
      <c r="L26">
        <v>0.25000000000000006</v>
      </c>
      <c r="M26">
        <f t="shared" si="0"/>
        <v>-0.67448975019608148</v>
      </c>
      <c r="N26" cm="1">
        <f t="array" ref="N26">_xll.NormalCdfInverse(L26, 0, 1)</f>
        <v>-0.67448975019608159</v>
      </c>
      <c r="O26" t="b">
        <f t="shared" si="1"/>
        <v>1</v>
      </c>
    </row>
    <row r="27" spans="1:15" x14ac:dyDescent="0.25">
      <c r="A27" s="14">
        <v>1.1000000000000001E-2</v>
      </c>
      <c r="B27" s="14">
        <v>6.9999999999999993E-3</v>
      </c>
      <c r="C27" s="14">
        <v>1E-3</v>
      </c>
      <c r="L27">
        <v>0.26000000000000006</v>
      </c>
      <c r="M27">
        <f t="shared" si="0"/>
        <v>-0.64334540539291729</v>
      </c>
      <c r="N27" cm="1">
        <f t="array" ref="N27">_xll.NormalCdfInverse(L27, 0, 1)</f>
        <v>-0.64334540539291662</v>
      </c>
      <c r="O27" t="b">
        <f t="shared" si="1"/>
        <v>1</v>
      </c>
    </row>
    <row r="28" spans="1:15" x14ac:dyDescent="0.25">
      <c r="A28" s="14">
        <v>4.7E-2</v>
      </c>
      <c r="B28" s="14">
        <v>4.2999999999999997E-2</v>
      </c>
      <c r="C28" s="14">
        <v>1E-3</v>
      </c>
      <c r="L28">
        <v>0.27000000000000007</v>
      </c>
      <c r="M28">
        <f t="shared" si="0"/>
        <v>-0.61281299101662701</v>
      </c>
      <c r="N28" cm="1">
        <f t="array" ref="N28">_xll.NormalCdfInverse(L28, 0, 1)</f>
        <v>-0.6128129910166269</v>
      </c>
      <c r="O28" t="b">
        <f t="shared" si="1"/>
        <v>1</v>
      </c>
    </row>
    <row r="29" spans="1:15" x14ac:dyDescent="0.25">
      <c r="A29" s="14">
        <v>2.4E-2</v>
      </c>
      <c r="B29" s="14">
        <v>2.8999999999999998E-2</v>
      </c>
      <c r="C29" s="14">
        <v>1E-3</v>
      </c>
      <c r="L29">
        <v>0.28000000000000008</v>
      </c>
      <c r="M29">
        <f t="shared" si="0"/>
        <v>-0.5828415072712162</v>
      </c>
      <c r="N29" cm="1">
        <f t="array" ref="N29">_xll.NormalCdfInverse(L29, 0, 1)</f>
        <v>-0.58284150727121598</v>
      </c>
      <c r="O29" t="b">
        <f t="shared" si="1"/>
        <v>1</v>
      </c>
    </row>
    <row r="30" spans="1:15" x14ac:dyDescent="0.25">
      <c r="A30" s="14">
        <v>3.3000000000000002E-2</v>
      </c>
      <c r="B30" s="14">
        <v>3.7999999999999999E-2</v>
      </c>
      <c r="C30" s="14">
        <v>1E-3</v>
      </c>
      <c r="L30">
        <v>0.29000000000000009</v>
      </c>
      <c r="M30">
        <f t="shared" si="0"/>
        <v>-0.55338471955567248</v>
      </c>
      <c r="N30" cm="1">
        <f t="array" ref="N30">_xll.NormalCdfInverse(L30, 0, 1)</f>
        <v>-0.55338471955567248</v>
      </c>
      <c r="O30" t="b">
        <f t="shared" si="1"/>
        <v>1</v>
      </c>
    </row>
    <row r="31" spans="1:15" x14ac:dyDescent="0.25">
      <c r="A31" s="14">
        <v>-6.9999999999999993E-3</v>
      </c>
      <c r="B31" s="14">
        <v>-2E-3</v>
      </c>
      <c r="C31" s="14">
        <v>2E-3</v>
      </c>
      <c r="L31">
        <v>0.3000000000000001</v>
      </c>
      <c r="M31">
        <f t="shared" si="0"/>
        <v>-0.52440051270804067</v>
      </c>
      <c r="N31" cm="1">
        <f t="array" ref="N31">_xll.NormalCdfInverse(L31, 0, 1)</f>
        <v>-0.52440051270804056</v>
      </c>
      <c r="O31" t="b">
        <f t="shared" si="1"/>
        <v>1</v>
      </c>
    </row>
    <row r="32" spans="1:15" x14ac:dyDescent="0.25">
      <c r="A32" s="14">
        <v>4.7E-2</v>
      </c>
      <c r="B32" s="14">
        <v>5.0999999999999997E-2</v>
      </c>
      <c r="C32" s="14">
        <v>2E-3</v>
      </c>
      <c r="L32">
        <v>0.31000000000000011</v>
      </c>
      <c r="M32">
        <f t="shared" si="0"/>
        <v>-0.49585034734745309</v>
      </c>
      <c r="N32" cm="1">
        <f t="array" ref="N32">_xll.NormalCdfInverse(L32, 0, 1)</f>
        <v>-0.49585034734745309</v>
      </c>
      <c r="O32" t="b">
        <f t="shared" si="1"/>
        <v>1</v>
      </c>
    </row>
    <row r="33" spans="1:15" x14ac:dyDescent="0.25">
      <c r="A33" s="14">
        <v>6.0000000000000001E-3</v>
      </c>
      <c r="B33" s="14">
        <v>1.3999999999999999E-2</v>
      </c>
      <c r="C33" s="14">
        <v>2E-3</v>
      </c>
      <c r="L33">
        <v>0.32000000000000012</v>
      </c>
      <c r="M33">
        <f t="shared" si="0"/>
        <v>-0.46769879911450801</v>
      </c>
      <c r="N33" cm="1">
        <f t="array" ref="N33">_xll.NormalCdfInverse(L33, 0, 1)</f>
        <v>-0.4676987991145079</v>
      </c>
      <c r="O33" t="b">
        <f t="shared" si="1"/>
        <v>1</v>
      </c>
    </row>
    <row r="34" spans="1:15" x14ac:dyDescent="0.25">
      <c r="A34" s="14">
        <v>0.01</v>
      </c>
      <c r="B34" s="14">
        <v>1.3000000000000001E-2</v>
      </c>
      <c r="C34" s="14">
        <v>2E-3</v>
      </c>
      <c r="L34">
        <v>0.33000000000000013</v>
      </c>
      <c r="M34">
        <f t="shared" si="0"/>
        <v>-0.43991316567323352</v>
      </c>
      <c r="N34" cm="1">
        <f t="array" ref="N34">_xll.NormalCdfInverse(L34, 0, 1)</f>
        <v>-0.43991316567323341</v>
      </c>
      <c r="O34" t="b">
        <f t="shared" si="1"/>
        <v>1</v>
      </c>
    </row>
    <row r="35" spans="1:15" x14ac:dyDescent="0.25">
      <c r="A35" s="14">
        <v>-2E-3</v>
      </c>
      <c r="B35" s="14">
        <v>3.0000000000000001E-3</v>
      </c>
      <c r="C35" s="14">
        <v>2E-3</v>
      </c>
      <c r="L35">
        <v>0.34000000000000014</v>
      </c>
      <c r="M35">
        <f t="shared" si="0"/>
        <v>-0.41246312944140451</v>
      </c>
      <c r="N35" cm="1">
        <f t="array" ref="N35">_xll.NormalCdfInverse(L35, 0, 1)</f>
        <v>-0.41246312944140429</v>
      </c>
      <c r="O35" t="b">
        <f t="shared" si="1"/>
        <v>1</v>
      </c>
    </row>
    <row r="36" spans="1:15" x14ac:dyDescent="0.25">
      <c r="A36" s="14">
        <v>3.4000000000000002E-2</v>
      </c>
      <c r="B36" s="14">
        <v>3.4000000000000002E-2</v>
      </c>
      <c r="C36" s="14">
        <v>2E-3</v>
      </c>
      <c r="L36">
        <v>0.35000000000000014</v>
      </c>
      <c r="M36">
        <f t="shared" si="0"/>
        <v>-0.38532046640756729</v>
      </c>
      <c r="N36" cm="1">
        <f t="array" ref="N36">_xll.NormalCdfInverse(L36, 0, 1)</f>
        <v>-0.38532046640756717</v>
      </c>
      <c r="O36" t="b">
        <f t="shared" si="1"/>
        <v>1</v>
      </c>
    </row>
    <row r="37" spans="1:15" x14ac:dyDescent="0.25">
      <c r="A37" s="14">
        <v>0.01</v>
      </c>
      <c r="B37" s="14">
        <v>2.1000000000000001E-2</v>
      </c>
      <c r="C37" s="14">
        <v>2E-3</v>
      </c>
      <c r="L37">
        <v>0.36000000000000015</v>
      </c>
      <c r="M37">
        <f t="shared" si="0"/>
        <v>-0.35845879325119329</v>
      </c>
      <c r="N37" cm="1">
        <f t="array" ref="N37">_xll.NormalCdfInverse(L37, 0, 1)</f>
        <v>-0.35845879325119323</v>
      </c>
      <c r="O37" t="b">
        <f t="shared" si="1"/>
        <v>1</v>
      </c>
    </row>
    <row r="38" spans="1:15" x14ac:dyDescent="0.25">
      <c r="L38">
        <v>0.37000000000000016</v>
      </c>
      <c r="M38">
        <f t="shared" si="0"/>
        <v>-0.33185334643681624</v>
      </c>
      <c r="N38" cm="1">
        <f t="array" ref="N38">_xll.NormalCdfInverse(L38, 0, 1)</f>
        <v>-0.33185334643681613</v>
      </c>
      <c r="O38" t="b">
        <f t="shared" si="1"/>
        <v>1</v>
      </c>
    </row>
    <row r="39" spans="1:15" x14ac:dyDescent="0.25">
      <c r="L39">
        <v>0.38000000000000017</v>
      </c>
      <c r="M39">
        <f t="shared" si="0"/>
        <v>-0.30548078809939694</v>
      </c>
      <c r="N39" cm="1">
        <f t="array" ref="N39">_xll.NormalCdfInverse(L39, 0, 1)</f>
        <v>-0.30548078809939688</v>
      </c>
      <c r="O39" t="b">
        <f t="shared" si="1"/>
        <v>1</v>
      </c>
    </row>
    <row r="40" spans="1:15" x14ac:dyDescent="0.25">
      <c r="L40">
        <v>0.39000000000000018</v>
      </c>
      <c r="M40">
        <f t="shared" si="0"/>
        <v>-0.27931903444745371</v>
      </c>
      <c r="N40" cm="1">
        <f t="array" ref="N40">_xll.NormalCdfInverse(L40, 0, 1)</f>
        <v>-0.27931903444745371</v>
      </c>
      <c r="O40" t="b">
        <f t="shared" si="1"/>
        <v>1</v>
      </c>
    </row>
    <row r="41" spans="1:15" x14ac:dyDescent="0.25">
      <c r="L41">
        <v>0.40000000000000019</v>
      </c>
      <c r="M41">
        <f t="shared" si="0"/>
        <v>-0.25334710313579939</v>
      </c>
      <c r="N41" cm="1">
        <f t="array" ref="N41">_xll.NormalCdfInverse(L41, 0, 1)</f>
        <v>-0.25334710313579939</v>
      </c>
      <c r="O41" t="b">
        <f t="shared" si="1"/>
        <v>1</v>
      </c>
    </row>
    <row r="42" spans="1:15" x14ac:dyDescent="0.25">
      <c r="L42">
        <v>0.4100000000000002</v>
      </c>
      <c r="M42">
        <f t="shared" si="0"/>
        <v>-0.22754497664114895</v>
      </c>
      <c r="N42" cm="1">
        <f t="array" ref="N42">_xll.NormalCdfInverse(L42, 0, 1)</f>
        <v>-0.22754497664114892</v>
      </c>
      <c r="O42" t="b">
        <f t="shared" si="1"/>
        <v>1</v>
      </c>
    </row>
    <row r="43" spans="1:15" x14ac:dyDescent="0.25">
      <c r="L43">
        <v>0.42000000000000021</v>
      </c>
      <c r="M43">
        <f t="shared" si="0"/>
        <v>-0.20189347914185035</v>
      </c>
      <c r="N43" cm="1">
        <f t="array" ref="N43">_xll.NormalCdfInverse(L43, 0, 1)</f>
        <v>-0.2018934791418503</v>
      </c>
      <c r="O43" t="b">
        <f t="shared" si="1"/>
        <v>1</v>
      </c>
    </row>
    <row r="44" spans="1:15" x14ac:dyDescent="0.25">
      <c r="L44">
        <v>0.43000000000000022</v>
      </c>
      <c r="M44">
        <f t="shared" si="0"/>
        <v>-0.17637416478086079</v>
      </c>
      <c r="N44" cm="1">
        <f t="array" ref="N44">_xll.NormalCdfInverse(L44, 0, 1)</f>
        <v>-0.17637416478086074</v>
      </c>
      <c r="O44" t="b">
        <f t="shared" si="1"/>
        <v>1</v>
      </c>
    </row>
    <row r="45" spans="1:15" x14ac:dyDescent="0.25">
      <c r="L45">
        <v>0.44000000000000022</v>
      </c>
      <c r="M45">
        <f t="shared" si="0"/>
        <v>-0.15096921549677669</v>
      </c>
      <c r="N45" cm="1">
        <f t="array" ref="N45">_xll.NormalCdfInverse(L45, 0, 1)</f>
        <v>-0.15096921549677672</v>
      </c>
      <c r="O45" t="b">
        <f t="shared" si="1"/>
        <v>1</v>
      </c>
    </row>
    <row r="46" spans="1:15" x14ac:dyDescent="0.25">
      <c r="L46">
        <v>0.45000000000000023</v>
      </c>
      <c r="M46">
        <f t="shared" si="0"/>
        <v>-0.12566134685507346</v>
      </c>
      <c r="N46" cm="1">
        <f t="array" ref="N46">_xll.NormalCdfInverse(L46, 0, 1)</f>
        <v>-0.12566134685507346</v>
      </c>
      <c r="O46" t="b">
        <f t="shared" si="1"/>
        <v>1</v>
      </c>
    </row>
    <row r="47" spans="1:15" x14ac:dyDescent="0.25">
      <c r="L47">
        <v>0.46000000000000024</v>
      </c>
      <c r="M47">
        <f t="shared" si="0"/>
        <v>-0.10043372051146918</v>
      </c>
      <c r="N47" cm="1">
        <f t="array" ref="N47">_xll.NormalCdfInverse(L47, 0, 1)</f>
        <v>-0.10043372051146919</v>
      </c>
      <c r="O47" t="b">
        <f t="shared" si="1"/>
        <v>1</v>
      </c>
    </row>
    <row r="48" spans="1:15" x14ac:dyDescent="0.25">
      <c r="L48">
        <v>0.47000000000000025</v>
      </c>
      <c r="M48">
        <f t="shared" si="0"/>
        <v>-7.5269862099829207E-2</v>
      </c>
      <c r="N48" cm="1">
        <f t="array" ref="N48">_xll.NormalCdfInverse(L48, 0, 1)</f>
        <v>-7.5269862099829193E-2</v>
      </c>
      <c r="O48" t="b">
        <f t="shared" si="1"/>
        <v>1</v>
      </c>
    </row>
    <row r="49" spans="12:15" x14ac:dyDescent="0.25">
      <c r="L49">
        <v>0.48000000000000026</v>
      </c>
      <c r="M49">
        <f t="shared" si="0"/>
        <v>-5.0153583464732969E-2</v>
      </c>
      <c r="N49" cm="1">
        <f t="array" ref="N49">_xll.NormalCdfInverse(L49, 0, 1)</f>
        <v>-5.0153583464732969E-2</v>
      </c>
      <c r="O49" t="b">
        <f t="shared" si="1"/>
        <v>1</v>
      </c>
    </row>
    <row r="50" spans="12:15" x14ac:dyDescent="0.25">
      <c r="L50">
        <v>0.49000000000000027</v>
      </c>
      <c r="M50">
        <f t="shared" si="0"/>
        <v>-2.5068908258710363E-2</v>
      </c>
      <c r="N50" cm="1">
        <f t="array" ref="N50">_xll.NormalCdfInverse(L50, 0, 1)</f>
        <v>-2.5068908258710363E-2</v>
      </c>
      <c r="O50" t="b">
        <f t="shared" si="1"/>
        <v>1</v>
      </c>
    </row>
    <row r="51" spans="12:15" x14ac:dyDescent="0.25">
      <c r="L51">
        <v>0.50000000000000022</v>
      </c>
      <c r="M51">
        <f t="shared" si="0"/>
        <v>5.5658328493435343E-16</v>
      </c>
      <c r="N51" cm="1">
        <f t="array" ref="N51">_xll.NormalCdfInverse(L51, 0, 1)</f>
        <v>5.5658328493435352E-16</v>
      </c>
      <c r="O51" t="b">
        <f t="shared" si="1"/>
        <v>1</v>
      </c>
    </row>
    <row r="52" spans="12:15" x14ac:dyDescent="0.25">
      <c r="L52">
        <v>0.51000000000000023</v>
      </c>
      <c r="M52">
        <f t="shared" si="0"/>
        <v>2.5068908258711619E-2</v>
      </c>
      <c r="N52" cm="1">
        <f t="array" ref="N52">_xll.NormalCdfInverse(L52, 0, 1)</f>
        <v>2.5068908258711626E-2</v>
      </c>
      <c r="O52" t="b">
        <f t="shared" si="1"/>
        <v>1</v>
      </c>
    </row>
    <row r="53" spans="12:15" x14ac:dyDescent="0.25">
      <c r="L53">
        <v>0.52000000000000024</v>
      </c>
      <c r="M53">
        <f t="shared" si="0"/>
        <v>5.0153583464734218E-2</v>
      </c>
      <c r="N53" cm="1">
        <f t="array" ref="N53">_xll.NormalCdfInverse(L53, 0, 1)</f>
        <v>5.0153583464734218E-2</v>
      </c>
      <c r="O53" t="b">
        <f t="shared" si="1"/>
        <v>1</v>
      </c>
    </row>
    <row r="54" spans="12:15" x14ac:dyDescent="0.25">
      <c r="L54">
        <v>0.53000000000000025</v>
      </c>
      <c r="M54">
        <f t="shared" si="0"/>
        <v>7.5269862099830456E-2</v>
      </c>
      <c r="N54" cm="1">
        <f t="array" ref="N54">_xll.NormalCdfInverse(L54, 0, 1)</f>
        <v>7.5269862099830456E-2</v>
      </c>
      <c r="O54" t="b">
        <f t="shared" si="1"/>
        <v>1</v>
      </c>
    </row>
    <row r="55" spans="12:15" x14ac:dyDescent="0.25">
      <c r="L55">
        <v>0.54000000000000026</v>
      </c>
      <c r="M55">
        <f t="shared" si="0"/>
        <v>0.10043372051147045</v>
      </c>
      <c r="N55" cm="1">
        <f t="array" ref="N55">_xll.NormalCdfInverse(L55, 0, 1)</f>
        <v>0.10043372051147047</v>
      </c>
      <c r="O55" t="b">
        <f t="shared" si="1"/>
        <v>1</v>
      </c>
    </row>
    <row r="56" spans="12:15" x14ac:dyDescent="0.25">
      <c r="L56">
        <v>0.55000000000000027</v>
      </c>
      <c r="M56">
        <f t="shared" si="0"/>
        <v>0.12566134685507474</v>
      </c>
      <c r="N56" cm="1">
        <f t="array" ref="N56">_xll.NormalCdfInverse(L56, 0, 1)</f>
        <v>0.12566134685507468</v>
      </c>
      <c r="O56" t="b">
        <f t="shared" si="1"/>
        <v>1</v>
      </c>
    </row>
    <row r="57" spans="12:15" x14ac:dyDescent="0.25">
      <c r="L57">
        <v>0.56000000000000028</v>
      </c>
      <c r="M57">
        <f t="shared" si="0"/>
        <v>0.15096921549677797</v>
      </c>
      <c r="N57" cm="1">
        <f t="array" ref="N57">_xll.NormalCdfInverse(L57, 0, 1)</f>
        <v>0.15096921549677794</v>
      </c>
      <c r="O57" t="b">
        <f t="shared" si="1"/>
        <v>1</v>
      </c>
    </row>
    <row r="58" spans="12:15" x14ac:dyDescent="0.25">
      <c r="L58">
        <v>0.57000000000000028</v>
      </c>
      <c r="M58">
        <f t="shared" si="0"/>
        <v>0.17637416478086207</v>
      </c>
      <c r="N58" cm="1">
        <f t="array" ref="N58">_xll.NormalCdfInverse(L58, 0, 1)</f>
        <v>0.17637416478086201</v>
      </c>
      <c r="O58" t="b">
        <f t="shared" si="1"/>
        <v>1</v>
      </c>
    </row>
    <row r="59" spans="12:15" x14ac:dyDescent="0.25">
      <c r="L59">
        <v>0.58000000000000029</v>
      </c>
      <c r="M59">
        <f t="shared" si="0"/>
        <v>0.20189347914185163</v>
      </c>
      <c r="N59" cm="1">
        <f t="array" ref="N59">_xll.NormalCdfInverse(L59, 0, 1)</f>
        <v>0.20189347914185155</v>
      </c>
      <c r="O59" t="b">
        <f t="shared" si="1"/>
        <v>1</v>
      </c>
    </row>
    <row r="60" spans="12:15" x14ac:dyDescent="0.25">
      <c r="L60">
        <v>0.5900000000000003</v>
      </c>
      <c r="M60">
        <f t="shared" si="0"/>
        <v>0.22754497664115017</v>
      </c>
      <c r="N60" cm="1">
        <f t="array" ref="N60">_xll.NormalCdfInverse(L60, 0, 1)</f>
        <v>0.22754497664115017</v>
      </c>
      <c r="O60" t="b">
        <f t="shared" si="1"/>
        <v>1</v>
      </c>
    </row>
    <row r="61" spans="12:15" x14ac:dyDescent="0.25">
      <c r="L61">
        <v>0.60000000000000031</v>
      </c>
      <c r="M61">
        <f t="shared" si="0"/>
        <v>0.25334710313580061</v>
      </c>
      <c r="N61" cm="1">
        <f t="array" ref="N61">_xll.NormalCdfInverse(L61, 0, 1)</f>
        <v>0.25334710313580061</v>
      </c>
      <c r="O61" t="b">
        <f t="shared" si="1"/>
        <v>1</v>
      </c>
    </row>
    <row r="62" spans="12:15" x14ac:dyDescent="0.25">
      <c r="L62">
        <v>0.61000000000000032</v>
      </c>
      <c r="M62">
        <f t="shared" si="0"/>
        <v>0.27931903444745504</v>
      </c>
      <c r="N62" cm="1">
        <f t="array" ref="N62">_xll.NormalCdfInverse(L62, 0, 1)</f>
        <v>0.27931903444745504</v>
      </c>
      <c r="O62" t="b">
        <f t="shared" si="1"/>
        <v>1</v>
      </c>
    </row>
    <row r="63" spans="12:15" x14ac:dyDescent="0.25">
      <c r="L63">
        <v>0.62000000000000033</v>
      </c>
      <c r="M63">
        <f t="shared" si="0"/>
        <v>0.30548078809939821</v>
      </c>
      <c r="N63" cm="1">
        <f t="array" ref="N63">_xll.NormalCdfInverse(L63, 0, 1)</f>
        <v>0.30548078809939821</v>
      </c>
      <c r="O63" t="b">
        <f t="shared" si="1"/>
        <v>1</v>
      </c>
    </row>
    <row r="64" spans="12:15" x14ac:dyDescent="0.25">
      <c r="L64">
        <v>0.63000000000000034</v>
      </c>
      <c r="M64">
        <f t="shared" si="0"/>
        <v>0.33185334643681752</v>
      </c>
      <c r="N64" cm="1">
        <f t="array" ref="N64">_xll.NormalCdfInverse(L64, 0, 1)</f>
        <v>0.33185334643681741</v>
      </c>
      <c r="O64" t="b">
        <f t="shared" si="1"/>
        <v>1</v>
      </c>
    </row>
    <row r="65" spans="12:15" x14ac:dyDescent="0.25">
      <c r="L65">
        <v>0.64000000000000035</v>
      </c>
      <c r="M65">
        <f t="shared" si="0"/>
        <v>0.35845879325119467</v>
      </c>
      <c r="N65" cm="1">
        <f t="array" ref="N65">_xll.NormalCdfInverse(L65, 0, 1)</f>
        <v>0.35845879325119473</v>
      </c>
      <c r="O65" t="b">
        <f t="shared" si="1"/>
        <v>1</v>
      </c>
    </row>
    <row r="66" spans="12:15" x14ac:dyDescent="0.25">
      <c r="L66">
        <v>0.65000000000000036</v>
      </c>
      <c r="M66">
        <f t="shared" si="0"/>
        <v>0.38532046640756862</v>
      </c>
      <c r="N66" cm="1">
        <f t="array" ref="N66">_xll.NormalCdfInverse(L66, 0, 1)</f>
        <v>0.38532046640756856</v>
      </c>
      <c r="O66" t="b">
        <f t="shared" si="1"/>
        <v>1</v>
      </c>
    </row>
    <row r="67" spans="12:15" x14ac:dyDescent="0.25">
      <c r="L67">
        <v>0.66000000000000036</v>
      </c>
      <c r="M67">
        <f t="shared" ref="M67:M101" si="2">_xlfn.NORM.S.INV(L67)</f>
        <v>0.41246312944140584</v>
      </c>
      <c r="N67" cm="1">
        <f t="array" ref="N67">_xll.NormalCdfInverse(L67, 0, 1)</f>
        <v>0.41246312944140578</v>
      </c>
      <c r="O67" t="b">
        <f t="shared" ref="O67:O101" si="3">ABS(M67-N67)&lt;$Q$2</f>
        <v>1</v>
      </c>
    </row>
    <row r="68" spans="12:15" x14ac:dyDescent="0.25">
      <c r="L68">
        <v>0.67000000000000037</v>
      </c>
      <c r="M68">
        <f t="shared" si="2"/>
        <v>0.43991316567323491</v>
      </c>
      <c r="N68" cm="1">
        <f t="array" ref="N68">_xll.NormalCdfInverse(L68, 0, 1)</f>
        <v>0.4399131656732348</v>
      </c>
      <c r="O68" t="b">
        <f t="shared" si="3"/>
        <v>1</v>
      </c>
    </row>
    <row r="69" spans="12:15" x14ac:dyDescent="0.25">
      <c r="L69">
        <v>0.68000000000000038</v>
      </c>
      <c r="M69">
        <f t="shared" si="2"/>
        <v>0.46769879911450934</v>
      </c>
      <c r="N69" cm="1">
        <f t="array" ref="N69">_xll.NormalCdfInverse(L69, 0, 1)</f>
        <v>0.46769879911450923</v>
      </c>
      <c r="O69" t="b">
        <f t="shared" si="3"/>
        <v>1</v>
      </c>
    </row>
    <row r="70" spans="12:15" x14ac:dyDescent="0.25">
      <c r="L70">
        <v>0.69000000000000039</v>
      </c>
      <c r="M70">
        <f t="shared" si="2"/>
        <v>0.49585034734745448</v>
      </c>
      <c r="N70" cm="1">
        <f t="array" ref="N70">_xll.NormalCdfInverse(L70, 0, 1)</f>
        <v>0.49585034734745442</v>
      </c>
      <c r="O70" t="b">
        <f t="shared" si="3"/>
        <v>1</v>
      </c>
    </row>
    <row r="71" spans="12:15" x14ac:dyDescent="0.25">
      <c r="L71">
        <v>0.7000000000000004</v>
      </c>
      <c r="M71">
        <f t="shared" si="2"/>
        <v>0.524400512708042</v>
      </c>
      <c r="N71" cm="1">
        <f t="array" ref="N71">_xll.NormalCdfInverse(L71, 0, 1)</f>
        <v>0.52440051270804189</v>
      </c>
      <c r="O71" t="b">
        <f t="shared" si="3"/>
        <v>1</v>
      </c>
    </row>
    <row r="72" spans="12:15" x14ac:dyDescent="0.25">
      <c r="L72">
        <v>0.71000000000000041</v>
      </c>
      <c r="M72">
        <f t="shared" si="2"/>
        <v>0.55338471955567414</v>
      </c>
      <c r="N72" cm="1">
        <f t="array" ref="N72">_xll.NormalCdfInverse(L72, 0, 1)</f>
        <v>0.55338471955567392</v>
      </c>
      <c r="O72" t="b">
        <f t="shared" si="3"/>
        <v>1</v>
      </c>
    </row>
    <row r="73" spans="12:15" x14ac:dyDescent="0.25">
      <c r="L73">
        <v>0.72000000000000042</v>
      </c>
      <c r="M73">
        <f t="shared" si="2"/>
        <v>0.58284150727121742</v>
      </c>
      <c r="N73" cm="1">
        <f t="array" ref="N73">_xll.NormalCdfInverse(L73, 0, 1)</f>
        <v>0.58284150727121753</v>
      </c>
      <c r="O73" t="b">
        <f t="shared" si="3"/>
        <v>1</v>
      </c>
    </row>
    <row r="74" spans="12:15" x14ac:dyDescent="0.25">
      <c r="L74">
        <v>0.73000000000000043</v>
      </c>
      <c r="M74">
        <f t="shared" si="2"/>
        <v>0.61281299101662867</v>
      </c>
      <c r="N74" cm="1">
        <f t="array" ref="N74">_xll.NormalCdfInverse(L74, 0, 1)</f>
        <v>0.61281299101662856</v>
      </c>
      <c r="O74" t="b">
        <f t="shared" si="3"/>
        <v>1</v>
      </c>
    </row>
    <row r="75" spans="12:15" x14ac:dyDescent="0.25">
      <c r="L75">
        <v>0.74000000000000044</v>
      </c>
      <c r="M75">
        <f t="shared" si="2"/>
        <v>0.6433454053929184</v>
      </c>
      <c r="N75" cm="1">
        <f t="array" ref="N75">_xll.NormalCdfInverse(L75, 0, 1)</f>
        <v>0.6433454053929184</v>
      </c>
      <c r="O75" t="b">
        <f t="shared" si="3"/>
        <v>1</v>
      </c>
    </row>
    <row r="76" spans="12:15" x14ac:dyDescent="0.25">
      <c r="L76">
        <v>0.75000000000000044</v>
      </c>
      <c r="M76">
        <f t="shared" si="2"/>
        <v>0.67448975019608293</v>
      </c>
      <c r="N76" cm="1">
        <f t="array" ref="N76">_xll.NormalCdfInverse(L76, 0, 1)</f>
        <v>0.67448975019608326</v>
      </c>
      <c r="O76" t="b">
        <f t="shared" si="3"/>
        <v>1</v>
      </c>
    </row>
    <row r="77" spans="12:15" x14ac:dyDescent="0.25">
      <c r="L77">
        <v>0.76000000000000045</v>
      </c>
      <c r="M77">
        <f t="shared" si="2"/>
        <v>0.70630256284008885</v>
      </c>
      <c r="N77" cm="1">
        <f t="array" ref="N77">_xll.NormalCdfInverse(L77, 0, 1)</f>
        <v>0.70630256284008874</v>
      </c>
      <c r="O77" t="b">
        <f t="shared" si="3"/>
        <v>1</v>
      </c>
    </row>
    <row r="78" spans="12:15" x14ac:dyDescent="0.25">
      <c r="L78">
        <v>0.77000000000000046</v>
      </c>
      <c r="M78">
        <f t="shared" si="2"/>
        <v>0.73884684918521504</v>
      </c>
      <c r="N78" cm="1">
        <f t="array" ref="N78">_xll.NormalCdfInverse(L78, 0, 1)</f>
        <v>0.73884684918521515</v>
      </c>
      <c r="O78" t="b">
        <f t="shared" si="3"/>
        <v>1</v>
      </c>
    </row>
    <row r="79" spans="12:15" x14ac:dyDescent="0.25">
      <c r="L79">
        <v>0.78000000000000047</v>
      </c>
      <c r="M79">
        <f t="shared" si="2"/>
        <v>0.77219321418868658</v>
      </c>
      <c r="N79" cm="1">
        <f t="array" ref="N79">_xll.NormalCdfInverse(L79, 0, 1)</f>
        <v>0.77219321418868636</v>
      </c>
      <c r="O79" t="b">
        <f t="shared" si="3"/>
        <v>1</v>
      </c>
    </row>
    <row r="80" spans="12:15" x14ac:dyDescent="0.25">
      <c r="L80">
        <v>0.79000000000000048</v>
      </c>
      <c r="M80">
        <f t="shared" si="2"/>
        <v>0.80642124701824136</v>
      </c>
      <c r="N80" cm="1">
        <f t="array" ref="N80">_xll.NormalCdfInverse(L80, 0, 1)</f>
        <v>0.80642124701824203</v>
      </c>
      <c r="O80" t="b">
        <f t="shared" si="3"/>
        <v>1</v>
      </c>
    </row>
    <row r="81" spans="12:15" x14ac:dyDescent="0.25">
      <c r="L81">
        <v>0.80000000000000049</v>
      </c>
      <c r="M81">
        <f t="shared" si="2"/>
        <v>0.84162123357291596</v>
      </c>
      <c r="N81" cm="1">
        <f t="array" ref="N81">_xll.NormalCdfInverse(L81, 0, 1)</f>
        <v>0.84162123357291574</v>
      </c>
      <c r="O81" t="b">
        <f t="shared" si="3"/>
        <v>1</v>
      </c>
    </row>
    <row r="82" spans="12:15" x14ac:dyDescent="0.25">
      <c r="L82">
        <v>0.8100000000000005</v>
      </c>
      <c r="M82">
        <f t="shared" si="2"/>
        <v>0.87789629505123112</v>
      </c>
      <c r="N82" cm="1">
        <f t="array" ref="N82">_xll.NormalCdfInverse(L82, 0, 1)</f>
        <v>0.87789629505123046</v>
      </c>
      <c r="O82" t="b">
        <f t="shared" si="3"/>
        <v>1</v>
      </c>
    </row>
    <row r="83" spans="12:15" x14ac:dyDescent="0.25">
      <c r="L83">
        <v>0.82000000000000051</v>
      </c>
      <c r="M83">
        <f t="shared" si="2"/>
        <v>0.91536508784281501</v>
      </c>
      <c r="N83" cm="1">
        <f t="array" ref="N83">_xll.NormalCdfInverse(L83, 0, 1)</f>
        <v>0.91536508784281601</v>
      </c>
      <c r="O83" t="b">
        <f t="shared" si="3"/>
        <v>1</v>
      </c>
    </row>
    <row r="84" spans="12:15" x14ac:dyDescent="0.25">
      <c r="L84">
        <v>0.83000000000000052</v>
      </c>
      <c r="M84">
        <f t="shared" si="2"/>
        <v>0.95416525314619716</v>
      </c>
      <c r="N84" cm="1">
        <f t="array" ref="N84">_xll.NormalCdfInverse(L84, 0, 1)</f>
        <v>0.95416525314619638</v>
      </c>
      <c r="O84" t="b">
        <f t="shared" si="3"/>
        <v>1</v>
      </c>
    </row>
    <row r="85" spans="12:15" x14ac:dyDescent="0.25">
      <c r="L85">
        <v>0.84000000000000052</v>
      </c>
      <c r="M85">
        <f t="shared" si="2"/>
        <v>0.99445788320975514</v>
      </c>
      <c r="N85" cm="1">
        <f t="array" ref="N85">_xll.NormalCdfInverse(L85, 0, 1)</f>
        <v>0.99445788320975526</v>
      </c>
      <c r="O85" t="b">
        <f t="shared" si="3"/>
        <v>1</v>
      </c>
    </row>
    <row r="86" spans="12:15" x14ac:dyDescent="0.25">
      <c r="L86">
        <v>0.85000000000000053</v>
      </c>
      <c r="M86">
        <f t="shared" si="2"/>
        <v>1.0364333894937905</v>
      </c>
      <c r="N86" cm="1">
        <f t="array" ref="N86">_xll.NormalCdfInverse(L86, 0, 1)</f>
        <v>1.036433389493792</v>
      </c>
      <c r="O86" t="b">
        <f t="shared" si="3"/>
        <v>1</v>
      </c>
    </row>
    <row r="87" spans="12:15" x14ac:dyDescent="0.25">
      <c r="L87">
        <v>0.86000000000000054</v>
      </c>
      <c r="M87">
        <f t="shared" si="2"/>
        <v>1.0803193408149587</v>
      </c>
      <c r="N87" cm="1">
        <f t="array" ref="N87">_xll.NormalCdfInverse(L87, 0, 1)</f>
        <v>1.0803193408149587</v>
      </c>
      <c r="O87" t="b">
        <f t="shared" si="3"/>
        <v>1</v>
      </c>
    </row>
    <row r="88" spans="12:15" x14ac:dyDescent="0.25">
      <c r="L88">
        <v>0.87000000000000055</v>
      </c>
      <c r="M88">
        <f t="shared" si="2"/>
        <v>1.1263911290388036</v>
      </c>
      <c r="N88" cm="1">
        <f t="array" ref="N88">_xll.NormalCdfInverse(L88, 0, 1)</f>
        <v>1.1263911290388033</v>
      </c>
      <c r="O88" t="b">
        <f t="shared" si="3"/>
        <v>1</v>
      </c>
    </row>
    <row r="89" spans="12:15" x14ac:dyDescent="0.25">
      <c r="L89">
        <v>0.88000000000000056</v>
      </c>
      <c r="M89">
        <f t="shared" si="2"/>
        <v>1.174986792066093</v>
      </c>
      <c r="N89" cm="1">
        <f t="array" ref="N89">_xll.NormalCdfInverse(L89, 0, 1)</f>
        <v>1.1749867920660926</v>
      </c>
      <c r="O89" t="b">
        <f t="shared" si="3"/>
        <v>1</v>
      </c>
    </row>
    <row r="90" spans="12:15" x14ac:dyDescent="0.25">
      <c r="L90">
        <v>0.89000000000000057</v>
      </c>
      <c r="M90">
        <f t="shared" si="2"/>
        <v>1.2265281200366132</v>
      </c>
      <c r="N90" cm="1">
        <f t="array" ref="N90">_xll.NormalCdfInverse(L90, 0, 1)</f>
        <v>1.2265281200366129</v>
      </c>
      <c r="O90" t="b">
        <f t="shared" si="3"/>
        <v>1</v>
      </c>
    </row>
    <row r="91" spans="12:15" x14ac:dyDescent="0.25">
      <c r="L91">
        <v>0.90000000000000058</v>
      </c>
      <c r="M91">
        <f t="shared" si="2"/>
        <v>1.2815515655446033</v>
      </c>
      <c r="N91" cm="1">
        <f t="array" ref="N91">_xll.NormalCdfInverse(L91, 0, 1)</f>
        <v>1.2815515655446037</v>
      </c>
      <c r="O91" t="b">
        <f t="shared" si="3"/>
        <v>1</v>
      </c>
    </row>
    <row r="92" spans="12:15" x14ac:dyDescent="0.25">
      <c r="L92">
        <v>0.91000000000000059</v>
      </c>
      <c r="M92">
        <f t="shared" si="2"/>
        <v>1.3407550336902203</v>
      </c>
      <c r="N92" cm="1">
        <f t="array" ref="N92">_xll.NormalCdfInverse(L92, 0, 1)</f>
        <v>1.3407550336902199</v>
      </c>
      <c r="O92" t="b">
        <f t="shared" si="3"/>
        <v>1</v>
      </c>
    </row>
    <row r="93" spans="12:15" x14ac:dyDescent="0.25">
      <c r="L93">
        <v>0.9200000000000006</v>
      </c>
      <c r="M93">
        <f t="shared" si="2"/>
        <v>1.4050715603096373</v>
      </c>
      <c r="N93" cm="1">
        <f t="array" ref="N93">_xll.NormalCdfInverse(L93, 0, 1)</f>
        <v>1.4050715603096364</v>
      </c>
      <c r="O93" t="b">
        <f t="shared" si="3"/>
        <v>1</v>
      </c>
    </row>
    <row r="94" spans="12:15" x14ac:dyDescent="0.25">
      <c r="L94">
        <v>0.9300000000000006</v>
      </c>
      <c r="M94">
        <f t="shared" si="2"/>
        <v>1.4757910281791757</v>
      </c>
      <c r="N94" cm="1">
        <f t="array" ref="N94">_xll.NormalCdfInverse(L94, 0, 1)</f>
        <v>1.4757910281791753</v>
      </c>
      <c r="O94" t="b">
        <f t="shared" si="3"/>
        <v>1</v>
      </c>
    </row>
    <row r="95" spans="12:15" x14ac:dyDescent="0.25">
      <c r="L95">
        <v>0.94000000000000061</v>
      </c>
      <c r="M95">
        <f t="shared" si="2"/>
        <v>1.5547735945968584</v>
      </c>
      <c r="N95" cm="1">
        <f t="array" ref="N95">_xll.NormalCdfInverse(L95, 0, 1)</f>
        <v>1.5547735945968584</v>
      </c>
      <c r="O95" t="b">
        <f t="shared" si="3"/>
        <v>1</v>
      </c>
    </row>
    <row r="96" spans="12:15" x14ac:dyDescent="0.25">
      <c r="L96">
        <v>0.95000000000000062</v>
      </c>
      <c r="M96">
        <f t="shared" si="2"/>
        <v>1.6448536269514784</v>
      </c>
      <c r="N96" cm="1">
        <f t="array" ref="N96">_xll.NormalCdfInverse(L96, 0, 1)</f>
        <v>1.6448536269514784</v>
      </c>
      <c r="O96" t="b">
        <f t="shared" si="3"/>
        <v>1</v>
      </c>
    </row>
    <row r="97" spans="12:15" x14ac:dyDescent="0.25">
      <c r="L97">
        <v>0.96000000000000063</v>
      </c>
      <c r="M97">
        <f t="shared" si="2"/>
        <v>1.7506860712521775</v>
      </c>
      <c r="N97" cm="1">
        <f t="array" ref="N97">_xll.NormalCdfInverse(L97, 0, 1)</f>
        <v>1.7506860712521775</v>
      </c>
      <c r="O97" t="b">
        <f t="shared" si="3"/>
        <v>1</v>
      </c>
    </row>
    <row r="98" spans="12:15" x14ac:dyDescent="0.25">
      <c r="L98">
        <v>0.97000000000000064</v>
      </c>
      <c r="M98">
        <f t="shared" si="2"/>
        <v>1.88079360815126</v>
      </c>
      <c r="N98" cm="1">
        <f t="array" ref="N98">_xll.NormalCdfInverse(L98, 0, 1)</f>
        <v>1.88079360815126</v>
      </c>
      <c r="O98" t="b">
        <f t="shared" si="3"/>
        <v>1</v>
      </c>
    </row>
    <row r="99" spans="12:15" x14ac:dyDescent="0.25">
      <c r="L99">
        <v>0.98000000000000065</v>
      </c>
      <c r="M99">
        <f t="shared" si="2"/>
        <v>2.0537489106318363</v>
      </c>
      <c r="N99" cm="1">
        <f t="array" ref="N99">_xll.NormalCdfInverse(L99, 0, 1)</f>
        <v>2.0537489106318363</v>
      </c>
      <c r="O99" t="b">
        <f t="shared" si="3"/>
        <v>1</v>
      </c>
    </row>
    <row r="100" spans="12:15" x14ac:dyDescent="0.25">
      <c r="L100">
        <v>0.99000000000000066</v>
      </c>
      <c r="M100">
        <f t="shared" si="2"/>
        <v>2.3263478740408656</v>
      </c>
      <c r="N100" cm="1">
        <f t="array" ref="N100">_xll.NormalCdfInverse(L100, 0, 1)</f>
        <v>2.3263478740408656</v>
      </c>
      <c r="O100" t="b">
        <f t="shared" si="3"/>
        <v>1</v>
      </c>
    </row>
    <row r="101" spans="12:15" x14ac:dyDescent="0.25">
      <c r="L101">
        <v>1.0000000000000007</v>
      </c>
      <c r="M101" t="e">
        <f t="shared" si="2"/>
        <v>#NUM!</v>
      </c>
      <c r="N101" t="e" cm="1">
        <f t="array" ref="N101">_xll.NormalCdfInverse(L101, 0, 1)</f>
        <v>#NUM!</v>
      </c>
      <c r="O101" t="e">
        <f t="shared" si="3"/>
        <v>#NUM!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2D9B-6A6B-4627-B4EF-3D607F2E0DD2}">
  <dimension ref="A1:I12"/>
  <sheetViews>
    <sheetView workbookViewId="0">
      <selection activeCell="I3" sqref="I3"/>
    </sheetView>
  </sheetViews>
  <sheetFormatPr defaultRowHeight="15" x14ac:dyDescent="0.25"/>
  <cols>
    <col min="1" max="1" width="13.28515625" bestFit="1" customWidth="1"/>
    <col min="2" max="2" width="10.140625" bestFit="1" customWidth="1"/>
    <col min="3" max="3" width="10" bestFit="1" customWidth="1"/>
    <col min="9" max="9" width="10.140625" bestFit="1" customWidth="1"/>
  </cols>
  <sheetData>
    <row r="1" spans="1:9" x14ac:dyDescent="0.25">
      <c r="A1" t="s">
        <v>133</v>
      </c>
      <c r="B1" t="s">
        <v>164</v>
      </c>
      <c r="C1" t="s">
        <v>165</v>
      </c>
    </row>
    <row r="2" spans="1:9" x14ac:dyDescent="0.25">
      <c r="A2">
        <v>0</v>
      </c>
      <c r="B2">
        <v>100</v>
      </c>
      <c r="H2" t="s">
        <v>167</v>
      </c>
      <c r="I2" t="s">
        <v>168</v>
      </c>
    </row>
    <row r="3" spans="1:9" x14ac:dyDescent="0.25">
      <c r="A3">
        <v>1</v>
      </c>
      <c r="B3">
        <v>95</v>
      </c>
      <c r="C3">
        <v>2</v>
      </c>
      <c r="E3" s="14">
        <f>(B3+C3)/B2-1</f>
        <v>-3.0000000000000027E-2</v>
      </c>
      <c r="H3" s="14" cm="1">
        <f t="array" ref="H3:H6">_xll.SubPeriodReturns(B2:B6,C3:C6)</f>
        <v>-3.0000000000000027E-2</v>
      </c>
      <c r="I3" s="14" cm="1">
        <f t="array" ref="I3:I6">_xll.LogSubPeriodReturns(B2:B6,C3:C6)</f>
        <v>-3.0459207484708574E-2</v>
      </c>
    </row>
    <row r="4" spans="1:9" x14ac:dyDescent="0.25">
      <c r="A4">
        <v>2</v>
      </c>
      <c r="B4">
        <v>98</v>
      </c>
      <c r="C4">
        <v>1</v>
      </c>
      <c r="E4" s="14">
        <f t="shared" ref="E4:E6" si="0">(B4+C4)/B3-1</f>
        <v>4.2105263157894646E-2</v>
      </c>
      <c r="H4" s="14">
        <v>4.2105263157894646E-2</v>
      </c>
      <c r="I4" s="14">
        <v>4.1242958534049003E-2</v>
      </c>
    </row>
    <row r="5" spans="1:9" x14ac:dyDescent="0.25">
      <c r="A5">
        <v>3</v>
      </c>
      <c r="B5">
        <v>103</v>
      </c>
      <c r="C5">
        <v>2</v>
      </c>
      <c r="E5" s="14">
        <f t="shared" si="0"/>
        <v>7.1428571428571397E-2</v>
      </c>
      <c r="H5" s="14">
        <v>7.1428571428571397E-2</v>
      </c>
      <c r="I5" s="14">
        <v>6.8992871486951421E-2</v>
      </c>
    </row>
    <row r="6" spans="1:9" x14ac:dyDescent="0.25">
      <c r="A6">
        <v>4</v>
      </c>
      <c r="B6">
        <v>108</v>
      </c>
      <c r="C6">
        <v>3</v>
      </c>
      <c r="E6" s="14">
        <f t="shared" si="0"/>
        <v>7.7669902912621325E-2</v>
      </c>
      <c r="H6" s="14">
        <v>7.7669902912621325E-2</v>
      </c>
      <c r="I6" s="14">
        <v>7.480121308269834E-2</v>
      </c>
    </row>
    <row r="8" spans="1:9" x14ac:dyDescent="0.25">
      <c r="A8" t="s">
        <v>33</v>
      </c>
      <c r="B8" s="14">
        <f>(B6+SUM(C3:C6))/B2-1</f>
        <v>0.15999999999999992</v>
      </c>
    </row>
    <row r="9" spans="1:9" x14ac:dyDescent="0.25">
      <c r="A9" t="s">
        <v>33</v>
      </c>
      <c r="B9" s="14" cm="1">
        <f t="array" ref="B9">_xll.HoldingPeriodReturn(B2:B6,C3:C6)</f>
        <v>0.15999999999999992</v>
      </c>
    </row>
    <row r="11" spans="1:9" x14ac:dyDescent="0.25">
      <c r="A11" t="s">
        <v>166</v>
      </c>
      <c r="B11" s="14" cm="1">
        <f t="array" ref="B11">PRODUCT((B3:B6+C3:C6)/B2:B5)-1</f>
        <v>0.16716512154171803</v>
      </c>
      <c r="C11" s="14"/>
      <c r="D11" s="14"/>
    </row>
    <row r="12" spans="1:9" x14ac:dyDescent="0.25">
      <c r="A12" t="s">
        <v>166</v>
      </c>
      <c r="B12" s="14" cm="1">
        <f t="array" ref="B12">_xll.HPRWithReinvestment(B2:B6,C3:C6)</f>
        <v>0.16716512154171803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Table 2.4 and 2.5</vt:lpstr>
      <vt:lpstr>Tables 2.7, 2.8, and 2.9</vt:lpstr>
      <vt:lpstr>Table 3.2</vt:lpstr>
      <vt:lpstr>Tables 3.4 and 3.5</vt:lpstr>
      <vt:lpstr>Table 5.1 Drawdown Statistics</vt:lpstr>
      <vt:lpstr>K-Ratio</vt:lpstr>
      <vt:lpstr>Value at Risk</vt:lpstr>
      <vt:lpstr>Calculating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2020-01-29T05:12:18Z</dcterms:modified>
</cp:coreProperties>
</file>