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C85CE8A2-185E-41B4-820A-22A8CE978E00}" xr6:coauthVersionLast="45" xr6:coauthVersionMax="45" xr10:uidLastSave="{00000000-0000-0000-0000-000000000000}"/>
  <bookViews>
    <workbookView xWindow="4815" yWindow="3585" windowWidth="27480" windowHeight="15990" activeTab="1" xr2:uid="{344BB257-92D6-46F2-9766-17934D9BF305}"/>
  </bookViews>
  <sheets>
    <sheet name="Sheet1" sheetId="1" r:id="rId1"/>
    <sheet name="Sheet2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/>
  <c r="D30" i="1"/>
  <c r="M30" i="2" a="1"/>
  <c r="L30" i="2" a="1"/>
  <c r="K30" i="2" a="1"/>
  <c r="J30" i="2" a="1"/>
  <c r="I30" i="2" a="1"/>
  <c r="I30" i="2" l="1"/>
  <c r="M30" i="2"/>
  <c r="L30" i="2"/>
  <c r="K30" i="2"/>
  <c r="J30" i="2"/>
  <c r="D21" i="1"/>
  <c r="G30" i="1" a="1"/>
  <c r="G21" i="1" a="1"/>
  <c r="G30" i="1" l="1"/>
  <c r="G21" i="1"/>
  <c r="J2" i="2" l="1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G26" i="1" a="1"/>
  <c r="G29" i="1" a="1"/>
  <c r="I28" i="2" a="1"/>
  <c r="J27" i="2" a="1"/>
  <c r="J28" i="2" a="1"/>
  <c r="L27" i="2" a="1"/>
  <c r="M27" i="2" a="1"/>
  <c r="K27" i="2" a="1"/>
  <c r="M28" i="2" a="1"/>
  <c r="I27" i="2" a="1"/>
  <c r="L28" i="2" a="1"/>
  <c r="K28" i="2" a="1"/>
  <c r="G29" i="1" l="1"/>
  <c r="L24" i="2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C22" i="1"/>
  <c r="D22" i="1"/>
  <c r="H22" i="1" s="1"/>
  <c r="G22" i="1" a="1"/>
  <c r="G35" i="1" a="1"/>
  <c r="L29" i="2" a="1"/>
  <c r="K29" i="2" a="1"/>
  <c r="J29" i="2" a="1"/>
  <c r="M29" i="2" a="1"/>
  <c r="I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G35" i="1"/>
  <c r="G22" i="1"/>
  <c r="M38" i="1"/>
  <c r="L38" i="1"/>
  <c r="M33" i="1"/>
  <c r="L33" i="1"/>
  <c r="L34" i="1" l="1"/>
  <c r="L35" i="1"/>
  <c r="L36" i="1" s="1"/>
  <c r="L40" i="1" l="1"/>
  <c r="M35" i="1"/>
  <c r="C31" i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L41" i="1" l="1"/>
  <c r="L42" i="1" s="1"/>
  <c r="M36" i="1"/>
  <c r="G32" i="1"/>
  <c r="G27" i="1"/>
  <c r="H27" i="1" s="1"/>
  <c r="D28" i="1"/>
  <c r="G31" i="1" a="1"/>
  <c r="G25" i="1" a="1"/>
  <c r="G24" i="1" a="1"/>
  <c r="G23" i="1" a="1"/>
  <c r="G28" i="1" a="1"/>
  <c r="G28" i="1" l="1"/>
  <c r="G31" i="1"/>
  <c r="G25" i="1"/>
  <c r="G24" i="1"/>
  <c r="G23" i="1"/>
  <c r="Q3" i="1" a="1"/>
  <c r="Q3" i="1" s="1"/>
  <c r="R3" i="1" a="1"/>
  <c r="R3" i="1" s="1"/>
  <c r="P3" i="1" a="1"/>
  <c r="P3" i="1" s="1"/>
  <c r="L25" i="1" a="1"/>
  <c r="L21" i="1" a="1"/>
  <c r="L23" i="1" a="1"/>
  <c r="L24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D23" i="1" a="1"/>
  <c r="D23" i="1" s="1"/>
  <c r="C24" i="1" a="1"/>
  <c r="C24" i="1" s="1"/>
  <c r="D24" i="1" a="1"/>
  <c r="D24" i="1" s="1"/>
  <c r="C21" i="1" a="1"/>
  <c r="C21" i="1" s="1"/>
  <c r="T12" i="1" l="1" a="1"/>
  <c r="T12" i="1" s="1"/>
  <c r="H31" i="1" l="1"/>
  <c r="H32" i="1" l="1"/>
  <c r="H26" i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H30" i="1" l="1"/>
  <c r="D26" i="1" l="1"/>
  <c r="C26" i="1"/>
  <c r="D20" i="1"/>
  <c r="D19" i="1"/>
  <c r="C19" i="1"/>
  <c r="C29" i="1" s="1"/>
  <c r="B19" i="1"/>
  <c r="D29" i="1" l="1"/>
  <c r="H29" i="1" s="1"/>
  <c r="H28" i="1"/>
  <c r="C28" i="1"/>
  <c r="C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<sst xmlns="http://schemas.openxmlformats.org/spreadsheetml/2006/main" count="73" uniqueCount="52">
  <si>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</si>
  <si>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</si>
  <si>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</si>
  <si>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</si>
  <si>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</si>
  <si>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</si>
  <si>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</si>
  <si>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</si>
  <si>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</si>
  <si>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</si>
  <si>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</si>
  <si>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</si>
  <si>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</si>
  <si>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</si>
  <si>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</si>
  <si>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</si>
  <si>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</si>
  <si>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</si>
  <si>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</si>
  <si>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</si>
  <si>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</si>
  <si>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</si>
  <si>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</si>
  <si>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</si>
  <si>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</si>
  <si>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Rx</t>
  </si>
  <si>
    <t>Rp</t>
  </si>
  <si>
    <t>Selectivity</t>
  </si>
  <si>
    <t>Diff</t>
  </si>
  <si>
    <t>Risk</t>
  </si>
  <si>
    <t>Rf</t>
  </si>
  <si>
    <t>Fama Beta</t>
  </si>
  <si>
    <t>Sum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</si>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</sst>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42"/>
  <sheetViews>
    <sheetView workbookViewId="0">
      <selection activeCell="D30" sqref="D30"/>
    </sheetView>
  </sheetViews>
  <sheetFormatPr defaultRowHeight="15" x14ac:dyDescent="0.25"/>
  <cols>
    <col min="1" max="1" width="19.42578125" bestFit="1" customWidth="1"/>
    <col min="2" max="2" width="9.42578125" bestFit="1" customWidth="1"/>
    <col min="3" max="3" width="10.140625" bestFit="1" customWidth="1"/>
    <col min="4" max="4" width="11.85546875" customWidth="1"/>
    <col min="5" max="6" width="10.7109375" bestFit="1" customWidth="1"/>
    <col min="7" max="7" width="22.5703125" bestFit="1" customWidth="1"/>
    <col min="8" max="8" width="14.5703125" bestFit="1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3" x14ac:dyDescent="0.25">
      <c r="B17" s="1">
        <v>8.218509209156899E-5</v>
      </c>
      <c r="C17" s="1">
        <v>-5.3163264620735839E-3</v>
      </c>
      <c r="D17" s="1">
        <v>2.6039764394154563E-3</v>
      </c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3" x14ac:dyDescent="0.25">
      <c r="B18" s="1"/>
      <c r="C18" s="1"/>
    </row>
    <row r="19" spans="1:13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G19" s="3" t="s">
        <v>6</v>
      </c>
      <c r="H19" s="4"/>
    </row>
    <row r="20" spans="1:13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3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0.12710524781890767</v>
      </c>
    </row>
    <row r="22" spans="1:13" x14ac:dyDescent="0.25">
      <c r="A22" t="s">
        <v>33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_xll.AdjustedBeta(D3:D17,C3:C17,B3:B17)</f>
        <v>0.96073006047914178</v>
      </c>
      <c r="H22" s="10">
        <f>D22-G22</f>
        <v>8.7766890166074418E-4</v>
      </c>
    </row>
    <row r="23" spans="1:13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SLOPE(_xlfn._xlws.FILTER(D3:D17,$C$3:$C$17&gt;0)-_xlfn._xlws.FILTER($B$3:$B$17,$C$3:$C$17&gt;0),_xlfn._xlws.FILTER($C$3:$C$17,$C$3:$C$17&gt;0)-_xlfn._xlws.FILTER($B$3:$B$17,$C$3:$C$17&gt;0))</f>
        <v>1.0869193898495133</v>
      </c>
      <c r="G23" s="9" cm="1">
        <f t="array" ref="G23">_xll.BullBeta(D3:D17,C3:C17,B3:B17)</f>
        <v>1.0869193898495135</v>
      </c>
      <c r="H23" s="10">
        <f t="shared" ref="H23:H32" si="1">D23-G23</f>
        <v>0</v>
      </c>
      <c r="L23" cm="1">
        <f t="array" ref="L23">_xll.BullBeta(L3:L17,K3:K17)</f>
        <v>0.12710524781890767</v>
      </c>
    </row>
    <row r="24" spans="1:13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SLOPE(_xlfn._xlws.FILTER(D3:D17,$C$3:$C$17&lt;0)-_xlfn._xlws.FILTER($B$3:$B$17,$C$3:$C$17&lt;0),_xlfn._xlws.FILTER($C$3:$C$17,$C$3:$C$17&lt;0)-_xlfn._xlws.FILTER($B$3:$B$17,$C$3:$C$17&lt;0))</f>
        <v>0.53164017255257146</v>
      </c>
      <c r="G24" s="9" cm="1">
        <f t="array" ref="G24">_xll.BearBeta(D3:D17,C3:C17,B3:B17)</f>
        <v>0.53164017255257146</v>
      </c>
      <c r="H24" s="10">
        <f t="shared" si="1"/>
        <v>0</v>
      </c>
      <c r="L24" t="e" cm="1">
        <f t="array" ref="L24">_xll.BearBeta(L3:L17,K3:K17,B3:B17)</f>
        <v>#VALUE!</v>
      </c>
    </row>
    <row r="25" spans="1:13" x14ac:dyDescent="0.25">
      <c r="A25" t="s">
        <v>15</v>
      </c>
      <c r="C25" s="8">
        <f>C23/C24</f>
        <v>1</v>
      </c>
      <c r="D25" s="8">
        <f>D23/D24</f>
        <v>2.0444643688810649</v>
      </c>
      <c r="G25" s="9" cm="1">
        <f t="array" ref="G25">_xll.BetaTimingRatio(D3:D17,C3:C17,B3:B17)</f>
        <v>2.0444643688810649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3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5.1687248496316764E-2</v>
      </c>
      <c r="H26" s="10">
        <f t="shared" si="1"/>
        <v>0</v>
      </c>
    </row>
    <row r="27" spans="1:13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5.1676557020390521E-2</v>
      </c>
      <c r="H27" s="10">
        <f t="shared" si="1"/>
        <v>0</v>
      </c>
    </row>
    <row r="28" spans="1:13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2.9990416146271964E-4</v>
      </c>
      <c r="H28" s="10">
        <f t="shared" si="1"/>
        <v>0</v>
      </c>
    </row>
    <row r="29" spans="1:13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3.1381112145320415E-4</v>
      </c>
      <c r="H29" s="10">
        <f t="shared" si="1"/>
        <v>0</v>
      </c>
    </row>
    <row r="30" spans="1:13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7.2578822700353814E-4</v>
      </c>
      <c r="H30" s="10">
        <f t="shared" si="1"/>
        <v>0</v>
      </c>
    </row>
    <row r="31" spans="1:13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3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  <c r="L32" t="s">
        <v>27</v>
      </c>
      <c r="M32" t="s">
        <v>29</v>
      </c>
    </row>
    <row r="33" spans="3:13" x14ac:dyDescent="0.25">
      <c r="C33" s="6"/>
      <c r="D33" s="6"/>
      <c r="G33" s="10"/>
      <c r="K33" t="s">
        <v>30</v>
      </c>
      <c r="L33" s="11">
        <f>AVERAGE(B3:B17)</f>
        <v>9.8631101444294586E-5</v>
      </c>
      <c r="M33" s="11">
        <f>L33</f>
        <v>9.8631101444294586E-5</v>
      </c>
    </row>
    <row r="34" spans="3:13" x14ac:dyDescent="0.25">
      <c r="C34" s="8"/>
      <c r="G34" s="16"/>
      <c r="K34" t="s">
        <v>26</v>
      </c>
      <c r="L34" s="1">
        <f>AVERAGE(D3:D17)</f>
        <v>3.8126426031696398E-4</v>
      </c>
    </row>
    <row r="35" spans="3:13" x14ac:dyDescent="0.25">
      <c r="C35" s="8"/>
      <c r="D35" s="11"/>
      <c r="E35" s="11"/>
      <c r="G35" s="18" t="str" cm="1">
        <f t="array" ref="G35:H41">_xll.FamaDecomposition(D3:D17,C3:C17,B3:B17,1.3)</f>
        <v>Risk Premium</v>
      </c>
      <c r="H35" s="1">
        <v>2.8263315887266938E-4</v>
      </c>
      <c r="J35" s="11"/>
      <c r="K35" t="s">
        <v>25</v>
      </c>
      <c r="L35" s="1">
        <f>AVERAGE(B3:B17)+D21*(AVERAGE(C3:C17)-AVERAGE(B3:B17))</f>
        <v>-3.44523966686574E-4</v>
      </c>
      <c r="M35" s="11">
        <f>L35</f>
        <v>-3.44523966686574E-4</v>
      </c>
    </row>
    <row r="36" spans="3:13" x14ac:dyDescent="0.25">
      <c r="G36" t="str">
        <v>Due to Risk</v>
      </c>
      <c r="H36" s="1">
        <v>-4.4253600196430404E-4</v>
      </c>
      <c r="K36" s="11" t="s">
        <v>28</v>
      </c>
      <c r="L36" s="1">
        <f>L34-L35</f>
        <v>7.2578822700353793E-4</v>
      </c>
      <c r="M36" s="19">
        <f>M35-M33</f>
        <v>-4.431550681308686E-4</v>
      </c>
    </row>
    <row r="37" spans="3:13" x14ac:dyDescent="0.25">
      <c r="G37" t="str">
        <v>Due to Selectivity</v>
      </c>
      <c r="H37" s="1">
        <v>7.2516916083697341E-4</v>
      </c>
      <c r="J37" s="1"/>
    </row>
    <row r="38" spans="3:13" x14ac:dyDescent="0.25">
      <c r="G38" t="str">
        <v>Due to Investor's Risk</v>
      </c>
      <c r="H38" s="1">
        <v>-6.1130570994079043E-4</v>
      </c>
      <c r="K38" t="s">
        <v>31</v>
      </c>
      <c r="L38" s="2">
        <f>_xlfn.COVARIANCE.S(D3:D17,C3:C17)/_xlfn.STDEV.S(C3:C17)</f>
        <v>3.9233689462754183E-3</v>
      </c>
      <c r="M38" s="20">
        <f>_xlfn.STDEV.S(D3:D17)/_xlfn.STDEV.S(C3:C17)</f>
        <v>1.3134730578655343</v>
      </c>
    </row>
    <row r="39" spans="3:13" x14ac:dyDescent="0.25">
      <c r="G39" t="str">
        <v>Due to Manager's Risk</v>
      </c>
      <c r="H39" s="1">
        <v>1.6876970797648637E-4</v>
      </c>
    </row>
    <row r="40" spans="3:13" x14ac:dyDescent="0.25">
      <c r="G40" t="str">
        <v>Diversification</v>
      </c>
      <c r="H40" s="1">
        <v>8.4527012988867047E-5</v>
      </c>
      <c r="K40" t="s">
        <v>27</v>
      </c>
      <c r="L40" s="1">
        <f>L34-L35*L38</f>
        <v>3.8261595494910969E-4</v>
      </c>
    </row>
    <row r="41" spans="3:13" x14ac:dyDescent="0.25">
      <c r="G41" t="str">
        <v>Net Selectivity</v>
      </c>
      <c r="H41" s="1">
        <v>6.4064214784810634E-4</v>
      </c>
      <c r="K41" t="s">
        <v>29</v>
      </c>
      <c r="L41" s="1">
        <f>M35*L38-M33</f>
        <v>-9.9982796076440316E-5</v>
      </c>
    </row>
    <row r="42" spans="3:13" x14ac:dyDescent="0.25">
      <c r="K42" t="s">
        <v>32</v>
      </c>
      <c r="L42" s="1">
        <f>SUM(L40:L41)</f>
        <v>2.8263315887266938E-4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tabSelected="1"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H1" s="25" t="s">
        <v>34</v>
      </c>
      <c r="I1" s="25" t="s">
        <v>35</v>
      </c>
      <c r="J1" s="25" t="s">
        <v>36</v>
      </c>
      <c r="K1" s="25" t="s">
        <v>37</v>
      </c>
      <c r="L1" s="25" t="s">
        <v>38</v>
      </c>
      <c r="M1" s="25" t="s">
        <v>40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41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42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43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44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45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46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47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48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49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50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51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1.3736080990295685</v>
      </c>
      <c r="L27" s="21" cm="1">
        <f t="array" ref="L27">_xll.Beta(L2:L11,$L$2:$L$11)</f>
        <v>1</v>
      </c>
      <c r="M27" s="21" cm="1">
        <f t="array" ref="M27">_xll.Beta(M2:M11,$L$2:$L$11)</f>
        <v>-1.0437227785546526E-2</v>
      </c>
    </row>
    <row r="28" spans="8:13" x14ac:dyDescent="0.25">
      <c r="H28" t="s">
        <v>4</v>
      </c>
      <c r="I28" s="21" cm="1">
        <f t="array" ref="I28">_xll.SharpeRatio(I2:I11,$M$2:$M$11)</f>
        <v>1.1661937725811693</v>
      </c>
      <c r="J28" s="21" cm="1">
        <f t="array" ref="J28">_xll.SharpeRatio(J2:J11,$M$2:$M$11)</f>
        <v>5.599865370514838E-2</v>
      </c>
      <c r="K28" s="21" cm="1">
        <f t="array" ref="K28">_xll.SharpeRatio(K2:K11,$M$2:$M$11)</f>
        <v>0.45962709975051652</v>
      </c>
      <c r="L28" s="21" cm="1">
        <f t="array" ref="L28">_xll.SharpeRatio(L2:L11,$M$2:$M$11)</f>
        <v>0.56182641192316762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0.16550865893152097</v>
      </c>
      <c r="J29" s="21" cm="1">
        <f t="array" ref="J29">_xll.TreynorIndex(J2:J11,J27,$M$2:$M$11)</f>
        <v>1.9257822880708833E-2</v>
      </c>
      <c r="K29" s="21" cm="1">
        <f t="array" ref="K29">_xll.TreynorIndex(K2:K11,K27,$M$2:$M$11)</f>
        <v>6.5476970730925316E-2</v>
      </c>
      <c r="L29" s="21" cm="1">
        <f t="array" ref="L29">_xll.TreynorIndex(L2:L11,L27,$M$2:$M$11)</f>
        <v>6.5437700595033191E-2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0.15408274855897586</v>
      </c>
      <c r="J30" s="21" cm="1">
        <f t="array" ref="J30">_xll.JensensAlpha(J2:J11,$L$2:$L$11,$M$2:$M$11)</f>
        <v>-5.190139544964778E-2</v>
      </c>
      <c r="K30" s="21" cm="1">
        <f t="array" ref="K30">_xll.JensensAlpha(K2:K11,$L$2:$L$11,$M$2:$M$11)</f>
        <v>5.394177671140532E-5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6.8298818687275483E-4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2019-12-29T01:10:03Z</dcterms:modified>
</cp:coreProperties>
</file>