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1f9bd15b4598/C^N Source/PortfolioPerformance/PortfolioPerformance/"/>
    </mc:Choice>
  </mc:AlternateContent>
  <xr:revisionPtr revIDLastSave="1601" documentId="13_ncr:1_{279DD423-BAFB-4596-9FA7-C1D1A2B14100}" xr6:coauthVersionLast="45" xr6:coauthVersionMax="45" xr10:uidLastSave="{FE25DFB7-B722-4E05-8370-002781201400}"/>
  <bookViews>
    <workbookView xWindow="8220" yWindow="4845" windowWidth="27480" windowHeight="15990" activeTab="6" xr2:uid="{344BB257-92D6-46F2-9766-17934D9BF305}"/>
  </bookViews>
  <sheets>
    <sheet name="Sheet1" sheetId="1" r:id="rId1"/>
    <sheet name="Sheet2" sheetId="2" r:id="rId2"/>
    <sheet name="Table 2.4 and 2.5" sheetId="4" r:id="rId3"/>
    <sheet name="Tables 2.7, 2.8, and 2.9" sheetId="5" r:id="rId4"/>
    <sheet name="Table 3.2" sheetId="6" r:id="rId5"/>
    <sheet name="Tables 3.4 and 3.5" sheetId="7" r:id="rId6"/>
    <sheet name="Sheet3" sheetId="8" r:id="rId7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6" l="1" a="1"/>
  <c r="J17" i="6" s="1"/>
  <c r="F15" i="6"/>
  <c r="F14" i="6" a="1"/>
  <c r="F14" i="6" s="1"/>
  <c r="F26" i="6" a="1"/>
  <c r="F25" i="6" a="1"/>
  <c r="C13" i="8" a="1"/>
  <c r="C13" i="8" l="1"/>
  <c r="F26" i="6"/>
  <c r="F25" i="6"/>
  <c r="B2" i="8"/>
  <c r="B3" i="8"/>
  <c r="B4" i="8"/>
  <c r="B5" i="8"/>
  <c r="B6" i="8"/>
  <c r="B7" i="8"/>
  <c r="B8" i="8"/>
  <c r="B9" i="8"/>
  <c r="B10" i="8"/>
  <c r="B1" i="8"/>
  <c r="B13" i="8" l="1"/>
  <c r="H1" i="8"/>
  <c r="J7" i="6" l="1"/>
  <c r="F32" i="6"/>
  <c r="G32" i="6" s="1"/>
  <c r="F31" i="6"/>
  <c r="G31" i="6" s="1"/>
  <c r="H33" i="6" a="1"/>
  <c r="H34" i="6" a="1"/>
  <c r="H34" i="6" l="1"/>
  <c r="I34" i="6" s="1"/>
  <c r="H33" i="6"/>
  <c r="H35" i="6" s="1"/>
  <c r="I35" i="6" s="1"/>
  <c r="G30" i="1" a="1"/>
  <c r="J42" i="1" a="1"/>
  <c r="G42" i="1" a="1"/>
  <c r="I14" i="5" a="1"/>
  <c r="H14" i="5" a="1"/>
  <c r="G19" i="6" a="1"/>
  <c r="F18" i="6" a="1"/>
  <c r="G23" i="6" a="1"/>
  <c r="F17" i="6" a="1"/>
  <c r="G17" i="6" a="1"/>
  <c r="F23" i="6" a="1"/>
  <c r="F19" i="6" a="1"/>
  <c r="G18" i="6" a="1"/>
  <c r="F24" i="6" a="1"/>
  <c r="F24" i="6" l="1"/>
  <c r="I14" i="5"/>
  <c r="H14" i="5"/>
  <c r="G30" i="1"/>
  <c r="J42" i="1"/>
  <c r="G42" i="1"/>
  <c r="G19" i="6"/>
  <c r="F19" i="6"/>
  <c r="G18" i="6"/>
  <c r="F18" i="6"/>
  <c r="G17" i="6"/>
  <c r="F17" i="6"/>
  <c r="G23" i="6"/>
  <c r="F23" i="6"/>
  <c r="I4" i="6"/>
  <c r="J4" i="6" s="1"/>
  <c r="J3" i="6" a="1"/>
  <c r="J3" i="6" s="1"/>
  <c r="I3" i="6" a="1"/>
  <c r="I3" i="6" s="1"/>
  <c r="F10" i="6"/>
  <c r="K26" i="6" l="1"/>
  <c r="J26" i="6"/>
  <c r="J32" i="6"/>
  <c r="K32" i="6" s="1"/>
  <c r="F33" i="6"/>
  <c r="G33" i="6" s="1"/>
  <c r="F34" i="6"/>
  <c r="G34" i="6" s="1"/>
  <c r="L4" i="6"/>
  <c r="M4" i="6" s="1"/>
  <c r="M3" i="6" a="1"/>
  <c r="M3" i="6" s="1"/>
  <c r="L3" i="6" a="1"/>
  <c r="L3" i="6" s="1"/>
  <c r="F4" i="6"/>
  <c r="G4" i="6" s="1"/>
  <c r="G3" i="6" a="1"/>
  <c r="G3" i="6" s="1"/>
  <c r="F3" i="6" a="1"/>
  <c r="F3" i="6" s="1"/>
  <c r="I13" i="7" a="1"/>
  <c r="I13" i="7" s="1"/>
  <c r="F15" i="7" a="1"/>
  <c r="E15" i="7" a="1"/>
  <c r="F16" i="7" a="1"/>
  <c r="E16" i="7" a="1"/>
  <c r="F21" i="6" a="1"/>
  <c r="G20" i="6" a="1"/>
  <c r="F20" i="6" a="1"/>
  <c r="G12" i="6" l="1"/>
  <c r="F12" i="6"/>
  <c r="F13" i="6" s="1"/>
  <c r="G11" i="6"/>
  <c r="F6" i="6"/>
  <c r="F11" i="6"/>
  <c r="G6" i="6"/>
  <c r="F7" i="6" a="1"/>
  <c r="F7" i="6" s="1"/>
  <c r="G7" i="6" a="1"/>
  <c r="G7" i="6" s="1"/>
  <c r="F21" i="6"/>
  <c r="G20" i="6"/>
  <c r="F20" i="6"/>
  <c r="F16" i="7"/>
  <c r="E16" i="7"/>
  <c r="F15" i="7"/>
  <c r="E15" i="7"/>
  <c r="H5" i="7"/>
  <c r="I5" i="7" s="1"/>
  <c r="I4" i="7" a="1"/>
  <c r="I4" i="7" s="1"/>
  <c r="H4" i="7" a="1"/>
  <c r="H4" i="7" s="1"/>
  <c r="E5" i="7"/>
  <c r="F5" i="7" s="1"/>
  <c r="F4" i="7" a="1"/>
  <c r="F4" i="7" s="1"/>
  <c r="F10" i="7" s="1"/>
  <c r="E4" i="7" a="1"/>
  <c r="E4" i="7" s="1"/>
  <c r="E9" i="7" s="1"/>
  <c r="E8" i="7" a="1"/>
  <c r="E8" i="7" s="1"/>
  <c r="E7" i="7" a="1"/>
  <c r="E7" i="7" s="1"/>
  <c r="F8" i="7" a="1"/>
  <c r="F8" i="7" s="1"/>
  <c r="F7" i="7" a="1"/>
  <c r="F7" i="7" s="1"/>
  <c r="E14" i="7" a="1"/>
  <c r="F14" i="7" a="1"/>
  <c r="F13" i="7" a="1"/>
  <c r="E13" i="7" a="1"/>
  <c r="F22" i="6" a="1"/>
  <c r="G22" i="6" a="1"/>
  <c r="F8" i="6" a="1"/>
  <c r="F22" i="6" l="1"/>
  <c r="F9" i="6"/>
  <c r="G22" i="6"/>
  <c r="F8" i="6"/>
  <c r="G9" i="6"/>
  <c r="F9" i="7"/>
  <c r="E10" i="7"/>
  <c r="E14" i="7"/>
  <c r="E13" i="7"/>
  <c r="F14" i="7"/>
  <c r="F13" i="7"/>
  <c r="G8" i="6" a="1"/>
  <c r="G8" i="6" l="1"/>
  <c r="F2" i="4" l="1"/>
  <c r="E2" i="4"/>
  <c r="H13" i="5" a="1"/>
  <c r="H13" i="5" s="1"/>
  <c r="F8" i="4" a="1"/>
  <c r="F10" i="4" a="1"/>
  <c r="F11" i="4" a="1"/>
  <c r="F5" i="4" a="1"/>
  <c r="F3" i="4" a="1"/>
  <c r="F3" i="4" l="1"/>
  <c r="F5" i="4"/>
  <c r="F11" i="4"/>
  <c r="F10" i="4"/>
  <c r="F8" i="4"/>
  <c r="I12" i="5" a="1"/>
  <c r="I12" i="5" s="1"/>
  <c r="H12" i="5" a="1"/>
  <c r="H12" i="5" s="1"/>
  <c r="I11" i="5" a="1"/>
  <c r="I11" i="5" s="1"/>
  <c r="H11" i="5" a="1"/>
  <c r="H11" i="5" s="1"/>
  <c r="I10" i="5"/>
  <c r="I13" i="5" s="1" a="1"/>
  <c r="I13" i="5" s="1"/>
  <c r="F7" i="4" l="1"/>
  <c r="I6" i="5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7" i="5" l="1"/>
  <c r="H7" i="5"/>
  <c r="H37" i="1"/>
  <c r="H38" i="1"/>
  <c r="C37" i="1" a="1"/>
  <c r="C37" i="1" s="1"/>
  <c r="D37" i="1" a="1"/>
  <c r="D37" i="1" s="1"/>
  <c r="C38" i="1" a="1"/>
  <c r="C38" i="1" s="1"/>
  <c r="D38" i="1" a="1"/>
  <c r="D38" i="1" s="1"/>
  <c r="G38" i="1" a="1"/>
  <c r="G37" i="1" a="1"/>
  <c r="G38" i="1" l="1"/>
  <c r="G37" i="1"/>
  <c r="C36" i="1" a="1"/>
  <c r="C36" i="1" s="1"/>
  <c r="C35" i="1" a="1"/>
  <c r="C35" i="1" s="1"/>
  <c r="H34" i="1" l="1"/>
  <c r="H35" i="1"/>
  <c r="G36" i="1" a="1"/>
  <c r="G36" i="1" l="1"/>
  <c r="H36" i="1" s="1"/>
  <c r="D36" i="1" a="1"/>
  <c r="D36" i="1" s="1"/>
  <c r="D35" i="1" a="1"/>
  <c r="D35" i="1" s="1"/>
  <c r="G35" i="1" a="1"/>
  <c r="G35" i="1" l="1"/>
  <c r="C34" i="1" a="1"/>
  <c r="C34" i="1" s="1"/>
  <c r="D34" i="1" a="1"/>
  <c r="D34" i="1" s="1"/>
  <c r="H33" i="1"/>
  <c r="C33" i="1" a="1"/>
  <c r="C33" i="1" s="1"/>
  <c r="D33" i="1" a="1"/>
  <c r="D33" i="1" s="1"/>
  <c r="G33" i="1" a="1"/>
  <c r="G34" i="1" a="1"/>
  <c r="G34" i="1" l="1"/>
  <c r="G33" i="1"/>
  <c r="G23" i="1" a="1"/>
  <c r="E11" i="4" a="1"/>
  <c r="E3" i="4" a="1"/>
  <c r="E10" i="4" a="1"/>
  <c r="E8" i="4" a="1"/>
  <c r="G23" i="1" l="1"/>
  <c r="E3" i="4"/>
  <c r="E8" i="4"/>
  <c r="E11" i="4"/>
  <c r="E10" i="4"/>
  <c r="E5" i="4" a="1"/>
  <c r="E5" i="4" l="1"/>
  <c r="E7" i="4" s="1"/>
  <c r="D24" i="1" l="1" a="1"/>
  <c r="D24" i="1" s="1"/>
  <c r="D23" i="1" a="1"/>
  <c r="D23" i="1" s="1"/>
  <c r="G21" i="1" a="1"/>
  <c r="G21" i="1" l="1"/>
  <c r="D21" i="1"/>
  <c r="L30" i="2" a="1"/>
  <c r="K30" i="2" a="1"/>
  <c r="G24" i="1" a="1"/>
  <c r="M30" i="2" a="1"/>
  <c r="G29" i="1" a="1"/>
  <c r="G25" i="1" a="1"/>
  <c r="G22" i="1" a="1"/>
  <c r="J30" i="2" a="1"/>
  <c r="I30" i="2" a="1"/>
  <c r="K30" i="2" l="1"/>
  <c r="G29" i="1"/>
  <c r="I30" i="2"/>
  <c r="L30" i="2"/>
  <c r="G22" i="1"/>
  <c r="J30" i="2"/>
  <c r="M30" i="2"/>
  <c r="G25" i="1"/>
  <c r="G24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I27" i="2" a="1"/>
  <c r="G26" i="1" a="1"/>
  <c r="J27" i="2" a="1"/>
  <c r="K27" i="2" a="1"/>
  <c r="L28" i="2" a="1"/>
  <c r="J28" i="2" a="1"/>
  <c r="K28" i="2" a="1"/>
  <c r="L27" i="2" a="1"/>
  <c r="M27" i="2" a="1"/>
  <c r="I28" i="2" a="1"/>
  <c r="M28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J29" i="2" a="1"/>
  <c r="L29" i="2" a="1"/>
  <c r="M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4" i="1" a="1"/>
  <c r="L23" i="1" a="1"/>
  <c r="L21" i="1" a="1"/>
  <c r="L25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R. Mayes, Ph.D.</author>
  </authors>
  <commentList>
    <comment ref="F2" authorId="0" shapeId="0" xr:uid="{CF8FD0E2-AB4C-42AE-B00C-02F694D08FF2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Here I set the data frequency to 1, so the measures are per period.</t>
        </r>
      </text>
    </comment>
    <comment ref="G2" authorId="0" shapeId="0" xr:uid="{D7173E70-8DD5-487D-9D9A-A83733576780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This is Bacon's methodology (i.e., use annualized returns instead of per period returns).</t>
        </r>
      </text>
    </comment>
    <comment ref="G19" authorId="0" shapeId="0" xr:uid="{5CCAA0DA-5FA8-4FC8-B47B-DA427260DD08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Note that Bacon has the skewness with the wrong sign on page 52, though this doesn't affect his result.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<sst xmlns="http://schemas.openxmlformats.org/spreadsheetml/2006/main" count="161" uniqueCount="90">
  <si>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</si>
  <si>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</si>
  <si>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</si>
  <si>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</si>
  <si>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</si>
  <si>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</si>
  <si>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</si>
  <si>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</si>
  <si>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</si>
  <si>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</si>
  <si>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</si>
  <si>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</si>
  <si>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</si>
  <si>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</si>
  <si>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</si>
  <si>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</si>
  <si>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</si>
  <si>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</si>
  <si>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</si>
  <si>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</si>
  <si>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</si>
  <si>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</si>
  <si>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</si>
  <si>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</si>
  <si>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</si>
  <si>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</si>
  <si>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</si>
  <si>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</si>
  <si>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</si>
  <si>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</si>
  <si>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</si>
  <si>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</si>
  <si>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</si>
  <si>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</si>
  <si>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</si>
  <si>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</si>
  <si>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</si>
  <si>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</si>
  <si>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</si>
  <si>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</si>
  <si>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</si>
  <si>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</si>
  <si>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</si>
  <si>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</si>
  <si>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</si>
  <si>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</si>
  <si>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</si>
  <si>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</si>
  <si>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</si>
  <si>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</si>
  <si>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</si>
  <si>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</si>
  <si>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</si>
  <si>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</si>
  <si>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</si>
  <si>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</si>
  <si>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</si>
  <si>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</si>
  <si>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</si>
  <si>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</si>
  <si>
    <t>Bias Ratio</t>
  </si>
  <si>
    <t>Portfolio</t>
  </si>
  <si>
    <t>Benchmark</t>
  </si>
  <si>
    <t>Number of Std Devs</t>
  </si>
  <si>
    <t>Count Above</t>
  </si>
  <si>
    <t>Count Below</t>
  </si>
  <si>
    <t>Population Skewness</t>
  </si>
  <si>
    <t>Population Kurtosis</t>
  </si>
  <si>
    <t>Risk-Free</t>
  </si>
  <si>
    <t>Adjusted Sharpe Ratio</t>
  </si>
  <si>
    <t>Using Annualized Returns</t>
  </si>
  <si>
    <t>Per Period</t>
  </si>
  <si>
    <t>Tracking Error Arith</t>
  </si>
  <si>
    <t>Tracking Error Geom</t>
  </si>
  <si>
    <t>Annualized</t>
  </si>
  <si>
    <t>Information Ratio Arith</t>
  </si>
  <si>
    <t>Information Ratio Geom</t>
  </si>
  <si>
    <t>Std Deviation</t>
  </si>
  <si>
    <t>All Match?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</si>
  <si>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</si>
  <si>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All Equal?</t>
  </si>
  <si>
    <t>Monthly</t>
  </si>
  <si>
    <t>Appraisal Ratio</t>
  </si>
  <si>
    <t>Var Asset</t>
  </si>
  <si>
    <t>Var Mkt</t>
  </si>
  <si>
    <t>Mkt Risk</t>
  </si>
  <si>
    <t>Unique Risk</t>
  </si>
  <si>
    <t>Degree</t>
  </si>
  <si>
    <t>Semi-variance</t>
  </si>
  <si>
    <t>Semi-deviation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</si>
</sst>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%"/>
    <numFmt numFmtId="175" formatCode="_(* #,##0_);_(* \(#,##0\);_(* &quot;-&quot;??_);_(@_)"/>
    <numFmt numFmtId="176" formatCode="0.00000000%"/>
  </numFmts>
  <fonts count="6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74" fontId="0" fillId="0" borderId="0" xfId="2" applyNumberFormat="1" applyFont="1"/>
    <xf numFmtId="175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176" fontId="0" fillId="0" borderId="0" xfId="2" applyNumberFormat="1" applyFont="1"/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3" workbookViewId="0">
      <selection activeCell="N43" sqref="N43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1.0869212641710995</v>
      </c>
      <c r="H23" s="10">
        <f t="shared" ref="H23:H38" si="1">D23-G23</f>
        <v>0</v>
      </c>
      <c r="L23" cm="1">
        <f t="array" ref="L23">_xll.BullBeta(L3:L17,K3:K17)</f>
        <v>0.12710524781890767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0.54207326774062647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2.005118733674899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5.1687248496316764E-2</v>
      </c>
      <c r="H26" s="10">
        <f t="shared" si="1"/>
        <v>0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5.1676557020390521E-2</v>
      </c>
      <c r="H27" s="10">
        <f t="shared" si="1"/>
        <v>0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2.9990416146271964E-4</v>
      </c>
      <c r="H28" s="10">
        <f t="shared" si="1"/>
        <v>0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3.1381112145320415E-4</v>
      </c>
      <c r="H29" s="10">
        <f t="shared" si="1"/>
        <v>0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7.1946041713468107E-4</v>
      </c>
      <c r="H30" s="10">
        <f t="shared" si="1"/>
        <v>6.3278098688568547E-6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47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48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49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50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51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52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1"/>
      <c r="G41" s="16"/>
      <c r="H41" t="s">
        <v>81</v>
      </c>
      <c r="K41" t="s">
        <v>74</v>
      </c>
      <c r="L41" s="1"/>
    </row>
    <row r="42" spans="1:13" x14ac:dyDescent="0.25">
      <c r="E42" s="11"/>
      <c r="G42" s="18" t="str" cm="1">
        <f t="array" ref="G42:H51">_xll.FamaDecomposition(D3:D17,C3:C17,B3:B17,1.3,1)</f>
        <v>Risk Premium</v>
      </c>
      <c r="H42" s="1">
        <v>2.6868219460207676E-4</v>
      </c>
      <c r="I42" s="30"/>
      <c r="J42" s="36" t="str" cm="1">
        <f t="array" ref="J42:K51">_xll.FamaDecomposition(D3:D17,C3:C17,B3:B17,1.3,12)</f>
        <v>Risk Premium</v>
      </c>
      <c r="K42" s="1">
        <v>3.2324595721133775E-3</v>
      </c>
      <c r="L42" s="1"/>
      <c r="M42" s="11"/>
    </row>
    <row r="43" spans="1:13" x14ac:dyDescent="0.25">
      <c r="G43" t="str">
        <v>Due to Risk</v>
      </c>
      <c r="H43" s="1">
        <v>-4.5077822253260436E-4</v>
      </c>
      <c r="J43" s="36" t="str">
        <v>Due to Risk</v>
      </c>
      <c r="K43" s="1">
        <v>-5.4009881205370957E-3</v>
      </c>
      <c r="L43" s="1"/>
      <c r="M43" s="19"/>
    </row>
    <row r="44" spans="1:13" x14ac:dyDescent="0.25">
      <c r="G44" t="str">
        <v>Due to Investor's Risk</v>
      </c>
      <c r="H44" s="1">
        <v>-6.2182139203192932E-4</v>
      </c>
      <c r="J44" s="37" t="str">
        <v>Due to Investor's Risk</v>
      </c>
      <c r="K44" s="1">
        <v>-7.450337624101566E-3</v>
      </c>
    </row>
    <row r="45" spans="1:13" x14ac:dyDescent="0.25">
      <c r="G45" t="str">
        <v>Due to Manager's Risk</v>
      </c>
      <c r="H45" s="1">
        <v>1.7104316949932498E-4</v>
      </c>
      <c r="J45" s="37" t="str">
        <v>Due to Manager's Risk</v>
      </c>
      <c r="K45" s="1">
        <v>2.0493495035644707E-3</v>
      </c>
      <c r="L45" s="2"/>
      <c r="M45" s="20"/>
    </row>
    <row r="46" spans="1:13" x14ac:dyDescent="0.25">
      <c r="G46" t="str">
        <v>Due to Selectivity</v>
      </c>
      <c r="H46" s="1">
        <v>7.1946041713468107E-4</v>
      </c>
      <c r="J46" s="37" t="str">
        <v>Due to Selectivity</v>
      </c>
      <c r="K46" s="1">
        <v>8.6334476926504741E-3</v>
      </c>
    </row>
    <row r="47" spans="1:13" x14ac:dyDescent="0.25">
      <c r="G47" t="str">
        <v>Diversification</v>
      </c>
      <c r="H47" s="1">
        <v>8.6610762185780418E-5</v>
      </c>
      <c r="J47" s="37" t="str">
        <v>Diversification</v>
      </c>
      <c r="K47" s="1">
        <v>1.0377247042856628E-3</v>
      </c>
      <c r="L47" s="1"/>
    </row>
    <row r="48" spans="1:13" x14ac:dyDescent="0.25">
      <c r="G48" t="str">
        <v>Net Selectivity</v>
      </c>
      <c r="H48" s="1">
        <v>6.3284965494890067E-4</v>
      </c>
      <c r="J48" s="37" t="str">
        <v>Net Selectivity</v>
      </c>
      <c r="K48" s="1">
        <v>7.5957229883648111E-3</v>
      </c>
      <c r="L48" s="1"/>
    </row>
    <row r="49" spans="7:12" x14ac:dyDescent="0.25">
      <c r="G49" t="str">
        <v>Hypothetical Beta</v>
      </c>
      <c r="H49" s="29">
        <v>1.3134730578655347</v>
      </c>
      <c r="J49" s="23" t="str">
        <v>Hypothetical Beta</v>
      </c>
      <c r="K49" s="29">
        <v>1.3134730578655347</v>
      </c>
      <c r="L49" s="1"/>
    </row>
    <row r="50" spans="7:12" x14ac:dyDescent="0.25">
      <c r="G50" t="str">
        <v>Hypothetical Exp Return</v>
      </c>
      <c r="H50" s="1">
        <v>-5.2963667077848419E-4</v>
      </c>
      <c r="J50" s="37" t="str">
        <v>Hypothetical Exp Return</v>
      </c>
      <c r="K50" s="1">
        <v>-6.3433593458563399E-3</v>
      </c>
    </row>
    <row r="51" spans="7:12" x14ac:dyDescent="0.25">
      <c r="G51" t="str">
        <v>Hypothetical Risk Premium</v>
      </c>
      <c r="H51" s="1">
        <v>-6.2826588095260126E-4</v>
      </c>
      <c r="J51" s="37" t="str">
        <v>Hypothetical Risk Premium</v>
      </c>
      <c r="K51" s="1">
        <v>-7.527552108661021E-3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1.3736080990295685</v>
      </c>
      <c r="L27" s="21" cm="1">
        <f t="array" ref="L27">_xll.Beta(L2:L11,$L$2:$L$11)</f>
        <v>1</v>
      </c>
      <c r="M27" s="21" cm="1">
        <f t="array" ref="M27">_xll.Beta(M2:M11,$L$2:$L$11)</f>
        <v>-1.0437227785546526E-2</v>
      </c>
    </row>
    <row r="28" spans="8:13" x14ac:dyDescent="0.25">
      <c r="H28" t="s">
        <v>4</v>
      </c>
      <c r="I28" s="21" cm="1">
        <f t="array" ref="I28">_xll.SharpeRatio(I2:I11,$M$2:$M$11)</f>
        <v>1.1661937725811693</v>
      </c>
      <c r="J28" s="21" cm="1">
        <f t="array" ref="J28">_xll.SharpeRatio(J2:J11,$M$2:$M$11)</f>
        <v>5.599865370514838E-2</v>
      </c>
      <c r="K28" s="21" cm="1">
        <f t="array" ref="K28">_xll.SharpeRatio(K2:K11,$M$2:$M$11)</f>
        <v>0.45962709975051652</v>
      </c>
      <c r="L28" s="21" cm="1">
        <f t="array" ref="L28">_xll.SharpeRatio(L2:L11,$M$2:$M$11)</f>
        <v>0.56182641192316762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0.16550865893152097</v>
      </c>
      <c r="J29" s="21" cm="1">
        <f t="array" ref="J29">_xll.TreynorIndex(J2:J11,J27,$M$2:$M$11)</f>
        <v>1.9257822880708833E-2</v>
      </c>
      <c r="K29" s="21" cm="1">
        <f t="array" ref="K29">_xll.TreynorIndex(K2:K11,K27,$M$2:$M$11)</f>
        <v>6.5476970730925316E-2</v>
      </c>
      <c r="L29" s="21" cm="1">
        <f t="array" ref="L29">_xll.TreynorIndex(L2:L11,L27,$M$2:$M$11)</f>
        <v>6.5437700595033191E-2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0.15408274855897586</v>
      </c>
      <c r="J30" s="21" cm="1">
        <f t="array" ref="J30">_xll.JensensAlpha(J2:J11,$L$2:$L$11,$M$2:$M$11)</f>
        <v>-5.190139544964778E-2</v>
      </c>
      <c r="K30" s="21" cm="1">
        <f t="array" ref="K30">_xll.JensensAlpha(K2:K11,$L$2:$L$11,$M$2:$M$11)</f>
        <v>5.394177671140532E-5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6.8298818687275483E-4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F37"/>
  <sheetViews>
    <sheetView workbookViewId="0">
      <selection activeCell="E13" sqref="E1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6.28515625" bestFit="1" customWidth="1"/>
    <col min="4" max="4" width="19" bestFit="1" customWidth="1"/>
    <col min="5" max="5" width="12.7109375" bestFit="1" customWidth="1"/>
    <col min="6" max="6" width="10.7109375" bestFit="1" customWidth="1"/>
  </cols>
  <sheetData>
    <row r="1" spans="1:6" x14ac:dyDescent="0.25">
      <c r="A1" t="s">
        <v>61</v>
      </c>
      <c r="B1" t="s">
        <v>62</v>
      </c>
      <c r="E1" t="s">
        <v>61</v>
      </c>
      <c r="F1" t="s">
        <v>62</v>
      </c>
    </row>
    <row r="2" spans="1:6" x14ac:dyDescent="0.25">
      <c r="A2" s="14">
        <v>3.0000000000000001E-3</v>
      </c>
      <c r="B2" s="14">
        <v>2E-3</v>
      </c>
      <c r="D2" t="s">
        <v>66</v>
      </c>
      <c r="E2" s="21">
        <f>_xlfn.SKEW.P(A2:A37)</f>
        <v>-0.23799512754333593</v>
      </c>
      <c r="F2" s="21">
        <f>_xlfn.SKEW.P(B2:B37)</f>
        <v>-0.36250444107583124</v>
      </c>
    </row>
    <row r="3" spans="1:6" x14ac:dyDescent="0.25">
      <c r="A3" s="14">
        <v>2.6000000000000002E-2</v>
      </c>
      <c r="B3" s="14">
        <v>2.5000000000000001E-2</v>
      </c>
      <c r="D3" t="s">
        <v>66</v>
      </c>
      <c r="E3" s="21" cm="1">
        <f t="array" ref="E3">_xll.Skewness_P(A2:A37)</f>
        <v>-0.23799512754333596</v>
      </c>
      <c r="F3" s="21" cm="1">
        <f t="array" ref="F3">_xll.Skewness_P(B2:B37)</f>
        <v>-0.3625044410758313</v>
      </c>
    </row>
    <row r="4" spans="1:6" x14ac:dyDescent="0.25">
      <c r="A4" s="14">
        <v>1.1000000000000001E-2</v>
      </c>
      <c r="B4" s="14">
        <v>1.8000000000000002E-2</v>
      </c>
    </row>
    <row r="5" spans="1:6" x14ac:dyDescent="0.25">
      <c r="A5" s="14">
        <v>-9.0000000000000011E-3</v>
      </c>
      <c r="B5" s="14">
        <v>-1.1000000000000001E-2</v>
      </c>
      <c r="D5" t="s">
        <v>67</v>
      </c>
      <c r="E5" s="21" cm="1">
        <f t="array" ref="E5">_xll.Kurtosis_P_Excess(A2:A37)</f>
        <v>-2.2361140899221699E-2</v>
      </c>
      <c r="F5" s="21" cm="1">
        <f t="array" ref="F5">_xll.Kurtosis_P_Excess(B2:B37)</f>
        <v>4.4698088448780204E-2</v>
      </c>
    </row>
    <row r="6" spans="1:6" x14ac:dyDescent="0.25">
      <c r="A6" s="14">
        <v>1.3999999999999999E-2</v>
      </c>
      <c r="B6" s="14">
        <v>1.3999999999999999E-2</v>
      </c>
    </row>
    <row r="7" spans="1:6" x14ac:dyDescent="0.25">
      <c r="A7" s="14">
        <v>2.4E-2</v>
      </c>
      <c r="B7" s="14">
        <v>2.3E-2</v>
      </c>
      <c r="D7" t="s">
        <v>46</v>
      </c>
      <c r="E7" s="21">
        <f>COUNT(A2:A37)/6*(E3^2+E5^2/4)</f>
        <v>0.34060011533968482</v>
      </c>
      <c r="F7" s="21">
        <f>COUNT(B2:B37)/6*(F3^2+F5^2/4)</f>
        <v>0.79145369746466754</v>
      </c>
    </row>
    <row r="8" spans="1:6" x14ac:dyDescent="0.25">
      <c r="A8" s="14">
        <v>1.4999999999999999E-2</v>
      </c>
      <c r="B8" s="14">
        <v>1.3999999999999999E-2</v>
      </c>
      <c r="D8" t="s">
        <v>46</v>
      </c>
      <c r="E8" s="21" cm="1">
        <f t="array" ref="E8">_xll.JarqueBeraTest(A2:A37)</f>
        <v>0.34060011533968482</v>
      </c>
      <c r="F8" s="21" cm="1">
        <f t="array" ref="F8">_xll.JarqueBeraTest(B2:B37)</f>
        <v>0.79145369746466754</v>
      </c>
    </row>
    <row r="9" spans="1:6" x14ac:dyDescent="0.25">
      <c r="A9" s="14">
        <v>6.6000000000000003E-2</v>
      </c>
      <c r="B9" s="14">
        <v>6.5000000000000002E-2</v>
      </c>
    </row>
    <row r="10" spans="1:6" x14ac:dyDescent="0.25">
      <c r="A10" s="14">
        <v>-1.3999999999999999E-2</v>
      </c>
      <c r="B10" s="14">
        <v>-1.4999999999999999E-2</v>
      </c>
      <c r="D10" t="s">
        <v>44</v>
      </c>
      <c r="E10" s="21" cm="1">
        <f t="array" ref="E10">_xll.Skewness_S(A2:A37)</f>
        <v>-0.24847026397682553</v>
      </c>
      <c r="F10" s="21" cm="1">
        <f t="array" ref="F10">_xll.Skewness_S(B2:B37)</f>
        <v>-0.37845974031750912</v>
      </c>
    </row>
    <row r="11" spans="1:6" x14ac:dyDescent="0.25">
      <c r="A11" s="14">
        <v>3.9E-2</v>
      </c>
      <c r="B11" s="14">
        <v>4.2000000000000003E-2</v>
      </c>
      <c r="D11" t="s">
        <v>45</v>
      </c>
      <c r="E11" s="21" cm="1">
        <f t="array" ref="E11">_xll.Kurtosis_S(A2:A37)</f>
        <v>3.4367578632223772</v>
      </c>
      <c r="F11" s="21" cm="1">
        <f t="array" ref="F11">_xll.Kurtosis_S(B2:B37)</f>
        <v>3.5141568846177993</v>
      </c>
    </row>
    <row r="12" spans="1:6" x14ac:dyDescent="0.25">
      <c r="A12" s="14">
        <v>-5.0000000000000001E-3</v>
      </c>
      <c r="B12" s="14">
        <v>-3.0000000000000001E-3</v>
      </c>
    </row>
    <row r="13" spans="1:6" x14ac:dyDescent="0.25">
      <c r="A13" s="14">
        <v>8.1000000000000003E-2</v>
      </c>
      <c r="B13" s="14">
        <v>8.3000000000000004E-2</v>
      </c>
    </row>
    <row r="14" spans="1:6" x14ac:dyDescent="0.25">
      <c r="A14" s="14">
        <v>0.04</v>
      </c>
      <c r="B14" s="14">
        <v>3.9E-2</v>
      </c>
    </row>
    <row r="15" spans="1:6" x14ac:dyDescent="0.25">
      <c r="A15" s="14">
        <v>-3.7000000000000005E-2</v>
      </c>
      <c r="B15" s="14">
        <v>-3.7999999999999999E-2</v>
      </c>
    </row>
    <row r="16" spans="1:6" x14ac:dyDescent="0.25">
      <c r="A16" s="14">
        <v>-6.0999999999999999E-2</v>
      </c>
      <c r="B16" s="14">
        <v>-6.2E-2</v>
      </c>
    </row>
    <row r="17" spans="1:2" x14ac:dyDescent="0.25">
      <c r="A17" s="14">
        <v>1.3999999999999999E-2</v>
      </c>
      <c r="B17" s="14">
        <v>1.4999999999999999E-2</v>
      </c>
    </row>
    <row r="18" spans="1:2" x14ac:dyDescent="0.25">
      <c r="A18" s="14">
        <v>-4.9000000000000002E-2</v>
      </c>
      <c r="B18" s="14">
        <v>-4.8000000000000001E-2</v>
      </c>
    </row>
    <row r="19" spans="1:2" x14ac:dyDescent="0.25">
      <c r="A19" s="14">
        <v>-2.1000000000000001E-2</v>
      </c>
      <c r="B19" s="14">
        <v>-0.02</v>
      </c>
    </row>
    <row r="20" spans="1:2" x14ac:dyDescent="0.25">
      <c r="A20" s="14">
        <v>6.2E-2</v>
      </c>
      <c r="B20" s="14">
        <v>0.06</v>
      </c>
    </row>
    <row r="21" spans="1:2" x14ac:dyDescent="0.25">
      <c r="A21" s="14">
        <v>5.7999999999999996E-2</v>
      </c>
      <c r="B21" s="14">
        <v>5.5999999999999994E-2</v>
      </c>
    </row>
    <row r="22" spans="1:2" x14ac:dyDescent="0.25">
      <c r="A22" s="14">
        <v>-6.4000000000000001E-2</v>
      </c>
      <c r="B22" s="14">
        <v>-6.7000000000000004E-2</v>
      </c>
    </row>
    <row r="23" spans="1:2" x14ac:dyDescent="0.25">
      <c r="A23" s="14">
        <v>1.7000000000000001E-2</v>
      </c>
      <c r="B23" s="14">
        <v>1.9E-2</v>
      </c>
    </row>
    <row r="24" spans="1:2" x14ac:dyDescent="0.25">
      <c r="A24" s="14">
        <v>-4.0000000000000001E-3</v>
      </c>
      <c r="B24" s="14">
        <v>-3.0000000000000001E-3</v>
      </c>
    </row>
    <row r="25" spans="1:2" x14ac:dyDescent="0.25">
      <c r="A25" s="14">
        <v>-2E-3</v>
      </c>
      <c r="B25" s="14">
        <v>-1E-3</v>
      </c>
    </row>
    <row r="26" spans="1:2" x14ac:dyDescent="0.25">
      <c r="A26" s="14">
        <v>-2.1000000000000001E-2</v>
      </c>
      <c r="B26" s="14">
        <v>-2.6000000000000002E-2</v>
      </c>
    </row>
    <row r="27" spans="1:2" x14ac:dyDescent="0.25">
      <c r="A27" s="14">
        <v>1.1000000000000001E-2</v>
      </c>
      <c r="B27" s="14">
        <v>6.9999999999999993E-3</v>
      </c>
    </row>
    <row r="28" spans="1:2" x14ac:dyDescent="0.25">
      <c r="A28" s="14">
        <v>4.7E-2</v>
      </c>
      <c r="B28" s="14">
        <v>4.2999999999999997E-2</v>
      </c>
    </row>
    <row r="29" spans="1:2" x14ac:dyDescent="0.25">
      <c r="A29" s="14">
        <v>2.4E-2</v>
      </c>
      <c r="B29" s="14">
        <v>2.8999999999999998E-2</v>
      </c>
    </row>
    <row r="30" spans="1:2" x14ac:dyDescent="0.25">
      <c r="A30" s="14">
        <v>3.3000000000000002E-2</v>
      </c>
      <c r="B30" s="14">
        <v>3.7999999999999999E-2</v>
      </c>
    </row>
    <row r="31" spans="1:2" x14ac:dyDescent="0.25">
      <c r="A31" s="14">
        <v>-6.9999999999999993E-3</v>
      </c>
      <c r="B31" s="14">
        <v>-2E-3</v>
      </c>
    </row>
    <row r="32" spans="1:2" x14ac:dyDescent="0.25">
      <c r="A32" s="14">
        <v>4.7E-2</v>
      </c>
      <c r="B32" s="14">
        <v>5.0999999999999997E-2</v>
      </c>
    </row>
    <row r="33" spans="1:2" x14ac:dyDescent="0.25">
      <c r="A33" s="14">
        <v>6.0000000000000001E-3</v>
      </c>
      <c r="B33" s="14">
        <v>1.3999999999999999E-2</v>
      </c>
    </row>
    <row r="34" spans="1:2" x14ac:dyDescent="0.25">
      <c r="A34" s="14">
        <v>0.01</v>
      </c>
      <c r="B34" s="14">
        <v>1.3000000000000001E-2</v>
      </c>
    </row>
    <row r="35" spans="1:2" x14ac:dyDescent="0.25">
      <c r="A35" s="14">
        <v>-2E-3</v>
      </c>
      <c r="B35" s="14">
        <v>3.0000000000000001E-3</v>
      </c>
    </row>
    <row r="36" spans="1:2" x14ac:dyDescent="0.25">
      <c r="A36" s="14">
        <v>3.4000000000000002E-2</v>
      </c>
      <c r="B36" s="14">
        <v>3.4000000000000002E-2</v>
      </c>
    </row>
    <row r="37" spans="1:2" x14ac:dyDescent="0.25">
      <c r="A37" s="14">
        <v>0.01</v>
      </c>
      <c r="B37" s="14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workbookViewId="0">
      <selection activeCell="I14" sqref="I14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8.7109375" bestFit="1" customWidth="1"/>
    <col min="8" max="9" width="11.7109375" customWidth="1"/>
  </cols>
  <sheetData>
    <row r="1" spans="1:9" x14ac:dyDescent="0.25">
      <c r="A1" t="s">
        <v>53</v>
      </c>
      <c r="B1" t="s">
        <v>54</v>
      </c>
      <c r="D1" t="s">
        <v>57</v>
      </c>
      <c r="E1" t="s">
        <v>58</v>
      </c>
      <c r="H1" t="s">
        <v>61</v>
      </c>
      <c r="I1" t="s">
        <v>62</v>
      </c>
    </row>
    <row r="2" spans="1:9" x14ac:dyDescent="0.25">
      <c r="A2" s="32">
        <v>3.0000000000000001E-3</v>
      </c>
      <c r="B2" s="32">
        <v>2E-3</v>
      </c>
      <c r="C2" s="32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2">
        <v>2.6000000000000002E-2</v>
      </c>
      <c r="B3" s="32">
        <v>2.5000000000000001E-2</v>
      </c>
      <c r="C3" s="32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2">
        <v>1.1000000000000001E-2</v>
      </c>
      <c r="B4" s="32">
        <v>1.8000000000000002E-2</v>
      </c>
      <c r="C4" s="32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56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2">
        <v>-9.0000000000000011E-3</v>
      </c>
      <c r="B5" s="32">
        <v>-1.1000000000000001E-2</v>
      </c>
      <c r="C5" s="32"/>
      <c r="D5" s="14">
        <f t="shared" si="0"/>
        <v>-1.3000000000000001E-2</v>
      </c>
      <c r="E5" s="14">
        <f t="shared" si="1"/>
        <v>-1.4000000000000007E-2</v>
      </c>
      <c r="G5" t="s">
        <v>59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2">
        <v>1.3999999999999999E-2</v>
      </c>
      <c r="B6" s="32">
        <v>1.3999999999999999E-2</v>
      </c>
      <c r="C6" s="32"/>
      <c r="D6" s="14">
        <f t="shared" si="0"/>
        <v>-1.0000000000000004E-2</v>
      </c>
      <c r="E6" s="14">
        <f t="shared" si="1"/>
        <v>-1.2000000000000011E-2</v>
      </c>
      <c r="G6" t="s">
        <v>55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2">
        <v>2.4E-2</v>
      </c>
      <c r="B7" s="32">
        <v>2.3E-2</v>
      </c>
      <c r="C7" s="32"/>
      <c r="D7" s="14">
        <f t="shared" si="0"/>
        <v>2.9999999999999957E-3</v>
      </c>
      <c r="E7" s="14">
        <f t="shared" si="1"/>
        <v>-1.000000000000013E-3</v>
      </c>
      <c r="G7" t="s">
        <v>55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2">
        <v>1.4999999999999999E-2</v>
      </c>
      <c r="B8" s="32">
        <v>1.3999999999999999E-2</v>
      </c>
      <c r="C8" s="32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2">
        <v>6.6000000000000003E-2</v>
      </c>
      <c r="B9" s="32">
        <v>6.5000000000000002E-2</v>
      </c>
      <c r="C9" s="32"/>
      <c r="D9" s="14">
        <f t="shared" si="0"/>
        <v>6.1999999999999993E-2</v>
      </c>
      <c r="E9" s="14">
        <f t="shared" si="1"/>
        <v>5.3999999999999986E-2</v>
      </c>
      <c r="H9" t="s">
        <v>61</v>
      </c>
      <c r="I9" t="s">
        <v>62</v>
      </c>
    </row>
    <row r="10" spans="1:9" x14ac:dyDescent="0.25">
      <c r="A10" s="32">
        <v>-1.3999999999999999E-2</v>
      </c>
      <c r="B10" s="32">
        <v>-1.4999999999999999E-2</v>
      </c>
      <c r="C10" s="32"/>
      <c r="D10" s="14">
        <f t="shared" si="0"/>
        <v>3.6999999999999991E-2</v>
      </c>
      <c r="E10" s="14">
        <f t="shared" si="1"/>
        <v>2.6999999999999982E-2</v>
      </c>
      <c r="G10" t="s">
        <v>63</v>
      </c>
      <c r="H10" s="34">
        <v>1</v>
      </c>
      <c r="I10" s="34">
        <f>H10</f>
        <v>1</v>
      </c>
    </row>
    <row r="11" spans="1:9" x14ac:dyDescent="0.25">
      <c r="A11" s="32">
        <v>3.9E-2</v>
      </c>
      <c r="B11" s="32">
        <v>4.2000000000000003E-2</v>
      </c>
      <c r="C11" s="32"/>
      <c r="D11" s="14">
        <f t="shared" si="0"/>
        <v>6.4999999999999988E-2</v>
      </c>
      <c r="E11" s="14">
        <f t="shared" si="1"/>
        <v>5.6999999999999974E-2</v>
      </c>
      <c r="G11" t="s">
        <v>64</v>
      </c>
      <c r="H11" s="33" cm="1">
        <f t="array" ref="H11">SUM((A2:A37&gt;=0)*(A2:A37&lt;=H3))</f>
        <v>14</v>
      </c>
      <c r="I11" s="33" cm="1">
        <f t="array" ref="I11">SUM((B2:B37&gt;=0)*(B2:B37&lt;=I3))</f>
        <v>14</v>
      </c>
    </row>
    <row r="12" spans="1:9" x14ac:dyDescent="0.25">
      <c r="A12" s="32">
        <v>-5.0000000000000001E-3</v>
      </c>
      <c r="B12" s="32">
        <v>-3.0000000000000001E-3</v>
      </c>
      <c r="C12" s="32"/>
      <c r="D12" s="14">
        <f t="shared" si="0"/>
        <v>4.8999999999999988E-2</v>
      </c>
      <c r="E12" s="14">
        <f t="shared" si="1"/>
        <v>4.1999999999999968E-2</v>
      </c>
      <c r="G12" t="s">
        <v>65</v>
      </c>
      <c r="H12" s="33" cm="1">
        <f t="array" ref="H12">SUM((A2:A37&lt;0)*(A2:A37&gt;=-H3))</f>
        <v>9</v>
      </c>
      <c r="I12" s="33" cm="1">
        <f t="array" ref="I12">SUM((B2:B37&lt;0)*(B2:B37&gt;=-I3))</f>
        <v>8</v>
      </c>
    </row>
    <row r="13" spans="1:9" x14ac:dyDescent="0.25">
      <c r="A13" s="32">
        <v>8.1000000000000003E-2</v>
      </c>
      <c r="B13" s="32">
        <v>8.3000000000000004E-2</v>
      </c>
      <c r="C13" s="32"/>
      <c r="D13" s="14">
        <f t="shared" si="0"/>
        <v>0.11900000000000001</v>
      </c>
      <c r="E13" s="14">
        <f t="shared" si="1"/>
        <v>0.11299999999999998</v>
      </c>
      <c r="G13" t="s">
        <v>60</v>
      </c>
      <c r="H13" s="28" cm="1">
        <f t="array" ref="H13">SUM((A2:A37&gt;=0)*(A2:A37&lt;=H3*H10))/(1+SUM((A2:A37&lt;0)*(A2:A37&gt;=-H3*H10)))</f>
        <v>1.4</v>
      </c>
      <c r="I13" s="28" cm="1">
        <f t="array" ref="I13">SUM((B2:B37&gt;=0)*(B2:B37&lt;=I3*I10))/(1+SUM((B2:B37&lt;0)*(B2:B37&gt;=-I3*I10)))</f>
        <v>1.5555555555555556</v>
      </c>
    </row>
    <row r="14" spans="1:9" x14ac:dyDescent="0.25">
      <c r="A14" s="32">
        <v>0.04</v>
      </c>
      <c r="B14" s="32">
        <v>3.9E-2</v>
      </c>
      <c r="C14" s="32"/>
      <c r="D14" s="14">
        <f t="shared" si="0"/>
        <v>0.14799999999999999</v>
      </c>
      <c r="E14" s="14">
        <f t="shared" si="1"/>
        <v>0.13999999999999996</v>
      </c>
      <c r="G14" t="s">
        <v>60</v>
      </c>
      <c r="H14" s="28" cm="1">
        <f t="array" ref="H14">_xll.BiasRatio(A2:A37,H10)</f>
        <v>1.4</v>
      </c>
      <c r="I14" s="28" cm="1">
        <f t="array" ref="I14">_xll.BiasRatio(B2:B37,I10)</f>
        <v>1.5555555555555556</v>
      </c>
    </row>
    <row r="15" spans="1:9" x14ac:dyDescent="0.25">
      <c r="A15" s="32">
        <v>-3.7000000000000005E-2</v>
      </c>
      <c r="B15" s="32">
        <v>-3.7999999999999999E-2</v>
      </c>
      <c r="C15" s="32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2">
        <v>-6.0999999999999999E-2</v>
      </c>
      <c r="B16" s="32">
        <v>-6.2E-2</v>
      </c>
      <c r="C16" s="32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2">
        <v>1.3999999999999999E-2</v>
      </c>
      <c r="B17" s="32">
        <v>1.4999999999999999E-2</v>
      </c>
      <c r="C17" s="32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2">
        <v>-4.9000000000000002E-2</v>
      </c>
      <c r="B18" s="32">
        <v>-4.8000000000000001E-2</v>
      </c>
      <c r="C18" s="32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2">
        <v>-2.1000000000000001E-2</v>
      </c>
      <c r="B19" s="32">
        <v>-0.02</v>
      </c>
      <c r="C19" s="32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2">
        <v>6.2E-2</v>
      </c>
      <c r="B20" s="32">
        <v>0.06</v>
      </c>
      <c r="C20" s="32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2">
        <v>5.7999999999999996E-2</v>
      </c>
      <c r="B21" s="32">
        <v>5.5999999999999994E-2</v>
      </c>
      <c r="C21" s="32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2">
        <v>-6.4000000000000001E-2</v>
      </c>
      <c r="B22" s="32">
        <v>-6.7000000000000004E-2</v>
      </c>
      <c r="C22" s="32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2">
        <v>1.7000000000000001E-2</v>
      </c>
      <c r="B23" s="32">
        <v>1.9E-2</v>
      </c>
      <c r="C23" s="32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2">
        <v>-4.0000000000000001E-3</v>
      </c>
      <c r="B24" s="32">
        <v>-3.0000000000000001E-3</v>
      </c>
      <c r="C24" s="32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2">
        <v>-2E-3</v>
      </c>
      <c r="B25" s="32">
        <v>-1E-3</v>
      </c>
      <c r="C25" s="32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2">
        <v>-2.1000000000000001E-2</v>
      </c>
      <c r="B26" s="32">
        <v>-2.6000000000000002E-2</v>
      </c>
      <c r="C26" s="32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2">
        <v>1.1000000000000001E-2</v>
      </c>
      <c r="B27" s="32">
        <v>6.9999999999999993E-3</v>
      </c>
      <c r="C27" s="32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2">
        <v>4.7E-2</v>
      </c>
      <c r="B28" s="32">
        <v>4.2999999999999997E-2</v>
      </c>
      <c r="C28" s="32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2">
        <v>2.4E-2</v>
      </c>
      <c r="B29" s="32">
        <v>2.8999999999999998E-2</v>
      </c>
      <c r="C29" s="32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2">
        <v>3.3000000000000002E-2</v>
      </c>
      <c r="B30" s="32">
        <v>3.7999999999999999E-2</v>
      </c>
      <c r="C30" s="32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2">
        <v>-6.9999999999999993E-3</v>
      </c>
      <c r="B31" s="32">
        <v>-2E-3</v>
      </c>
      <c r="C31" s="32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2">
        <v>4.7E-2</v>
      </c>
      <c r="B32" s="32">
        <v>5.0999999999999997E-2</v>
      </c>
      <c r="C32" s="32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2">
        <v>6.0000000000000001E-3</v>
      </c>
      <c r="B33" s="32">
        <v>1.3999999999999999E-2</v>
      </c>
      <c r="C33" s="32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2">
        <v>0.01</v>
      </c>
      <c r="B34" s="32">
        <v>1.3000000000000001E-2</v>
      </c>
      <c r="C34" s="32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2">
        <v>-2E-3</v>
      </c>
      <c r="B35" s="32">
        <v>3.0000000000000001E-3</v>
      </c>
      <c r="C35" s="32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2">
        <v>3.4000000000000002E-2</v>
      </c>
      <c r="B36" s="32">
        <v>3.4000000000000002E-2</v>
      </c>
      <c r="C36" s="32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2">
        <v>0.01</v>
      </c>
      <c r="B37" s="32">
        <v>2.1000000000000001E-2</v>
      </c>
      <c r="C37" s="32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20BF-B3A2-4768-8CA5-EE00905CFCE9}">
  <dimension ref="A1:M37"/>
  <sheetViews>
    <sheetView workbookViewId="0">
      <selection activeCell="F13" sqref="F13"/>
    </sheetView>
  </sheetViews>
  <sheetFormatPr defaultRowHeight="15" x14ac:dyDescent="0.25"/>
  <cols>
    <col min="2" max="2" width="10.7109375" bestFit="1" customWidth="1"/>
    <col min="5" max="5" width="22.140625" bestFit="1" customWidth="1"/>
    <col min="6" max="6" width="20.7109375" bestFit="1" customWidth="1"/>
    <col min="7" max="7" width="23.28515625" bestFit="1" customWidth="1"/>
    <col min="9" max="9" width="12" bestFit="1" customWidth="1"/>
    <col min="10" max="10" width="23.28515625" bestFit="1" customWidth="1"/>
    <col min="12" max="12" width="10" bestFit="1" customWidth="1"/>
    <col min="13" max="13" width="23.28515625" bestFit="1" customWidth="1"/>
  </cols>
  <sheetData>
    <row r="1" spans="1:13" x14ac:dyDescent="0.25">
      <c r="A1" t="s">
        <v>61</v>
      </c>
      <c r="B1" t="s">
        <v>62</v>
      </c>
      <c r="C1" t="s">
        <v>68</v>
      </c>
      <c r="F1" s="4" t="s">
        <v>61</v>
      </c>
      <c r="G1" s="4"/>
      <c r="I1" s="4" t="s">
        <v>62</v>
      </c>
      <c r="J1" s="4"/>
      <c r="L1" s="4" t="s">
        <v>68</v>
      </c>
      <c r="M1" s="4"/>
    </row>
    <row r="2" spans="1:13" x14ac:dyDescent="0.25">
      <c r="A2" s="14">
        <v>3.0000000000000001E-3</v>
      </c>
      <c r="B2" s="32">
        <v>2E-3</v>
      </c>
      <c r="C2" s="14">
        <v>1E-3</v>
      </c>
      <c r="F2" t="s">
        <v>71</v>
      </c>
      <c r="G2" t="s">
        <v>70</v>
      </c>
      <c r="I2" t="s">
        <v>71</v>
      </c>
      <c r="J2" t="s">
        <v>70</v>
      </c>
      <c r="L2" t="s">
        <v>71</v>
      </c>
      <c r="M2" t="s">
        <v>70</v>
      </c>
    </row>
    <row r="3" spans="1:13" x14ac:dyDescent="0.25">
      <c r="A3" s="14">
        <v>2.6000000000000002E-2</v>
      </c>
      <c r="B3" s="32">
        <v>2.5000000000000001E-2</v>
      </c>
      <c r="C3" s="14">
        <v>1E-3</v>
      </c>
      <c r="E3" t="s">
        <v>2</v>
      </c>
      <c r="F3" s="1" cm="1">
        <f t="array" ref="F3">GEOMEAN(1+A2:A37)-1</f>
        <v>1.0452163610398468E-2</v>
      </c>
      <c r="G3" s="1" cm="1">
        <f t="array" ref="G3">PRODUCT(1+A2:A37)^(12/36)-1</f>
        <v>0.13289353350977429</v>
      </c>
      <c r="I3" s="1" cm="1">
        <f t="array" ref="I3">GEOMEAN(1+B2:B37)-1</f>
        <v>1.1436247371426456E-2</v>
      </c>
      <c r="J3" s="1" cm="1">
        <f t="array" ref="J3">PRODUCT(1+B2:B37)^(12/36)-1</f>
        <v>0.14620464307207515</v>
      </c>
      <c r="L3" s="1" cm="1">
        <f t="array" ref="L3">GEOMEAN(1+C2:C37)-1</f>
        <v>1.9995843306364058E-3</v>
      </c>
      <c r="M3" s="1" cm="1">
        <f t="array" ref="M3">PRODUCT(1+C2:C37)^(12/36)-1</f>
        <v>2.4260669083983943E-2</v>
      </c>
    </row>
    <row r="4" spans="1:13" x14ac:dyDescent="0.25">
      <c r="A4" s="14">
        <v>1.1000000000000001E-2</v>
      </c>
      <c r="B4" s="32">
        <v>1.8000000000000002E-2</v>
      </c>
      <c r="C4" s="14">
        <v>2E-3</v>
      </c>
      <c r="E4" t="s">
        <v>77</v>
      </c>
      <c r="F4" s="1">
        <f>_xlfn.STDEV.P(A2:A37)</f>
        <v>3.3173784830796742E-2</v>
      </c>
      <c r="G4" s="1">
        <f>F4*SQRT(12)</f>
        <v>0.11491736161259533</v>
      </c>
      <c r="I4" s="1">
        <f>_xlfn.STDEV.P(B2:B37)</f>
        <v>3.3620430296671298E-2</v>
      </c>
      <c r="J4" s="1">
        <f>I4*SQRT(12)</f>
        <v>0.11646458689232533</v>
      </c>
      <c r="L4" s="1">
        <f>_xlfn.STDEV.P(C2:C37)</f>
        <v>9.1287092917527674E-4</v>
      </c>
      <c r="M4" s="1">
        <f>L4*SQRT(12)</f>
        <v>3.1622776601683785E-3</v>
      </c>
    </row>
    <row r="5" spans="1:13" x14ac:dyDescent="0.25">
      <c r="A5" s="14">
        <v>-9.0000000000000011E-3</v>
      </c>
      <c r="B5" s="32">
        <v>-1.1000000000000001E-2</v>
      </c>
      <c r="C5" s="14">
        <v>2E-3</v>
      </c>
    </row>
    <row r="6" spans="1:13" x14ac:dyDescent="0.25">
      <c r="A6" s="14">
        <v>1.3999999999999999E-2</v>
      </c>
      <c r="B6" s="32">
        <v>1.3999999999999999E-2</v>
      </c>
      <c r="C6" s="14">
        <v>2E-3</v>
      </c>
      <c r="E6" t="s">
        <v>4</v>
      </c>
      <c r="F6" s="21">
        <f>(F3-L3)/F4</f>
        <v>0.25479695255981605</v>
      </c>
      <c r="G6" s="21">
        <f>(G3-M3)/G4</f>
        <v>0.94531290051723404</v>
      </c>
    </row>
    <row r="7" spans="1:13" x14ac:dyDescent="0.25">
      <c r="A7" s="14">
        <v>2.4E-2</v>
      </c>
      <c r="B7" s="32">
        <v>2.3E-2</v>
      </c>
      <c r="C7" s="14">
        <v>2E-3</v>
      </c>
      <c r="E7" s="14" t="s">
        <v>24</v>
      </c>
      <c r="F7" s="21" cm="1">
        <f t="array" ref="F7">(F3-L3)/_xlfn.STDEV.P(A2:A37-C2:C37)</f>
        <v>0.25497722129753936</v>
      </c>
      <c r="G7" s="21" cm="1">
        <f t="array" ref="G7">(G3-M3)/(_xlfn.STDEV.P(A2:A37-C2:C37)*SQRT(12))</f>
        <v>0.9459817090002941</v>
      </c>
      <c r="J7">
        <f>_xlfn.VAR.P(B2:B37)</f>
        <v>1.1303333333333335E-3</v>
      </c>
    </row>
    <row r="8" spans="1:13" x14ac:dyDescent="0.25">
      <c r="A8" s="14">
        <v>1.4999999999999999E-2</v>
      </c>
      <c r="B8" s="32">
        <v>1.3999999999999999E-2</v>
      </c>
      <c r="C8" s="14">
        <v>2E-3</v>
      </c>
      <c r="E8" t="s">
        <v>69</v>
      </c>
      <c r="F8" s="21" cm="1">
        <f t="array" ref="F8">F6+_xll.Skewness_P(A2:A37)/6*F6^2-(_xll.Kurtosis_P(A2:A37)-3)/24*F6^3</f>
        <v>0.25223719852260701</v>
      </c>
      <c r="G8" s="27" cm="1">
        <f t="array" ref="G8">G6+_xll.Skewness_P(A2:A37)/6*G6^2-(_xll.Kurtosis_P(A2:A37)-3)/24*G6^3</f>
        <v>0.91065390211902919</v>
      </c>
    </row>
    <row r="9" spans="1:13" ht="18" x14ac:dyDescent="0.25">
      <c r="A9" s="14">
        <v>6.6000000000000003E-2</v>
      </c>
      <c r="B9" s="32">
        <v>6.5000000000000002E-2</v>
      </c>
      <c r="C9" s="14">
        <v>3.0000000000000001E-3</v>
      </c>
      <c r="E9" t="s">
        <v>79</v>
      </c>
      <c r="F9" s="1">
        <f>F6*_xlfn.STDEV.P($B$2:$B$37)+$L$3</f>
        <v>1.0565967513977965E-2</v>
      </c>
      <c r="G9" s="1">
        <f>G6*_xlfn.STDEV.P($B$2:$B$37)*SQRT(12)+M3</f>
        <v>0.13435614552670944</v>
      </c>
    </row>
    <row r="10" spans="1:13" x14ac:dyDescent="0.25">
      <c r="A10" s="14">
        <v>-1.3999999999999999E-2</v>
      </c>
      <c r="B10" s="32">
        <v>-1.4999999999999999E-2</v>
      </c>
      <c r="C10" s="14">
        <v>3.0000000000000001E-3</v>
      </c>
      <c r="E10" t="s">
        <v>8</v>
      </c>
      <c r="F10" s="21">
        <f>_xlfn.COVARIANCE.P(A2:A37,B2:B37)/_xlfn.VAR.P(B2:B37)</f>
        <v>0.98144598446869191</v>
      </c>
      <c r="G10" s="1"/>
    </row>
    <row r="11" spans="1:13" x14ac:dyDescent="0.25">
      <c r="A11" s="14">
        <v>3.9E-2</v>
      </c>
      <c r="B11" s="32">
        <v>4.2000000000000003E-2</v>
      </c>
      <c r="C11" s="14">
        <v>4.0000000000000001E-3</v>
      </c>
      <c r="E11" t="s">
        <v>7</v>
      </c>
      <c r="F11" s="21">
        <f>(F3-L3)/F10</f>
        <v>8.6123733893902332E-3</v>
      </c>
      <c r="G11" s="21">
        <f>(G3-M3)/F10</f>
        <v>0.11068654428760948</v>
      </c>
    </row>
    <row r="12" spans="1:13" x14ac:dyDescent="0.25">
      <c r="A12" s="14">
        <v>-5.0000000000000001E-3</v>
      </c>
      <c r="B12" s="32">
        <v>-3.0000000000000001E-3</v>
      </c>
      <c r="C12" s="14">
        <v>4.0000000000000001E-3</v>
      </c>
      <c r="E12" t="s">
        <v>11</v>
      </c>
      <c r="F12" s="1">
        <f>F3-L3-F10*(I3-L3)</f>
        <v>-8.089957684054485E-4</v>
      </c>
      <c r="G12" s="1">
        <f>G3-M3-F10*(J3-M3)</f>
        <v>-1.104855917497638E-2</v>
      </c>
      <c r="I12" s="28"/>
    </row>
    <row r="13" spans="1:13" x14ac:dyDescent="0.25">
      <c r="A13" s="14">
        <v>8.1000000000000003E-2</v>
      </c>
      <c r="B13" s="32">
        <v>8.3000000000000004E-2</v>
      </c>
      <c r="C13" s="14">
        <v>3.0000000000000001E-3</v>
      </c>
      <c r="E13" t="s">
        <v>82</v>
      </c>
      <c r="F13" s="8">
        <f>F12/SQRT(_xlfn.VAR.P(A2:A37)-F10^2*_xlfn.VAR.P(B2:B37))</f>
        <v>-0.23629010561291675</v>
      </c>
    </row>
    <row r="14" spans="1:13" x14ac:dyDescent="0.25">
      <c r="A14" s="14">
        <v>0.04</v>
      </c>
      <c r="B14" s="32">
        <v>3.9E-2</v>
      </c>
      <c r="C14" s="14">
        <v>3.0000000000000001E-3</v>
      </c>
      <c r="E14" t="s">
        <v>88</v>
      </c>
      <c r="F14" s="8" cm="1">
        <f t="array" ref="F14">SUM(IF(AVERAGE(A2:A37)-A2:A37&lt;0,0,(AVERAGE(A2:A37)-A2:A37)^2))/COUNT(A2:A37)</f>
        <v>5.83888888888889E-4</v>
      </c>
    </row>
    <row r="15" spans="1:13" x14ac:dyDescent="0.25">
      <c r="A15" s="14">
        <v>-3.7000000000000005E-2</v>
      </c>
      <c r="B15" s="32">
        <v>-3.7999999999999999E-2</v>
      </c>
      <c r="C15" s="14">
        <v>3.0000000000000001E-3</v>
      </c>
      <c r="E15" t="s">
        <v>89</v>
      </c>
      <c r="F15" s="8">
        <f>SQRT(F14)</f>
        <v>2.4163792932585915E-2</v>
      </c>
    </row>
    <row r="16" spans="1:13" x14ac:dyDescent="0.25">
      <c r="A16" s="14">
        <v>-6.0999999999999999E-2</v>
      </c>
      <c r="B16" s="32">
        <v>-6.2E-2</v>
      </c>
      <c r="C16" s="14">
        <v>3.0000000000000001E-3</v>
      </c>
    </row>
    <row r="17" spans="1:11" x14ac:dyDescent="0.25">
      <c r="A17" s="14">
        <v>1.3999999999999999E-2</v>
      </c>
      <c r="B17" s="32">
        <v>1.4999999999999999E-2</v>
      </c>
      <c r="C17" s="14">
        <v>4.0000000000000001E-3</v>
      </c>
      <c r="E17" t="s">
        <v>4</v>
      </c>
      <c r="F17" s="21" cm="1">
        <f t="array" ref="F17">_xll.SharpeRatio(A2:A37,C2:C37,1)</f>
        <v>0.25479695255981605</v>
      </c>
      <c r="G17" s="21" cm="1">
        <f t="array" ref="G17">_xll.SharpeRatio(A2:A37,C2:C37,12)</f>
        <v>0.94531290051723404</v>
      </c>
      <c r="I17" t="s">
        <v>80</v>
      </c>
      <c r="J17" t="b" cm="1">
        <f t="array" ref="J17">AND(F6:G15=F17:G26)</f>
        <v>0</v>
      </c>
    </row>
    <row r="18" spans="1:11" x14ac:dyDescent="0.25">
      <c r="A18" s="14">
        <v>-4.9000000000000002E-2</v>
      </c>
      <c r="B18" s="32">
        <v>-4.8000000000000001E-2</v>
      </c>
      <c r="C18" s="14">
        <v>2E-3</v>
      </c>
      <c r="E18" s="14" t="s">
        <v>24</v>
      </c>
      <c r="F18" s="21" cm="1">
        <f t="array" ref="F18">_xll.RevisedSharpeRatio(A2:A37,C2:C37,1)</f>
        <v>0.25497722129753936</v>
      </c>
      <c r="G18" s="21" cm="1">
        <f t="array" ref="G18">_xll.RevisedSharpeRatio(A2:A37,C2:C37,12)</f>
        <v>0.9459817090002941</v>
      </c>
    </row>
    <row r="19" spans="1:11" x14ac:dyDescent="0.25">
      <c r="A19" s="14">
        <v>-2.1000000000000001E-2</v>
      </c>
      <c r="B19" s="32">
        <v>-0.02</v>
      </c>
      <c r="C19" s="14">
        <v>2E-3</v>
      </c>
      <c r="E19" t="s">
        <v>69</v>
      </c>
      <c r="F19" s="21" cm="1">
        <f t="array" ref="F19">_xll.AdjustedSharpeRatio(A2:A37,C2:C37,1)</f>
        <v>0.25223719852260701</v>
      </c>
      <c r="G19" s="21" cm="1">
        <f t="array" ref="G19">_xll.AdjustedSharpeRatio(A2:A37,C2:C37,12)</f>
        <v>0.91065390211902919</v>
      </c>
    </row>
    <row r="20" spans="1:11" ht="18" x14ac:dyDescent="0.25">
      <c r="A20" s="14">
        <v>6.2E-2</v>
      </c>
      <c r="B20" s="32">
        <v>0.06</v>
      </c>
      <c r="C20" s="14">
        <v>2E-3</v>
      </c>
      <c r="E20" t="s">
        <v>79</v>
      </c>
      <c r="F20" s="1" cm="1">
        <f t="array" ref="F20">_xll.MSquared(A2:A37,B2:B37,C2:C37,1)</f>
        <v>1.0565967513977965E-2</v>
      </c>
      <c r="G20" s="1" cm="1">
        <f t="array" ref="G20">_xll.MSquared(A2:A37,B2:B37,C2:C37,12)</f>
        <v>0.13435614552670944</v>
      </c>
    </row>
    <row r="21" spans="1:11" x14ac:dyDescent="0.25">
      <c r="A21" s="14">
        <v>5.7999999999999996E-2</v>
      </c>
      <c r="B21" s="32">
        <v>5.5999999999999994E-2</v>
      </c>
      <c r="C21" s="14">
        <v>1E-3</v>
      </c>
      <c r="E21" t="s">
        <v>8</v>
      </c>
      <c r="F21" s="21" cm="1">
        <f t="array" ref="F21">_xll.Beta(A2:A37,B2:B37)</f>
        <v>0.98144598446869202</v>
      </c>
    </row>
    <row r="22" spans="1:11" x14ac:dyDescent="0.25">
      <c r="A22" s="14">
        <v>-6.4000000000000001E-2</v>
      </c>
      <c r="B22" s="32">
        <v>-6.7000000000000004E-2</v>
      </c>
      <c r="C22" s="14">
        <v>1E-3</v>
      </c>
      <c r="E22" t="s">
        <v>7</v>
      </c>
      <c r="F22" s="21" cm="1">
        <f t="array" ref="F22">_xll.TreynorIndex(A2:A37,F21,C2:C37,1)</f>
        <v>8.6123733893902332E-3</v>
      </c>
      <c r="G22" s="21" cm="1">
        <f t="array" ref="G22">_xll.TreynorIndex(A2:A37,F21,C2:C37,12)</f>
        <v>0.11068654428760946</v>
      </c>
    </row>
    <row r="23" spans="1:11" x14ac:dyDescent="0.25">
      <c r="A23" s="14">
        <v>1.7000000000000001E-2</v>
      </c>
      <c r="B23" s="32">
        <v>1.9E-2</v>
      </c>
      <c r="C23" s="14">
        <v>1E-3</v>
      </c>
      <c r="E23" t="s">
        <v>11</v>
      </c>
      <c r="F23" s="1" cm="1">
        <f t="array" ref="F23">_xll.JensensAlpha(A2:A37,B2:B37,C2:C37,1)</f>
        <v>-8.089957684054485E-4</v>
      </c>
      <c r="G23" s="1" cm="1">
        <f t="array" ref="G23">_xll.JensensAlpha(A2:A37,B2:B37,C2:C37,12)</f>
        <v>-1.1048559174976394E-2</v>
      </c>
      <c r="H23" s="35"/>
      <c r="I23" s="35"/>
      <c r="J23" s="35"/>
      <c r="K23" s="35"/>
    </row>
    <row r="24" spans="1:11" x14ac:dyDescent="0.25">
      <c r="A24" s="14">
        <v>-4.0000000000000001E-3</v>
      </c>
      <c r="B24" s="32">
        <v>-3.0000000000000001E-3</v>
      </c>
      <c r="C24" s="14">
        <v>1E-3</v>
      </c>
      <c r="E24" t="s">
        <v>82</v>
      </c>
      <c r="F24" s="8" cm="1">
        <f t="array" ref="F24">_xll.AppraisalRatio($A$2:$A$37,$B$2:$B$37,$C$2:$C$37,1)</f>
        <v>-0.23629010561291894</v>
      </c>
      <c r="G24" s="8"/>
    </row>
    <row r="25" spans="1:11" x14ac:dyDescent="0.25">
      <c r="A25" s="14">
        <v>-2E-3</v>
      </c>
      <c r="B25" s="32">
        <v>-1E-3</v>
      </c>
      <c r="C25" s="14">
        <v>1E-3</v>
      </c>
      <c r="E25" t="s">
        <v>88</v>
      </c>
      <c r="F25" s="8" cm="1">
        <f t="array" ref="F25">_xll.SemiVariance(A2:A37)</f>
        <v>5.83888888888889E-4</v>
      </c>
    </row>
    <row r="26" spans="1:11" x14ac:dyDescent="0.25">
      <c r="A26" s="14">
        <v>-2.1000000000000001E-2</v>
      </c>
      <c r="B26" s="32">
        <v>-2.6000000000000002E-2</v>
      </c>
      <c r="C26" s="14">
        <v>1E-3</v>
      </c>
      <c r="E26" t="s">
        <v>89</v>
      </c>
      <c r="F26" s="8" cm="1">
        <f t="array" ref="F26">_xll.SemiDeviation(A2:A37)</f>
        <v>2.4163792932585915E-2</v>
      </c>
      <c r="J26" s="1">
        <f>_xlfn.VAR.P(B2:B37)*12*F10^2</f>
        <v>1.3065336093908721E-2</v>
      </c>
      <c r="K26" s="14">
        <f>F10*_xlfn.STDEV.P(B2:B37)</f>
        <v>3.2996636310777601E-2</v>
      </c>
    </row>
    <row r="27" spans="1:11" x14ac:dyDescent="0.25">
      <c r="A27" s="14">
        <v>1.1000000000000001E-2</v>
      </c>
      <c r="B27" s="32">
        <v>6.9999999999999993E-3</v>
      </c>
      <c r="C27" s="14">
        <v>1E-3</v>
      </c>
      <c r="F27" s="35"/>
    </row>
    <row r="28" spans="1:11" x14ac:dyDescent="0.25">
      <c r="A28" s="14">
        <v>4.7E-2</v>
      </c>
      <c r="B28" s="32">
        <v>4.2999999999999997E-2</v>
      </c>
      <c r="C28" s="14">
        <v>1E-3</v>
      </c>
    </row>
    <row r="29" spans="1:11" x14ac:dyDescent="0.25">
      <c r="A29" s="14">
        <v>2.4E-2</v>
      </c>
      <c r="B29" s="32">
        <v>2.8999999999999998E-2</v>
      </c>
      <c r="C29" s="14">
        <v>1E-3</v>
      </c>
    </row>
    <row r="30" spans="1:11" x14ac:dyDescent="0.25">
      <c r="A30" s="14">
        <v>3.3000000000000002E-2</v>
      </c>
      <c r="B30" s="32">
        <v>3.7999999999999999E-2</v>
      </c>
      <c r="C30" s="14">
        <v>1E-3</v>
      </c>
    </row>
    <row r="31" spans="1:11" x14ac:dyDescent="0.25">
      <c r="A31" s="14">
        <v>-6.9999999999999993E-3</v>
      </c>
      <c r="B31" s="32">
        <v>-2E-3</v>
      </c>
      <c r="C31" s="14">
        <v>2E-3</v>
      </c>
      <c r="E31" t="s">
        <v>83</v>
      </c>
      <c r="F31" s="1">
        <f>_xlfn.VAR.P(A2:A37)</f>
        <v>1.1005000000000001E-3</v>
      </c>
      <c r="G31" s="1">
        <f>SQRT(F31*12)</f>
        <v>0.11491736161259535</v>
      </c>
    </row>
    <row r="32" spans="1:11" x14ac:dyDescent="0.25">
      <c r="A32" s="14">
        <v>4.7E-2</v>
      </c>
      <c r="B32" s="32">
        <v>5.0999999999999997E-2</v>
      </c>
      <c r="C32" s="14">
        <v>2E-3</v>
      </c>
      <c r="E32" t="s">
        <v>84</v>
      </c>
      <c r="F32" s="1">
        <f>_xlfn.VAR.P(B2:B37)</f>
        <v>1.1303333333333335E-3</v>
      </c>
      <c r="G32" s="1">
        <f>F32*12</f>
        <v>1.3564000000000001E-2</v>
      </c>
      <c r="J32" s="1">
        <f>F10^2*_xlfn.VAR.P(B2:B37)</f>
        <v>1.0887780078257267E-3</v>
      </c>
      <c r="K32">
        <f>SQRT(J32)</f>
        <v>3.2996636310777601E-2</v>
      </c>
    </row>
    <row r="33" spans="1:9" x14ac:dyDescent="0.25">
      <c r="A33" s="14">
        <v>6.0000000000000001E-3</v>
      </c>
      <c r="B33" s="32">
        <v>1.3999999999999999E-2</v>
      </c>
      <c r="C33" s="14">
        <v>2E-3</v>
      </c>
      <c r="E33" t="s">
        <v>85</v>
      </c>
      <c r="F33" s="1">
        <f>F10^2*F32</f>
        <v>1.0887780078257267E-3</v>
      </c>
      <c r="G33" s="14">
        <f>SQRT(F33)</f>
        <v>3.2996636310777601E-2</v>
      </c>
      <c r="H33" s="1" cm="1">
        <f t="array" ref="H33">SQRT(_xll.MarketRisk(A2:A37,B2:B37,1))</f>
        <v>3.2996636310777601E-2</v>
      </c>
    </row>
    <row r="34" spans="1:9" x14ac:dyDescent="0.25">
      <c r="A34" s="14">
        <v>0.01</v>
      </c>
      <c r="B34" s="32">
        <v>1.3000000000000001E-2</v>
      </c>
      <c r="C34" s="14">
        <v>2E-3</v>
      </c>
      <c r="E34" t="s">
        <v>86</v>
      </c>
      <c r="F34" s="1">
        <f>F31-F10^2*F32</f>
        <v>1.1721992174273423E-5</v>
      </c>
      <c r="G34" s="1">
        <f>SQRT(F34)</f>
        <v>3.4237395015207311E-3</v>
      </c>
      <c r="H34" s="1" cm="1">
        <f t="array" ref="H34">_xll.UniqueRisk(A2:A37,B2:B37,1)</f>
        <v>1.1721992174273206E-5</v>
      </c>
      <c r="I34">
        <f>SQRT(H34)</f>
        <v>3.4237395015206994E-3</v>
      </c>
    </row>
    <row r="35" spans="1:9" x14ac:dyDescent="0.25">
      <c r="A35" s="14">
        <v>-2E-3</v>
      </c>
      <c r="B35" s="32">
        <v>3.0000000000000001E-3</v>
      </c>
      <c r="C35" s="14">
        <v>2E-3</v>
      </c>
      <c r="H35" s="11">
        <f>SUM(H33:H34)</f>
        <v>3.3008358302951873E-2</v>
      </c>
      <c r="I35">
        <f>SQRT(H35)</f>
        <v>0.18168202526103641</v>
      </c>
    </row>
    <row r="36" spans="1:9" x14ac:dyDescent="0.25">
      <c r="A36" s="14">
        <v>3.4000000000000002E-2</v>
      </c>
      <c r="B36" s="32">
        <v>3.4000000000000002E-2</v>
      </c>
      <c r="C36" s="14">
        <v>2E-3</v>
      </c>
    </row>
    <row r="37" spans="1:9" x14ac:dyDescent="0.25">
      <c r="A37" s="14">
        <v>0.01</v>
      </c>
      <c r="B37" s="32">
        <v>2.1000000000000001E-2</v>
      </c>
      <c r="C37" s="14">
        <v>2E-3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904-470D-4D59-8599-F50297C87148}">
  <dimension ref="A1:I37"/>
  <sheetViews>
    <sheetView workbookViewId="0">
      <selection activeCell="E13" sqref="E1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9.140625" customWidth="1"/>
    <col min="4" max="4" width="20.85546875" bestFit="1" customWidth="1"/>
    <col min="5" max="6" width="11.7109375" customWidth="1"/>
    <col min="8" max="8" width="10.5703125" customWidth="1"/>
    <col min="9" max="9" width="10.28515625" bestFit="1" customWidth="1"/>
  </cols>
  <sheetData>
    <row r="1" spans="1:9" x14ac:dyDescent="0.25">
      <c r="A1" t="s">
        <v>53</v>
      </c>
      <c r="B1" t="s">
        <v>54</v>
      </c>
    </row>
    <row r="2" spans="1:9" x14ac:dyDescent="0.25">
      <c r="A2" s="32">
        <v>3.0000000000000001E-3</v>
      </c>
      <c r="B2" s="32">
        <v>2E-3</v>
      </c>
      <c r="C2" s="32"/>
      <c r="E2" s="4" t="s">
        <v>61</v>
      </c>
      <c r="F2" s="4"/>
      <c r="H2" s="4" t="s">
        <v>62</v>
      </c>
      <c r="I2" s="4"/>
    </row>
    <row r="3" spans="1:9" x14ac:dyDescent="0.25">
      <c r="A3" s="32">
        <v>2.6000000000000002E-2</v>
      </c>
      <c r="B3" s="32">
        <v>2.5000000000000001E-2</v>
      </c>
      <c r="C3" s="32"/>
      <c r="E3" t="s">
        <v>71</v>
      </c>
      <c r="F3" t="s">
        <v>74</v>
      </c>
      <c r="H3" t="s">
        <v>71</v>
      </c>
      <c r="I3" t="s">
        <v>74</v>
      </c>
    </row>
    <row r="4" spans="1:9" x14ac:dyDescent="0.25">
      <c r="A4" s="32">
        <v>1.1000000000000001E-2</v>
      </c>
      <c r="B4" s="32">
        <v>1.8000000000000002E-2</v>
      </c>
      <c r="C4" s="32"/>
      <c r="D4" t="s">
        <v>2</v>
      </c>
      <c r="E4" s="14" cm="1">
        <f t="array" ref="E4">GEOMEAN(1+A2:A37)-1</f>
        <v>1.0452163610398468E-2</v>
      </c>
      <c r="F4" s="14" cm="1">
        <f t="array" ref="F4">PRODUCT(1+A2:A37)^(12/36)-1</f>
        <v>0.13289353350977429</v>
      </c>
      <c r="H4" s="14" cm="1">
        <f t="array" ref="H4">GEOMEAN(1+B2:B37)-1</f>
        <v>1.1436247371426456E-2</v>
      </c>
      <c r="I4" s="14" cm="1">
        <f t="array" ref="I4">PRODUCT(1+B2:B37)^(12/36)-1</f>
        <v>0.14620464307207515</v>
      </c>
    </row>
    <row r="5" spans="1:9" x14ac:dyDescent="0.25">
      <c r="A5" s="32">
        <v>-9.0000000000000011E-3</v>
      </c>
      <c r="B5" s="32">
        <v>-1.1000000000000001E-2</v>
      </c>
      <c r="C5" s="32"/>
      <c r="D5" t="s">
        <v>77</v>
      </c>
      <c r="E5" s="14">
        <f>_xlfn.STDEV.P(A2:A37)</f>
        <v>3.3173784830796742E-2</v>
      </c>
      <c r="F5" s="14">
        <f>E5*SQRT(12)</f>
        <v>0.11491736161259533</v>
      </c>
      <c r="H5" s="14">
        <f>_xlfn.STDEV.P(B2:B37)</f>
        <v>3.3620430296671298E-2</v>
      </c>
      <c r="I5" s="14">
        <f>H5*SQRT(12)</f>
        <v>0.11646458689232533</v>
      </c>
    </row>
    <row r="6" spans="1:9" x14ac:dyDescent="0.25">
      <c r="A6" s="32">
        <v>1.3999999999999999E-2</v>
      </c>
      <c r="B6" s="32">
        <v>1.3999999999999999E-2</v>
      </c>
      <c r="C6" s="32"/>
    </row>
    <row r="7" spans="1:9" x14ac:dyDescent="0.25">
      <c r="A7" s="32">
        <v>2.4E-2</v>
      </c>
      <c r="B7" s="32">
        <v>2.3E-2</v>
      </c>
      <c r="C7" s="32"/>
      <c r="D7" t="s">
        <v>72</v>
      </c>
      <c r="E7" s="1" cm="1">
        <f t="array" ref="E7">_xlfn.STDEV.P(A2:A37-B2:B37)</f>
        <v>3.4801021696368502E-3</v>
      </c>
      <c r="F7" s="1" cm="1">
        <f t="array" ref="F7">_xlfn.STDEV.P(A2:A37-B2:B37)*SQRT(12)</f>
        <v>1.2055427546683416E-2</v>
      </c>
    </row>
    <row r="8" spans="1:9" x14ac:dyDescent="0.25">
      <c r="A8" s="32">
        <v>1.4999999999999999E-2</v>
      </c>
      <c r="B8" s="32">
        <v>1.3999999999999999E-2</v>
      </c>
      <c r="C8" s="32"/>
      <c r="D8" t="s">
        <v>73</v>
      </c>
      <c r="E8" s="1" cm="1">
        <f t="array" ref="E8">_xlfn.STDEV.P((1+A2:A37)/(1+B2:B37)-1)</f>
        <v>3.4318750190674599E-3</v>
      </c>
      <c r="F8" s="1" cm="1">
        <f t="array" ref="F8">_xlfn.STDEV.P((1+A2:A37)/(1+B2:B37)-1)*SQRT(12)</f>
        <v>1.18883637965025E-2</v>
      </c>
    </row>
    <row r="9" spans="1:9" x14ac:dyDescent="0.25">
      <c r="A9" s="32">
        <v>6.6000000000000003E-2</v>
      </c>
      <c r="B9" s="32">
        <v>6.5000000000000002E-2</v>
      </c>
      <c r="C9" s="32"/>
      <c r="D9" t="s">
        <v>75</v>
      </c>
      <c r="E9" s="29">
        <f>(E4-H4)/E7</f>
        <v>-0.2827743879515689</v>
      </c>
      <c r="F9" s="29">
        <f>(F4-I4)/F7</f>
        <v>-1.1041590611991938</v>
      </c>
    </row>
    <row r="10" spans="1:9" x14ac:dyDescent="0.25">
      <c r="A10" s="32">
        <v>-1.3999999999999999E-2</v>
      </c>
      <c r="B10" s="32">
        <v>-1.4999999999999999E-2</v>
      </c>
      <c r="C10" s="32"/>
      <c r="D10" t="s">
        <v>76</v>
      </c>
      <c r="E10" s="29">
        <f>((1+E4)/(1+H4)-1)/E8</f>
        <v>-0.28350589142369115</v>
      </c>
      <c r="F10" s="29">
        <f>((1+F4)/(1+I4)-1)/F8</f>
        <v>-0.97685478507947687</v>
      </c>
    </row>
    <row r="11" spans="1:9" x14ac:dyDescent="0.25">
      <c r="A11" s="32">
        <v>3.9E-2</v>
      </c>
      <c r="B11" s="32">
        <v>4.2000000000000003E-2</v>
      </c>
      <c r="C11" s="32"/>
    </row>
    <row r="12" spans="1:9" x14ac:dyDescent="0.25">
      <c r="A12" s="32">
        <v>-5.0000000000000001E-3</v>
      </c>
      <c r="B12" s="32">
        <v>-3.0000000000000001E-3</v>
      </c>
      <c r="C12" s="32"/>
    </row>
    <row r="13" spans="1:9" x14ac:dyDescent="0.25">
      <c r="A13" s="32">
        <v>8.1000000000000003E-2</v>
      </c>
      <c r="B13" s="32">
        <v>8.3000000000000004E-2</v>
      </c>
      <c r="C13" s="32"/>
      <c r="D13" t="s">
        <v>72</v>
      </c>
      <c r="E13" s="1" cm="1">
        <f t="array" ref="E13">_xll.TrackingErrorArithmetic(A2:A37,B2:B37,1)</f>
        <v>3.4801021696368507E-3</v>
      </c>
      <c r="F13" s="1" cm="1">
        <f t="array" ref="F13">_xll.TrackingErrorArithmetic(A2:A37,B2:B37,12)</f>
        <v>1.2055427546683418E-2</v>
      </c>
      <c r="H13" t="s">
        <v>78</v>
      </c>
      <c r="I13" t="b" cm="1">
        <f t="array" ref="I13">AND(E7:F10=E13:F16)</f>
        <v>1</v>
      </c>
    </row>
    <row r="14" spans="1:9" x14ac:dyDescent="0.25">
      <c r="A14" s="32">
        <v>0.04</v>
      </c>
      <c r="B14" s="32">
        <v>3.9E-2</v>
      </c>
      <c r="C14" s="32"/>
      <c r="D14" t="s">
        <v>73</v>
      </c>
      <c r="E14" s="1" cm="1">
        <f t="array" ref="E14">_xll.TrackingErrorGeometric(A2:A37,B2:B37,1)</f>
        <v>3.4318750190674599E-3</v>
      </c>
      <c r="F14" s="1" cm="1">
        <f t="array" ref="F14">_xll.TrackingErrorGeometric(A2:A37,B2:B37,12)</f>
        <v>1.18883637965025E-2</v>
      </c>
    </row>
    <row r="15" spans="1:9" x14ac:dyDescent="0.25">
      <c r="A15" s="32">
        <v>-3.7000000000000005E-2</v>
      </c>
      <c r="B15" s="32">
        <v>-3.7999999999999999E-2</v>
      </c>
      <c r="C15" s="32"/>
      <c r="D15" t="s">
        <v>75</v>
      </c>
      <c r="E15" s="29" cm="1">
        <f t="array" ref="E15">_xll.InformationRatioArithmetic(A2:A37,B2:B37,1)</f>
        <v>-0.28277438795156884</v>
      </c>
      <c r="F15" s="29" cm="1">
        <f t="array" ref="F15">_xll.InformationRatioArithmetic(A2:A37,B2:B37,12)</f>
        <v>-1.1041590611991936</v>
      </c>
    </row>
    <row r="16" spans="1:9" x14ac:dyDescent="0.25">
      <c r="A16" s="32">
        <v>-6.0999999999999999E-2</v>
      </c>
      <c r="B16" s="32">
        <v>-6.2E-2</v>
      </c>
      <c r="C16" s="32"/>
      <c r="D16" t="s">
        <v>76</v>
      </c>
      <c r="E16" s="29" cm="1">
        <f t="array" ref="E16">_xll.InformationRatioGeometric(A2:A37,B2:B37,1)</f>
        <v>-0.28350589142369115</v>
      </c>
      <c r="F16" s="29" cm="1">
        <f t="array" ref="F16">_xll.InformationRatioGeometric(A2:A37,B2:B37,12)</f>
        <v>-0.97685478507947687</v>
      </c>
    </row>
    <row r="17" spans="1:6" x14ac:dyDescent="0.25">
      <c r="A17" s="32">
        <v>1.3999999999999999E-2</v>
      </c>
      <c r="B17" s="32">
        <v>1.4999999999999999E-2</v>
      </c>
      <c r="C17" s="32"/>
    </row>
    <row r="18" spans="1:6" x14ac:dyDescent="0.25">
      <c r="A18" s="32">
        <v>-4.9000000000000002E-2</v>
      </c>
      <c r="B18" s="32">
        <v>-4.8000000000000001E-2</v>
      </c>
      <c r="C18" s="32"/>
      <c r="E18" s="6"/>
      <c r="F18" s="30"/>
    </row>
    <row r="19" spans="1:6" x14ac:dyDescent="0.25">
      <c r="A19" s="32">
        <v>-2.1000000000000001E-2</v>
      </c>
      <c r="B19" s="32">
        <v>-0.02</v>
      </c>
      <c r="C19" s="32"/>
    </row>
    <row r="20" spans="1:6" x14ac:dyDescent="0.25">
      <c r="A20" s="32">
        <v>6.2E-2</v>
      </c>
      <c r="B20" s="32">
        <v>0.06</v>
      </c>
      <c r="C20" s="32"/>
    </row>
    <row r="21" spans="1:6" x14ac:dyDescent="0.25">
      <c r="A21" s="32">
        <v>5.7999999999999996E-2</v>
      </c>
      <c r="B21" s="32">
        <v>5.5999999999999994E-2</v>
      </c>
      <c r="C21" s="32"/>
    </row>
    <row r="22" spans="1:6" x14ac:dyDescent="0.25">
      <c r="A22" s="32">
        <v>-6.4000000000000001E-2</v>
      </c>
      <c r="B22" s="32">
        <v>-6.7000000000000004E-2</v>
      </c>
      <c r="C22" s="32"/>
    </row>
    <row r="23" spans="1:6" x14ac:dyDescent="0.25">
      <c r="A23" s="32">
        <v>1.7000000000000001E-2</v>
      </c>
      <c r="B23" s="32">
        <v>1.9E-2</v>
      </c>
      <c r="C23" s="32"/>
    </row>
    <row r="24" spans="1:6" x14ac:dyDescent="0.25">
      <c r="A24" s="32">
        <v>-4.0000000000000001E-3</v>
      </c>
      <c r="B24" s="32">
        <v>-3.0000000000000001E-3</v>
      </c>
      <c r="C24" s="32"/>
    </row>
    <row r="25" spans="1:6" x14ac:dyDescent="0.25">
      <c r="A25" s="32">
        <v>-2E-3</v>
      </c>
      <c r="B25" s="32">
        <v>-1E-3</v>
      </c>
      <c r="C25" s="32"/>
    </row>
    <row r="26" spans="1:6" x14ac:dyDescent="0.25">
      <c r="A26" s="32">
        <v>-2.1000000000000001E-2</v>
      </c>
      <c r="B26" s="32">
        <v>-2.6000000000000002E-2</v>
      </c>
      <c r="C26" s="32"/>
    </row>
    <row r="27" spans="1:6" x14ac:dyDescent="0.25">
      <c r="A27" s="32">
        <v>1.1000000000000001E-2</v>
      </c>
      <c r="B27" s="32">
        <v>6.9999999999999993E-3</v>
      </c>
      <c r="C27" s="32"/>
    </row>
    <row r="28" spans="1:6" x14ac:dyDescent="0.25">
      <c r="A28" s="32">
        <v>4.7E-2</v>
      </c>
      <c r="B28" s="32">
        <v>4.2999999999999997E-2</v>
      </c>
      <c r="C28" s="32"/>
    </row>
    <row r="29" spans="1:6" x14ac:dyDescent="0.25">
      <c r="A29" s="32">
        <v>2.4E-2</v>
      </c>
      <c r="B29" s="32">
        <v>2.8999999999999998E-2</v>
      </c>
      <c r="C29" s="32"/>
    </row>
    <row r="30" spans="1:6" x14ac:dyDescent="0.25">
      <c r="A30" s="32">
        <v>3.3000000000000002E-2</v>
      </c>
      <c r="B30" s="32">
        <v>3.7999999999999999E-2</v>
      </c>
      <c r="C30" s="32"/>
    </row>
    <row r="31" spans="1:6" x14ac:dyDescent="0.25">
      <c r="A31" s="32">
        <v>-6.9999999999999993E-3</v>
      </c>
      <c r="B31" s="32">
        <v>-2E-3</v>
      </c>
      <c r="C31" s="32"/>
    </row>
    <row r="32" spans="1:6" x14ac:dyDescent="0.25">
      <c r="A32" s="32">
        <v>4.7E-2</v>
      </c>
      <c r="B32" s="32">
        <v>5.0999999999999997E-2</v>
      </c>
      <c r="C32" s="32"/>
    </row>
    <row r="33" spans="1:3" x14ac:dyDescent="0.25">
      <c r="A33" s="32">
        <v>6.0000000000000001E-3</v>
      </c>
      <c r="B33" s="32">
        <v>1.3999999999999999E-2</v>
      </c>
      <c r="C33" s="32"/>
    </row>
    <row r="34" spans="1:3" x14ac:dyDescent="0.25">
      <c r="A34" s="32">
        <v>0.01</v>
      </c>
      <c r="B34" s="32">
        <v>1.3000000000000001E-2</v>
      </c>
      <c r="C34" s="32"/>
    </row>
    <row r="35" spans="1:3" x14ac:dyDescent="0.25">
      <c r="A35" s="32">
        <v>-2E-3</v>
      </c>
      <c r="B35" s="32">
        <v>3.0000000000000001E-3</v>
      </c>
      <c r="C35" s="32"/>
    </row>
    <row r="36" spans="1:3" x14ac:dyDescent="0.25">
      <c r="A36" s="32">
        <v>3.4000000000000002E-2</v>
      </c>
      <c r="B36" s="32">
        <v>3.4000000000000002E-2</v>
      </c>
      <c r="C36" s="32"/>
    </row>
    <row r="37" spans="1:3" x14ac:dyDescent="0.25">
      <c r="A37" s="32">
        <v>0.01</v>
      </c>
      <c r="B37" s="32">
        <v>2.1000000000000001E-2</v>
      </c>
      <c r="C37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41C9-4B35-43C1-9DE0-DEF26697FEC8}">
  <dimension ref="A1:H13"/>
  <sheetViews>
    <sheetView tabSelected="1" workbookViewId="0">
      <selection activeCell="D13" sqref="D13"/>
    </sheetView>
  </sheetViews>
  <sheetFormatPr defaultRowHeight="15" x14ac:dyDescent="0.25"/>
  <cols>
    <col min="2" max="2" width="12.42578125" bestFit="1" customWidth="1"/>
    <col min="4" max="4" width="10.140625" bestFit="1" customWidth="1"/>
  </cols>
  <sheetData>
    <row r="1" spans="1:8" x14ac:dyDescent="0.25">
      <c r="A1">
        <v>10</v>
      </c>
      <c r="B1">
        <f>MAX(0,$H$1-A1)^$H$2</f>
        <v>25</v>
      </c>
      <c r="G1" t="s">
        <v>2</v>
      </c>
      <c r="H1">
        <f>AVERAGE(A1:A10)</f>
        <v>15</v>
      </c>
    </row>
    <row r="2" spans="1:8" x14ac:dyDescent="0.25">
      <c r="A2">
        <v>10</v>
      </c>
      <c r="B2">
        <f t="shared" ref="B2:B10" si="0">MAX(0,$H$1-A2)^$H$2</f>
        <v>25</v>
      </c>
      <c r="G2" t="s">
        <v>87</v>
      </c>
      <c r="H2">
        <v>2</v>
      </c>
    </row>
    <row r="3" spans="1:8" x14ac:dyDescent="0.25">
      <c r="A3">
        <v>10</v>
      </c>
      <c r="B3">
        <f t="shared" si="0"/>
        <v>25</v>
      </c>
    </row>
    <row r="4" spans="1:8" x14ac:dyDescent="0.25">
      <c r="A4">
        <v>10</v>
      </c>
      <c r="B4">
        <f t="shared" si="0"/>
        <v>25</v>
      </c>
    </row>
    <row r="5" spans="1:8" x14ac:dyDescent="0.25">
      <c r="A5">
        <v>10</v>
      </c>
      <c r="B5">
        <f t="shared" si="0"/>
        <v>25</v>
      </c>
    </row>
    <row r="6" spans="1:8" x14ac:dyDescent="0.25">
      <c r="A6">
        <v>10</v>
      </c>
      <c r="B6">
        <f t="shared" si="0"/>
        <v>25</v>
      </c>
    </row>
    <row r="7" spans="1:8" x14ac:dyDescent="0.25">
      <c r="A7">
        <v>10</v>
      </c>
      <c r="B7">
        <f t="shared" si="0"/>
        <v>25</v>
      </c>
    </row>
    <row r="8" spans="1:8" x14ac:dyDescent="0.25">
      <c r="A8">
        <v>10</v>
      </c>
      <c r="B8">
        <f t="shared" si="0"/>
        <v>25</v>
      </c>
    </row>
    <row r="9" spans="1:8" x14ac:dyDescent="0.25">
      <c r="A9">
        <v>35</v>
      </c>
      <c r="B9">
        <f t="shared" si="0"/>
        <v>0</v>
      </c>
    </row>
    <row r="10" spans="1:8" x14ac:dyDescent="0.25">
      <c r="A10">
        <v>35</v>
      </c>
      <c r="B10">
        <f t="shared" si="0"/>
        <v>0</v>
      </c>
    </row>
    <row r="12" spans="1:8" x14ac:dyDescent="0.25">
      <c r="B12" s="38"/>
    </row>
    <row r="13" spans="1:8" x14ac:dyDescent="0.25">
      <c r="B13" s="39">
        <f>SUM(B1:B10)*(1/COUNT(B1:B10))</f>
        <v>20</v>
      </c>
      <c r="C13" cm="1">
        <f t="array" ref="C13">_xll.LowerPartialMoment(A1:A10, H1, H2,1)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Table 2.4 and 2.5</vt:lpstr>
      <vt:lpstr>Tables 2.7, 2.8, and 2.9</vt:lpstr>
      <vt:lpstr>Table 3.2</vt:lpstr>
      <vt:lpstr>Tables 3.4 and 3.5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2020-01-09T01:15:16Z</dcterms:modified>
</cp:coreProperties>
</file>