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053D96A0-C9EB-4904-9EFE-E6281D70B3DA}" xr6:coauthVersionLast="45" xr6:coauthVersionMax="45" xr10:uidLastSave="{00000000-0000-0000-0000-000000000000}"/>
  <bookViews>
    <workbookView xWindow="9435" yWindow="5010" windowWidth="27480" windowHeight="15990" activeTab="4" xr2:uid="{344BB257-92D6-46F2-9766-17934D9BF305}"/>
  </bookViews>
  <sheets>
    <sheet name="Sheet1" sheetId="1" r:id="rId1"/>
    <sheet name="Sheet2" sheetId="2" r:id="rId2"/>
    <sheet name="Table 2.4 and 2.5" sheetId="4" r:id="rId3"/>
    <sheet name="Tables 2.7, 2.8, and 2.9" sheetId="5" r:id="rId4"/>
    <sheet name="Table 3.2" sheetId="6" r:id="rId5"/>
    <sheet name="Tables 3.4 and 3.5" sheetId="7" r:id="rId6"/>
    <sheet name="Sheet3" sheetId="8" r:id="rId7"/>
    <sheet name="K-Ratio" sheetId="9" r:id="rId8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6" l="1" a="1"/>
  <c r="F14" i="6" s="1"/>
  <c r="F30" i="6" a="1"/>
  <c r="F30" i="6" l="1"/>
  <c r="F28" i="6" a="1"/>
  <c r="F28" i="6" l="1"/>
  <c r="F31" i="6"/>
  <c r="F16" i="6" l="1" a="1"/>
  <c r="F16" i="6" s="1"/>
  <c r="F17" i="6" s="1"/>
  <c r="D27" i="9" l="1" a="1"/>
  <c r="D27" i="9" s="1"/>
  <c r="D23" i="9" a="1"/>
  <c r="F32" i="6" a="1"/>
  <c r="F32" i="6" l="1"/>
  <c r="D23" i="9"/>
  <c r="D25" i="9"/>
  <c r="D26" i="9"/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U43" i="9" l="1"/>
  <c r="T21" i="9" l="1"/>
  <c r="F6" i="9" l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4" i="9"/>
  <c r="F5" i="9" s="1"/>
  <c r="F3" i="9"/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4" i="9"/>
  <c r="D3" i="9"/>
  <c r="E3" i="9" s="1"/>
  <c r="E4" i="9" s="1"/>
  <c r="E5" i="9" s="1"/>
  <c r="E6" i="9" l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A2" i="9" l="1" a="1"/>
  <c r="A2" i="9" s="1"/>
  <c r="U43" i="6"/>
  <c r="N2" i="6" a="1"/>
  <c r="N2" i="6" s="1"/>
  <c r="R2" i="6" a="1"/>
  <c r="B23" i="9" l="1"/>
  <c r="E23" i="9"/>
  <c r="R2" i="6"/>
  <c r="V43" i="6" l="1"/>
  <c r="U45" i="6"/>
  <c r="U20" i="6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" i="6"/>
  <c r="P2" i="6" l="1" a="1"/>
  <c r="P2" i="6" s="1"/>
  <c r="F15" i="6"/>
  <c r="J20" i="6" s="1" a="1"/>
  <c r="J20" i="6" s="1"/>
  <c r="C13" i="8" a="1"/>
  <c r="F29" i="6" a="1"/>
  <c r="F21" i="6" a="1"/>
  <c r="F20" i="6" a="1"/>
  <c r="F29" i="6" l="1"/>
  <c r="F21" i="6"/>
  <c r="F20" i="6"/>
  <c r="C13" i="8"/>
  <c r="B2" i="8"/>
  <c r="B3" i="8"/>
  <c r="B4" i="8"/>
  <c r="B5" i="8"/>
  <c r="B6" i="8"/>
  <c r="B7" i="8"/>
  <c r="B8" i="8"/>
  <c r="B9" i="8"/>
  <c r="B10" i="8"/>
  <c r="B1" i="8"/>
  <c r="B13" i="8" l="1"/>
  <c r="H1" i="8"/>
  <c r="J7" i="6" l="1"/>
  <c r="F39" i="6"/>
  <c r="G39" i="6" s="1"/>
  <c r="F38" i="6"/>
  <c r="G38" i="6" s="1"/>
  <c r="H40" i="6" a="1"/>
  <c r="H41" i="6" a="1"/>
  <c r="H41" i="6" l="1"/>
  <c r="I41" i="6" s="1"/>
  <c r="H40" i="6"/>
  <c r="G42" i="1" a="1"/>
  <c r="I14" i="5" a="1"/>
  <c r="J42" i="1" a="1"/>
  <c r="H14" i="5" a="1"/>
  <c r="G30" i="1" a="1"/>
  <c r="G20" i="6" a="1"/>
  <c r="G22" i="6" a="1"/>
  <c r="F22" i="6" a="1"/>
  <c r="F27" i="6" a="1"/>
  <c r="G21" i="6" a="1"/>
  <c r="G26" i="6" a="1"/>
  <c r="F26" i="6" a="1"/>
  <c r="H42" i="6" l="1"/>
  <c r="I42" i="6" s="1"/>
  <c r="F27" i="6"/>
  <c r="I14" i="5"/>
  <c r="H14" i="5"/>
  <c r="G30" i="1"/>
  <c r="J42" i="1"/>
  <c r="G42" i="1"/>
  <c r="G22" i="6"/>
  <c r="F22" i="6"/>
  <c r="G21" i="6"/>
  <c r="G20" i="6"/>
  <c r="G26" i="6"/>
  <c r="F26" i="6"/>
  <c r="I4" i="6"/>
  <c r="J4" i="6" s="1"/>
  <c r="J3" i="6" a="1"/>
  <c r="J3" i="6" s="1"/>
  <c r="I3" i="6" a="1"/>
  <c r="I3" i="6" s="1"/>
  <c r="F10" i="6"/>
  <c r="K29" i="6" l="1"/>
  <c r="J29" i="6"/>
  <c r="J39" i="6"/>
  <c r="K39" i="6" s="1"/>
  <c r="F40" i="6"/>
  <c r="G40" i="6" s="1"/>
  <c r="F41" i="6"/>
  <c r="G41" i="6" s="1"/>
  <c r="L4" i="6"/>
  <c r="M4" i="6" s="1"/>
  <c r="M3" i="6" a="1"/>
  <c r="M3" i="6" s="1"/>
  <c r="L3" i="6" a="1"/>
  <c r="L3" i="6" s="1"/>
  <c r="F4" i="6"/>
  <c r="G4" i="6" s="1"/>
  <c r="G3" i="6" a="1"/>
  <c r="G3" i="6" s="1"/>
  <c r="F3" i="6" a="1"/>
  <c r="F3" i="6" s="1"/>
  <c r="F15" i="7" a="1"/>
  <c r="E16" i="7" a="1"/>
  <c r="E15" i="7" a="1"/>
  <c r="F16" i="7" a="1"/>
  <c r="G23" i="6" a="1"/>
  <c r="F23" i="6" a="1"/>
  <c r="F24" i="6" a="1"/>
  <c r="G12" i="6" l="1"/>
  <c r="F12" i="6"/>
  <c r="F13" i="6" s="1"/>
  <c r="G11" i="6"/>
  <c r="F6" i="6"/>
  <c r="F11" i="6"/>
  <c r="G6" i="6"/>
  <c r="F7" i="6" a="1"/>
  <c r="F7" i="6" s="1"/>
  <c r="G7" i="6" a="1"/>
  <c r="G7" i="6" s="1"/>
  <c r="F24" i="6"/>
  <c r="G23" i="6"/>
  <c r="F23" i="6"/>
  <c r="F16" i="7"/>
  <c r="E16" i="7"/>
  <c r="F15" i="7"/>
  <c r="E15" i="7"/>
  <c r="H5" i="7"/>
  <c r="I5" i="7" s="1"/>
  <c r="I4" i="7" a="1"/>
  <c r="I4" i="7" s="1"/>
  <c r="H4" i="7" a="1"/>
  <c r="H4" i="7" s="1"/>
  <c r="E5" i="7"/>
  <c r="F5" i="7" s="1"/>
  <c r="F4" i="7" a="1"/>
  <c r="F4" i="7" s="1"/>
  <c r="F10" i="7" s="1"/>
  <c r="E4" i="7" a="1"/>
  <c r="E4" i="7" s="1"/>
  <c r="E9" i="7" s="1"/>
  <c r="E8" i="7" a="1"/>
  <c r="E8" i="7" s="1"/>
  <c r="E7" i="7" a="1"/>
  <c r="E7" i="7" s="1"/>
  <c r="F8" i="7" a="1"/>
  <c r="F8" i="7" s="1"/>
  <c r="F7" i="7" a="1"/>
  <c r="F7" i="7" s="1"/>
  <c r="E14" i="7" a="1"/>
  <c r="F14" i="7" a="1"/>
  <c r="F13" i="7" a="1"/>
  <c r="E13" i="7" a="1"/>
  <c r="G25" i="6" a="1"/>
  <c r="F8" i="6" a="1"/>
  <c r="F25" i="6" a="1"/>
  <c r="F25" i="6" l="1"/>
  <c r="F9" i="6"/>
  <c r="G25" i="6"/>
  <c r="F8" i="6"/>
  <c r="G9" i="6"/>
  <c r="F9" i="7"/>
  <c r="E10" i="7"/>
  <c r="E14" i="7"/>
  <c r="E13" i="7"/>
  <c r="I13" i="7" s="1" a="1"/>
  <c r="I13" i="7" s="1"/>
  <c r="F14" i="7"/>
  <c r="F13" i="7"/>
  <c r="G8" i="6" a="1"/>
  <c r="G8" i="6" l="1"/>
  <c r="F2" i="4" l="1"/>
  <c r="E2" i="4"/>
  <c r="H13" i="5" a="1"/>
  <c r="H13" i="5" s="1"/>
  <c r="F11" i="4" a="1"/>
  <c r="F3" i="4" a="1"/>
  <c r="F5" i="4" a="1"/>
  <c r="F10" i="4" a="1"/>
  <c r="F8" i="4" a="1"/>
  <c r="F3" i="4" l="1"/>
  <c r="F5" i="4"/>
  <c r="F11" i="4"/>
  <c r="F10" i="4"/>
  <c r="F8" i="4"/>
  <c r="I12" i="5" a="1"/>
  <c r="I12" i="5" s="1"/>
  <c r="H12" i="5" a="1"/>
  <c r="H12" i="5" s="1"/>
  <c r="I11" i="5" a="1"/>
  <c r="I11" i="5" s="1"/>
  <c r="H11" i="5" a="1"/>
  <c r="H11" i="5" s="1"/>
  <c r="I10" i="5"/>
  <c r="I13" i="5" s="1" a="1"/>
  <c r="I13" i="5" s="1"/>
  <c r="F7" i="4" l="1"/>
  <c r="I6" i="5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7" i="5" l="1"/>
  <c r="H7" i="5"/>
  <c r="C37" i="1" a="1"/>
  <c r="C37" i="1" s="1"/>
  <c r="D37" i="1" a="1"/>
  <c r="D37" i="1" s="1"/>
  <c r="C38" i="1" a="1"/>
  <c r="C38" i="1" s="1"/>
  <c r="D38" i="1" a="1"/>
  <c r="D38" i="1" s="1"/>
  <c r="G38" i="1" a="1"/>
  <c r="G37" i="1" a="1"/>
  <c r="G38" i="1" l="1"/>
  <c r="H38" i="1" s="1"/>
  <c r="G37" i="1"/>
  <c r="H37" i="1" s="1"/>
  <c r="C36" i="1" a="1"/>
  <c r="C36" i="1" s="1"/>
  <c r="C35" i="1" a="1"/>
  <c r="C35" i="1" s="1"/>
  <c r="D36" i="1" l="1" a="1"/>
  <c r="D36" i="1" s="1"/>
  <c r="D35" i="1" a="1"/>
  <c r="D35" i="1" s="1"/>
  <c r="G36" i="1" a="1"/>
  <c r="G35" i="1" a="1"/>
  <c r="G36" i="1" l="1"/>
  <c r="H36" i="1" s="1"/>
  <c r="G35" i="1"/>
  <c r="H35" i="1" s="1"/>
  <c r="C34" i="1" a="1"/>
  <c r="C34" i="1" s="1"/>
  <c r="D34" i="1" a="1"/>
  <c r="D34" i="1" s="1"/>
  <c r="C33" i="1" a="1"/>
  <c r="C33" i="1" s="1"/>
  <c r="D33" i="1" a="1"/>
  <c r="D33" i="1" s="1"/>
  <c r="G33" i="1" a="1"/>
  <c r="G34" i="1" a="1"/>
  <c r="G34" i="1" l="1"/>
  <c r="H34" i="1" s="1"/>
  <c r="G33" i="1"/>
  <c r="H33" i="1" s="1"/>
  <c r="E8" i="4" a="1"/>
  <c r="G23" i="1" a="1"/>
  <c r="E3" i="4" a="1"/>
  <c r="E11" i="4" a="1"/>
  <c r="E10" i="4" a="1"/>
  <c r="G23" i="1" l="1"/>
  <c r="E3" i="4"/>
  <c r="E8" i="4"/>
  <c r="E11" i="4"/>
  <c r="E10" i="4"/>
  <c r="E5" i="4" a="1"/>
  <c r="E5" i="4" l="1"/>
  <c r="E7" i="4" s="1"/>
  <c r="D24" i="1" l="1" a="1"/>
  <c r="D24" i="1" s="1"/>
  <c r="D23" i="1" a="1"/>
  <c r="D23" i="1" s="1"/>
  <c r="G21" i="1" a="1"/>
  <c r="G21" i="1" l="1"/>
  <c r="D21" i="1"/>
  <c r="G29" i="1" a="1"/>
  <c r="G25" i="1" a="1"/>
  <c r="G22" i="1" a="1"/>
  <c r="J30" i="2" a="1"/>
  <c r="L30" i="2" a="1"/>
  <c r="M30" i="2" a="1"/>
  <c r="I30" i="2" a="1"/>
  <c r="K30" i="2" a="1"/>
  <c r="G24" i="1" a="1"/>
  <c r="K30" i="2" l="1"/>
  <c r="G29" i="1"/>
  <c r="I30" i="2"/>
  <c r="L30" i="2"/>
  <c r="G22" i="1"/>
  <c r="J30" i="2"/>
  <c r="M30" i="2"/>
  <c r="G25" i="1"/>
  <c r="G24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K27" i="2" a="1"/>
  <c r="L28" i="2" a="1"/>
  <c r="J28" i="2" a="1"/>
  <c r="K28" i="2" a="1"/>
  <c r="M27" i="2" a="1"/>
  <c r="M28" i="2" a="1"/>
  <c r="I27" i="2" a="1"/>
  <c r="L27" i="2" a="1"/>
  <c r="I28" i="2" a="1"/>
  <c r="J27" i="2" a="1"/>
  <c r="G26" i="1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L29" i="2" a="1"/>
  <c r="M29" i="2" a="1"/>
  <c r="J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3" i="1" a="1"/>
  <c r="L21" i="1" a="1"/>
  <c r="L25" i="1" a="1"/>
  <c r="L24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R. Mayes, Ph.D.</author>
  </authors>
  <commentList>
    <comment ref="F2" authorId="0" shapeId="0" xr:uid="{CF8FD0E2-AB4C-42AE-B00C-02F694D08FF2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Here I set the data frequency to 1, so the measures are per period.</t>
        </r>
      </text>
    </comment>
    <comment ref="G2" authorId="0" shapeId="0" xr:uid="{D7173E70-8DD5-487D-9D9A-A83733576780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This is Bacon's methodology (i.e., use annualized returns instead of per period returns).</t>
        </r>
      </text>
    </comment>
    <comment ref="G22" authorId="0" shapeId="0" xr:uid="{5CCAA0DA-5FA8-4FC8-B47B-DA427260DD08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Note that Bacon has the skewness with the wrong sign on page 52, though this doesn't affect his result.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<sst xmlns="http://schemas.openxmlformats.org/spreadsheetml/2006/main" count="278" uniqueCount="125">
  <si>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</si>
  <si>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</si>
  <si>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</si>
  <si>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</si>
  <si>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</si>
  <si>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</si>
  <si>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</si>
  <si>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</si>
  <si>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</si>
  <si>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</si>
  <si>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</si>
  <si>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</si>
  <si>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</si>
  <si>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</si>
  <si>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</si>
  <si>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</si>
  <si>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</si>
  <si>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</si>
  <si>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</si>
  <si>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</si>
  <si>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</si>
  <si>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</si>
  <si>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</si>
  <si>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</si>
  <si>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</si>
  <si>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</si>
  <si>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</si>
  <si>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</si>
  <si>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</si>
  <si>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</si>
  <si>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</si>
  <si>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</si>
  <si>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</si>
  <si>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</si>
  <si>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</si>
  <si>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</si>
  <si>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</si>
  <si>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</si>
  <si>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</si>
  <si>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</si>
  <si>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</si>
  <si>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</si>
  <si>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</si>
  <si>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</si>
  <si>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</si>
  <si>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</si>
  <si>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</si>
  <si>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</si>
  <si>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</si>
  <si>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</si>
  <si>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</si>
  <si>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</si>
  <si>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</si>
  <si>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</si>
  <si>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</si>
  <si>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</si>
  <si>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</si>
  <si>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</si>
  <si>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</si>
  <si>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</si>
  <si>
    <t>Bias Ratio</t>
  </si>
  <si>
    <t>Portfolio</t>
  </si>
  <si>
    <t>Benchmark</t>
  </si>
  <si>
    <t>Number of Std Devs</t>
  </si>
  <si>
    <t>Count Above</t>
  </si>
  <si>
    <t>Count Below</t>
  </si>
  <si>
    <t>Population Skewness</t>
  </si>
  <si>
    <t>Population Kurtosis</t>
  </si>
  <si>
    <t>Risk-Free</t>
  </si>
  <si>
    <t>Adjusted Sharpe Ratio</t>
  </si>
  <si>
    <t>Using Annualized Returns</t>
  </si>
  <si>
    <t>Per Period</t>
  </si>
  <si>
    <t>Tracking Error Arith</t>
  </si>
  <si>
    <t>Tracking Error Geom</t>
  </si>
  <si>
    <t>Annualized</t>
  </si>
  <si>
    <t>Information Ratio Arith</t>
  </si>
  <si>
    <t>Information Ratio Geom</t>
  </si>
  <si>
    <t>Std Deviation</t>
  </si>
  <si>
    <t>All Match?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</si>
  <si>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</si>
  <si>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All Equal?</t>
  </si>
  <si>
    <t>Monthly</t>
  </si>
  <si>
    <t>Appraisal Ratio</t>
  </si>
  <si>
    <t>Var Asset</t>
  </si>
  <si>
    <t>Var Mkt</t>
  </si>
  <si>
    <t>Mkt Risk</t>
  </si>
  <si>
    <t>Unique Risk</t>
  </si>
  <si>
    <t>Degree</t>
  </si>
  <si>
    <t>K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</si>
  <si>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</si>
  <si>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</si>
  <si>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</si>
  <si>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</si>
  <si>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</si>
  <si>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</si>
  <si>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</si>
  <si>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</si>
  <si>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</si>
  <si>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</si>
  <si>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</si>
  <si>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</si>
  <si>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</si>
  <si>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</si>
  <si>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</si>
  <si>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</si>
  <si>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</si>
  <si>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</si>
  <si>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</si>
  <si>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</si>
  <si>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</si>
  <si>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</si>
  <si>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</si>
  <si>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</si>
  <si>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</si>
  <si>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Port Value</t>
  </si>
  <si>
    <t>Cum Ret</t>
  </si>
  <si>
    <t>Return</t>
  </si>
  <si>
    <t>Pred</t>
  </si>
  <si>
    <t>Error</t>
  </si>
  <si>
    <t>Slope</t>
  </si>
  <si>
    <t>SSE</t>
  </si>
  <si>
    <t>Semi-variance Below Mean</t>
  </si>
  <si>
    <t>Semi-deviation Below Mean</t>
  </si>
  <si>
    <t>Semi-variance Above Mean</t>
  </si>
  <si>
    <t>Sem--deviation Above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</si>
</sst>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%"/>
    <numFmt numFmtId="175" formatCode="_(* #,##0_);_(* \(#,##0\);_(* &quot;-&quot;??_);_(@_)"/>
    <numFmt numFmtId="176" formatCode="0.00000000%"/>
    <numFmt numFmtId="177" formatCode="0.00000000000000000"/>
  </numFmts>
  <fonts count="7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74" fontId="0" fillId="0" borderId="0" xfId="2" applyNumberFormat="1" applyFont="1"/>
    <xf numFmtId="175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176" fontId="0" fillId="0" borderId="0" xfId="2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17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'K-Ratio'!$B$2:$B$21</c:f>
              <c:numCache>
                <c:formatCode>0.00%</c:formatCode>
                <c:ptCount val="20"/>
                <c:pt idx="0">
                  <c:v>0</c:v>
                </c:pt>
                <c:pt idx="1">
                  <c:v>-1.5E-3</c:v>
                </c:pt>
                <c:pt idx="2">
                  <c:v>7.1999999999999998E-3</c:v>
                </c:pt>
                <c:pt idx="3">
                  <c:v>1.23E-2</c:v>
                </c:pt>
                <c:pt idx="4">
                  <c:v>2.5000000000000001E-2</c:v>
                </c:pt>
                <c:pt idx="5">
                  <c:v>2.3300000000000001E-2</c:v>
                </c:pt>
                <c:pt idx="6">
                  <c:v>2.5399999999999999E-2</c:v>
                </c:pt>
                <c:pt idx="7">
                  <c:v>3.6299999999999999E-2</c:v>
                </c:pt>
                <c:pt idx="8">
                  <c:v>4.9100000000000005E-2</c:v>
                </c:pt>
                <c:pt idx="9">
                  <c:v>6.25E-2</c:v>
                </c:pt>
                <c:pt idx="10">
                  <c:v>6.3200000000000006E-2</c:v>
                </c:pt>
                <c:pt idx="11">
                  <c:v>6.6000000000000003E-2</c:v>
                </c:pt>
                <c:pt idx="12">
                  <c:v>6.7500000000000004E-2</c:v>
                </c:pt>
                <c:pt idx="13">
                  <c:v>7.9199999999999993E-2</c:v>
                </c:pt>
                <c:pt idx="14">
                  <c:v>8.3000000000000004E-2</c:v>
                </c:pt>
                <c:pt idx="15">
                  <c:v>0.09</c:v>
                </c:pt>
                <c:pt idx="16">
                  <c:v>9.2200000000000004E-2</c:v>
                </c:pt>
                <c:pt idx="17">
                  <c:v>9.3599999999999989E-2</c:v>
                </c:pt>
                <c:pt idx="18">
                  <c:v>9.3699999999999992E-2</c:v>
                </c:pt>
                <c:pt idx="19">
                  <c:v>0.1017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4-409B-8841-FDA775E4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381352"/>
        <c:axId val="885381680"/>
      </c:lineChart>
      <c:catAx>
        <c:axId val="88538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680"/>
        <c:crosses val="autoZero"/>
        <c:auto val="1"/>
        <c:lblAlgn val="ctr"/>
        <c:lblOffset val="100"/>
        <c:noMultiLvlLbl val="0"/>
      </c:catAx>
      <c:valAx>
        <c:axId val="8853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10</xdr:row>
      <xdr:rowOff>85725</xdr:rowOff>
    </xdr:from>
    <xdr:to>
      <xdr:col>16</xdr:col>
      <xdr:colOff>404812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74C09-E992-4897-879D-A9C83468F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3" workbookViewId="0">
      <selection activeCell="N43" sqref="N43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1.0869212641710992</v>
      </c>
      <c r="H23" s="10">
        <f t="shared" ref="H23:H38" si="1">D23-G23</f>
        <v>0</v>
      </c>
      <c r="L23" cm="1">
        <f t="array" ref="L23">_xll.BullBeta(L3:L17,K3:K17)</f>
        <v>0.1271052478189077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0.54207326774062659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2.0051187336748981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5.0860520440393318E-2</v>
      </c>
      <c r="H26" s="10">
        <f t="shared" si="1"/>
        <v>8.2672805592344523E-4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5.0849999972662811E-2</v>
      </c>
      <c r="H27" s="10">
        <f t="shared" si="1"/>
        <v>8.2655704772772315E-4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2.8510068879922587E-4</v>
      </c>
      <c r="H28" s="10">
        <f t="shared" si="1"/>
        <v>1.4803472663493876E-5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3.0318779856168554E-4</v>
      </c>
      <c r="H29" s="10">
        <f t="shared" si="1"/>
        <v>1.0623322891518668E-5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7.1946041713468107E-4</v>
      </c>
      <c r="H30" s="10">
        <f t="shared" si="1"/>
        <v>6.3278098688568547E-6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47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48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49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50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51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52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1"/>
      <c r="G41" s="16"/>
      <c r="H41" t="s">
        <v>81</v>
      </c>
      <c r="K41" t="s">
        <v>74</v>
      </c>
      <c r="L41" s="1"/>
    </row>
    <row r="42" spans="1:13" x14ac:dyDescent="0.25">
      <c r="E42" s="11"/>
      <c r="G42" s="18" t="str" cm="1">
        <f t="array" ref="G42:H51">_xll.FamaDecomposition(D3:D17,C3:C17,B3:B17,1.3,1)</f>
        <v>Risk Premium</v>
      </c>
      <c r="H42" s="1">
        <v>2.6868219460207676E-4</v>
      </c>
      <c r="I42" s="30"/>
      <c r="J42" s="36" t="str" cm="1">
        <f t="array" ref="J42:K51">_xll.FamaDecomposition(D3:D17,C3:C17,B3:B17,1.3,12)</f>
        <v>Risk Premium</v>
      </c>
      <c r="K42" s="1">
        <v>3.2324595721133775E-3</v>
      </c>
      <c r="L42" s="1"/>
      <c r="M42" s="11"/>
    </row>
    <row r="43" spans="1:13" x14ac:dyDescent="0.25">
      <c r="G43" t="str">
        <v>Due to Risk</v>
      </c>
      <c r="H43" s="1">
        <v>-4.5077822253260436E-4</v>
      </c>
      <c r="J43" s="36" t="str">
        <v>Due to Risk</v>
      </c>
      <c r="K43" s="1">
        <v>-5.4009881205370957E-3</v>
      </c>
      <c r="L43" s="1"/>
      <c r="M43" s="19"/>
    </row>
    <row r="44" spans="1:13" x14ac:dyDescent="0.25">
      <c r="G44" t="str">
        <v>Due to Investor's Risk</v>
      </c>
      <c r="H44" s="1">
        <v>-6.2182139203192932E-4</v>
      </c>
      <c r="J44" s="37" t="str">
        <v>Due to Investor's Risk</v>
      </c>
      <c r="K44" s="1">
        <v>-7.450337624101566E-3</v>
      </c>
    </row>
    <row r="45" spans="1:13" x14ac:dyDescent="0.25">
      <c r="G45" t="str">
        <v>Due to Manager's Risk</v>
      </c>
      <c r="H45" s="1">
        <v>1.7104316949932498E-4</v>
      </c>
      <c r="J45" s="37" t="str">
        <v>Due to Manager's Risk</v>
      </c>
      <c r="K45" s="1">
        <v>2.0493495035644707E-3</v>
      </c>
      <c r="L45" s="2"/>
      <c r="M45" s="20"/>
    </row>
    <row r="46" spans="1:13" x14ac:dyDescent="0.25">
      <c r="G46" t="str">
        <v>Due to Selectivity</v>
      </c>
      <c r="H46" s="1">
        <v>7.1946041713468107E-4</v>
      </c>
      <c r="J46" s="37" t="str">
        <v>Due to Selectivity</v>
      </c>
      <c r="K46" s="1">
        <v>8.6334476926504741E-3</v>
      </c>
    </row>
    <row r="47" spans="1:13" x14ac:dyDescent="0.25">
      <c r="G47" t="str">
        <v>Diversification</v>
      </c>
      <c r="H47" s="1">
        <v>8.6610762185780418E-5</v>
      </c>
      <c r="J47" s="37" t="str">
        <v>Diversification</v>
      </c>
      <c r="K47" s="1">
        <v>1.0377247042856628E-3</v>
      </c>
      <c r="L47" s="1"/>
    </row>
    <row r="48" spans="1:13" x14ac:dyDescent="0.25">
      <c r="G48" t="str">
        <v>Net Selectivity</v>
      </c>
      <c r="H48" s="1">
        <v>6.3284965494890067E-4</v>
      </c>
      <c r="J48" s="37" t="str">
        <v>Net Selectivity</v>
      </c>
      <c r="K48" s="1">
        <v>7.5957229883648111E-3</v>
      </c>
      <c r="L48" s="1"/>
    </row>
    <row r="49" spans="7:12" x14ac:dyDescent="0.25">
      <c r="G49" t="str">
        <v>Hypothetical Beta</v>
      </c>
      <c r="H49" s="29">
        <v>1.3134730578655347</v>
      </c>
      <c r="J49" s="23" t="str">
        <v>Hypothetical Beta</v>
      </c>
      <c r="K49" s="29">
        <v>1.3134730578655347</v>
      </c>
      <c r="L49" s="1"/>
    </row>
    <row r="50" spans="7:12" x14ac:dyDescent="0.25">
      <c r="G50" t="str">
        <v>Hypothetical Exp Return</v>
      </c>
      <c r="H50" s="1">
        <v>-5.2963667077848419E-4</v>
      </c>
      <c r="J50" s="37" t="str">
        <v>Hypothetical Exp Return</v>
      </c>
      <c r="K50" s="1">
        <v>-6.3433593458563399E-3</v>
      </c>
    </row>
    <row r="51" spans="7:12" x14ac:dyDescent="0.25">
      <c r="G51" t="str">
        <v>Hypothetical Risk Premium</v>
      </c>
      <c r="H51" s="1">
        <v>-6.2826588095260126E-4</v>
      </c>
      <c r="J51" s="37" t="str">
        <v>Hypothetical Risk Premium</v>
      </c>
      <c r="K51" s="1">
        <v>-7.527552108661021E-3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1.3736080990295683</v>
      </c>
      <c r="L27" s="21" cm="1">
        <f t="array" ref="L27">_xll.Beta(L2:L11,$L$2:$L$11)</f>
        <v>1</v>
      </c>
      <c r="M27" s="21" cm="1">
        <f t="array" ref="M27">_xll.Beta(M2:M11,$L$2:$L$11)</f>
        <v>-1.0437227785546527E-2</v>
      </c>
    </row>
    <row r="28" spans="8:13" x14ac:dyDescent="0.25">
      <c r="H28" t="s">
        <v>4</v>
      </c>
      <c r="I28" s="21" cm="1">
        <f t="array" ref="I28">_xll.SharpeRatio(I2:I11,$M$2:$M$11)</f>
        <v>1.1545617546995548</v>
      </c>
      <c r="J28" s="21" cm="1">
        <f t="array" ref="J28">_xll.SharpeRatio(J2:J11,$M$2:$M$11)</f>
        <v>-0.14124422465973449</v>
      </c>
      <c r="K28" s="21" cm="1">
        <f t="array" ref="K28">_xll.SharpeRatio(K2:K11,$M$2:$M$11)</f>
        <v>0.40908560600556776</v>
      </c>
      <c r="L28" s="21" cm="1">
        <f t="array" ref="L28">_xll.SharpeRatio(L2:L11,$M$2:$M$11)</f>
        <v>0.54723236351096227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0.1554491757883816</v>
      </c>
      <c r="J29" s="21" cm="1">
        <f t="array" ref="J29">_xll.TreynorIndex(J2:J11,J27,$M$2:$M$11)</f>
        <v>-4.6080963991636754E-2</v>
      </c>
      <c r="K29" s="21" cm="1">
        <f t="array" ref="K29">_xll.TreynorIndex(K2:K11,K27,$M$2:$M$11)</f>
        <v>5.5286411934401029E-2</v>
      </c>
      <c r="L29" s="21" cm="1">
        <f t="array" ref="L29">_xll.TreynorIndex(L2:L11,L27,$M$2:$M$11)</f>
        <v>6.0467067503411798E-2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0.14624726845588906</v>
      </c>
      <c r="J30" s="21" cm="1">
        <f t="array" ref="J30">_xll.JensensAlpha(J2:J11,$L$2:$L$11,$M$2:$M$11)</f>
        <v>-0.11974894241200459</v>
      </c>
      <c r="K30" s="21" cm="1">
        <f t="array" ref="K30">_xll.JensensAlpha(K2:K11,$L$2:$L$11,$M$2:$M$11)</f>
        <v>-7.1161904478758281E-3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6.3110855705712711E-4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F37"/>
  <sheetViews>
    <sheetView workbookViewId="0">
      <selection activeCell="E13" sqref="E1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6.28515625" bestFit="1" customWidth="1"/>
    <col min="4" max="4" width="19" bestFit="1" customWidth="1"/>
    <col min="5" max="5" width="12.7109375" bestFit="1" customWidth="1"/>
    <col min="6" max="6" width="10.7109375" bestFit="1" customWidth="1"/>
  </cols>
  <sheetData>
    <row r="1" spans="1:6" x14ac:dyDescent="0.25">
      <c r="A1" t="s">
        <v>61</v>
      </c>
      <c r="B1" t="s">
        <v>62</v>
      </c>
      <c r="E1" t="s">
        <v>61</v>
      </c>
      <c r="F1" t="s">
        <v>62</v>
      </c>
    </row>
    <row r="2" spans="1:6" x14ac:dyDescent="0.25">
      <c r="A2" s="14">
        <v>3.0000000000000001E-3</v>
      </c>
      <c r="B2" s="14">
        <v>2E-3</v>
      </c>
      <c r="D2" t="s">
        <v>66</v>
      </c>
      <c r="E2" s="21">
        <f>_xlfn.SKEW.P(A2:A37)</f>
        <v>-0.23799512754333593</v>
      </c>
      <c r="F2" s="21">
        <f>_xlfn.SKEW.P(B2:B37)</f>
        <v>-0.36250444107583124</v>
      </c>
    </row>
    <row r="3" spans="1:6" x14ac:dyDescent="0.25">
      <c r="A3" s="14">
        <v>2.6000000000000002E-2</v>
      </c>
      <c r="B3" s="14">
        <v>2.5000000000000001E-2</v>
      </c>
      <c r="D3" t="s">
        <v>66</v>
      </c>
      <c r="E3" s="21" cm="1">
        <f t="array" ref="E3">_xll.Skewness_P(A2:A37)</f>
        <v>-0.23799512754333596</v>
      </c>
      <c r="F3" s="21" cm="1">
        <f t="array" ref="F3">_xll.Skewness_P(B2:B37)</f>
        <v>-0.3625044410758313</v>
      </c>
    </row>
    <row r="4" spans="1:6" x14ac:dyDescent="0.25">
      <c r="A4" s="14">
        <v>1.1000000000000001E-2</v>
      </c>
      <c r="B4" s="14">
        <v>1.8000000000000002E-2</v>
      </c>
    </row>
    <row r="5" spans="1:6" x14ac:dyDescent="0.25">
      <c r="A5" s="14">
        <v>-9.0000000000000011E-3</v>
      </c>
      <c r="B5" s="14">
        <v>-1.1000000000000001E-2</v>
      </c>
      <c r="D5" t="s">
        <v>67</v>
      </c>
      <c r="E5" s="21" cm="1">
        <f t="array" ref="E5">_xll.Kurtosis_P_Excess(A2:A37)</f>
        <v>-2.2361140899221699E-2</v>
      </c>
      <c r="F5" s="21" cm="1">
        <f t="array" ref="F5">_xll.Kurtosis_P_Excess(B2:B37)</f>
        <v>4.4698088448780204E-2</v>
      </c>
    </row>
    <row r="6" spans="1:6" x14ac:dyDescent="0.25">
      <c r="A6" s="14">
        <v>1.3999999999999999E-2</v>
      </c>
      <c r="B6" s="14">
        <v>1.3999999999999999E-2</v>
      </c>
    </row>
    <row r="7" spans="1:6" x14ac:dyDescent="0.25">
      <c r="A7" s="14">
        <v>2.4E-2</v>
      </c>
      <c r="B7" s="14">
        <v>2.3E-2</v>
      </c>
      <c r="D7" t="s">
        <v>46</v>
      </c>
      <c r="E7" s="21">
        <f>COUNT(A2:A37)/6*(E3^2+E5^2/4)</f>
        <v>0.34060011533968482</v>
      </c>
      <c r="F7" s="21">
        <f>COUNT(B2:B37)/6*(F3^2+F5^2/4)</f>
        <v>0.79145369746466754</v>
      </c>
    </row>
    <row r="8" spans="1:6" x14ac:dyDescent="0.25">
      <c r="A8" s="14">
        <v>1.4999999999999999E-2</v>
      </c>
      <c r="B8" s="14">
        <v>1.3999999999999999E-2</v>
      </c>
      <c r="D8" t="s">
        <v>46</v>
      </c>
      <c r="E8" s="21" cm="1">
        <f t="array" ref="E8">_xll.JarqueBeraTest(A2:A37)</f>
        <v>0.34060011533968482</v>
      </c>
      <c r="F8" s="21" cm="1">
        <f t="array" ref="F8">_xll.JarqueBeraTest(B2:B37)</f>
        <v>0.79145369746466754</v>
      </c>
    </row>
    <row r="9" spans="1:6" x14ac:dyDescent="0.25">
      <c r="A9" s="14">
        <v>6.6000000000000003E-2</v>
      </c>
      <c r="B9" s="14">
        <v>6.5000000000000002E-2</v>
      </c>
    </row>
    <row r="10" spans="1:6" x14ac:dyDescent="0.25">
      <c r="A10" s="14">
        <v>-1.3999999999999999E-2</v>
      </c>
      <c r="B10" s="14">
        <v>-1.4999999999999999E-2</v>
      </c>
      <c r="D10" t="s">
        <v>44</v>
      </c>
      <c r="E10" s="21" cm="1">
        <f t="array" ref="E10">_xll.Skewness_S(A2:A37)</f>
        <v>-0.24847026397682553</v>
      </c>
      <c r="F10" s="21" cm="1">
        <f t="array" ref="F10">_xll.Skewness_S(B2:B37)</f>
        <v>-0.37845974031750912</v>
      </c>
    </row>
    <row r="11" spans="1:6" x14ac:dyDescent="0.25">
      <c r="A11" s="14">
        <v>3.9E-2</v>
      </c>
      <c r="B11" s="14">
        <v>4.2000000000000003E-2</v>
      </c>
      <c r="D11" t="s">
        <v>45</v>
      </c>
      <c r="E11" s="21" cm="1">
        <f t="array" ref="E11">_xll.Kurtosis_S(A2:A37)</f>
        <v>3.4367578632223772</v>
      </c>
      <c r="F11" s="21" cm="1">
        <f t="array" ref="F11">_xll.Kurtosis_S(B2:B37)</f>
        <v>3.5141568846177993</v>
      </c>
    </row>
    <row r="12" spans="1:6" x14ac:dyDescent="0.25">
      <c r="A12" s="14">
        <v>-5.0000000000000001E-3</v>
      </c>
      <c r="B12" s="14">
        <v>-3.0000000000000001E-3</v>
      </c>
    </row>
    <row r="13" spans="1:6" x14ac:dyDescent="0.25">
      <c r="A13" s="14">
        <v>8.1000000000000003E-2</v>
      </c>
      <c r="B13" s="14">
        <v>8.3000000000000004E-2</v>
      </c>
    </row>
    <row r="14" spans="1:6" x14ac:dyDescent="0.25">
      <c r="A14" s="14">
        <v>0.04</v>
      </c>
      <c r="B14" s="14">
        <v>3.9E-2</v>
      </c>
    </row>
    <row r="15" spans="1:6" x14ac:dyDescent="0.25">
      <c r="A15" s="14">
        <v>-3.7000000000000005E-2</v>
      </c>
      <c r="B15" s="14">
        <v>-3.7999999999999999E-2</v>
      </c>
    </row>
    <row r="16" spans="1:6" x14ac:dyDescent="0.25">
      <c r="A16" s="14">
        <v>-6.0999999999999999E-2</v>
      </c>
      <c r="B16" s="14">
        <v>-6.2E-2</v>
      </c>
    </row>
    <row r="17" spans="1:2" x14ac:dyDescent="0.25">
      <c r="A17" s="14">
        <v>1.3999999999999999E-2</v>
      </c>
      <c r="B17" s="14">
        <v>1.4999999999999999E-2</v>
      </c>
    </row>
    <row r="18" spans="1:2" x14ac:dyDescent="0.25">
      <c r="A18" s="14">
        <v>-4.9000000000000002E-2</v>
      </c>
      <c r="B18" s="14">
        <v>-4.8000000000000001E-2</v>
      </c>
    </row>
    <row r="19" spans="1:2" x14ac:dyDescent="0.25">
      <c r="A19" s="14">
        <v>-2.1000000000000001E-2</v>
      </c>
      <c r="B19" s="14">
        <v>-0.02</v>
      </c>
    </row>
    <row r="20" spans="1:2" x14ac:dyDescent="0.25">
      <c r="A20" s="14">
        <v>6.2E-2</v>
      </c>
      <c r="B20" s="14">
        <v>0.06</v>
      </c>
    </row>
    <row r="21" spans="1:2" x14ac:dyDescent="0.25">
      <c r="A21" s="14">
        <v>5.7999999999999996E-2</v>
      </c>
      <c r="B21" s="14">
        <v>5.5999999999999994E-2</v>
      </c>
    </row>
    <row r="22" spans="1:2" x14ac:dyDescent="0.25">
      <c r="A22" s="14">
        <v>-6.4000000000000001E-2</v>
      </c>
      <c r="B22" s="14">
        <v>-6.7000000000000004E-2</v>
      </c>
    </row>
    <row r="23" spans="1:2" x14ac:dyDescent="0.25">
      <c r="A23" s="14">
        <v>1.7000000000000001E-2</v>
      </c>
      <c r="B23" s="14">
        <v>1.9E-2</v>
      </c>
    </row>
    <row r="24" spans="1:2" x14ac:dyDescent="0.25">
      <c r="A24" s="14">
        <v>-4.0000000000000001E-3</v>
      </c>
      <c r="B24" s="14">
        <v>-3.0000000000000001E-3</v>
      </c>
    </row>
    <row r="25" spans="1:2" x14ac:dyDescent="0.25">
      <c r="A25" s="14">
        <v>-2E-3</v>
      </c>
      <c r="B25" s="14">
        <v>-1E-3</v>
      </c>
    </row>
    <row r="26" spans="1:2" x14ac:dyDescent="0.25">
      <c r="A26" s="14">
        <v>-2.1000000000000001E-2</v>
      </c>
      <c r="B26" s="14">
        <v>-2.6000000000000002E-2</v>
      </c>
    </row>
    <row r="27" spans="1:2" x14ac:dyDescent="0.25">
      <c r="A27" s="14">
        <v>1.1000000000000001E-2</v>
      </c>
      <c r="B27" s="14">
        <v>6.9999999999999993E-3</v>
      </c>
    </row>
    <row r="28" spans="1:2" x14ac:dyDescent="0.25">
      <c r="A28" s="14">
        <v>4.7E-2</v>
      </c>
      <c r="B28" s="14">
        <v>4.2999999999999997E-2</v>
      </c>
    </row>
    <row r="29" spans="1:2" x14ac:dyDescent="0.25">
      <c r="A29" s="14">
        <v>2.4E-2</v>
      </c>
      <c r="B29" s="14">
        <v>2.8999999999999998E-2</v>
      </c>
    </row>
    <row r="30" spans="1:2" x14ac:dyDescent="0.25">
      <c r="A30" s="14">
        <v>3.3000000000000002E-2</v>
      </c>
      <c r="B30" s="14">
        <v>3.7999999999999999E-2</v>
      </c>
    </row>
    <row r="31" spans="1:2" x14ac:dyDescent="0.25">
      <c r="A31" s="14">
        <v>-6.9999999999999993E-3</v>
      </c>
      <c r="B31" s="14">
        <v>-2E-3</v>
      </c>
    </row>
    <row r="32" spans="1:2" x14ac:dyDescent="0.25">
      <c r="A32" s="14">
        <v>4.7E-2</v>
      </c>
      <c r="B32" s="14">
        <v>5.0999999999999997E-2</v>
      </c>
    </row>
    <row r="33" spans="1:2" x14ac:dyDescent="0.25">
      <c r="A33" s="14">
        <v>6.0000000000000001E-3</v>
      </c>
      <c r="B33" s="14">
        <v>1.3999999999999999E-2</v>
      </c>
    </row>
    <row r="34" spans="1:2" x14ac:dyDescent="0.25">
      <c r="A34" s="14">
        <v>0.01</v>
      </c>
      <c r="B34" s="14">
        <v>1.3000000000000001E-2</v>
      </c>
    </row>
    <row r="35" spans="1:2" x14ac:dyDescent="0.25">
      <c r="A35" s="14">
        <v>-2E-3</v>
      </c>
      <c r="B35" s="14">
        <v>3.0000000000000001E-3</v>
      </c>
    </row>
    <row r="36" spans="1:2" x14ac:dyDescent="0.25">
      <c r="A36" s="14">
        <v>3.4000000000000002E-2</v>
      </c>
      <c r="B36" s="14">
        <v>3.4000000000000002E-2</v>
      </c>
    </row>
    <row r="37" spans="1:2" x14ac:dyDescent="0.25">
      <c r="A37" s="14">
        <v>0.01</v>
      </c>
      <c r="B37" s="14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workbookViewId="0">
      <selection activeCell="I14" sqref="I14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8.7109375" bestFit="1" customWidth="1"/>
    <col min="8" max="9" width="11.7109375" customWidth="1"/>
  </cols>
  <sheetData>
    <row r="1" spans="1:9" x14ac:dyDescent="0.25">
      <c r="A1" t="s">
        <v>53</v>
      </c>
      <c r="B1" t="s">
        <v>54</v>
      </c>
      <c r="D1" t="s">
        <v>57</v>
      </c>
      <c r="E1" t="s">
        <v>58</v>
      </c>
      <c r="H1" t="s">
        <v>61</v>
      </c>
      <c r="I1" t="s">
        <v>62</v>
      </c>
    </row>
    <row r="2" spans="1:9" x14ac:dyDescent="0.25">
      <c r="A2" s="32">
        <v>3.0000000000000001E-3</v>
      </c>
      <c r="B2" s="32">
        <v>2E-3</v>
      </c>
      <c r="C2" s="32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2">
        <v>2.6000000000000002E-2</v>
      </c>
      <c r="B3" s="32">
        <v>2.5000000000000001E-2</v>
      </c>
      <c r="C3" s="32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2">
        <v>1.1000000000000001E-2</v>
      </c>
      <c r="B4" s="32">
        <v>1.8000000000000002E-2</v>
      </c>
      <c r="C4" s="32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56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2">
        <v>-9.0000000000000011E-3</v>
      </c>
      <c r="B5" s="32">
        <v>-1.1000000000000001E-2</v>
      </c>
      <c r="C5" s="32"/>
      <c r="D5" s="14">
        <f t="shared" si="0"/>
        <v>-1.3000000000000001E-2</v>
      </c>
      <c r="E5" s="14">
        <f t="shared" si="1"/>
        <v>-1.4000000000000007E-2</v>
      </c>
      <c r="G5" t="s">
        <v>59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2">
        <v>1.3999999999999999E-2</v>
      </c>
      <c r="B6" s="32">
        <v>1.3999999999999999E-2</v>
      </c>
      <c r="C6" s="32"/>
      <c r="D6" s="14">
        <f t="shared" si="0"/>
        <v>-1.0000000000000004E-2</v>
      </c>
      <c r="E6" s="14">
        <f t="shared" si="1"/>
        <v>-1.2000000000000011E-2</v>
      </c>
      <c r="G6" t="s">
        <v>55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2">
        <v>2.4E-2</v>
      </c>
      <c r="B7" s="32">
        <v>2.3E-2</v>
      </c>
      <c r="C7" s="32"/>
      <c r="D7" s="14">
        <f t="shared" si="0"/>
        <v>2.9999999999999957E-3</v>
      </c>
      <c r="E7" s="14">
        <f t="shared" si="1"/>
        <v>-1.000000000000013E-3</v>
      </c>
      <c r="G7" t="s">
        <v>55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2">
        <v>1.4999999999999999E-2</v>
      </c>
      <c r="B8" s="32">
        <v>1.3999999999999999E-2</v>
      </c>
      <c r="C8" s="32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2">
        <v>6.6000000000000003E-2</v>
      </c>
      <c r="B9" s="32">
        <v>6.5000000000000002E-2</v>
      </c>
      <c r="C9" s="32"/>
      <c r="D9" s="14">
        <f t="shared" si="0"/>
        <v>6.1999999999999993E-2</v>
      </c>
      <c r="E9" s="14">
        <f t="shared" si="1"/>
        <v>5.3999999999999986E-2</v>
      </c>
      <c r="H9" t="s">
        <v>61</v>
      </c>
      <c r="I9" t="s">
        <v>62</v>
      </c>
    </row>
    <row r="10" spans="1:9" x14ac:dyDescent="0.25">
      <c r="A10" s="32">
        <v>-1.3999999999999999E-2</v>
      </c>
      <c r="B10" s="32">
        <v>-1.4999999999999999E-2</v>
      </c>
      <c r="C10" s="32"/>
      <c r="D10" s="14">
        <f t="shared" si="0"/>
        <v>3.6999999999999991E-2</v>
      </c>
      <c r="E10" s="14">
        <f t="shared" si="1"/>
        <v>2.6999999999999982E-2</v>
      </c>
      <c r="G10" t="s">
        <v>63</v>
      </c>
      <c r="H10" s="34">
        <v>1</v>
      </c>
      <c r="I10" s="34">
        <f>H10</f>
        <v>1</v>
      </c>
    </row>
    <row r="11" spans="1:9" x14ac:dyDescent="0.25">
      <c r="A11" s="32">
        <v>3.9E-2</v>
      </c>
      <c r="B11" s="32">
        <v>4.2000000000000003E-2</v>
      </c>
      <c r="C11" s="32"/>
      <c r="D11" s="14">
        <f t="shared" si="0"/>
        <v>6.4999999999999988E-2</v>
      </c>
      <c r="E11" s="14">
        <f t="shared" si="1"/>
        <v>5.6999999999999974E-2</v>
      </c>
      <c r="G11" t="s">
        <v>64</v>
      </c>
      <c r="H11" s="33" cm="1">
        <f t="array" ref="H11">SUM((A2:A37&gt;=0)*(A2:A37&lt;=H3))</f>
        <v>14</v>
      </c>
      <c r="I11" s="33" cm="1">
        <f t="array" ref="I11">SUM((B2:B37&gt;=0)*(B2:B37&lt;=I3))</f>
        <v>14</v>
      </c>
    </row>
    <row r="12" spans="1:9" x14ac:dyDescent="0.25">
      <c r="A12" s="32">
        <v>-5.0000000000000001E-3</v>
      </c>
      <c r="B12" s="32">
        <v>-3.0000000000000001E-3</v>
      </c>
      <c r="C12" s="32"/>
      <c r="D12" s="14">
        <f t="shared" si="0"/>
        <v>4.8999999999999988E-2</v>
      </c>
      <c r="E12" s="14">
        <f t="shared" si="1"/>
        <v>4.1999999999999968E-2</v>
      </c>
      <c r="G12" t="s">
        <v>65</v>
      </c>
      <c r="H12" s="33" cm="1">
        <f t="array" ref="H12">SUM((A2:A37&lt;0)*(A2:A37&gt;=-H3))</f>
        <v>9</v>
      </c>
      <c r="I12" s="33" cm="1">
        <f t="array" ref="I12">SUM((B2:B37&lt;0)*(B2:B37&gt;=-I3))</f>
        <v>8</v>
      </c>
    </row>
    <row r="13" spans="1:9" x14ac:dyDescent="0.25">
      <c r="A13" s="32">
        <v>8.1000000000000003E-2</v>
      </c>
      <c r="B13" s="32">
        <v>8.3000000000000004E-2</v>
      </c>
      <c r="C13" s="32"/>
      <c r="D13" s="14">
        <f t="shared" si="0"/>
        <v>0.11900000000000001</v>
      </c>
      <c r="E13" s="14">
        <f t="shared" si="1"/>
        <v>0.11299999999999998</v>
      </c>
      <c r="G13" t="s">
        <v>60</v>
      </c>
      <c r="H13" s="28" cm="1">
        <f t="array" ref="H13">SUM((A2:A37&gt;=0)*(A2:A37&lt;=H3*H10))/(1+SUM((A2:A37&lt;0)*(A2:A37&gt;=-H3*H10)))</f>
        <v>1.4</v>
      </c>
      <c r="I13" s="28" cm="1">
        <f t="array" ref="I13">SUM((B2:B37&gt;=0)*(B2:B37&lt;=I3*I10))/(1+SUM((B2:B37&lt;0)*(B2:B37&gt;=-I3*I10)))</f>
        <v>1.5555555555555556</v>
      </c>
    </row>
    <row r="14" spans="1:9" x14ac:dyDescent="0.25">
      <c r="A14" s="32">
        <v>0.04</v>
      </c>
      <c r="B14" s="32">
        <v>3.9E-2</v>
      </c>
      <c r="C14" s="32"/>
      <c r="D14" s="14">
        <f t="shared" si="0"/>
        <v>0.14799999999999999</v>
      </c>
      <c r="E14" s="14">
        <f t="shared" si="1"/>
        <v>0.13999999999999996</v>
      </c>
      <c r="G14" t="s">
        <v>60</v>
      </c>
      <c r="H14" s="28" cm="1">
        <f t="array" ref="H14">_xll.BiasRatio(A2:A37,H10)</f>
        <v>1.4</v>
      </c>
      <c r="I14" s="28" cm="1">
        <f t="array" ref="I14">_xll.BiasRatio(B2:B37,I10)</f>
        <v>1.5555555555555556</v>
      </c>
    </row>
    <row r="15" spans="1:9" x14ac:dyDescent="0.25">
      <c r="A15" s="32">
        <v>-3.7000000000000005E-2</v>
      </c>
      <c r="B15" s="32">
        <v>-3.7999999999999999E-2</v>
      </c>
      <c r="C15" s="32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2">
        <v>-6.0999999999999999E-2</v>
      </c>
      <c r="B16" s="32">
        <v>-6.2E-2</v>
      </c>
      <c r="C16" s="32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2">
        <v>1.3999999999999999E-2</v>
      </c>
      <c r="B17" s="32">
        <v>1.4999999999999999E-2</v>
      </c>
      <c r="C17" s="32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2">
        <v>-4.9000000000000002E-2</v>
      </c>
      <c r="B18" s="32">
        <v>-4.8000000000000001E-2</v>
      </c>
      <c r="C18" s="32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2">
        <v>-2.1000000000000001E-2</v>
      </c>
      <c r="B19" s="32">
        <v>-0.02</v>
      </c>
      <c r="C19" s="32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2">
        <v>6.2E-2</v>
      </c>
      <c r="B20" s="32">
        <v>0.06</v>
      </c>
      <c r="C20" s="32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2">
        <v>5.7999999999999996E-2</v>
      </c>
      <c r="B21" s="32">
        <v>5.5999999999999994E-2</v>
      </c>
      <c r="C21" s="32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2">
        <v>-6.4000000000000001E-2</v>
      </c>
      <c r="B22" s="32">
        <v>-6.7000000000000004E-2</v>
      </c>
      <c r="C22" s="32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2">
        <v>1.7000000000000001E-2</v>
      </c>
      <c r="B23" s="32">
        <v>1.9E-2</v>
      </c>
      <c r="C23" s="32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2">
        <v>-4.0000000000000001E-3</v>
      </c>
      <c r="B24" s="32">
        <v>-3.0000000000000001E-3</v>
      </c>
      <c r="C24" s="32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2">
        <v>-2E-3</v>
      </c>
      <c r="B25" s="32">
        <v>-1E-3</v>
      </c>
      <c r="C25" s="32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2">
        <v>-2.1000000000000001E-2</v>
      </c>
      <c r="B26" s="32">
        <v>-2.6000000000000002E-2</v>
      </c>
      <c r="C26" s="32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2">
        <v>1.1000000000000001E-2</v>
      </c>
      <c r="B27" s="32">
        <v>6.9999999999999993E-3</v>
      </c>
      <c r="C27" s="32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2">
        <v>4.7E-2</v>
      </c>
      <c r="B28" s="32">
        <v>4.2999999999999997E-2</v>
      </c>
      <c r="C28" s="32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2">
        <v>2.4E-2</v>
      </c>
      <c r="B29" s="32">
        <v>2.8999999999999998E-2</v>
      </c>
      <c r="C29" s="32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2">
        <v>3.3000000000000002E-2</v>
      </c>
      <c r="B30" s="32">
        <v>3.7999999999999999E-2</v>
      </c>
      <c r="C30" s="32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2">
        <v>-6.9999999999999993E-3</v>
      </c>
      <c r="B31" s="32">
        <v>-2E-3</v>
      </c>
      <c r="C31" s="32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2">
        <v>4.7E-2</v>
      </c>
      <c r="B32" s="32">
        <v>5.0999999999999997E-2</v>
      </c>
      <c r="C32" s="32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2">
        <v>6.0000000000000001E-3</v>
      </c>
      <c r="B33" s="32">
        <v>1.3999999999999999E-2</v>
      </c>
      <c r="C33" s="32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2">
        <v>0.01</v>
      </c>
      <c r="B34" s="32">
        <v>1.3000000000000001E-2</v>
      </c>
      <c r="C34" s="32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2">
        <v>-2E-3</v>
      </c>
      <c r="B35" s="32">
        <v>3.0000000000000001E-3</v>
      </c>
      <c r="C35" s="32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2">
        <v>3.4000000000000002E-2</v>
      </c>
      <c r="B36" s="32">
        <v>3.4000000000000002E-2</v>
      </c>
      <c r="C36" s="32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2">
        <v>0.01</v>
      </c>
      <c r="B37" s="32">
        <v>2.1000000000000001E-2</v>
      </c>
      <c r="C37" s="32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20BF-B3A2-4768-8CA5-EE00905CFCE9}">
  <dimension ref="A1:AB45"/>
  <sheetViews>
    <sheetView tabSelected="1" topLeftCell="A8" workbookViewId="0">
      <selection activeCell="F30" sqref="F30"/>
    </sheetView>
  </sheetViews>
  <sheetFormatPr defaultRowHeight="15" x14ac:dyDescent="0.25"/>
  <cols>
    <col min="2" max="2" width="10.7109375" bestFit="1" customWidth="1"/>
    <col min="5" max="5" width="25.5703125" customWidth="1"/>
    <col min="6" max="6" width="20.7109375" bestFit="1" customWidth="1"/>
    <col min="7" max="7" width="23.28515625" bestFit="1" customWidth="1"/>
    <col min="8" max="8" width="9.42578125" bestFit="1" customWidth="1"/>
    <col min="9" max="9" width="12" bestFit="1" customWidth="1"/>
    <col min="10" max="10" width="23.28515625" bestFit="1" customWidth="1"/>
    <col min="12" max="12" width="10" bestFit="1" customWidth="1"/>
    <col min="13" max="13" width="23.28515625" bestFit="1" customWidth="1"/>
    <col min="15" max="15" width="10.28515625" customWidth="1"/>
    <col min="18" max="18" width="12.42578125" bestFit="1" customWidth="1"/>
  </cols>
  <sheetData>
    <row r="1" spans="1:28" x14ac:dyDescent="0.25">
      <c r="A1" t="s">
        <v>61</v>
      </c>
      <c r="B1" t="s">
        <v>62</v>
      </c>
      <c r="C1" t="s">
        <v>68</v>
      </c>
      <c r="F1" s="4" t="s">
        <v>61</v>
      </c>
      <c r="G1" s="4"/>
      <c r="I1" s="4" t="s">
        <v>62</v>
      </c>
      <c r="J1" s="4"/>
      <c r="L1" s="4" t="s">
        <v>68</v>
      </c>
      <c r="M1" s="4"/>
      <c r="T1" t="s">
        <v>89</v>
      </c>
    </row>
    <row r="2" spans="1:28" ht="15.75" thickBot="1" x14ac:dyDescent="0.3">
      <c r="A2" s="14">
        <v>3.0000000000000001E-3</v>
      </c>
      <c r="B2" s="32">
        <v>2E-3</v>
      </c>
      <c r="C2" s="14">
        <v>1E-3</v>
      </c>
      <c r="F2" t="s">
        <v>71</v>
      </c>
      <c r="G2" t="s">
        <v>70</v>
      </c>
      <c r="I2" t="s">
        <v>71</v>
      </c>
      <c r="J2" t="s">
        <v>70</v>
      </c>
      <c r="L2" t="s">
        <v>71</v>
      </c>
      <c r="M2" t="s">
        <v>70</v>
      </c>
      <c r="N2" cm="1">
        <f t="array" ref="N2:N38">_xlfn.SEQUENCE(37)</f>
        <v>1</v>
      </c>
      <c r="O2" s="26">
        <f>A2</f>
        <v>3.0000000000000001E-3</v>
      </c>
      <c r="P2" s="14" cm="1">
        <f t="array" ref="P2:P37">(1+O1:O36)*(1+O2:O37)-1</f>
        <v>2.9999999999998916E-3</v>
      </c>
      <c r="R2" s="21" cm="1">
        <f t="array" ref="R2:R38">TRANSPOSE(_xll.TotalReturnIndex(A2:A37,1000))</f>
        <v>1000</v>
      </c>
    </row>
    <row r="3" spans="1:28" x14ac:dyDescent="0.25">
      <c r="A3" s="14">
        <v>2.6000000000000002E-2</v>
      </c>
      <c r="B3" s="32">
        <v>2.5000000000000001E-2</v>
      </c>
      <c r="C3" s="14">
        <v>1E-3</v>
      </c>
      <c r="E3" t="s">
        <v>2</v>
      </c>
      <c r="F3" s="1" cm="1">
        <f t="array" ref="F3">GEOMEAN(1+A2:A37)-1</f>
        <v>1.0452163610398468E-2</v>
      </c>
      <c r="G3" s="1" cm="1">
        <f t="array" ref="G3">PRODUCT(1+A2:A37)^(12/36)-1</f>
        <v>0.13289353350977429</v>
      </c>
      <c r="I3" s="1" cm="1">
        <f t="array" ref="I3">GEOMEAN(1+B2:B37)-1</f>
        <v>1.1436247371426456E-2</v>
      </c>
      <c r="J3" s="1" cm="1">
        <f t="array" ref="J3">PRODUCT(1+B2:B37)^(12/36)-1</f>
        <v>0.14620464307207515</v>
      </c>
      <c r="L3" s="1" cm="1">
        <f t="array" ref="L3">GEOMEAN(1+C2:C37)-1</f>
        <v>1.9995843306364058E-3</v>
      </c>
      <c r="M3" s="1" cm="1">
        <f t="array" ref="M3">PRODUCT(1+C2:C37)^(12/36)-1</f>
        <v>2.4260669083983943E-2</v>
      </c>
      <c r="N3">
        <v>2</v>
      </c>
      <c r="O3" s="26">
        <f t="shared" ref="O3:O37" si="0">A3</f>
        <v>2.6000000000000002E-2</v>
      </c>
      <c r="P3" s="14">
        <v>2.9077999999999937E-2</v>
      </c>
      <c r="R3" s="21">
        <v>1002.9999999999999</v>
      </c>
      <c r="T3" s="43" t="s">
        <v>90</v>
      </c>
      <c r="U3" s="43"/>
    </row>
    <row r="4" spans="1:28" x14ac:dyDescent="0.25">
      <c r="A4" s="14">
        <v>1.1000000000000001E-2</v>
      </c>
      <c r="B4" s="32">
        <v>1.8000000000000002E-2</v>
      </c>
      <c r="C4" s="14">
        <v>2E-3</v>
      </c>
      <c r="E4" t="s">
        <v>77</v>
      </c>
      <c r="F4" s="1">
        <f>_xlfn.STDEV.P(A2:A37)</f>
        <v>3.3173784830796742E-2</v>
      </c>
      <c r="G4" s="1">
        <f>F4*SQRT(12)</f>
        <v>0.11491736161259533</v>
      </c>
      <c r="I4" s="1">
        <f>_xlfn.STDEV.P(B2:B37)</f>
        <v>3.3620430296671298E-2</v>
      </c>
      <c r="J4" s="1">
        <f>I4*SQRT(12)</f>
        <v>0.11646458689232533</v>
      </c>
      <c r="L4" s="1">
        <f>_xlfn.STDEV.P(C2:C37)</f>
        <v>9.1287092917527674E-4</v>
      </c>
      <c r="M4" s="1">
        <f>L4*SQRT(12)</f>
        <v>3.1622776601683785E-3</v>
      </c>
      <c r="N4">
        <v>3</v>
      </c>
      <c r="O4" s="26">
        <f t="shared" si="0"/>
        <v>1.1000000000000001E-2</v>
      </c>
      <c r="P4" s="14">
        <v>3.728599999999993E-2</v>
      </c>
      <c r="R4" s="21">
        <v>1029.078</v>
      </c>
      <c r="T4" s="40" t="s">
        <v>91</v>
      </c>
      <c r="U4" s="40">
        <v>1.0924384153101352E-2</v>
      </c>
    </row>
    <row r="5" spans="1:28" x14ac:dyDescent="0.25">
      <c r="A5" s="14">
        <v>-9.0000000000000011E-3</v>
      </c>
      <c r="B5" s="32">
        <v>-1.1000000000000001E-2</v>
      </c>
      <c r="C5" s="14">
        <v>2E-3</v>
      </c>
      <c r="N5">
        <v>4</v>
      </c>
      <c r="O5" s="26">
        <f t="shared" si="0"/>
        <v>-9.0000000000000011E-3</v>
      </c>
      <c r="P5" s="14">
        <v>1.9009999999999305E-3</v>
      </c>
      <c r="R5" s="21">
        <v>1040.3978579999998</v>
      </c>
      <c r="T5" s="40" t="s">
        <v>92</v>
      </c>
      <c r="U5" s="40">
        <v>1.1934216912453192E-4</v>
      </c>
    </row>
    <row r="6" spans="1:28" x14ac:dyDescent="0.25">
      <c r="A6" s="14">
        <v>1.3999999999999999E-2</v>
      </c>
      <c r="B6" s="32">
        <v>1.3999999999999999E-2</v>
      </c>
      <c r="C6" s="14">
        <v>2E-3</v>
      </c>
      <c r="E6" t="s">
        <v>4</v>
      </c>
      <c r="F6" s="21">
        <f>(F3-L3)/F4</f>
        <v>0.25479695255981605</v>
      </c>
      <c r="G6" s="21">
        <f>(G3-M3)/G4</f>
        <v>0.94531290051723404</v>
      </c>
      <c r="N6">
        <v>5</v>
      </c>
      <c r="O6" s="26">
        <f t="shared" si="0"/>
        <v>1.3999999999999999E-2</v>
      </c>
      <c r="P6" s="14">
        <v>4.874000000000045E-3</v>
      </c>
      <c r="R6" s="21">
        <v>1031.0342772779998</v>
      </c>
      <c r="T6" s="40" t="s">
        <v>93</v>
      </c>
      <c r="U6" s="40">
        <v>-2.9288912472960039E-2</v>
      </c>
    </row>
    <row r="7" spans="1:28" x14ac:dyDescent="0.25">
      <c r="A7" s="14">
        <v>2.4E-2</v>
      </c>
      <c r="B7" s="32">
        <v>2.3E-2</v>
      </c>
      <c r="C7" s="14">
        <v>2E-3</v>
      </c>
      <c r="E7" s="14" t="s">
        <v>24</v>
      </c>
      <c r="F7" s="21" cm="1">
        <f t="array" ref="F7">(F3-L3)/_xlfn.STDEV.P(A2:A37-C2:C37)</f>
        <v>0.25497722129753936</v>
      </c>
      <c r="G7" s="21" cm="1">
        <f t="array" ref="G7">(G3-M3)/(_xlfn.STDEV.P(A2:A37-C2:C37)*SQRT(12))</f>
        <v>0.9459817090002941</v>
      </c>
      <c r="J7">
        <f>_xlfn.VAR.P(B2:B37)</f>
        <v>1.1303333333333335E-3</v>
      </c>
      <c r="N7">
        <v>6</v>
      </c>
      <c r="O7" s="26">
        <f t="shared" si="0"/>
        <v>2.4E-2</v>
      </c>
      <c r="P7" s="14">
        <v>3.8335999999999926E-2</v>
      </c>
      <c r="R7" s="21">
        <v>1045.4687571598918</v>
      </c>
      <c r="T7" s="40" t="s">
        <v>94</v>
      </c>
      <c r="U7" s="40">
        <v>4.7995453798732747E-2</v>
      </c>
    </row>
    <row r="8" spans="1:28" ht="15.75" thickBot="1" x14ac:dyDescent="0.3">
      <c r="A8" s="14">
        <v>1.4999999999999999E-2</v>
      </c>
      <c r="B8" s="32">
        <v>1.3999999999999999E-2</v>
      </c>
      <c r="C8" s="14">
        <v>2E-3</v>
      </c>
      <c r="E8" t="s">
        <v>69</v>
      </c>
      <c r="F8" s="21" cm="1">
        <f t="array" ref="F8">F6+_xll.Skewness_P(A2:A37)/6*F6^2-(_xll.Kurtosis_P(A2:A37)-3)/24*F6^3</f>
        <v>0.25223719852260701</v>
      </c>
      <c r="G8" s="27" cm="1">
        <f t="array" ref="G8">G6+_xll.Skewness_P(A2:A37)/6*G6^2-(_xll.Kurtosis_P(A2:A37)-3)/24*G6^3</f>
        <v>0.91065390211902919</v>
      </c>
      <c r="H8" s="35"/>
      <c r="N8">
        <v>7</v>
      </c>
      <c r="O8" s="26">
        <f t="shared" si="0"/>
        <v>1.4999999999999999E-2</v>
      </c>
      <c r="P8" s="14">
        <v>3.935999999999984E-2</v>
      </c>
      <c r="R8" s="21">
        <v>1070.5600073317291</v>
      </c>
      <c r="T8" s="41" t="s">
        <v>95</v>
      </c>
      <c r="U8" s="41">
        <v>36</v>
      </c>
    </row>
    <row r="9" spans="1:28" ht="18" x14ac:dyDescent="0.25">
      <c r="A9" s="14">
        <v>6.6000000000000003E-2</v>
      </c>
      <c r="B9" s="32">
        <v>6.5000000000000002E-2</v>
      </c>
      <c r="C9" s="14">
        <v>3.0000000000000001E-3</v>
      </c>
      <c r="E9" t="s">
        <v>79</v>
      </c>
      <c r="F9" s="1">
        <f>F6*_xlfn.STDEV.P($B$2:$B$37)+$L$3</f>
        <v>1.0565967513977965E-2</v>
      </c>
      <c r="G9" s="1">
        <f>G6*_xlfn.STDEV.P($B$2:$B$37)*SQRT(12)+M3</f>
        <v>0.13435614552670944</v>
      </c>
      <c r="N9">
        <v>8</v>
      </c>
      <c r="O9" s="26">
        <f t="shared" si="0"/>
        <v>6.6000000000000003E-2</v>
      </c>
      <c r="P9" s="14">
        <v>8.1990000000000007E-2</v>
      </c>
      <c r="R9" s="21">
        <v>1086.6184074417049</v>
      </c>
    </row>
    <row r="10" spans="1:28" ht="15.75" thickBot="1" x14ac:dyDescent="0.3">
      <c r="A10" s="14">
        <v>-1.3999999999999999E-2</v>
      </c>
      <c r="B10" s="32">
        <v>-1.4999999999999999E-2</v>
      </c>
      <c r="C10" s="14">
        <v>3.0000000000000001E-3</v>
      </c>
      <c r="E10" t="s">
        <v>8</v>
      </c>
      <c r="F10" s="21">
        <f>_xlfn.COVARIANCE.P(A2:A37,B2:B37)/_xlfn.VAR.P(B2:B37)</f>
        <v>0.98144598446869191</v>
      </c>
      <c r="G10" s="1"/>
      <c r="N10">
        <v>9</v>
      </c>
      <c r="O10" s="26">
        <f t="shared" si="0"/>
        <v>-1.3999999999999999E-2</v>
      </c>
      <c r="P10" s="14">
        <v>5.1076000000000121E-2</v>
      </c>
      <c r="R10" s="21">
        <v>1158.3352223328575</v>
      </c>
      <c r="T10" t="s">
        <v>96</v>
      </c>
    </row>
    <row r="11" spans="1:28" x14ac:dyDescent="0.25">
      <c r="A11" s="14">
        <v>3.9E-2</v>
      </c>
      <c r="B11" s="32">
        <v>4.2000000000000003E-2</v>
      </c>
      <c r="C11" s="14">
        <v>4.0000000000000001E-3</v>
      </c>
      <c r="E11" t="s">
        <v>7</v>
      </c>
      <c r="F11" s="21">
        <f>(F3-L3)/F10</f>
        <v>8.6123733893902332E-3</v>
      </c>
      <c r="G11" s="21">
        <f>(G3-M3)/F10</f>
        <v>0.11068654428760948</v>
      </c>
      <c r="N11">
        <v>10</v>
      </c>
      <c r="O11" s="26">
        <f t="shared" si="0"/>
        <v>3.9E-2</v>
      </c>
      <c r="P11" s="14">
        <v>2.4453999999999976E-2</v>
      </c>
      <c r="R11" s="21">
        <v>1142.1185292201974</v>
      </c>
      <c r="T11" s="42"/>
      <c r="U11" s="42" t="s">
        <v>101</v>
      </c>
      <c r="V11" s="42" t="s">
        <v>102</v>
      </c>
      <c r="W11" s="42" t="s">
        <v>103</v>
      </c>
      <c r="X11" s="42" t="s">
        <v>104</v>
      </c>
      <c r="Y11" s="42" t="s">
        <v>105</v>
      </c>
    </row>
    <row r="12" spans="1:28" x14ac:dyDescent="0.25">
      <c r="A12" s="14">
        <v>-5.0000000000000001E-3</v>
      </c>
      <c r="B12" s="32">
        <v>-3.0000000000000001E-3</v>
      </c>
      <c r="C12" s="14">
        <v>4.0000000000000001E-3</v>
      </c>
      <c r="E12" t="s">
        <v>11</v>
      </c>
      <c r="F12" s="1">
        <f>F3-L3-F10*(I3-L3)</f>
        <v>-8.089957684054485E-4</v>
      </c>
      <c r="G12" s="1">
        <f>G3-M3-F10*(J3-M3)</f>
        <v>-1.104855917497638E-2</v>
      </c>
      <c r="I12" s="1"/>
      <c r="N12">
        <v>11</v>
      </c>
      <c r="O12" s="26">
        <f t="shared" si="0"/>
        <v>-5.0000000000000001E-3</v>
      </c>
      <c r="P12" s="14">
        <v>3.3804999999999863E-2</v>
      </c>
      <c r="R12" s="21">
        <v>1186.6611518597849</v>
      </c>
      <c r="T12" s="40" t="s">
        <v>97</v>
      </c>
      <c r="U12" s="40">
        <v>1</v>
      </c>
      <c r="V12" s="40">
        <v>9.3481329761779808E-6</v>
      </c>
      <c r="W12" s="40">
        <v>9.3481329761779808E-6</v>
      </c>
      <c r="X12" s="40">
        <v>4.0581180548453135E-3</v>
      </c>
      <c r="Y12" s="40">
        <v>0.94957948962616467</v>
      </c>
    </row>
    <row r="13" spans="1:28" x14ac:dyDescent="0.25">
      <c r="A13" s="14">
        <v>8.1000000000000003E-2</v>
      </c>
      <c r="B13" s="32">
        <v>8.3000000000000004E-2</v>
      </c>
      <c r="C13" s="14">
        <v>3.0000000000000001E-3</v>
      </c>
      <c r="E13" t="s">
        <v>82</v>
      </c>
      <c r="F13" s="8">
        <f>F12/SQRT(_xlfn.VAR.P(A2:A37)-F10^2*_xlfn.VAR.P(B2:B37))</f>
        <v>-0.23629010561291675</v>
      </c>
      <c r="N13">
        <v>12</v>
      </c>
      <c r="O13" s="26">
        <f t="shared" si="0"/>
        <v>8.1000000000000003E-2</v>
      </c>
      <c r="P13" s="14">
        <v>7.5594999999999857E-2</v>
      </c>
      <c r="R13" s="21">
        <v>1180.727846100486</v>
      </c>
      <c r="T13" s="40" t="s">
        <v>98</v>
      </c>
      <c r="U13" s="40">
        <v>34</v>
      </c>
      <c r="V13" s="40">
        <v>7.8321161901773836E-2</v>
      </c>
      <c r="W13" s="40">
        <v>2.3035635853462895E-3</v>
      </c>
      <c r="X13" s="40"/>
      <c r="Y13" s="40"/>
    </row>
    <row r="14" spans="1:28" ht="15.75" thickBot="1" x14ac:dyDescent="0.3">
      <c r="A14" s="14">
        <v>0.04</v>
      </c>
      <c r="B14" s="32">
        <v>3.9E-2</v>
      </c>
      <c r="C14" s="14">
        <v>3.0000000000000001E-3</v>
      </c>
      <c r="E14" t="s">
        <v>121</v>
      </c>
      <c r="F14" s="8" cm="1">
        <f t="array" ref="F14">SUM(IF(AVERAGE(A2:A37)-A2:A37&lt;0,0,(AVERAGE(A2:A37)-A2:A37)^2))/COUNT(A2:A37)</f>
        <v>5.83888888888889E-4</v>
      </c>
      <c r="N14">
        <v>13</v>
      </c>
      <c r="O14" s="26">
        <f t="shared" si="0"/>
        <v>0.04</v>
      </c>
      <c r="P14" s="14">
        <v>0.12423999999999991</v>
      </c>
      <c r="R14" s="21">
        <v>1276.3668016346253</v>
      </c>
      <c r="T14" s="41" t="s">
        <v>99</v>
      </c>
      <c r="U14" s="41">
        <v>35</v>
      </c>
      <c r="V14" s="41">
        <v>7.8330510034750014E-2</v>
      </c>
      <c r="W14" s="41"/>
      <c r="X14" s="41"/>
      <c r="Y14" s="41"/>
    </row>
    <row r="15" spans="1:28" ht="15.75" thickBot="1" x14ac:dyDescent="0.3">
      <c r="A15" s="14">
        <v>-3.7000000000000005E-2</v>
      </c>
      <c r="B15" s="32">
        <v>-3.7999999999999999E-2</v>
      </c>
      <c r="C15" s="14">
        <v>3.0000000000000001E-3</v>
      </c>
      <c r="E15" t="s">
        <v>122</v>
      </c>
      <c r="F15" s="8">
        <f>SQRT(F14)</f>
        <v>2.4163792932585915E-2</v>
      </c>
      <c r="N15">
        <v>14</v>
      </c>
      <c r="O15" s="26">
        <f t="shared" si="0"/>
        <v>-3.7000000000000005E-2</v>
      </c>
      <c r="P15" s="14">
        <v>1.5199999999999658E-3</v>
      </c>
      <c r="R15" s="21">
        <v>1327.4214737000104</v>
      </c>
    </row>
    <row r="16" spans="1:28" x14ac:dyDescent="0.25">
      <c r="A16" s="14">
        <v>-6.0999999999999999E-2</v>
      </c>
      <c r="B16" s="32">
        <v>-6.2E-2</v>
      </c>
      <c r="C16" s="14">
        <v>3.0000000000000001E-3</v>
      </c>
      <c r="E16" t="s">
        <v>123</v>
      </c>
      <c r="F16" s="8" cm="1">
        <f t="array" ref="F16">SUM(IF(A2:A37-AVERAGE(A2:A37)&lt;0,0,(A2:A37-AVERAGE(A2:A37))^2))/COUNT(A2:A37)</f>
        <v>5.1661111111111103E-4</v>
      </c>
      <c r="N16">
        <v>15</v>
      </c>
      <c r="O16" s="26">
        <f t="shared" si="0"/>
        <v>-6.0999999999999999E-2</v>
      </c>
      <c r="P16" s="14">
        <v>-9.5743000000000023E-2</v>
      </c>
      <c r="R16" s="21">
        <v>1278.30687917311</v>
      </c>
      <c r="T16" s="42"/>
      <c r="U16" s="42" t="s">
        <v>106</v>
      </c>
      <c r="V16" s="42" t="s">
        <v>94</v>
      </c>
      <c r="W16" s="42" t="s">
        <v>107</v>
      </c>
      <c r="X16" s="42" t="s">
        <v>108</v>
      </c>
      <c r="Y16" s="42" t="s">
        <v>109</v>
      </c>
      <c r="Z16" s="42" t="s">
        <v>110</v>
      </c>
      <c r="AA16" s="42" t="s">
        <v>111</v>
      </c>
      <c r="AB16" s="42" t="s">
        <v>112</v>
      </c>
    </row>
    <row r="17" spans="1:28" x14ac:dyDescent="0.25">
      <c r="A17" s="14">
        <v>1.3999999999999999E-2</v>
      </c>
      <c r="B17" s="32">
        <v>1.4999999999999999E-2</v>
      </c>
      <c r="C17" s="14">
        <v>4.0000000000000001E-3</v>
      </c>
      <c r="E17" t="s">
        <v>124</v>
      </c>
      <c r="F17" s="8">
        <f>SQRT(F16)</f>
        <v>2.2729080736165089E-2</v>
      </c>
      <c r="N17">
        <v>16</v>
      </c>
      <c r="O17" s="26">
        <f t="shared" si="0"/>
        <v>1.3999999999999999E-2</v>
      </c>
      <c r="P17" s="14">
        <v>-4.7853999999999952E-2</v>
      </c>
      <c r="R17" s="21">
        <v>1200.3301595435503</v>
      </c>
      <c r="T17" s="40" t="s">
        <v>100</v>
      </c>
      <c r="U17" s="40">
        <v>2.0897433333333274E-2</v>
      </c>
      <c r="V17" s="40">
        <v>1.6337712810835302E-2</v>
      </c>
      <c r="W17" s="40">
        <v>1.2790917293804998</v>
      </c>
      <c r="X17" s="40">
        <v>0.20952592019712854</v>
      </c>
      <c r="Y17" s="40">
        <v>-1.2304793821296529E-2</v>
      </c>
      <c r="Z17" s="40">
        <v>5.409966048796308E-2</v>
      </c>
      <c r="AA17" s="40">
        <v>-1.2304793821296529E-2</v>
      </c>
      <c r="AB17" s="40">
        <v>5.409966048796308E-2</v>
      </c>
    </row>
    <row r="18" spans="1:28" ht="15.75" thickBot="1" x14ac:dyDescent="0.3">
      <c r="A18" s="14">
        <v>-4.9000000000000002E-2</v>
      </c>
      <c r="B18" s="32">
        <v>-4.8000000000000001E-2</v>
      </c>
      <c r="C18" s="14">
        <v>2E-3</v>
      </c>
      <c r="F18" s="8"/>
      <c r="N18">
        <v>17</v>
      </c>
      <c r="O18" s="26">
        <f t="shared" si="0"/>
        <v>-4.9000000000000002E-2</v>
      </c>
      <c r="P18" s="14">
        <v>-3.5685999999999996E-2</v>
      </c>
      <c r="R18" s="21">
        <v>1217.13478177716</v>
      </c>
      <c r="T18" s="41" t="s">
        <v>113</v>
      </c>
      <c r="U18" s="41">
        <v>4.9053153153154153E-5</v>
      </c>
      <c r="V18" s="41">
        <v>7.7002458389716024E-4</v>
      </c>
      <c r="W18" s="41">
        <v>6.3703359839359874E-2</v>
      </c>
      <c r="X18" s="41">
        <v>0.94957948962630323</v>
      </c>
      <c r="Y18" s="41">
        <v>-1.515825079511511E-3</v>
      </c>
      <c r="Z18" s="41">
        <v>1.6139313858178192E-3</v>
      </c>
      <c r="AA18" s="41">
        <v>-1.515825079511511E-3</v>
      </c>
      <c r="AB18" s="41">
        <v>1.6139313858178192E-3</v>
      </c>
    </row>
    <row r="19" spans="1:28" x14ac:dyDescent="0.25">
      <c r="A19" s="14">
        <v>-2.1000000000000001E-2</v>
      </c>
      <c r="B19" s="32">
        <v>-0.02</v>
      </c>
      <c r="C19" s="14">
        <v>2E-3</v>
      </c>
      <c r="N19">
        <v>18</v>
      </c>
      <c r="O19" s="26">
        <f t="shared" si="0"/>
        <v>-2.1000000000000001E-2</v>
      </c>
      <c r="P19" s="14">
        <v>-6.8971000000000116E-2</v>
      </c>
      <c r="R19" s="21">
        <v>1157.4951774700792</v>
      </c>
    </row>
    <row r="20" spans="1:28" x14ac:dyDescent="0.25">
      <c r="A20" s="14">
        <v>6.2E-2</v>
      </c>
      <c r="B20" s="32">
        <v>0.06</v>
      </c>
      <c r="C20" s="14">
        <v>2E-3</v>
      </c>
      <c r="E20" t="s">
        <v>4</v>
      </c>
      <c r="F20" s="21" cm="1">
        <f t="array" ref="F20">_xll.SharpeRatio(A2:A37,C2:C37,1)</f>
        <v>0.25479695255981605</v>
      </c>
      <c r="G20" s="21" cm="1">
        <f t="array" ref="G20">_xll.SharpeRatio(A2:A37,C2:C37,12)</f>
        <v>0.94531290051723404</v>
      </c>
      <c r="I20" t="s">
        <v>80</v>
      </c>
      <c r="J20" t="b" cm="1">
        <f t="array" ref="J20">AND(ABS(F6:G17-F20:G31)&lt;0.000000001)</f>
        <v>1</v>
      </c>
      <c r="N20">
        <v>19</v>
      </c>
      <c r="O20" s="26">
        <f t="shared" si="0"/>
        <v>6.2E-2</v>
      </c>
      <c r="P20" s="14">
        <v>3.9698000000000011E-2</v>
      </c>
      <c r="R20" s="21">
        <v>1133.1877787432074</v>
      </c>
      <c r="U20">
        <f>U18/V18</f>
        <v>6.3703359839359874E-2</v>
      </c>
    </row>
    <row r="21" spans="1:28" x14ac:dyDescent="0.25">
      <c r="A21" s="14">
        <v>5.7999999999999996E-2</v>
      </c>
      <c r="B21" s="32">
        <v>5.5999999999999994E-2</v>
      </c>
      <c r="C21" s="14">
        <v>1E-3</v>
      </c>
      <c r="E21" s="14" t="s">
        <v>24</v>
      </c>
      <c r="F21" s="21" cm="1">
        <f t="array" ref="F21">_xll.RevisedSharpeRatio(A2:A37,C2:C37,1)</f>
        <v>0.25497722129753936</v>
      </c>
      <c r="G21" s="21" cm="1">
        <f t="array" ref="G21">_xll.RevisedSharpeRatio(A2:A37,C2:C37,12)</f>
        <v>0.9459817090002941</v>
      </c>
      <c r="N21">
        <v>20</v>
      </c>
      <c r="O21" s="26">
        <f t="shared" si="0"/>
        <v>5.7999999999999996E-2</v>
      </c>
      <c r="P21" s="14">
        <v>0.12359600000000004</v>
      </c>
      <c r="R21" s="21">
        <v>1203.4454210252864</v>
      </c>
    </row>
    <row r="22" spans="1:28" x14ac:dyDescent="0.25">
      <c r="A22" s="14">
        <v>-6.4000000000000001E-2</v>
      </c>
      <c r="B22" s="32">
        <v>-6.7000000000000004E-2</v>
      </c>
      <c r="C22" s="14">
        <v>1E-3</v>
      </c>
      <c r="E22" t="s">
        <v>69</v>
      </c>
      <c r="F22" s="21" cm="1">
        <f t="array" ref="F22">_xll.AdjustedSharpeRatio(A2:A37,C2:C37,1)</f>
        <v>0.25223719852260701</v>
      </c>
      <c r="G22" s="21" cm="1">
        <f t="array" ref="G22">_xll.AdjustedSharpeRatio(A2:A37,C2:C37,12)</f>
        <v>0.91065390211902919</v>
      </c>
      <c r="N22">
        <v>21</v>
      </c>
      <c r="O22" s="26">
        <f t="shared" si="0"/>
        <v>-6.4000000000000001E-2</v>
      </c>
      <c r="P22" s="14">
        <v>-9.7120000000000539E-3</v>
      </c>
      <c r="R22" s="21">
        <v>1273.245255444753</v>
      </c>
      <c r="T22" t="s">
        <v>89</v>
      </c>
    </row>
    <row r="23" spans="1:28" ht="18.75" thickBot="1" x14ac:dyDescent="0.3">
      <c r="A23" s="14">
        <v>1.7000000000000001E-2</v>
      </c>
      <c r="B23" s="32">
        <v>1.9E-2</v>
      </c>
      <c r="C23" s="14">
        <v>1E-3</v>
      </c>
      <c r="E23" t="s">
        <v>79</v>
      </c>
      <c r="F23" s="1" cm="1">
        <f t="array" ref="F23">_xll.MSquared(A2:A37,B2:B37,C2:C37,1)</f>
        <v>1.0565967513977965E-2</v>
      </c>
      <c r="G23" s="1" cm="1">
        <f t="array" ref="G23">_xll.MSquared(A2:A37,B2:B37,C2:C37,12)</f>
        <v>0.13435614552670944</v>
      </c>
      <c r="N23">
        <v>22</v>
      </c>
      <c r="O23" s="26">
        <f t="shared" si="0"/>
        <v>1.7000000000000001E-2</v>
      </c>
      <c r="P23" s="14">
        <v>-4.8088000000000131E-2</v>
      </c>
      <c r="R23" s="21">
        <v>1191.7575590962888</v>
      </c>
    </row>
    <row r="24" spans="1:28" x14ac:dyDescent="0.25">
      <c r="A24" s="14">
        <v>-4.0000000000000001E-3</v>
      </c>
      <c r="B24" s="32">
        <v>-3.0000000000000001E-3</v>
      </c>
      <c r="C24" s="14">
        <v>1E-3</v>
      </c>
      <c r="E24" t="s">
        <v>8</v>
      </c>
      <c r="F24" s="21" cm="1">
        <f t="array" ref="F24">_xll.Beta(A2:A37,B2:B37)</f>
        <v>0.98144598446869213</v>
      </c>
      <c r="N24">
        <v>23</v>
      </c>
      <c r="O24" s="26">
        <f t="shared" si="0"/>
        <v>-4.0000000000000001E-3</v>
      </c>
      <c r="P24" s="14">
        <v>1.2931999999999944E-2</v>
      </c>
      <c r="R24" s="21">
        <v>1212.0174376009256</v>
      </c>
      <c r="T24" s="43" t="s">
        <v>90</v>
      </c>
      <c r="U24" s="43"/>
    </row>
    <row r="25" spans="1:28" x14ac:dyDescent="0.25">
      <c r="A25" s="14">
        <v>-2E-3</v>
      </c>
      <c r="B25" s="32">
        <v>-1E-3</v>
      </c>
      <c r="C25" s="14">
        <v>1E-3</v>
      </c>
      <c r="E25" t="s">
        <v>7</v>
      </c>
      <c r="F25" s="21" cm="1">
        <f t="array" ref="F25">_xll.TreynorIndex(A2:A37,F24,C2:C37,1)</f>
        <v>8.6123733893902314E-3</v>
      </c>
      <c r="G25" s="21" cm="1">
        <f t="array" ref="G25">_xll.TreynorIndex(A2:A37,F24,C2:C37,12)</f>
        <v>0.11068654428760945</v>
      </c>
      <c r="N25">
        <v>24</v>
      </c>
      <c r="O25" s="26">
        <f t="shared" si="0"/>
        <v>-2E-3</v>
      </c>
      <c r="P25" s="14">
        <v>-5.9919999999999973E-3</v>
      </c>
      <c r="R25" s="21">
        <v>1207.1693678505219</v>
      </c>
      <c r="T25" s="40" t="s">
        <v>91</v>
      </c>
      <c r="U25" s="40">
        <v>0.87798755875532652</v>
      </c>
    </row>
    <row r="26" spans="1:28" x14ac:dyDescent="0.25">
      <c r="A26" s="14">
        <v>-2.1000000000000001E-2</v>
      </c>
      <c r="B26" s="32">
        <v>-2.6000000000000002E-2</v>
      </c>
      <c r="C26" s="14">
        <v>1E-3</v>
      </c>
      <c r="E26" t="s">
        <v>11</v>
      </c>
      <c r="F26" s="1" cm="1">
        <f t="array" ref="F26">_xll.JensensAlpha(A2:A37,B2:B37,C2:C37,1)</f>
        <v>-8.0899576840545023E-4</v>
      </c>
      <c r="G26" s="1" cm="1">
        <f t="array" ref="G26">_xll.JensensAlpha(A2:A37,B2:B37,C2:C37,12)</f>
        <v>-1.1048559174976408E-2</v>
      </c>
      <c r="H26" s="35"/>
      <c r="I26" s="35"/>
      <c r="J26" s="35"/>
      <c r="K26" s="35"/>
      <c r="N26">
        <v>25</v>
      </c>
      <c r="O26" s="26">
        <f t="shared" si="0"/>
        <v>-2.1000000000000001E-2</v>
      </c>
      <c r="P26" s="14">
        <v>-2.2958000000000034E-2</v>
      </c>
      <c r="R26" s="21">
        <v>1204.7550291148209</v>
      </c>
      <c r="T26" s="40" t="s">
        <v>92</v>
      </c>
      <c r="U26" s="40">
        <v>0.77086215332913799</v>
      </c>
    </row>
    <row r="27" spans="1:28" x14ac:dyDescent="0.25">
      <c r="A27" s="14">
        <v>1.1000000000000001E-2</v>
      </c>
      <c r="B27" s="32">
        <v>6.9999999999999993E-3</v>
      </c>
      <c r="C27" s="14">
        <v>1E-3</v>
      </c>
      <c r="E27" t="s">
        <v>82</v>
      </c>
      <c r="F27" s="8" cm="1">
        <f t="array" ref="F27">_xll.AppraisalRatio($A$2:$A$37,$B$2:$B$37,$C$2:$C$37,1)</f>
        <v>-0.23629010561292166</v>
      </c>
      <c r="G27" s="8"/>
      <c r="N27">
        <v>26</v>
      </c>
      <c r="O27" s="26">
        <f t="shared" si="0"/>
        <v>1.1000000000000001E-2</v>
      </c>
      <c r="P27" s="14">
        <v>-1.0231000000000101E-2</v>
      </c>
      <c r="R27" s="21">
        <v>1179.4551735034097</v>
      </c>
      <c r="T27" s="40" t="s">
        <v>93</v>
      </c>
      <c r="U27" s="40">
        <v>0.7643153577099705</v>
      </c>
    </row>
    <row r="28" spans="1:28" x14ac:dyDescent="0.25">
      <c r="A28" s="14">
        <v>4.7E-2</v>
      </c>
      <c r="B28" s="32">
        <v>4.2999999999999997E-2</v>
      </c>
      <c r="C28" s="14">
        <v>1E-3</v>
      </c>
      <c r="E28" t="s">
        <v>121</v>
      </c>
      <c r="F28" s="8" cm="1">
        <f t="array" ref="F28">_xll.SemiVariance(A2:A37)</f>
        <v>5.83888888888889E-4</v>
      </c>
      <c r="N28">
        <v>27</v>
      </c>
      <c r="O28" s="26">
        <f t="shared" si="0"/>
        <v>4.7E-2</v>
      </c>
      <c r="P28" s="14">
        <v>5.851699999999993E-2</v>
      </c>
      <c r="R28" s="21">
        <v>1192.4291804119471</v>
      </c>
      <c r="T28" s="40" t="s">
        <v>94</v>
      </c>
      <c r="U28" s="40">
        <v>60.139733692262261</v>
      </c>
    </row>
    <row r="29" spans="1:28" ht="15.75" thickBot="1" x14ac:dyDescent="0.3">
      <c r="A29" s="14">
        <v>2.4E-2</v>
      </c>
      <c r="B29" s="32">
        <v>2.8999999999999998E-2</v>
      </c>
      <c r="C29" s="14">
        <v>1E-3</v>
      </c>
      <c r="E29" t="s">
        <v>122</v>
      </c>
      <c r="F29" s="8" cm="1">
        <f t="array" ref="F29">_xll.SemiDeviation(A2:A37)</f>
        <v>2.4163792932585915E-2</v>
      </c>
      <c r="J29" s="1">
        <f>_xlfn.VAR.P(B2:B37)*12*F10^2</f>
        <v>1.3065336093908721E-2</v>
      </c>
      <c r="K29" s="14">
        <f>F10*_xlfn.STDEV.P(B2:B37)</f>
        <v>3.2996636310777601E-2</v>
      </c>
      <c r="N29">
        <v>28</v>
      </c>
      <c r="O29" s="26">
        <f t="shared" si="0"/>
        <v>2.4E-2</v>
      </c>
      <c r="P29" s="14">
        <v>7.212799999999997E-2</v>
      </c>
      <c r="R29" s="21">
        <v>1248.4733518913085</v>
      </c>
      <c r="T29" s="41" t="s">
        <v>95</v>
      </c>
      <c r="U29" s="41">
        <v>37</v>
      </c>
    </row>
    <row r="30" spans="1:28" x14ac:dyDescent="0.25">
      <c r="A30" s="14">
        <v>3.3000000000000002E-2</v>
      </c>
      <c r="B30" s="32">
        <v>3.7999999999999999E-2</v>
      </c>
      <c r="C30" s="14">
        <v>1E-3</v>
      </c>
      <c r="E30" t="s">
        <v>123</v>
      </c>
      <c r="F30" s="8" cm="1">
        <f t="array" ref="F30">_xll.UpperPartialMoment(A2:A37,,2,1)</f>
        <v>5.1661111111111103E-4</v>
      </c>
      <c r="N30">
        <v>29</v>
      </c>
      <c r="O30" s="26">
        <f t="shared" si="0"/>
        <v>3.3000000000000002E-2</v>
      </c>
      <c r="P30" s="14">
        <v>5.7791999999999843E-2</v>
      </c>
      <c r="R30" s="21">
        <v>1278.4367123366999</v>
      </c>
    </row>
    <row r="31" spans="1:28" ht="15.75" thickBot="1" x14ac:dyDescent="0.3">
      <c r="A31" s="14">
        <v>-6.9999999999999993E-3</v>
      </c>
      <c r="B31" s="32">
        <v>-2E-3</v>
      </c>
      <c r="C31" s="14">
        <v>2E-3</v>
      </c>
      <c r="E31" t="s">
        <v>124</v>
      </c>
      <c r="F31" s="8">
        <f>SQRT(F30)</f>
        <v>2.2729080736165089E-2</v>
      </c>
      <c r="N31">
        <v>30</v>
      </c>
      <c r="O31" s="26">
        <f t="shared" si="0"/>
        <v>-6.9999999999999993E-3</v>
      </c>
      <c r="P31" s="14">
        <v>2.5768999999999931E-2</v>
      </c>
      <c r="R31" s="21">
        <v>1320.6251238438108</v>
      </c>
      <c r="T31" t="s">
        <v>96</v>
      </c>
    </row>
    <row r="32" spans="1:28" x14ac:dyDescent="0.25">
      <c r="A32" s="14">
        <v>4.7E-2</v>
      </c>
      <c r="B32" s="32">
        <v>5.0999999999999997E-2</v>
      </c>
      <c r="C32" s="14">
        <v>2E-3</v>
      </c>
      <c r="E32" t="s">
        <v>88</v>
      </c>
      <c r="F32" s="8" cm="1">
        <f t="array" ref="F32">_xll.KRatio(A2:A37)</f>
        <v>0.16768620342592805</v>
      </c>
      <c r="N32">
        <v>31</v>
      </c>
      <c r="O32" s="26">
        <f t="shared" si="0"/>
        <v>4.7E-2</v>
      </c>
      <c r="P32" s="14">
        <v>3.9671000000000012E-2</v>
      </c>
      <c r="R32" s="21">
        <v>1311.3807479769041</v>
      </c>
      <c r="T32" s="42"/>
      <c r="U32" s="42" t="s">
        <v>101</v>
      </c>
      <c r="V32" s="42" t="s">
        <v>102</v>
      </c>
      <c r="W32" s="42" t="s">
        <v>103</v>
      </c>
      <c r="X32" s="42" t="s">
        <v>104</v>
      </c>
      <c r="Y32" s="42" t="s">
        <v>105</v>
      </c>
    </row>
    <row r="33" spans="1:28" x14ac:dyDescent="0.25">
      <c r="A33" s="14">
        <v>6.0000000000000001E-3</v>
      </c>
      <c r="B33" s="32">
        <v>1.3999999999999999E-2</v>
      </c>
      <c r="C33" s="14">
        <v>2E-3</v>
      </c>
      <c r="F33" s="8"/>
      <c r="N33">
        <v>32</v>
      </c>
      <c r="O33" s="26">
        <f t="shared" si="0"/>
        <v>6.0000000000000001E-3</v>
      </c>
      <c r="P33" s="14">
        <v>5.3281999999999829E-2</v>
      </c>
      <c r="R33" s="21">
        <v>1373.0156431318185</v>
      </c>
      <c r="T33" s="40" t="s">
        <v>97</v>
      </c>
      <c r="U33" s="40">
        <v>1</v>
      </c>
      <c r="V33" s="40">
        <v>425864.01278267859</v>
      </c>
      <c r="W33" s="40">
        <v>425864.01278267859</v>
      </c>
      <c r="X33" s="40">
        <v>117.74648212206812</v>
      </c>
      <c r="Y33" s="40">
        <v>9.5848430684232274E-13</v>
      </c>
    </row>
    <row r="34" spans="1:28" x14ac:dyDescent="0.25">
      <c r="A34" s="14">
        <v>0.01</v>
      </c>
      <c r="B34" s="32">
        <v>1.3000000000000001E-2</v>
      </c>
      <c r="C34" s="14">
        <v>2E-3</v>
      </c>
      <c r="N34">
        <v>33</v>
      </c>
      <c r="O34" s="26">
        <f t="shared" si="0"/>
        <v>0.01</v>
      </c>
      <c r="P34" s="14">
        <v>1.6059999999999963E-2</v>
      </c>
      <c r="R34" s="21">
        <v>1381.2537369906095</v>
      </c>
      <c r="T34" s="40" t="s">
        <v>98</v>
      </c>
      <c r="U34" s="40">
        <v>35</v>
      </c>
      <c r="V34" s="40">
        <v>126587.56490016784</v>
      </c>
      <c r="W34" s="40">
        <v>3616.7875685762242</v>
      </c>
      <c r="X34" s="40"/>
      <c r="Y34" s="40"/>
    </row>
    <row r="35" spans="1:28" ht="15.75" thickBot="1" x14ac:dyDescent="0.3">
      <c r="A35" s="14">
        <v>-2E-3</v>
      </c>
      <c r="B35" s="32">
        <v>3.0000000000000001E-3</v>
      </c>
      <c r="C35" s="14">
        <v>2E-3</v>
      </c>
      <c r="N35">
        <v>34</v>
      </c>
      <c r="O35" s="26">
        <f t="shared" si="0"/>
        <v>-2E-3</v>
      </c>
      <c r="P35" s="14">
        <v>7.9800000000000981E-3</v>
      </c>
      <c r="R35" s="21">
        <v>1395.0662743605155</v>
      </c>
      <c r="T35" s="41" t="s">
        <v>99</v>
      </c>
      <c r="U35" s="41">
        <v>36</v>
      </c>
      <c r="V35" s="41">
        <v>552451.57768284646</v>
      </c>
      <c r="W35" s="41"/>
      <c r="X35" s="41"/>
      <c r="Y35" s="41"/>
    </row>
    <row r="36" spans="1:28" ht="15.75" thickBot="1" x14ac:dyDescent="0.3">
      <c r="A36" s="14">
        <v>3.4000000000000002E-2</v>
      </c>
      <c r="B36" s="32">
        <v>3.4000000000000002E-2</v>
      </c>
      <c r="C36" s="14">
        <v>2E-3</v>
      </c>
      <c r="N36">
        <v>35</v>
      </c>
      <c r="O36" s="26">
        <f t="shared" si="0"/>
        <v>3.4000000000000002E-2</v>
      </c>
      <c r="P36" s="14">
        <v>3.1932000000000071E-2</v>
      </c>
      <c r="R36" s="21">
        <v>1392.2761418117946</v>
      </c>
    </row>
    <row r="37" spans="1:28" x14ac:dyDescent="0.25">
      <c r="A37" s="14">
        <v>0.01</v>
      </c>
      <c r="B37" s="32">
        <v>2.1000000000000001E-2</v>
      </c>
      <c r="C37" s="14">
        <v>2E-3</v>
      </c>
      <c r="N37">
        <v>36</v>
      </c>
      <c r="O37" s="26">
        <f t="shared" si="0"/>
        <v>0.01</v>
      </c>
      <c r="P37" s="14">
        <v>4.4340000000000046E-2</v>
      </c>
      <c r="R37" s="21">
        <v>1439.6135306333956</v>
      </c>
      <c r="T37" s="42"/>
      <c r="U37" s="42" t="s">
        <v>106</v>
      </c>
      <c r="V37" s="42" t="s">
        <v>94</v>
      </c>
      <c r="W37" s="42" t="s">
        <v>107</v>
      </c>
      <c r="X37" s="42" t="s">
        <v>108</v>
      </c>
      <c r="Y37" s="42" t="s">
        <v>109</v>
      </c>
      <c r="Z37" s="42" t="s">
        <v>110</v>
      </c>
      <c r="AA37" s="42" t="s">
        <v>111</v>
      </c>
      <c r="AB37" s="42" t="s">
        <v>112</v>
      </c>
    </row>
    <row r="38" spans="1:28" x14ac:dyDescent="0.25">
      <c r="E38" t="s">
        <v>83</v>
      </c>
      <c r="F38" s="1">
        <f>_xlfn.VAR.P(A2:A37)</f>
        <v>1.1005000000000001E-3</v>
      </c>
      <c r="G38" s="1">
        <f>SQRT(F38*12)</f>
        <v>0.11491736161259535</v>
      </c>
      <c r="N38">
        <v>37</v>
      </c>
      <c r="R38" s="21">
        <v>1454.0096659397295</v>
      </c>
      <c r="T38" s="40" t="s">
        <v>100</v>
      </c>
      <c r="U38" s="40">
        <v>1020.5103479428813</v>
      </c>
      <c r="V38" s="40">
        <v>20.181573213260343</v>
      </c>
      <c r="W38" s="40">
        <v>50.566441830825802</v>
      </c>
      <c r="X38" s="40">
        <v>2.5839067739645967E-34</v>
      </c>
      <c r="Y38" s="40">
        <v>979.53957615807667</v>
      </c>
      <c r="Z38" s="40">
        <v>1061.4811197276858</v>
      </c>
      <c r="AA38" s="40">
        <v>979.53957615807667</v>
      </c>
      <c r="AB38" s="40">
        <v>1061.4811197276858</v>
      </c>
    </row>
    <row r="39" spans="1:28" ht="15.75" thickBot="1" x14ac:dyDescent="0.3">
      <c r="E39" t="s">
        <v>84</v>
      </c>
      <c r="F39" s="1">
        <f>_xlfn.VAR.P(B2:B37)</f>
        <v>1.1303333333333335E-3</v>
      </c>
      <c r="G39" s="1">
        <f>F39*12</f>
        <v>1.3564000000000001E-2</v>
      </c>
      <c r="J39" s="1">
        <f>F10^2*_xlfn.VAR.P(B2:B37)</f>
        <v>1.0887780078257267E-3</v>
      </c>
      <c r="K39">
        <f>SQRT(J39)</f>
        <v>3.2996636310777601E-2</v>
      </c>
      <c r="T39" s="41" t="s">
        <v>113</v>
      </c>
      <c r="U39" s="41">
        <v>10.048059157673292</v>
      </c>
      <c r="V39" s="41">
        <v>0.92599408587651855</v>
      </c>
      <c r="W39" s="41">
        <v>10.851105110635881</v>
      </c>
      <c r="X39" s="41">
        <v>9.5848430684231911E-13</v>
      </c>
      <c r="Y39" s="41">
        <v>8.1681912224224416</v>
      </c>
      <c r="Z39" s="41">
        <v>11.927927092924142</v>
      </c>
      <c r="AA39" s="41">
        <v>8.1681912224224416</v>
      </c>
      <c r="AB39" s="41">
        <v>11.927927092924142</v>
      </c>
    </row>
    <row r="40" spans="1:28" x14ac:dyDescent="0.25">
      <c r="E40" t="s">
        <v>85</v>
      </c>
      <c r="F40" s="1">
        <f>F10^2*F39</f>
        <v>1.0887780078257267E-3</v>
      </c>
      <c r="G40" s="14">
        <f>SQRT(F40)</f>
        <v>3.2996636310777601E-2</v>
      </c>
      <c r="H40" s="1" cm="1">
        <f t="array" ref="H40">SQRT(_xll.MarketRisk(A2:A37,B2:B37,1))</f>
        <v>3.2996636310777601E-2</v>
      </c>
    </row>
    <row r="41" spans="1:28" x14ac:dyDescent="0.25">
      <c r="E41" t="s">
        <v>86</v>
      </c>
      <c r="F41" s="1">
        <f>F38-F10^2*F39</f>
        <v>1.1721992174273423E-5</v>
      </c>
      <c r="G41" s="1">
        <f>SQRT(F41)</f>
        <v>3.4237395015207311E-3</v>
      </c>
      <c r="H41" s="1" cm="1">
        <f t="array" ref="H41">_xll.UniqueRisk(A2:A37,B2:B37,1)</f>
        <v>1.1721992174272989E-5</v>
      </c>
      <c r="I41">
        <f>SQRT(H41)</f>
        <v>3.4237395015206673E-3</v>
      </c>
    </row>
    <row r="42" spans="1:28" x14ac:dyDescent="0.25">
      <c r="H42" s="11">
        <f>SUM(H40:H41)</f>
        <v>3.3008358302951873E-2</v>
      </c>
      <c r="I42">
        <f>SQRT(H42)</f>
        <v>0.18168202526103641</v>
      </c>
    </row>
    <row r="43" spans="1:28" x14ac:dyDescent="0.25">
      <c r="U43">
        <f>U39/U28</f>
        <v>0.16707854426309343</v>
      </c>
      <c r="V43" s="35">
        <f>_xlfn.COVARIANCE.P(_xlfn.ANCHORARRAY(R2),_xlfn.ANCHORARRAY(N2))/_xlfn.VAR.P(_xlfn.ANCHORARRAY(N2))</f>
        <v>10.048059157673293</v>
      </c>
    </row>
    <row r="45" spans="1:28" x14ac:dyDescent="0.25">
      <c r="U45" s="35">
        <f>STEYX(_xlfn.ANCHORARRAY(R2),_xlfn.ANCHORARRAY(N2))/SQRT(DEVSQ(_xlfn.ANCHORARRAY(N2)))</f>
        <v>0.9259940858765181</v>
      </c>
    </row>
  </sheetData>
  <conditionalFormatting sqref="F20:G32">
    <cfRule type="expression" dxfId="0" priority="1">
      <formula>ABS(F20:G32-F6:G17) &gt; 0.0000000001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904-470D-4D59-8599-F50297C87148}">
  <dimension ref="A1:I37"/>
  <sheetViews>
    <sheetView workbookViewId="0">
      <selection activeCell="E13" sqref="E1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9.140625" customWidth="1"/>
    <col min="4" max="4" width="20.85546875" bestFit="1" customWidth="1"/>
    <col min="5" max="6" width="11.7109375" customWidth="1"/>
    <col min="8" max="8" width="10.5703125" customWidth="1"/>
    <col min="9" max="9" width="10.28515625" bestFit="1" customWidth="1"/>
  </cols>
  <sheetData>
    <row r="1" spans="1:9" x14ac:dyDescent="0.25">
      <c r="A1" t="s">
        <v>53</v>
      </c>
      <c r="B1" t="s">
        <v>54</v>
      </c>
    </row>
    <row r="2" spans="1:9" x14ac:dyDescent="0.25">
      <c r="A2" s="32">
        <v>3.0000000000000001E-3</v>
      </c>
      <c r="B2" s="32">
        <v>2E-3</v>
      </c>
      <c r="C2" s="32"/>
      <c r="E2" s="4" t="s">
        <v>61</v>
      </c>
      <c r="F2" s="4"/>
      <c r="H2" s="4" t="s">
        <v>62</v>
      </c>
      <c r="I2" s="4"/>
    </row>
    <row r="3" spans="1:9" x14ac:dyDescent="0.25">
      <c r="A3" s="32">
        <v>2.6000000000000002E-2</v>
      </c>
      <c r="B3" s="32">
        <v>2.5000000000000001E-2</v>
      </c>
      <c r="C3" s="32"/>
      <c r="E3" t="s">
        <v>71</v>
      </c>
      <c r="F3" t="s">
        <v>74</v>
      </c>
      <c r="H3" t="s">
        <v>71</v>
      </c>
      <c r="I3" t="s">
        <v>74</v>
      </c>
    </row>
    <row r="4" spans="1:9" x14ac:dyDescent="0.25">
      <c r="A4" s="32">
        <v>1.1000000000000001E-2</v>
      </c>
      <c r="B4" s="32">
        <v>1.8000000000000002E-2</v>
      </c>
      <c r="C4" s="32"/>
      <c r="D4" t="s">
        <v>2</v>
      </c>
      <c r="E4" s="14" cm="1">
        <f t="array" ref="E4">GEOMEAN(1+A2:A37)-1</f>
        <v>1.0452163610398468E-2</v>
      </c>
      <c r="F4" s="14" cm="1">
        <f t="array" ref="F4">PRODUCT(1+A2:A37)^(12/36)-1</f>
        <v>0.13289353350977429</v>
      </c>
      <c r="H4" s="14" cm="1">
        <f t="array" ref="H4">GEOMEAN(1+B2:B37)-1</f>
        <v>1.1436247371426456E-2</v>
      </c>
      <c r="I4" s="14" cm="1">
        <f t="array" ref="I4">PRODUCT(1+B2:B37)^(12/36)-1</f>
        <v>0.14620464307207515</v>
      </c>
    </row>
    <row r="5" spans="1:9" x14ac:dyDescent="0.25">
      <c r="A5" s="32">
        <v>-9.0000000000000011E-3</v>
      </c>
      <c r="B5" s="32">
        <v>-1.1000000000000001E-2</v>
      </c>
      <c r="C5" s="32"/>
      <c r="D5" t="s">
        <v>77</v>
      </c>
      <c r="E5" s="14">
        <f>_xlfn.STDEV.P(A2:A37)</f>
        <v>3.3173784830796742E-2</v>
      </c>
      <c r="F5" s="14">
        <f>E5*SQRT(12)</f>
        <v>0.11491736161259533</v>
      </c>
      <c r="H5" s="14">
        <f>_xlfn.STDEV.P(B2:B37)</f>
        <v>3.3620430296671298E-2</v>
      </c>
      <c r="I5" s="14">
        <f>H5*SQRT(12)</f>
        <v>0.11646458689232533</v>
      </c>
    </row>
    <row r="6" spans="1:9" x14ac:dyDescent="0.25">
      <c r="A6" s="32">
        <v>1.3999999999999999E-2</v>
      </c>
      <c r="B6" s="32">
        <v>1.3999999999999999E-2</v>
      </c>
      <c r="C6" s="32"/>
    </row>
    <row r="7" spans="1:9" x14ac:dyDescent="0.25">
      <c r="A7" s="32">
        <v>2.4E-2</v>
      </c>
      <c r="B7" s="32">
        <v>2.3E-2</v>
      </c>
      <c r="C7" s="32"/>
      <c r="D7" t="s">
        <v>72</v>
      </c>
      <c r="E7" s="1" cm="1">
        <f t="array" ref="E7">_xlfn.STDEV.P(A2:A37-B2:B37)</f>
        <v>3.4801021696368502E-3</v>
      </c>
      <c r="F7" s="1" cm="1">
        <f t="array" ref="F7">_xlfn.STDEV.P(A2:A37-B2:B37)*SQRT(12)</f>
        <v>1.2055427546683416E-2</v>
      </c>
    </row>
    <row r="8" spans="1:9" x14ac:dyDescent="0.25">
      <c r="A8" s="32">
        <v>1.4999999999999999E-2</v>
      </c>
      <c r="B8" s="32">
        <v>1.3999999999999999E-2</v>
      </c>
      <c r="C8" s="32"/>
      <c r="D8" t="s">
        <v>73</v>
      </c>
      <c r="E8" s="1" cm="1">
        <f t="array" ref="E8">_xlfn.STDEV.P((1+A2:A37)/(1+B2:B37)-1)</f>
        <v>3.4318750190674599E-3</v>
      </c>
      <c r="F8" s="1" cm="1">
        <f t="array" ref="F8">_xlfn.STDEV.P((1+A2:A37)/(1+B2:B37)-1)*SQRT(12)</f>
        <v>1.18883637965025E-2</v>
      </c>
    </row>
    <row r="9" spans="1:9" x14ac:dyDescent="0.25">
      <c r="A9" s="32">
        <v>6.6000000000000003E-2</v>
      </c>
      <c r="B9" s="32">
        <v>6.5000000000000002E-2</v>
      </c>
      <c r="C9" s="32"/>
      <c r="D9" t="s">
        <v>75</v>
      </c>
      <c r="E9" s="29">
        <f>(E4-H4)/E7</f>
        <v>-0.2827743879515689</v>
      </c>
      <c r="F9" s="29">
        <f>(F4-I4)/F7</f>
        <v>-1.1041590611991938</v>
      </c>
    </row>
    <row r="10" spans="1:9" x14ac:dyDescent="0.25">
      <c r="A10" s="32">
        <v>-1.3999999999999999E-2</v>
      </c>
      <c r="B10" s="32">
        <v>-1.4999999999999999E-2</v>
      </c>
      <c r="C10" s="32"/>
      <c r="D10" t="s">
        <v>76</v>
      </c>
      <c r="E10" s="29">
        <f>((1+E4)/(1+H4)-1)/E8</f>
        <v>-0.28350589142369115</v>
      </c>
      <c r="F10" s="29">
        <f>((1+F4)/(1+I4)-1)/F8</f>
        <v>-0.97685478507947687</v>
      </c>
    </row>
    <row r="11" spans="1:9" x14ac:dyDescent="0.25">
      <c r="A11" s="32">
        <v>3.9E-2</v>
      </c>
      <c r="B11" s="32">
        <v>4.2000000000000003E-2</v>
      </c>
      <c r="C11" s="32"/>
    </row>
    <row r="12" spans="1:9" x14ac:dyDescent="0.25">
      <c r="A12" s="32">
        <v>-5.0000000000000001E-3</v>
      </c>
      <c r="B12" s="32">
        <v>-3.0000000000000001E-3</v>
      </c>
      <c r="C12" s="32"/>
    </row>
    <row r="13" spans="1:9" x14ac:dyDescent="0.25">
      <c r="A13" s="32">
        <v>8.1000000000000003E-2</v>
      </c>
      <c r="B13" s="32">
        <v>8.3000000000000004E-2</v>
      </c>
      <c r="C13" s="32"/>
      <c r="D13" t="s">
        <v>72</v>
      </c>
      <c r="E13" s="1" cm="1">
        <f t="array" ref="E13">_xll.TrackingErrorArithmetic(A2:A37,B2:B37,1)</f>
        <v>3.4801021696368507E-3</v>
      </c>
      <c r="F13" s="1" cm="1">
        <f t="array" ref="F13">_xll.TrackingErrorArithmetic(A2:A37,B2:B37,12)</f>
        <v>1.2055427546683418E-2</v>
      </c>
      <c r="H13" t="s">
        <v>78</v>
      </c>
      <c r="I13" t="b" cm="1">
        <f t="array" ref="I13">AND(E7:F10=E13:F16)</f>
        <v>1</v>
      </c>
    </row>
    <row r="14" spans="1:9" x14ac:dyDescent="0.25">
      <c r="A14" s="32">
        <v>0.04</v>
      </c>
      <c r="B14" s="32">
        <v>3.9E-2</v>
      </c>
      <c r="C14" s="32"/>
      <c r="D14" t="s">
        <v>73</v>
      </c>
      <c r="E14" s="1" cm="1">
        <f t="array" ref="E14">_xll.TrackingErrorGeometric(A2:A37,B2:B37,1)</f>
        <v>3.4318750190674599E-3</v>
      </c>
      <c r="F14" s="1" cm="1">
        <f t="array" ref="F14">_xll.TrackingErrorGeometric(A2:A37,B2:B37,12)</f>
        <v>1.18883637965025E-2</v>
      </c>
    </row>
    <row r="15" spans="1:9" x14ac:dyDescent="0.25">
      <c r="A15" s="32">
        <v>-3.7000000000000005E-2</v>
      </c>
      <c r="B15" s="32">
        <v>-3.7999999999999999E-2</v>
      </c>
      <c r="C15" s="32"/>
      <c r="D15" t="s">
        <v>75</v>
      </c>
      <c r="E15" s="29" cm="1">
        <f t="array" ref="E15">_xll.InformationRatioArithmetic(A2:A37,B2:B37,1)</f>
        <v>-0.28277438795156884</v>
      </c>
      <c r="F15" s="29" cm="1">
        <f t="array" ref="F15">_xll.InformationRatioArithmetic(A2:A37,B2:B37,12)</f>
        <v>-1.1041590611991936</v>
      </c>
    </row>
    <row r="16" spans="1:9" x14ac:dyDescent="0.25">
      <c r="A16" s="32">
        <v>-6.0999999999999999E-2</v>
      </c>
      <c r="B16" s="32">
        <v>-6.2E-2</v>
      </c>
      <c r="C16" s="32"/>
      <c r="D16" t="s">
        <v>76</v>
      </c>
      <c r="E16" s="29" cm="1">
        <f t="array" ref="E16">_xll.InformationRatioGeometric(A2:A37,B2:B37,1)</f>
        <v>-0.28350589142369115</v>
      </c>
      <c r="F16" s="29" cm="1">
        <f t="array" ref="F16">_xll.InformationRatioGeometric(A2:A37,B2:B37,12)</f>
        <v>-0.97685478507947687</v>
      </c>
    </row>
    <row r="17" spans="1:6" x14ac:dyDescent="0.25">
      <c r="A17" s="32">
        <v>1.3999999999999999E-2</v>
      </c>
      <c r="B17" s="32">
        <v>1.4999999999999999E-2</v>
      </c>
      <c r="C17" s="32"/>
    </row>
    <row r="18" spans="1:6" x14ac:dyDescent="0.25">
      <c r="A18" s="32">
        <v>-4.9000000000000002E-2</v>
      </c>
      <c r="B18" s="32">
        <v>-4.8000000000000001E-2</v>
      </c>
      <c r="C18" s="32"/>
      <c r="E18" s="6"/>
      <c r="F18" s="30"/>
    </row>
    <row r="19" spans="1:6" x14ac:dyDescent="0.25">
      <c r="A19" s="32">
        <v>-2.1000000000000001E-2</v>
      </c>
      <c r="B19" s="32">
        <v>-0.02</v>
      </c>
      <c r="C19" s="32"/>
    </row>
    <row r="20" spans="1:6" x14ac:dyDescent="0.25">
      <c r="A20" s="32">
        <v>6.2E-2</v>
      </c>
      <c r="B20" s="32">
        <v>0.06</v>
      </c>
      <c r="C20" s="32"/>
    </row>
    <row r="21" spans="1:6" x14ac:dyDescent="0.25">
      <c r="A21" s="32">
        <v>5.7999999999999996E-2</v>
      </c>
      <c r="B21" s="32">
        <v>5.5999999999999994E-2</v>
      </c>
      <c r="C21" s="32"/>
    </row>
    <row r="22" spans="1:6" x14ac:dyDescent="0.25">
      <c r="A22" s="32">
        <v>-6.4000000000000001E-2</v>
      </c>
      <c r="B22" s="32">
        <v>-6.7000000000000004E-2</v>
      </c>
      <c r="C22" s="32"/>
    </row>
    <row r="23" spans="1:6" x14ac:dyDescent="0.25">
      <c r="A23" s="32">
        <v>1.7000000000000001E-2</v>
      </c>
      <c r="B23" s="32">
        <v>1.9E-2</v>
      </c>
      <c r="C23" s="32"/>
    </row>
    <row r="24" spans="1:6" x14ac:dyDescent="0.25">
      <c r="A24" s="32">
        <v>-4.0000000000000001E-3</v>
      </c>
      <c r="B24" s="32">
        <v>-3.0000000000000001E-3</v>
      </c>
      <c r="C24" s="32"/>
    </row>
    <row r="25" spans="1:6" x14ac:dyDescent="0.25">
      <c r="A25" s="32">
        <v>-2E-3</v>
      </c>
      <c r="B25" s="32">
        <v>-1E-3</v>
      </c>
      <c r="C25" s="32"/>
    </row>
    <row r="26" spans="1:6" x14ac:dyDescent="0.25">
      <c r="A26" s="32">
        <v>-2.1000000000000001E-2</v>
      </c>
      <c r="B26" s="32">
        <v>-2.6000000000000002E-2</v>
      </c>
      <c r="C26" s="32"/>
    </row>
    <row r="27" spans="1:6" x14ac:dyDescent="0.25">
      <c r="A27" s="32">
        <v>1.1000000000000001E-2</v>
      </c>
      <c r="B27" s="32">
        <v>6.9999999999999993E-3</v>
      </c>
      <c r="C27" s="32"/>
    </row>
    <row r="28" spans="1:6" x14ac:dyDescent="0.25">
      <c r="A28" s="32">
        <v>4.7E-2</v>
      </c>
      <c r="B28" s="32">
        <v>4.2999999999999997E-2</v>
      </c>
      <c r="C28" s="32"/>
    </row>
    <row r="29" spans="1:6" x14ac:dyDescent="0.25">
      <c r="A29" s="32">
        <v>2.4E-2</v>
      </c>
      <c r="B29" s="32">
        <v>2.8999999999999998E-2</v>
      </c>
      <c r="C29" s="32"/>
    </row>
    <row r="30" spans="1:6" x14ac:dyDescent="0.25">
      <c r="A30" s="32">
        <v>3.3000000000000002E-2</v>
      </c>
      <c r="B30" s="32">
        <v>3.7999999999999999E-2</v>
      </c>
      <c r="C30" s="32"/>
    </row>
    <row r="31" spans="1:6" x14ac:dyDescent="0.25">
      <c r="A31" s="32">
        <v>-6.9999999999999993E-3</v>
      </c>
      <c r="B31" s="32">
        <v>-2E-3</v>
      </c>
      <c r="C31" s="32"/>
    </row>
    <row r="32" spans="1:6" x14ac:dyDescent="0.25">
      <c r="A32" s="32">
        <v>4.7E-2</v>
      </c>
      <c r="B32" s="32">
        <v>5.0999999999999997E-2</v>
      </c>
      <c r="C32" s="32"/>
    </row>
    <row r="33" spans="1:3" x14ac:dyDescent="0.25">
      <c r="A33" s="32">
        <v>6.0000000000000001E-3</v>
      </c>
      <c r="B33" s="32">
        <v>1.3999999999999999E-2</v>
      </c>
      <c r="C33" s="32"/>
    </row>
    <row r="34" spans="1:3" x14ac:dyDescent="0.25">
      <c r="A34" s="32">
        <v>0.01</v>
      </c>
      <c r="B34" s="32">
        <v>1.3000000000000001E-2</v>
      </c>
      <c r="C34" s="32"/>
    </row>
    <row r="35" spans="1:3" x14ac:dyDescent="0.25">
      <c r="A35" s="32">
        <v>-2E-3</v>
      </c>
      <c r="B35" s="32">
        <v>3.0000000000000001E-3</v>
      </c>
      <c r="C35" s="32"/>
    </row>
    <row r="36" spans="1:3" x14ac:dyDescent="0.25">
      <c r="A36" s="32">
        <v>3.4000000000000002E-2</v>
      </c>
      <c r="B36" s="32">
        <v>3.4000000000000002E-2</v>
      </c>
      <c r="C36" s="32"/>
    </row>
    <row r="37" spans="1:3" x14ac:dyDescent="0.25">
      <c r="A37" s="32">
        <v>0.01</v>
      </c>
      <c r="B37" s="32">
        <v>2.1000000000000001E-2</v>
      </c>
      <c r="C37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41C9-4B35-43C1-9DE0-DEF26697FEC8}">
  <dimension ref="A1:H13"/>
  <sheetViews>
    <sheetView workbookViewId="0">
      <selection activeCell="C13" sqref="C13"/>
    </sheetView>
  </sheetViews>
  <sheetFormatPr defaultRowHeight="15" x14ac:dyDescent="0.25"/>
  <cols>
    <col min="2" max="2" width="12.42578125" bestFit="1" customWidth="1"/>
    <col min="4" max="4" width="10.140625" bestFit="1" customWidth="1"/>
  </cols>
  <sheetData>
    <row r="1" spans="1:8" x14ac:dyDescent="0.25">
      <c r="A1">
        <v>10</v>
      </c>
      <c r="B1">
        <f>MAX(0,$H$1-A1)^$H$2</f>
        <v>25</v>
      </c>
      <c r="G1" t="s">
        <v>2</v>
      </c>
      <c r="H1">
        <f>AVERAGE(A1:A10)</f>
        <v>15</v>
      </c>
    </row>
    <row r="2" spans="1:8" x14ac:dyDescent="0.25">
      <c r="A2">
        <v>10</v>
      </c>
      <c r="B2">
        <f t="shared" ref="B2:B10" si="0">MAX(0,$H$1-A2)^$H$2</f>
        <v>25</v>
      </c>
      <c r="G2" t="s">
        <v>87</v>
      </c>
      <c r="H2">
        <v>2</v>
      </c>
    </row>
    <row r="3" spans="1:8" x14ac:dyDescent="0.25">
      <c r="A3">
        <v>10</v>
      </c>
      <c r="B3">
        <f t="shared" si="0"/>
        <v>25</v>
      </c>
    </row>
    <row r="4" spans="1:8" x14ac:dyDescent="0.25">
      <c r="A4">
        <v>10</v>
      </c>
      <c r="B4">
        <f t="shared" si="0"/>
        <v>25</v>
      </c>
    </row>
    <row r="5" spans="1:8" x14ac:dyDescent="0.25">
      <c r="A5">
        <v>10</v>
      </c>
      <c r="B5">
        <f t="shared" si="0"/>
        <v>25</v>
      </c>
    </row>
    <row r="6" spans="1:8" x14ac:dyDescent="0.25">
      <c r="A6">
        <v>10</v>
      </c>
      <c r="B6">
        <f t="shared" si="0"/>
        <v>25</v>
      </c>
    </row>
    <row r="7" spans="1:8" x14ac:dyDescent="0.25">
      <c r="A7">
        <v>10</v>
      </c>
      <c r="B7">
        <f t="shared" si="0"/>
        <v>25</v>
      </c>
    </row>
    <row r="8" spans="1:8" x14ac:dyDescent="0.25">
      <c r="A8">
        <v>10</v>
      </c>
      <c r="B8">
        <f t="shared" si="0"/>
        <v>25</v>
      </c>
    </row>
    <row r="9" spans="1:8" x14ac:dyDescent="0.25">
      <c r="A9">
        <v>35</v>
      </c>
      <c r="B9">
        <f t="shared" si="0"/>
        <v>0</v>
      </c>
    </row>
    <row r="10" spans="1:8" x14ac:dyDescent="0.25">
      <c r="A10">
        <v>35</v>
      </c>
      <c r="B10">
        <f t="shared" si="0"/>
        <v>0</v>
      </c>
    </row>
    <row r="12" spans="1:8" x14ac:dyDescent="0.25">
      <c r="B12" s="38"/>
    </row>
    <row r="13" spans="1:8" x14ac:dyDescent="0.25">
      <c r="B13" s="39">
        <f>SUM(B1:B10)*(1/COUNT(B1:B10))</f>
        <v>20</v>
      </c>
      <c r="C13" cm="1">
        <f t="array" ref="C13">_xll.LowerPartialMoment(A1:A10, H1, H2,1)</f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73D-9724-4911-AFA1-DE839FEC917E}">
  <dimension ref="A1:Z43"/>
  <sheetViews>
    <sheetView workbookViewId="0">
      <selection activeCell="D23" sqref="D23"/>
    </sheetView>
  </sheetViews>
  <sheetFormatPr defaultRowHeight="15" x14ac:dyDescent="0.25"/>
  <cols>
    <col min="4" max="4" width="22.85546875" customWidth="1"/>
    <col min="20" max="20" width="12.42578125" bestFit="1" customWidth="1"/>
  </cols>
  <sheetData>
    <row r="1" spans="1:26" x14ac:dyDescent="0.25">
      <c r="D1" t="s">
        <v>116</v>
      </c>
      <c r="E1" t="s">
        <v>114</v>
      </c>
      <c r="F1" t="s">
        <v>115</v>
      </c>
      <c r="H1" t="s">
        <v>117</v>
      </c>
      <c r="I1" t="s">
        <v>118</v>
      </c>
      <c r="R1" t="s">
        <v>89</v>
      </c>
    </row>
    <row r="2" spans="1:26" ht="15.75" thickBot="1" x14ac:dyDescent="0.3">
      <c r="A2" cm="1">
        <f t="array" ref="A2:A21">_xlfn.SEQUENCE(20)</f>
        <v>1</v>
      </c>
      <c r="B2" s="14">
        <v>0</v>
      </c>
      <c r="E2">
        <v>100</v>
      </c>
      <c r="F2">
        <v>0</v>
      </c>
      <c r="H2">
        <f>$S$17+$S$18*A2</f>
        <v>-1.67000000000001E-3</v>
      </c>
      <c r="I2" s="26">
        <f>B2-H2</f>
        <v>1.67000000000001E-3</v>
      </c>
    </row>
    <row r="3" spans="1:26" x14ac:dyDescent="0.25">
      <c r="A3">
        <v>2</v>
      </c>
      <c r="B3" s="14">
        <v>-1.5E-3</v>
      </c>
      <c r="D3" s="14">
        <f>(1+B3)/(1+B2)-1</f>
        <v>-1.4999999999999458E-3</v>
      </c>
      <c r="E3">
        <f>E2*(1+D3)</f>
        <v>99.850000000000009</v>
      </c>
      <c r="F3" s="14">
        <f>(1+F2)*(1+D3)-1</f>
        <v>-1.4999999999999458E-3</v>
      </c>
      <c r="H3">
        <f t="shared" ref="H3:H21" si="0">$S$17+$S$18*A3</f>
        <v>4.1357894736842003E-3</v>
      </c>
      <c r="I3" s="26">
        <f t="shared" ref="I3:I21" si="1">B3-H3</f>
        <v>-5.6357894736841999E-3</v>
      </c>
      <c r="R3" s="43" t="s">
        <v>90</v>
      </c>
      <c r="S3" s="43"/>
    </row>
    <row r="4" spans="1:26" x14ac:dyDescent="0.25">
      <c r="A4">
        <v>3</v>
      </c>
      <c r="B4" s="14">
        <v>7.1999999999999998E-3</v>
      </c>
      <c r="D4" s="14">
        <f>(1+B4)/(1+B3)-1</f>
        <v>8.7130696044066536E-3</v>
      </c>
      <c r="E4">
        <f t="shared" ref="E4:E21" si="2">E3*(1+D4)</f>
        <v>100.72000000000001</v>
      </c>
      <c r="F4" s="14">
        <f t="shared" ref="F4:F21" si="3">(1+F3)*(1+D4)-1</f>
        <v>7.2000000000000952E-3</v>
      </c>
      <c r="H4">
        <f t="shared" si="0"/>
        <v>9.9415789473684124E-3</v>
      </c>
      <c r="I4" s="26">
        <f t="shared" si="1"/>
        <v>-2.7415789473684126E-3</v>
      </c>
      <c r="R4" s="40" t="s">
        <v>91</v>
      </c>
      <c r="S4" s="40">
        <v>0.98736178085940562</v>
      </c>
    </row>
    <row r="5" spans="1:26" x14ac:dyDescent="0.25">
      <c r="A5">
        <v>4</v>
      </c>
      <c r="B5" s="14">
        <v>1.23E-2</v>
      </c>
      <c r="D5" s="14">
        <f t="shared" ref="D5:D21" si="4">(1+B5)/(1+B4)-1</f>
        <v>5.0635424940428386E-3</v>
      </c>
      <c r="E5">
        <f t="shared" si="2"/>
        <v>101.23</v>
      </c>
      <c r="F5" s="14">
        <f t="shared" si="3"/>
        <v>1.2299999999999978E-2</v>
      </c>
      <c r="H5">
        <f t="shared" si="0"/>
        <v>1.5747368421052621E-2</v>
      </c>
      <c r="I5" s="26">
        <f t="shared" si="1"/>
        <v>-3.4473684210526209E-3</v>
      </c>
      <c r="R5" s="40" t="s">
        <v>92</v>
      </c>
      <c r="S5" s="40">
        <v>0.97488328630185694</v>
      </c>
    </row>
    <row r="6" spans="1:26" x14ac:dyDescent="0.25">
      <c r="A6">
        <v>5</v>
      </c>
      <c r="B6" s="14">
        <v>2.5000000000000001E-2</v>
      </c>
      <c r="D6" s="14">
        <f t="shared" si="4"/>
        <v>1.2545688037143066E-2</v>
      </c>
      <c r="E6">
        <f t="shared" si="2"/>
        <v>102.5</v>
      </c>
      <c r="F6" s="14">
        <f t="shared" si="3"/>
        <v>2.4999999999999911E-2</v>
      </c>
      <c r="H6">
        <f t="shared" si="0"/>
        <v>2.155315789473683E-2</v>
      </c>
      <c r="I6" s="26">
        <f t="shared" si="1"/>
        <v>3.4468421052631718E-3</v>
      </c>
      <c r="R6" s="40" t="s">
        <v>93</v>
      </c>
      <c r="S6" s="40">
        <v>0.97348791331862672</v>
      </c>
    </row>
    <row r="7" spans="1:26" x14ac:dyDescent="0.25">
      <c r="A7">
        <v>6</v>
      </c>
      <c r="B7" s="14">
        <v>2.3300000000000001E-2</v>
      </c>
      <c r="D7" s="14">
        <f t="shared" si="4"/>
        <v>-1.6585365853656331E-3</v>
      </c>
      <c r="E7">
        <f t="shared" si="2"/>
        <v>102.33000000000003</v>
      </c>
      <c r="F7" s="14">
        <f t="shared" si="3"/>
        <v>2.3300000000000098E-2</v>
      </c>
      <c r="H7">
        <f t="shared" si="0"/>
        <v>2.7358947368421045E-2</v>
      </c>
      <c r="I7" s="26">
        <f t="shared" si="1"/>
        <v>-4.0589473684210439E-3</v>
      </c>
      <c r="R7" s="40" t="s">
        <v>94</v>
      </c>
      <c r="S7" s="40">
        <v>5.6642309006524841E-3</v>
      </c>
    </row>
    <row r="8" spans="1:26" ht="15.75" thickBot="1" x14ac:dyDescent="0.3">
      <c r="A8">
        <v>7</v>
      </c>
      <c r="B8" s="14">
        <v>2.5399999999999999E-2</v>
      </c>
      <c r="D8" s="14">
        <f t="shared" si="4"/>
        <v>2.0521841102316696E-3</v>
      </c>
      <c r="E8">
        <f t="shared" si="2"/>
        <v>102.54000000000003</v>
      </c>
      <c r="F8" s="14">
        <f t="shared" si="3"/>
        <v>2.5400000000000089E-2</v>
      </c>
      <c r="H8">
        <f t="shared" si="0"/>
        <v>3.3164736842105254E-2</v>
      </c>
      <c r="I8" s="26">
        <f t="shared" si="1"/>
        <v>-7.7647368421052548E-3</v>
      </c>
      <c r="R8" s="41" t="s">
        <v>95</v>
      </c>
      <c r="S8" s="41">
        <v>20</v>
      </c>
    </row>
    <row r="9" spans="1:26" x14ac:dyDescent="0.25">
      <c r="A9">
        <v>8</v>
      </c>
      <c r="B9" s="14">
        <v>3.6299999999999999E-2</v>
      </c>
      <c r="D9" s="14">
        <f t="shared" si="4"/>
        <v>1.0629998049541456E-2</v>
      </c>
      <c r="E9">
        <f t="shared" si="2"/>
        <v>103.63000000000001</v>
      </c>
      <c r="F9" s="14">
        <f t="shared" si="3"/>
        <v>3.6299999999999999E-2</v>
      </c>
      <c r="H9">
        <f t="shared" si="0"/>
        <v>3.8970526315789462E-2</v>
      </c>
      <c r="I9" s="26">
        <f t="shared" si="1"/>
        <v>-2.6705263157894635E-3</v>
      </c>
    </row>
    <row r="10" spans="1:26" ht="15.75" thickBot="1" x14ac:dyDescent="0.3">
      <c r="A10">
        <v>9</v>
      </c>
      <c r="B10" s="14">
        <v>4.9100000000000005E-2</v>
      </c>
      <c r="D10" s="14">
        <f t="shared" si="4"/>
        <v>1.2351635626749013E-2</v>
      </c>
      <c r="E10">
        <f t="shared" si="2"/>
        <v>104.91000000000001</v>
      </c>
      <c r="F10" s="14">
        <f t="shared" si="3"/>
        <v>4.9099999999999921E-2</v>
      </c>
      <c r="H10">
        <f t="shared" si="0"/>
        <v>4.4776315789473671E-2</v>
      </c>
      <c r="I10" s="26">
        <f t="shared" si="1"/>
        <v>4.3236842105263337E-3</v>
      </c>
      <c r="R10" t="s">
        <v>96</v>
      </c>
    </row>
    <row r="11" spans="1:26" x14ac:dyDescent="0.25">
      <c r="A11">
        <v>10</v>
      </c>
      <c r="B11" s="14">
        <v>6.25E-2</v>
      </c>
      <c r="D11" s="14">
        <f t="shared" si="4"/>
        <v>1.2772852921551836E-2</v>
      </c>
      <c r="E11">
        <f t="shared" si="2"/>
        <v>106.25000000000001</v>
      </c>
      <c r="F11" s="14">
        <f t="shared" si="3"/>
        <v>6.25E-2</v>
      </c>
      <c r="H11">
        <f t="shared" si="0"/>
        <v>5.058210526315788E-2</v>
      </c>
      <c r="I11" s="26">
        <f t="shared" si="1"/>
        <v>1.191789473684212E-2</v>
      </c>
      <c r="R11" s="42"/>
      <c r="S11" s="42" t="s">
        <v>101</v>
      </c>
      <c r="T11" s="42" t="s">
        <v>102</v>
      </c>
      <c r="U11" s="42" t="s">
        <v>103</v>
      </c>
      <c r="V11" s="42" t="s">
        <v>104</v>
      </c>
      <c r="W11" s="42" t="s">
        <v>105</v>
      </c>
    </row>
    <row r="12" spans="1:26" x14ac:dyDescent="0.25">
      <c r="A12">
        <v>11</v>
      </c>
      <c r="B12" s="14">
        <v>6.3200000000000006E-2</v>
      </c>
      <c r="D12" s="14">
        <f t="shared" si="4"/>
        <v>6.5882352941160072E-4</v>
      </c>
      <c r="E12">
        <f t="shared" si="2"/>
        <v>106.32</v>
      </c>
      <c r="F12" s="14">
        <f t="shared" si="3"/>
        <v>6.3199999999999923E-2</v>
      </c>
      <c r="H12">
        <f t="shared" si="0"/>
        <v>5.6387894736842088E-2</v>
      </c>
      <c r="I12" s="26">
        <f t="shared" si="1"/>
        <v>6.8121052631579179E-3</v>
      </c>
      <c r="R12" s="40" t="s">
        <v>97</v>
      </c>
      <c r="S12" s="40">
        <v>1</v>
      </c>
      <c r="T12" s="40">
        <v>2.2415282289473679E-2</v>
      </c>
      <c r="U12" s="40">
        <v>2.2415282289473679E-2</v>
      </c>
      <c r="V12" s="40">
        <v>698.6542652166612</v>
      </c>
      <c r="W12" s="40">
        <v>7.4628755475986974E-16</v>
      </c>
    </row>
    <row r="13" spans="1:26" x14ac:dyDescent="0.25">
      <c r="A13">
        <v>12</v>
      </c>
      <c r="B13" s="14">
        <v>6.6000000000000003E-2</v>
      </c>
      <c r="D13" s="14">
        <f t="shared" si="4"/>
        <v>2.6335590669677167E-3</v>
      </c>
      <c r="E13">
        <f t="shared" si="2"/>
        <v>106.6</v>
      </c>
      <c r="F13" s="14">
        <f t="shared" si="3"/>
        <v>6.6000000000000059E-2</v>
      </c>
      <c r="H13">
        <f t="shared" si="0"/>
        <v>6.2193684210526311E-2</v>
      </c>
      <c r="I13" s="26">
        <f t="shared" si="1"/>
        <v>3.8063157894736924E-3</v>
      </c>
      <c r="R13" s="40" t="s">
        <v>98</v>
      </c>
      <c r="S13" s="40">
        <v>18</v>
      </c>
      <c r="T13" s="40">
        <v>5.7750321052631626E-4</v>
      </c>
      <c r="U13" s="40">
        <v>3.2083511695906456E-5</v>
      </c>
      <c r="V13" s="40"/>
      <c r="W13" s="40"/>
    </row>
    <row r="14" spans="1:26" ht="15.75" thickBot="1" x14ac:dyDescent="0.3">
      <c r="A14">
        <v>13</v>
      </c>
      <c r="B14" s="14">
        <v>6.7500000000000004E-2</v>
      </c>
      <c r="D14" s="14">
        <f t="shared" si="4"/>
        <v>1.4071294559097058E-3</v>
      </c>
      <c r="E14">
        <f t="shared" si="2"/>
        <v>106.74999999999997</v>
      </c>
      <c r="F14" s="14">
        <f t="shared" si="3"/>
        <v>6.7499999999999893E-2</v>
      </c>
      <c r="H14">
        <f t="shared" si="0"/>
        <v>6.7999473684210526E-2</v>
      </c>
      <c r="I14" s="26">
        <f t="shared" si="1"/>
        <v>-4.9947368421052185E-4</v>
      </c>
      <c r="R14" s="41" t="s">
        <v>99</v>
      </c>
      <c r="S14" s="41">
        <v>19</v>
      </c>
      <c r="T14" s="41">
        <v>2.2992785499999994E-2</v>
      </c>
      <c r="U14" s="41"/>
      <c r="V14" s="41"/>
      <c r="W14" s="41"/>
    </row>
    <row r="15" spans="1:26" ht="15.75" thickBot="1" x14ac:dyDescent="0.3">
      <c r="A15">
        <v>14</v>
      </c>
      <c r="B15" s="14">
        <v>7.9199999999999993E-2</v>
      </c>
      <c r="D15" s="14">
        <f t="shared" si="4"/>
        <v>1.0960187353630024E-2</v>
      </c>
      <c r="E15">
        <f t="shared" si="2"/>
        <v>107.91999999999997</v>
      </c>
      <c r="F15" s="14">
        <f t="shared" si="3"/>
        <v>7.9199999999999937E-2</v>
      </c>
      <c r="H15">
        <f t="shared" si="0"/>
        <v>7.3805263157894735E-2</v>
      </c>
      <c r="I15" s="26">
        <f t="shared" si="1"/>
        <v>5.3947368421052577E-3</v>
      </c>
    </row>
    <row r="16" spans="1:26" x14ac:dyDescent="0.25">
      <c r="A16">
        <v>15</v>
      </c>
      <c r="B16" s="14">
        <v>8.3000000000000004E-2</v>
      </c>
      <c r="D16" s="14">
        <f t="shared" si="4"/>
        <v>3.5211267605634866E-3</v>
      </c>
      <c r="E16">
        <f t="shared" si="2"/>
        <v>108.29999999999998</v>
      </c>
      <c r="F16" s="14">
        <f t="shared" si="3"/>
        <v>8.2999999999999963E-2</v>
      </c>
      <c r="H16">
        <f t="shared" si="0"/>
        <v>7.9611052631578944E-2</v>
      </c>
      <c r="I16" s="26">
        <f t="shared" si="1"/>
        <v>3.3889473684210608E-3</v>
      </c>
      <c r="R16" s="42"/>
      <c r="S16" s="42" t="s">
        <v>106</v>
      </c>
      <c r="T16" s="42" t="s">
        <v>94</v>
      </c>
      <c r="U16" s="42" t="s">
        <v>107</v>
      </c>
      <c r="V16" s="42" t="s">
        <v>108</v>
      </c>
      <c r="W16" s="42" t="s">
        <v>109</v>
      </c>
      <c r="X16" s="42" t="s">
        <v>110</v>
      </c>
      <c r="Y16" s="42" t="s">
        <v>111</v>
      </c>
      <c r="Z16" s="42" t="s">
        <v>112</v>
      </c>
    </row>
    <row r="17" spans="1:26" x14ac:dyDescent="0.25">
      <c r="A17">
        <v>16</v>
      </c>
      <c r="B17" s="14">
        <v>0.09</v>
      </c>
      <c r="D17" s="14">
        <f t="shared" si="4"/>
        <v>6.4635272391506682E-3</v>
      </c>
      <c r="E17">
        <f t="shared" si="2"/>
        <v>109</v>
      </c>
      <c r="F17" s="14">
        <f t="shared" si="3"/>
        <v>9.000000000000008E-2</v>
      </c>
      <c r="H17">
        <f t="shared" si="0"/>
        <v>8.5416842105263152E-2</v>
      </c>
      <c r="I17" s="26">
        <f t="shared" si="1"/>
        <v>4.5831578947368445E-3</v>
      </c>
      <c r="R17" s="40" t="s">
        <v>100</v>
      </c>
      <c r="S17" s="40">
        <v>-7.4757894736842204E-3</v>
      </c>
      <c r="T17" s="40">
        <v>2.631213427831514E-3</v>
      </c>
      <c r="U17" s="40">
        <v>-2.8411946346159045</v>
      </c>
      <c r="V17" s="40">
        <v>1.0835016469266913E-2</v>
      </c>
      <c r="W17" s="40">
        <v>-1.3003763756793619E-2</v>
      </c>
      <c r="X17" s="40">
        <v>-1.947815190574821E-3</v>
      </c>
      <c r="Y17" s="40">
        <v>-1.3003763756793619E-2</v>
      </c>
      <c r="Z17" s="40">
        <v>-1.947815190574821E-3</v>
      </c>
    </row>
    <row r="18" spans="1:26" ht="15.75" thickBot="1" x14ac:dyDescent="0.3">
      <c r="A18">
        <v>17</v>
      </c>
      <c r="B18" s="14">
        <v>9.2200000000000004E-2</v>
      </c>
      <c r="D18" s="14">
        <f t="shared" si="4"/>
        <v>2.0183486238531945E-3</v>
      </c>
      <c r="E18">
        <f t="shared" si="2"/>
        <v>109.22</v>
      </c>
      <c r="F18" s="14">
        <f t="shared" si="3"/>
        <v>9.220000000000006E-2</v>
      </c>
      <c r="H18">
        <f t="shared" si="0"/>
        <v>9.1222631578947361E-2</v>
      </c>
      <c r="I18" s="26">
        <f t="shared" si="1"/>
        <v>9.7736842105264343E-4</v>
      </c>
      <c r="R18" s="41" t="s">
        <v>113</v>
      </c>
      <c r="S18" s="41">
        <v>5.8057894736842103E-3</v>
      </c>
      <c r="T18" s="41">
        <v>2.1964945310535921E-4</v>
      </c>
      <c r="U18" s="41">
        <v>26.43206887885739</v>
      </c>
      <c r="V18" s="41">
        <v>7.4628755475986974E-16</v>
      </c>
      <c r="W18" s="41">
        <v>5.3443230965282713E-3</v>
      </c>
      <c r="X18" s="41">
        <v>6.2672558508401494E-3</v>
      </c>
      <c r="Y18" s="41">
        <v>5.3443230965282713E-3</v>
      </c>
      <c r="Z18" s="41">
        <v>6.2672558508401494E-3</v>
      </c>
    </row>
    <row r="19" spans="1:26" x14ac:dyDescent="0.25">
      <c r="A19">
        <v>18</v>
      </c>
      <c r="B19" s="14">
        <v>9.3599999999999989E-2</v>
      </c>
      <c r="D19" s="14">
        <f t="shared" si="4"/>
        <v>1.2818165171213369E-3</v>
      </c>
      <c r="E19">
        <f t="shared" si="2"/>
        <v>109.35999999999999</v>
      </c>
      <c r="F19" s="14">
        <f t="shared" si="3"/>
        <v>9.3599999999999905E-2</v>
      </c>
      <c r="H19">
        <f t="shared" si="0"/>
        <v>9.7028421052631569E-2</v>
      </c>
      <c r="I19" s="26">
        <f t="shared" si="1"/>
        <v>-3.4284210526315806E-3</v>
      </c>
    </row>
    <row r="20" spans="1:26" x14ac:dyDescent="0.25">
      <c r="A20">
        <v>19</v>
      </c>
      <c r="B20" s="14">
        <v>9.3699999999999992E-2</v>
      </c>
      <c r="D20" s="14">
        <f t="shared" si="4"/>
        <v>9.1441111923939999E-5</v>
      </c>
      <c r="E20">
        <f t="shared" si="2"/>
        <v>109.36999999999999</v>
      </c>
      <c r="F20" s="14">
        <f t="shared" si="3"/>
        <v>9.3699999999999894E-2</v>
      </c>
      <c r="H20">
        <f t="shared" si="0"/>
        <v>0.10283421052631578</v>
      </c>
      <c r="I20" s="26">
        <f t="shared" si="1"/>
        <v>-9.1342105263157863E-3</v>
      </c>
    </row>
    <row r="21" spans="1:26" x14ac:dyDescent="0.25">
      <c r="A21">
        <v>20</v>
      </c>
      <c r="B21" s="14">
        <v>0.1017</v>
      </c>
      <c r="D21" s="14">
        <f t="shared" si="4"/>
        <v>7.3146200969187447E-3</v>
      </c>
      <c r="E21">
        <f t="shared" si="2"/>
        <v>110.16999999999999</v>
      </c>
      <c r="F21" s="14">
        <f t="shared" si="3"/>
        <v>0.1016999999999999</v>
      </c>
      <c r="H21">
        <f t="shared" si="0"/>
        <v>0.10863999999999999</v>
      </c>
      <c r="I21" s="26">
        <f t="shared" si="1"/>
        <v>-6.9399999999999878E-3</v>
      </c>
      <c r="T21">
        <f>U18/SQRT(20)</f>
        <v>5.9103902799081771</v>
      </c>
    </row>
    <row r="23" spans="1:26" x14ac:dyDescent="0.25">
      <c r="B23">
        <f>SLOPE(B2:B21,_xlfn.ANCHORARRAY(A2))*SQRT(DEVSQ(_xlfn.ANCHORARRAY(A2)))/STEYX(B2:B21,_xlfn.ANCHORARRAY(A2))/SQRT(20)</f>
        <v>5.9103902799082544</v>
      </c>
      <c r="D23" s="14" cm="1">
        <f t="array" ref="D23">_xll.KRatio(D2:D21)</f>
        <v>1.0804360835735838</v>
      </c>
      <c r="E23">
        <f>SLOPE(E2:E21,_xlfn.ANCHORARRAY(A2))*SQRT(DEVSQ(_xlfn.ANCHORARRAY(A2)))/STEYX(E2:E21,_xlfn.ANCHORARRAY(A2))/SQRT(20)</f>
        <v>5.9103902799081878</v>
      </c>
      <c r="R23" t="s">
        <v>89</v>
      </c>
    </row>
    <row r="24" spans="1:26" ht="15.75" thickBot="1" x14ac:dyDescent="0.3"/>
    <row r="25" spans="1:26" x14ac:dyDescent="0.25">
      <c r="C25" t="s">
        <v>100</v>
      </c>
      <c r="D25" s="44">
        <f>INTERCEPT(F2:F21,_xlfn.ANCHORARRAY(A2))</f>
        <v>-7.4757894736841718E-3</v>
      </c>
      <c r="R25" s="43" t="s">
        <v>90</v>
      </c>
      <c r="S25" s="43"/>
    </row>
    <row r="26" spans="1:26" x14ac:dyDescent="0.25">
      <c r="C26" t="s">
        <v>119</v>
      </c>
      <c r="D26" s="44">
        <f>SLOPE(F2:F21,_xlfn.ANCHORARRAY(A2))</f>
        <v>5.8057894736842051E-3</v>
      </c>
      <c r="R26" s="40" t="s">
        <v>91</v>
      </c>
      <c r="S26" s="40">
        <v>0.98736178085940574</v>
      </c>
    </row>
    <row r="27" spans="1:26" x14ac:dyDescent="0.25">
      <c r="C27" t="s">
        <v>120</v>
      </c>
      <c r="D27" s="44" cm="1">
        <f t="array" ref="D27">SUM(I2:I21^2)</f>
        <v>5.7750321052631615E-4</v>
      </c>
      <c r="R27" s="40" t="s">
        <v>92</v>
      </c>
      <c r="S27" s="40">
        <v>0.97488328630185705</v>
      </c>
    </row>
    <row r="28" spans="1:26" x14ac:dyDescent="0.25">
      <c r="R28" s="40" t="s">
        <v>93</v>
      </c>
      <c r="S28" s="40">
        <v>0.97348791331862694</v>
      </c>
    </row>
    <row r="29" spans="1:26" x14ac:dyDescent="0.25">
      <c r="R29" s="40" t="s">
        <v>94</v>
      </c>
      <c r="S29" s="40">
        <v>0.56642309006524494</v>
      </c>
    </row>
    <row r="30" spans="1:26" ht="15.75" thickBot="1" x14ac:dyDescent="0.3">
      <c r="R30" s="41" t="s">
        <v>95</v>
      </c>
      <c r="S30" s="41">
        <v>20</v>
      </c>
    </row>
    <row r="32" spans="1:26" ht="15.75" thickBot="1" x14ac:dyDescent="0.3">
      <c r="R32" t="s">
        <v>96</v>
      </c>
    </row>
    <row r="33" spans="18:26" x14ac:dyDescent="0.25">
      <c r="R33" s="42"/>
      <c r="S33" s="42" t="s">
        <v>101</v>
      </c>
      <c r="T33" s="42" t="s">
        <v>102</v>
      </c>
      <c r="U33" s="42" t="s">
        <v>103</v>
      </c>
      <c r="V33" s="42" t="s">
        <v>104</v>
      </c>
      <c r="W33" s="42" t="s">
        <v>105</v>
      </c>
    </row>
    <row r="34" spans="18:26" x14ac:dyDescent="0.25">
      <c r="R34" s="40" t="s">
        <v>97</v>
      </c>
      <c r="S34" s="40">
        <v>1</v>
      </c>
      <c r="T34" s="40">
        <v>224.15282289473561</v>
      </c>
      <c r="U34" s="40">
        <v>224.15282289473561</v>
      </c>
      <c r="V34" s="40">
        <v>698.65426521666598</v>
      </c>
      <c r="W34" s="40">
        <v>7.4628755475982725E-16</v>
      </c>
    </row>
    <row r="35" spans="18:26" x14ac:dyDescent="0.25">
      <c r="R35" s="40" t="s">
        <v>98</v>
      </c>
      <c r="S35" s="40">
        <v>18</v>
      </c>
      <c r="T35" s="40">
        <v>5.775032105263092</v>
      </c>
      <c r="U35" s="40">
        <v>0.32083511695906064</v>
      </c>
      <c r="V35" s="40"/>
      <c r="W35" s="40"/>
    </row>
    <row r="36" spans="18:26" ht="15.75" thickBot="1" x14ac:dyDescent="0.3">
      <c r="R36" s="41" t="s">
        <v>99</v>
      </c>
      <c r="S36" s="41">
        <v>19</v>
      </c>
      <c r="T36" s="41">
        <v>229.92785499999869</v>
      </c>
      <c r="U36" s="41"/>
      <c r="V36" s="41"/>
      <c r="W36" s="41"/>
    </row>
    <row r="37" spans="18:26" ht="15.75" thickBot="1" x14ac:dyDescent="0.3"/>
    <row r="38" spans="18:26" x14ac:dyDescent="0.25">
      <c r="R38" s="42"/>
      <c r="S38" s="42" t="s">
        <v>106</v>
      </c>
      <c r="T38" s="42" t="s">
        <v>94</v>
      </c>
      <c r="U38" s="42" t="s">
        <v>107</v>
      </c>
      <c r="V38" s="42" t="s">
        <v>108</v>
      </c>
      <c r="W38" s="42" t="s">
        <v>109</v>
      </c>
      <c r="X38" s="42" t="s">
        <v>110</v>
      </c>
      <c r="Y38" s="42" t="s">
        <v>111</v>
      </c>
      <c r="Z38" s="42" t="s">
        <v>112</v>
      </c>
    </row>
    <row r="39" spans="18:26" x14ac:dyDescent="0.25">
      <c r="R39" s="40" t="s">
        <v>100</v>
      </c>
      <c r="S39" s="40">
        <v>99.25242105263159</v>
      </c>
      <c r="T39" s="40">
        <v>0.26312134278314986</v>
      </c>
      <c r="U39" s="40">
        <v>377.21159371868202</v>
      </c>
      <c r="V39" s="40">
        <v>1.5371890743051605E-36</v>
      </c>
      <c r="W39" s="40">
        <v>98.699623624320651</v>
      </c>
      <c r="X39" s="40">
        <v>99.805218480942528</v>
      </c>
      <c r="Y39" s="40">
        <v>98.699623624320651</v>
      </c>
      <c r="Z39" s="40">
        <v>99.805218480942528</v>
      </c>
    </row>
    <row r="40" spans="18:26" ht="15.75" thickBot="1" x14ac:dyDescent="0.3">
      <c r="R40" s="41" t="s">
        <v>113</v>
      </c>
      <c r="S40" s="41">
        <v>0.58057894736841931</v>
      </c>
      <c r="T40" s="41">
        <v>2.1964945310535788E-2</v>
      </c>
      <c r="U40" s="41">
        <v>26.432068878857468</v>
      </c>
      <c r="V40" s="41">
        <v>7.4628755475982725E-16</v>
      </c>
      <c r="W40" s="41">
        <v>0.53443230965282562</v>
      </c>
      <c r="X40" s="41">
        <v>0.62672558508401299</v>
      </c>
      <c r="Y40" s="41">
        <v>0.53443230965282562</v>
      </c>
      <c r="Z40" s="41">
        <v>0.62672558508401299</v>
      </c>
    </row>
    <row r="43" spans="18:26" x14ac:dyDescent="0.25">
      <c r="U43">
        <f>U40/SQRT(20)</f>
        <v>5.9103902799081949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Table 2.4 and 2.5</vt:lpstr>
      <vt:lpstr>Tables 2.7, 2.8, and 2.9</vt:lpstr>
      <vt:lpstr>Table 3.2</vt:lpstr>
      <vt:lpstr>Tables 3.4 and 3.5</vt:lpstr>
      <vt:lpstr>Sheet3</vt:lpstr>
      <vt:lpstr>K-Ratio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2020-01-13T00:07:42Z</dcterms:modified>
</cp:coreProperties>
</file>